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In Progress Files\Manas Upmanyu\173 - KSK Mahanadi Power 6x600 MW TPP\KSK-2022\Report and Workings\Final Report\"/>
    </mc:Choice>
  </mc:AlternateContent>
  <bookViews>
    <workbookView xWindow="0" yWindow="0" windowWidth="24000" windowHeight="9735" tabRatio="856" activeTab="5"/>
  </bookViews>
  <sheets>
    <sheet name="FA Summary" sheetId="153" r:id="rId1"/>
    <sheet name="Cost Incurred" sheetId="206" r:id="rId2"/>
    <sheet name="Cost to complete" sheetId="207" r:id="rId3"/>
    <sheet name="CCI" sheetId="205" r:id="rId4"/>
    <sheet name="Building Summary Sheet" sheetId="204" r:id="rId5"/>
    <sheet name="Final Vlauation Summary" sheetId="208" r:id="rId6"/>
    <sheet name="CWIP- Time to complete" sheetId="210" r:id="rId7"/>
    <sheet name="Plant Buildings" sheetId="185" r:id="rId8"/>
    <sheet name="Buildg-Others" sheetId="174" r:id="rId9"/>
    <sheet name="Leasehold Prprts" sheetId="170" r:id="rId10"/>
    <sheet name="Unit-II" sheetId="203" r:id="rId11"/>
    <sheet name="Unit-III" sheetId="190" r:id="rId12"/>
    <sheet name="Unit-IV" sheetId="192" r:id="rId13"/>
    <sheet name="P &amp; M" sheetId="168" r:id="rId14"/>
    <sheet name="P&amp;M-Ele-Insta" sheetId="159" r:id="rId15"/>
    <sheet name="P&amp;M-Misc Eqipt" sheetId="167" r:id="rId16"/>
    <sheet name="F &amp; F" sheetId="164" r:id="rId17"/>
    <sheet name="Vehicles" sheetId="161" r:id="rId18"/>
    <sheet name="Office Euipt" sheetId="166" r:id="rId19"/>
    <sheet name="Data Proc Eqpmnt" sheetId="163" r:id="rId20"/>
    <sheet name="Comp. Software" sheetId="162"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a" localSheetId="8">#REF!</definedName>
    <definedName name="\a" localSheetId="7">#REF!</definedName>
    <definedName name="\a">#REF!</definedName>
    <definedName name="\E" localSheetId="8">#REF!</definedName>
    <definedName name="\E" localSheetId="7">#REF!</definedName>
    <definedName name="\E">#REF!</definedName>
    <definedName name="\Final" localSheetId="8">#REF!</definedName>
    <definedName name="\Final" localSheetId="7">#REF!</definedName>
    <definedName name="\Final">#REF!</definedName>
    <definedName name="\G" localSheetId="8">#REF!</definedName>
    <definedName name="\G" localSheetId="7">#REF!</definedName>
    <definedName name="\G">#REF!</definedName>
    <definedName name="\L" localSheetId="8">#REF!</definedName>
    <definedName name="\L" localSheetId="7">#REF!</definedName>
    <definedName name="\L">#REF!</definedName>
    <definedName name="\q" localSheetId="8">#REF!</definedName>
    <definedName name="\q" localSheetId="7">#REF!</definedName>
    <definedName name="\q">#REF!</definedName>
    <definedName name="\S" localSheetId="8">#REF!</definedName>
    <definedName name="\S" localSheetId="7">#REF!</definedName>
    <definedName name="\S">#REF!</definedName>
    <definedName name="\T" localSheetId="8">#REF!</definedName>
    <definedName name="\T" localSheetId="7">#REF!</definedName>
    <definedName name="\T">#REF!</definedName>
    <definedName name="\U" localSheetId="8">#REF!</definedName>
    <definedName name="\U" localSheetId="7">#REF!</definedName>
    <definedName name="\U">#REF!</definedName>
    <definedName name="_10_9_BT_DECEMB" localSheetId="8">#REF!</definedName>
    <definedName name="_10_9_BT_DECEMB" localSheetId="7">#REF!</definedName>
    <definedName name="_10_9_BT_DECEMB">#REF!</definedName>
    <definedName name="_10_9_BT_december" localSheetId="8">#REF!</definedName>
    <definedName name="_10_9_BT_december" localSheetId="7">#REF!</definedName>
    <definedName name="_10_9_BT_december">#REF!</definedName>
    <definedName name="_10_9_BT_FEBRUA" localSheetId="8">#REF!</definedName>
    <definedName name="_10_9_BT_FEBRUA" localSheetId="7">#REF!</definedName>
    <definedName name="_10_9_BT_FEBRUA">#REF!</definedName>
    <definedName name="_10_9_BT_NOVEMB" localSheetId="8">#REF!</definedName>
    <definedName name="_10_9_BT_NOVEMB" localSheetId="7">#REF!</definedName>
    <definedName name="_10_9_BT_NOVEMB">#REF!</definedName>
    <definedName name="_10_9_BT_SEPTEM" localSheetId="8">#REF!</definedName>
    <definedName name="_10_9_BT_SEPTEM" localSheetId="7">#REF!</definedName>
    <definedName name="_10_9_BT_SEPTEM">#REF!</definedName>
    <definedName name="_10_9_BTU_ANNUA" localSheetId="8">#REF!</definedName>
    <definedName name="_10_9_BTU_ANNUA" localSheetId="7">#REF!</definedName>
    <definedName name="_10_9_BTU_ANNUA">#REF!</definedName>
    <definedName name="_10_9_BTU_APRIL" localSheetId="8">#REF!</definedName>
    <definedName name="_10_9_BTU_APRIL" localSheetId="7">#REF!</definedName>
    <definedName name="_10_9_BTU_APRIL">#REF!</definedName>
    <definedName name="_10_9_BTU_AUGUS" localSheetId="8">#REF!</definedName>
    <definedName name="_10_9_BTU_AUGUS" localSheetId="7">#REF!</definedName>
    <definedName name="_10_9_BTU_AUGUS">#REF!</definedName>
    <definedName name="_10_9_BTU_JANUA" localSheetId="8">#REF!</definedName>
    <definedName name="_10_9_BTU_JANUA" localSheetId="7">#REF!</definedName>
    <definedName name="_10_9_BTU_JANUA">#REF!</definedName>
    <definedName name="_10_9_BTU_JULY" localSheetId="8">#REF!</definedName>
    <definedName name="_10_9_BTU_JULY" localSheetId="7">#REF!</definedName>
    <definedName name="_10_9_BTU_JULY">#REF!</definedName>
    <definedName name="_10_9_BTU_JUNE" localSheetId="8">#REF!</definedName>
    <definedName name="_10_9_BTU_JUNE" localSheetId="7">#REF!</definedName>
    <definedName name="_10_9_BTU_JUNE">#REF!</definedName>
    <definedName name="_10_9_BTU_MARCH" localSheetId="8">#REF!</definedName>
    <definedName name="_10_9_BTU_MARCH" localSheetId="7">#REF!</definedName>
    <definedName name="_10_9_BTU_MARCH">#REF!</definedName>
    <definedName name="_10_9_BTU_MAY" localSheetId="8">#REF!</definedName>
    <definedName name="_10_9_BTU_MAY" localSheetId="7">#REF!</definedName>
    <definedName name="_10_9_BTU_MAY">#REF!</definedName>
    <definedName name="_10_9_BTU_OCTOB" localSheetId="8">#REF!</definedName>
    <definedName name="_10_9_BTU_OCTOB" localSheetId="7">#REF!</definedName>
    <definedName name="_10_9_BTU_OCTOB">#REF!</definedName>
    <definedName name="_10lkjdsf" localSheetId="8">#REF!</definedName>
    <definedName name="_10lkjdsf" localSheetId="7">#REF!</definedName>
    <definedName name="_10lkjdsf">#REF!</definedName>
    <definedName name="_Fill" localSheetId="8" hidden="1">#REF!</definedName>
    <definedName name="_Fill" localSheetId="7" hidden="1">#REF!</definedName>
    <definedName name="_Fill" hidden="1">#REF!</definedName>
    <definedName name="_xlnm._FilterDatabase" localSheetId="8" hidden="1">'Buildg-Others'!$A$5:$AY$583</definedName>
    <definedName name="_xlnm._FilterDatabase" localSheetId="20" hidden="1">'Comp. Software'!$A$5:$H$26</definedName>
    <definedName name="_xlnm._FilterDatabase" localSheetId="19" hidden="1">'Data Proc Eqpmnt'!$A$5:$R$180</definedName>
    <definedName name="_xlnm._FilterDatabase" localSheetId="16" hidden="1">'F &amp; F'!$B$5:$Q$615</definedName>
    <definedName name="_xlnm._FilterDatabase" localSheetId="9" hidden="1">'Leasehold Prprts'!$B$5:$K$62</definedName>
    <definedName name="_xlnm._FilterDatabase" localSheetId="18" hidden="1">'Office Euipt'!$A$5:$R$825</definedName>
    <definedName name="_xlnm._FilterDatabase" localSheetId="13" hidden="1">'P &amp; M'!$A$4:$Q$283</definedName>
    <definedName name="_xlnm._FilterDatabase" localSheetId="14" hidden="1">'P&amp;M-Ele-Insta'!$A$5:$Q$48</definedName>
    <definedName name="_xlnm._FilterDatabase" localSheetId="15" hidden="1">'P&amp;M-Misc Eqipt'!$A$5:$Q$45</definedName>
    <definedName name="_xlnm._FilterDatabase" localSheetId="7" hidden="1">'Plant Buildings'!$B$5:$N$30</definedName>
    <definedName name="_xlnm._FilterDatabase" localSheetId="10" hidden="1">'Unit-II'!$B$4:$N$588</definedName>
    <definedName name="_xlnm._FilterDatabase" localSheetId="11" hidden="1">'Unit-III'!$A$4:$O$996</definedName>
    <definedName name="_xlnm._FilterDatabase" localSheetId="12" hidden="1">'Unit-IV'!$B$5:$N$905</definedName>
    <definedName name="_xlnm._FilterDatabase" localSheetId="17" hidden="1">Vehicles!$A$5:$Q$66</definedName>
    <definedName name="_Order1" hidden="1">255</definedName>
    <definedName name="_Order2" hidden="1">255</definedName>
    <definedName name="_ram2" localSheetId="8">#REF!</definedName>
    <definedName name="_ram2" localSheetId="7">#REF!</definedName>
    <definedName name="_ram2">#REF!</definedName>
    <definedName name="a" localSheetId="8">#REF!</definedName>
    <definedName name="a" localSheetId="7">#REF!</definedName>
    <definedName name="a">#REF!</definedName>
    <definedName name="Access">'[1]Service Function'!$BW$71:$CA$74</definedName>
    <definedName name="adssdfad" localSheetId="8">#REF!</definedName>
    <definedName name="adssdfad" localSheetId="7">#REF!</definedName>
    <definedName name="adssdfad">#REF!</definedName>
    <definedName name="Afferguson" localSheetId="8">#REF!</definedName>
    <definedName name="Afferguson" localSheetId="7">#REF!</definedName>
    <definedName name="Afferguson">#REF!</definedName>
    <definedName name="ALL" localSheetId="8">#REF!</definedName>
    <definedName name="ALL" localSheetId="7">#REF!</definedName>
    <definedName name="ALL">#REF!</definedName>
    <definedName name="AnnAvail" localSheetId="8">#REF!</definedName>
    <definedName name="AnnAvail" localSheetId="7">#REF!</definedName>
    <definedName name="AnnAvail">#REF!</definedName>
    <definedName name="AnnCapacity" localSheetId="8">#REF!</definedName>
    <definedName name="AnnCapacity" localSheetId="7">#REF!</definedName>
    <definedName name="AnnCapacity">#REF!</definedName>
    <definedName name="APRDATA?" localSheetId="8">#REF!</definedName>
    <definedName name="APRDATA?" localSheetId="7">#REF!</definedName>
    <definedName name="APRDATA?">#REF!</definedName>
    <definedName name="as" localSheetId="9" hidden="1">{#N/A,#N/A,FALSE,"Input"}</definedName>
    <definedName name="as" localSheetId="13" hidden="1">{#N/A,#N/A,FALSE,"Input"}</definedName>
    <definedName name="as" localSheetId="7" hidden="1">{#N/A,#N/A,FALSE,"Input"}</definedName>
    <definedName name="as" localSheetId="10" hidden="1">{#N/A,#N/A,FALSE,"Input"}</definedName>
    <definedName name="as" hidden="1">{#N/A,#N/A,FALSE,"Input"}</definedName>
    <definedName name="asaaaa" localSheetId="8">'[2]14'!#REF!</definedName>
    <definedName name="asaaaa" localSheetId="7">'[2]14'!#REF!</definedName>
    <definedName name="asaaaa">'[2]14'!#REF!</definedName>
    <definedName name="asaaaaaa" localSheetId="8">#REF!</definedName>
    <definedName name="asaaaaaa" localSheetId="7">#REF!</definedName>
    <definedName name="asaaaaaa">#REF!</definedName>
    <definedName name="asdfds" localSheetId="8">#REF!</definedName>
    <definedName name="asdfds" localSheetId="7">#REF!</definedName>
    <definedName name="asdfds">#REF!</definedName>
    <definedName name="asdfdssa" localSheetId="8">#REF!</definedName>
    <definedName name="asdfdssa" localSheetId="7">#REF!</definedName>
    <definedName name="asdfdssa">#REF!</definedName>
    <definedName name="asssdsd" localSheetId="8">#REF!</definedName>
    <definedName name="asssdsd" localSheetId="7">#REF!</definedName>
    <definedName name="asssdsd">#REF!</definedName>
    <definedName name="AUGDATA?" localSheetId="8">#REF!</definedName>
    <definedName name="AUGDATA?" localSheetId="7">#REF!</definedName>
    <definedName name="AUGDATA?">#REF!</definedName>
    <definedName name="AUTOPRINT_1" localSheetId="8">#REF!</definedName>
    <definedName name="AUTOPRINT_1" localSheetId="7">#REF!</definedName>
    <definedName name="AUTOPRINT_1">#REF!</definedName>
    <definedName name="AUTOPRINT_2" localSheetId="8">#REF!</definedName>
    <definedName name="AUTOPRINT_2" localSheetId="7">#REF!</definedName>
    <definedName name="AUTOPRINT_2">#REF!</definedName>
    <definedName name="BASE_YEAR" localSheetId="8">#REF!</definedName>
    <definedName name="BASE_YEAR" localSheetId="7">#REF!</definedName>
    <definedName name="BASE_YEAR">#REF!</definedName>
    <definedName name="Base_Yr">'[3]Setup Variables'!$D$11</definedName>
    <definedName name="BASIS_YEAR" localSheetId="8">#REF!</definedName>
    <definedName name="BASIS_YEAR" localSheetId="7">#REF!</definedName>
    <definedName name="BASIS_YEAR">#REF!</definedName>
    <definedName name="bill" localSheetId="8">#REF!</definedName>
    <definedName name="bill" localSheetId="7">#REF!</definedName>
    <definedName name="bill">#REF!</definedName>
    <definedName name="BILLING_RATE" localSheetId="8">#REF!</definedName>
    <definedName name="BILLING_RATE" localSheetId="7">#REF!</definedName>
    <definedName name="BILLING_RATE">#REF!</definedName>
    <definedName name="BlrChemCost" localSheetId="8">#REF!</definedName>
    <definedName name="BlrChemCost" localSheetId="7">#REF!</definedName>
    <definedName name="BlrChemCost">#REF!</definedName>
    <definedName name="BonusFee" localSheetId="8">#REF!</definedName>
    <definedName name="BonusFee" localSheetId="7">#REF!</definedName>
    <definedName name="BonusFee">#REF!</definedName>
    <definedName name="BUDGET_YEAR" localSheetId="8">#REF!</definedName>
    <definedName name="BUDGET_YEAR" localSheetId="7">#REF!</definedName>
    <definedName name="BUDGET_YEAR">#REF!</definedName>
    <definedName name="CATEGORY_HEADER" localSheetId="8">#REF!</definedName>
    <definedName name="CATEGORY_HEADER" localSheetId="7">#REF!</definedName>
    <definedName name="CATEGORY_HEADER">#REF!</definedName>
    <definedName name="CDFinal" localSheetId="8">#REF!</definedName>
    <definedName name="CDFinal" localSheetId="7">#REF!</definedName>
    <definedName name="CDFinal">#REF!</definedName>
    <definedName name="CGTScale" localSheetId="8">#REF!</definedName>
    <definedName name="CGTScale" localSheetId="7">#REF!</definedName>
    <definedName name="CGTScale">#REF!</definedName>
    <definedName name="COAL" localSheetId="9" hidden="1">{#N/A,#N/A,FALSE,"Input"}</definedName>
    <definedName name="COAL" localSheetId="13" hidden="1">{#N/A,#N/A,FALSE,"Input"}</definedName>
    <definedName name="COAL" localSheetId="7" hidden="1">{#N/A,#N/A,FALSE,"Input"}</definedName>
    <definedName name="COAL" localSheetId="10" hidden="1">{#N/A,#N/A,FALSE,"Input"}</definedName>
    <definedName name="COAL" hidden="1">{#N/A,#N/A,FALSE,"Input"}</definedName>
    <definedName name="COMGENLIAB" localSheetId="8">'[4]14'!#REF!</definedName>
    <definedName name="COMGENLIAB" localSheetId="7">'[4]14'!#REF!</definedName>
    <definedName name="COMGENLIAB">'[4]14'!#REF!</definedName>
    <definedName name="COMM_L_MONTHS" localSheetId="8">#REF!</definedName>
    <definedName name="COMM_L_MONTHS" localSheetId="7">#REF!</definedName>
    <definedName name="COMM_L_MONTHS">#REF!</definedName>
    <definedName name="CondensateRtrn" localSheetId="8">#REF!</definedName>
    <definedName name="CondensateRtrn" localSheetId="7">#REF!</definedName>
    <definedName name="CondensateRtrn">#REF!</definedName>
    <definedName name="CONTRACTOR" localSheetId="8">#REF!</definedName>
    <definedName name="CONTRACTOR" localSheetId="7">#REF!</definedName>
    <definedName name="CONTRACTOR">#REF!</definedName>
    <definedName name="CT10490_T11_GDA">'[1]Service Function'!$C$182:$H$190</definedName>
    <definedName name="CT10490_T11_T1">'[1]Service Function'!$J$182:$O$190</definedName>
    <definedName name="CT10490_T9_56k">'[1]Service Function'!$C$198:$H$206</definedName>
    <definedName name="CT10490_T9_IBR">'[1]Service Function'!$J$198:$O$206</definedName>
    <definedName name="CT10490_T9_T1">'[1]Service Function'!$C$214:$H$222</definedName>
    <definedName name="CT10587_T11_GDA">'[1]Service Function'!$C$114:$H$122</definedName>
    <definedName name="CT10587_T11_T1">'[1]Service Function'!$J$114:$O$122</definedName>
    <definedName name="CT10587_T9_56k">'[1]Service Function'!$C$130:$H$138</definedName>
    <definedName name="CT10587_T9_IBR">'[1]Service Function'!$J$130:$O$138</definedName>
    <definedName name="CT10587_T9_T1">'[1]Service Function'!$C$152:$H$163</definedName>
    <definedName name="CT10613_T11_GDA">'[1]Service Function'!$C$241:$H$249</definedName>
    <definedName name="CT10613_T11_T1">'[1]Service Function'!$J$241:$O$249</definedName>
    <definedName name="CT10613_T9_56k">'[1]Service Function'!$C$257:$H$265</definedName>
    <definedName name="CT10613_T9_IBR">'[1]Service Function'!$J$257:$O$265</definedName>
    <definedName name="CT10613_T9_T1">'[1]Service Function'!$C$273:$H$281</definedName>
    <definedName name="CT10881_IOC">'[1]Service Function'!$K$300:$O$302</definedName>
    <definedName name="CT10881_LC">'[1]Service Function'!$D$300:$H$301</definedName>
    <definedName name="CTGMW" localSheetId="8">#REF!</definedName>
    <definedName name="CTGMW" localSheetId="7">#REF!</definedName>
    <definedName name="CTGMW">#REF!</definedName>
    <definedName name="Custom_MMRC">'[1]Service Function'!$C$7:$G$22</definedName>
    <definedName name="Custom_Term">'[1]Service Function'!$C$28:$G$31</definedName>
    <definedName name="DECDATA?" localSheetId="8">#REF!</definedName>
    <definedName name="DECDATA?" localSheetId="7">#REF!</definedName>
    <definedName name="DECDATA?">#REF!</definedName>
    <definedName name="DETAILS" localSheetId="8">#REF!</definedName>
    <definedName name="DETAILS" localSheetId="7">#REF!</definedName>
    <definedName name="DETAILS">#REF!</definedName>
    <definedName name="dfafad" localSheetId="8">#REF!</definedName>
    <definedName name="dfafad" localSheetId="7">#REF!</definedName>
    <definedName name="dfafad">#REF!</definedName>
    <definedName name="DISTRIBUTORS" localSheetId="8">#REF!</definedName>
    <definedName name="DISTRIBUTORS" localSheetId="7">#REF!</definedName>
    <definedName name="DISTRIBUTORS">#REF!</definedName>
    <definedName name="dsafds" localSheetId="8">#REF!</definedName>
    <definedName name="dsafds" localSheetId="7">#REF!</definedName>
    <definedName name="dsafds">#REF!</definedName>
    <definedName name="dsasdds" localSheetId="8">#REF!</definedName>
    <definedName name="dsasdds" localSheetId="7">#REF!</definedName>
    <definedName name="dsasdds">#REF!</definedName>
    <definedName name="dsdsds" localSheetId="8">#REF!</definedName>
    <definedName name="dsdsds" localSheetId="7">#REF!</definedName>
    <definedName name="dsdsds">#REF!</definedName>
    <definedName name="DSVPP_T11_GDA">'[1]Service Function'!$C$41:$H$53</definedName>
    <definedName name="DSVPP_T11_T1">'[1]Service Function'!$J$41:$O$53</definedName>
    <definedName name="DSVPP_T9_56k">'[1]Service Function'!$C$61:$H$73</definedName>
    <definedName name="DSVPP_T9_IBR">'[1]Service Function'!$J$61:$O$73</definedName>
    <definedName name="DSVPP_T9_T1">'[1]Service Function'!$C$81:$H$93</definedName>
    <definedName name="DutyAppl" localSheetId="8">#REF!</definedName>
    <definedName name="DutyAppl" localSheetId="7">#REF!</definedName>
    <definedName name="DutyAppl">#REF!</definedName>
    <definedName name="DutyRate" localSheetId="8">#REF!</definedName>
    <definedName name="DutyRate" localSheetId="7">#REF!</definedName>
    <definedName name="DutyRate">#REF!</definedName>
    <definedName name="ExchangeRt" localSheetId="8">#REF!</definedName>
    <definedName name="ExchangeRt" localSheetId="7">#REF!</definedName>
    <definedName name="ExchangeRt">#REF!</definedName>
    <definedName name="FEBDATA?" localSheetId="8">#REF!</definedName>
    <definedName name="FEBDATA?" localSheetId="7">#REF!</definedName>
    <definedName name="FEBDATA?">#REF!</definedName>
    <definedName name="fff" localSheetId="8">#REF!</definedName>
    <definedName name="fff" localSheetId="7">#REF!</definedName>
    <definedName name="fff">#REF!</definedName>
    <definedName name="FirstCommYr" localSheetId="8">#REF!</definedName>
    <definedName name="FirstCommYr" localSheetId="7">#REF!</definedName>
    <definedName name="FirstCommYr">#REF!</definedName>
    <definedName name="FIVEDAY" localSheetId="8">#REF!</definedName>
    <definedName name="FIVEDAY" localSheetId="7">#REF!</definedName>
    <definedName name="FIVEDAY">#REF!</definedName>
    <definedName name="Fixed" localSheetId="8">#REF!</definedName>
    <definedName name="Fixed" localSheetId="7">#REF!</definedName>
    <definedName name="Fixed">#REF!</definedName>
    <definedName name="forex">'[5]P&amp;L'!$L$1</definedName>
    <definedName name="Form3CDFinal" localSheetId="8">#REF!</definedName>
    <definedName name="Form3CDFinal" localSheetId="7">#REF!</definedName>
    <definedName name="Form3CDFinal">#REF!</definedName>
    <definedName name="FUEL" localSheetId="8">#REF!</definedName>
    <definedName name="FUEL" localSheetId="7">#REF!</definedName>
    <definedName name="FUEL">#REF!</definedName>
    <definedName name="Genesc" localSheetId="8">#REF!</definedName>
    <definedName name="Genesc" localSheetId="7">#REF!</definedName>
    <definedName name="Genesc">#REF!</definedName>
    <definedName name="Government_Revenue" localSheetId="8">#REF!</definedName>
    <definedName name="Government_Revenue" localSheetId="7">#REF!</definedName>
    <definedName name="Government_Revenue">#REF!</definedName>
    <definedName name="GTFixedPrice" localSheetId="8">#REF!</definedName>
    <definedName name="GTFixedPrice" localSheetId="7">#REF!</definedName>
    <definedName name="GTFixedPrice">#REF!</definedName>
    <definedName name="GTScaler" localSheetId="8">#REF!</definedName>
    <definedName name="GTScaler" localSheetId="7">#REF!</definedName>
    <definedName name="GTScaler">#REF!</definedName>
    <definedName name="GTVariablePrice" localSheetId="8">#REF!</definedName>
    <definedName name="GTVariablePrice" localSheetId="7">#REF!</definedName>
    <definedName name="GTVariablePrice">#REF!</definedName>
    <definedName name="HRSGFlow" localSheetId="8">#REF!</definedName>
    <definedName name="HRSGFlow" localSheetId="7">#REF!</definedName>
    <definedName name="HRSGFlow">#REF!</definedName>
    <definedName name="IOC">'[1]Service Function'!$BQ$62:$BR$77</definedName>
    <definedName name="JANDATA?" localSheetId="8">#REF!</definedName>
    <definedName name="JANDATA?" localSheetId="7">#REF!</definedName>
    <definedName name="JANDATA?">#REF!</definedName>
    <definedName name="JULDATA?" localSheetId="8">#REF!</definedName>
    <definedName name="JULDATA?" localSheetId="7">#REF!</definedName>
    <definedName name="JULDATA?">#REF!</definedName>
    <definedName name="JUNDATA?" localSheetId="8">#REF!</definedName>
    <definedName name="JUNDATA?" localSheetId="7">#REF!</definedName>
    <definedName name="JUNDATA?">#REF!</definedName>
    <definedName name="KGP" localSheetId="8">#REF!</definedName>
    <definedName name="KGP" localSheetId="7">#REF!</definedName>
    <definedName name="KGP">#REF!</definedName>
    <definedName name="L_TCost" localSheetId="8">#REF!</definedName>
    <definedName name="L_TCost" localSheetId="7">#REF!</definedName>
    <definedName name="L_TCost">#REF!</definedName>
    <definedName name="LABOR3" localSheetId="8">#REF!</definedName>
    <definedName name="LABOR3" localSheetId="7">#REF!</definedName>
    <definedName name="LABOR3">#REF!</definedName>
    <definedName name="Lakh">'[5]P&amp;L'!$J$1</definedName>
    <definedName name="LC">'[1]Service Function'!$BT$72:$BU$75</definedName>
    <definedName name="LevMaint_" localSheetId="8">#REF!</definedName>
    <definedName name="LevMaint_" localSheetId="7">#REF!</definedName>
    <definedName name="LevMaint_">#REF!</definedName>
    <definedName name="LTSAOppTrkSummCost">[6]OpTrack!$A$31:$AB$44</definedName>
    <definedName name="LTSAOppTrkSummPctList">[6]OpTrack!$A$47:$B$53</definedName>
    <definedName name="LTSAOppTrkSummSales">[6]OpTrack!$A$11:$AB$24</definedName>
    <definedName name="M_ACost" localSheetId="8">#REF!</definedName>
    <definedName name="M_ACost" localSheetId="7">#REF!</definedName>
    <definedName name="M_ACost">#REF!</definedName>
    <definedName name="MAJOR" localSheetId="8">#REF!</definedName>
    <definedName name="MAJOR" localSheetId="7">#REF!</definedName>
    <definedName name="MAJOR">#REF!</definedName>
    <definedName name="MAJORFUND" localSheetId="8">#REF!</definedName>
    <definedName name="MAJORFUND" localSheetId="7">#REF!</definedName>
    <definedName name="MAJORFUND">#REF!</definedName>
    <definedName name="MakeUpGPH" localSheetId="8">#REF!</definedName>
    <definedName name="MakeUpGPH" localSheetId="7">#REF!</definedName>
    <definedName name="MakeUpGPH">#REF!</definedName>
    <definedName name="MARDATA?" localSheetId="8">#REF!</definedName>
    <definedName name="MARDATA?" localSheetId="7">#REF!</definedName>
    <definedName name="MARDATA?">#REF!</definedName>
    <definedName name="MAYDATA?" localSheetId="8">#REF!</definedName>
    <definedName name="MAYDATA?" localSheetId="7">#REF!</definedName>
    <definedName name="MAYDATA?">#REF!</definedName>
    <definedName name="MMLB_SO_DECEMBE" localSheetId="8">#REF!</definedName>
    <definedName name="MMLB_SO_DECEMBE" localSheetId="7">#REF!</definedName>
    <definedName name="MMLB_SO_DECEMBE">#REF!</definedName>
    <definedName name="MMLB_SO_FEBRUAR" localSheetId="8">#REF!</definedName>
    <definedName name="MMLB_SO_FEBRUAR" localSheetId="7">#REF!</definedName>
    <definedName name="MMLB_SO_FEBRUAR">#REF!</definedName>
    <definedName name="MMLB_SO_JANUARY" localSheetId="8">#REF!</definedName>
    <definedName name="MMLB_SO_JANUARY" localSheetId="7">#REF!</definedName>
    <definedName name="MMLB_SO_JANUARY">#REF!</definedName>
    <definedName name="MMLB_SO_NOVEMBE" localSheetId="8">#REF!</definedName>
    <definedName name="MMLB_SO_NOVEMBE" localSheetId="7">#REF!</definedName>
    <definedName name="MMLB_SO_NOVEMBE">#REF!</definedName>
    <definedName name="MMLB_SO_OCTOBER" localSheetId="8">#REF!</definedName>
    <definedName name="MMLB_SO_OCTOBER" localSheetId="7">#REF!</definedName>
    <definedName name="MMLB_SO_OCTOBER">#REF!</definedName>
    <definedName name="MMLB_SO_SEPTEMB" localSheetId="8">#REF!</definedName>
    <definedName name="MMLB_SO_SEPTEMB" localSheetId="7">#REF!</definedName>
    <definedName name="MMLB_SO_SEPTEMB">#REF!</definedName>
    <definedName name="MMLB_SOLD_ANNUA" localSheetId="8">#REF!</definedName>
    <definedName name="MMLB_SOLD_ANNUA" localSheetId="7">#REF!</definedName>
    <definedName name="MMLB_SOLD_ANNUA">#REF!</definedName>
    <definedName name="MMLB_SOLD_APRIL" localSheetId="8">#REF!</definedName>
    <definedName name="MMLB_SOLD_APRIL" localSheetId="7">#REF!</definedName>
    <definedName name="MMLB_SOLD_APRIL">#REF!</definedName>
    <definedName name="MMLB_SOLD_AUGUS" localSheetId="8">#REF!</definedName>
    <definedName name="MMLB_SOLD_AUGUS" localSheetId="7">#REF!</definedName>
    <definedName name="MMLB_SOLD_AUGUS">#REF!</definedName>
    <definedName name="MMLB_SOLD_JULY" localSheetId="8">#REF!</definedName>
    <definedName name="MMLB_SOLD_JULY" localSheetId="7">#REF!</definedName>
    <definedName name="MMLB_SOLD_JULY">#REF!</definedName>
    <definedName name="MMLB_SOLD_JUNE" localSheetId="8">#REF!</definedName>
    <definedName name="MMLB_SOLD_JUNE" localSheetId="7">#REF!</definedName>
    <definedName name="MMLB_SOLD_JUNE">#REF!</definedName>
    <definedName name="MMLB_SOLD_MARCH" localSheetId="8">#REF!</definedName>
    <definedName name="MMLB_SOLD_MARCH" localSheetId="7">#REF!</definedName>
    <definedName name="MMLB_SOLD_MARCH">#REF!</definedName>
    <definedName name="MMLB_SOLD_MAY" localSheetId="8">#REF!</definedName>
    <definedName name="MMLB_SOLD_MAY" localSheetId="7">#REF!</definedName>
    <definedName name="MMLB_SOLD_MAY">#REF!</definedName>
    <definedName name="MONTH" localSheetId="8">#REF!</definedName>
    <definedName name="MONTH" localSheetId="7">#REF!</definedName>
    <definedName name="MONTH">#REF!</definedName>
    <definedName name="MSVPP_FT1">'[1]Service Function'!$C$10:$H$22</definedName>
    <definedName name="MSVPP_T1">'[1]Service Function'!$J$10:$O$22</definedName>
    <definedName name="MWScale" localSheetId="8">#REF!</definedName>
    <definedName name="MWScale" localSheetId="7">#REF!</definedName>
    <definedName name="MWScale">#REF!</definedName>
    <definedName name="NMWH_ANNUAL" localSheetId="8">#REF!</definedName>
    <definedName name="NMWH_ANNUAL" localSheetId="7">#REF!</definedName>
    <definedName name="NMWH_ANNUAL">#REF!</definedName>
    <definedName name="NMWH_APRIL" localSheetId="8">#REF!</definedName>
    <definedName name="NMWH_APRIL" localSheetId="7">#REF!</definedName>
    <definedName name="NMWH_APRIL">#REF!</definedName>
    <definedName name="NMWH_AUGUST" localSheetId="8">#REF!</definedName>
    <definedName name="NMWH_AUGUST" localSheetId="7">#REF!</definedName>
    <definedName name="NMWH_AUGUST">#REF!</definedName>
    <definedName name="NMWH_DECEMBER" localSheetId="8">#REF!</definedName>
    <definedName name="NMWH_DECEMBER" localSheetId="7">#REF!</definedName>
    <definedName name="NMWH_DECEMBER">#REF!</definedName>
    <definedName name="NMWH_FEBRUARY" localSheetId="8">#REF!</definedName>
    <definedName name="NMWH_FEBRUARY" localSheetId="7">#REF!</definedName>
    <definedName name="NMWH_FEBRUARY">#REF!</definedName>
    <definedName name="NMWH_JANUARY" localSheetId="8">#REF!</definedName>
    <definedName name="NMWH_JANUARY" localSheetId="7">#REF!</definedName>
    <definedName name="NMWH_JANUARY">#REF!</definedName>
    <definedName name="NMWH_JULY" localSheetId="8">#REF!</definedName>
    <definedName name="NMWH_JULY" localSheetId="7">#REF!</definedName>
    <definedName name="NMWH_JULY">#REF!</definedName>
    <definedName name="NMWH_JUNE" localSheetId="8">#REF!</definedName>
    <definedName name="NMWH_JUNE" localSheetId="7">#REF!</definedName>
    <definedName name="NMWH_JUNE">#REF!</definedName>
    <definedName name="NMWH_MARCH" localSheetId="8">#REF!</definedName>
    <definedName name="NMWH_MARCH" localSheetId="7">#REF!</definedName>
    <definedName name="NMWH_MARCH">#REF!</definedName>
    <definedName name="NMWH_MAY" localSheetId="8">#REF!</definedName>
    <definedName name="NMWH_MAY" localSheetId="7">#REF!</definedName>
    <definedName name="NMWH_MAY">#REF!</definedName>
    <definedName name="NMWH_NOVEMBER" localSheetId="8">#REF!</definedName>
    <definedName name="NMWH_NOVEMBER" localSheetId="7">#REF!</definedName>
    <definedName name="NMWH_NOVEMBER">#REF!</definedName>
    <definedName name="NMWH_OCTOBER" localSheetId="8">#REF!</definedName>
    <definedName name="NMWH_OCTOBER" localSheetId="7">#REF!</definedName>
    <definedName name="NMWH_OCTOBER">#REF!</definedName>
    <definedName name="NMWH_SEPTEMBER" localSheetId="8">#REF!</definedName>
    <definedName name="NMWH_SEPTEMBER" localSheetId="7">#REF!</definedName>
    <definedName name="NMWH_SEPTEMBER">#REF!</definedName>
    <definedName name="NOVDATA?" localSheetId="8">#REF!</definedName>
    <definedName name="NOVDATA?" localSheetId="7">#REF!</definedName>
    <definedName name="NOVDATA?">#REF!</definedName>
    <definedName name="OCTDATA?" localSheetId="8">#REF!</definedName>
    <definedName name="OCTDATA?" localSheetId="7">#REF!</definedName>
    <definedName name="OCTDATA?">#REF!</definedName>
    <definedName name="Offers">'[1]Service Function'!$AC$43:$AJ$55</definedName>
    <definedName name="OPCAP" localSheetId="8">#REF!</definedName>
    <definedName name="OPCAP" localSheetId="7">#REF!</definedName>
    <definedName name="OPCAP">#REF!</definedName>
    <definedName name="OperatingHrs" localSheetId="8">#REF!</definedName>
    <definedName name="OperatingHrs" localSheetId="7">#REF!</definedName>
    <definedName name="OperatingHrs">#REF!</definedName>
    <definedName name="OppTrkSummCost">[6]OpTrack!$A$31:$AB$44</definedName>
    <definedName name="OppTrkSummPctList">[6]OpTrack!$A$47:$B$53</definedName>
    <definedName name="OppTrkSummSales">[6]OpTrack!$A$11:$AB$24</definedName>
    <definedName name="OVERVIEW" localSheetId="8">#REF!</definedName>
    <definedName name="OVERVIEW" localSheetId="7">#REF!</definedName>
    <definedName name="OVERVIEW">#REF!</definedName>
    <definedName name="overview2" localSheetId="8">#REF!</definedName>
    <definedName name="overview2" localSheetId="7">#REF!</definedName>
    <definedName name="overview2">#REF!</definedName>
    <definedName name="page1" localSheetId="8">#REF!</definedName>
    <definedName name="page1" localSheetId="7">#REF!</definedName>
    <definedName name="page1">#REF!</definedName>
    <definedName name="page2" localSheetId="8">#REF!</definedName>
    <definedName name="page2" localSheetId="7">#REF!</definedName>
    <definedName name="page2">#REF!</definedName>
    <definedName name="page3" localSheetId="8">#REF!</definedName>
    <definedName name="page3" localSheetId="7">#REF!</definedName>
    <definedName name="page3">#REF!</definedName>
    <definedName name="page4" localSheetId="8">#REF!</definedName>
    <definedName name="page4" localSheetId="7">#REF!</definedName>
    <definedName name="page4">#REF!</definedName>
    <definedName name="page5" localSheetId="8">#REF!</definedName>
    <definedName name="page5" localSheetId="7">#REF!</definedName>
    <definedName name="page5">#REF!</definedName>
    <definedName name="page6" localSheetId="8">#REF!</definedName>
    <definedName name="page6" localSheetId="7">#REF!</definedName>
    <definedName name="page6">#REF!</definedName>
    <definedName name="page7" localSheetId="8">#REF!</definedName>
    <definedName name="page7" localSheetId="7">#REF!</definedName>
    <definedName name="page7">#REF!</definedName>
    <definedName name="Payout_Total" localSheetId="8">#REF!</definedName>
    <definedName name="Payout_Total" localSheetId="7">#REF!</definedName>
    <definedName name="Payout_Total">#REF!</definedName>
    <definedName name="PkgBrlFlow" localSheetId="8">#REF!</definedName>
    <definedName name="PkgBrlFlow" localSheetId="7">#REF!</definedName>
    <definedName name="PkgBrlFlow">#REF!</definedName>
    <definedName name="_xlnm.Print_Area" localSheetId="8">'Buildg-Others'!#REF!</definedName>
    <definedName name="_xlnm.Print_Area" localSheetId="20">'Comp. Software'!$B$2:$H$55</definedName>
    <definedName name="_xlnm.Print_Area" localSheetId="19">'Data Proc Eqpmnt'!$B$42:$R$45</definedName>
    <definedName name="_xlnm.Print_Area" localSheetId="16">'F &amp; F'!$B$2:$H$656</definedName>
    <definedName name="_xlnm.Print_Area" localSheetId="0">'FA Summary'!#REF!</definedName>
    <definedName name="_xlnm.Print_Area" localSheetId="9">'Leasehold Prprts'!$B$2:$K$62</definedName>
    <definedName name="_xlnm.Print_Area" localSheetId="18">'Office Euipt'!#REF!</definedName>
    <definedName name="_xlnm.Print_Area" localSheetId="13">'P &amp; M'!$B$2:$H$286</definedName>
    <definedName name="_xlnm.Print_Area" localSheetId="14">'P&amp;M-Ele-Insta'!$B$41:$Q$41</definedName>
    <definedName name="_xlnm.Print_Area" localSheetId="15">'P&amp;M-Misc Eqipt'!$B$2:$H$63</definedName>
    <definedName name="_xlnm.Print_Area" localSheetId="7">'Plant Buildings'!$B$2:$H$30</definedName>
    <definedName name="_xlnm.Print_Area" localSheetId="17">Vehicles!$B$2:$Q$27</definedName>
    <definedName name="PRINT_AREA_MI" localSheetId="8">#REF!</definedName>
    <definedName name="PRINT_AREA_MI" localSheetId="7">#REF!</definedName>
    <definedName name="PRINT_AREA_MI">#REF!</definedName>
    <definedName name="PRINT_CATEGS">'[4]3:40'!$A$1:$I$62</definedName>
    <definedName name="PRINT_SUMMARY" localSheetId="8">#REF!</definedName>
    <definedName name="PRINT_SUMMARY" localSheetId="7">#REF!</definedName>
    <definedName name="PRINT_SUMMARY">#REF!</definedName>
    <definedName name="_xlnm.Print_Titles" localSheetId="8">'Buildg-Others'!$3:$5</definedName>
    <definedName name="_xlnm.Print_Titles" localSheetId="20">'Comp. Software'!$5:$5</definedName>
    <definedName name="_xlnm.Print_Titles" localSheetId="19">'Data Proc Eqpmnt'!$3:$5</definedName>
    <definedName name="_xlnm.Print_Titles" localSheetId="16">'F &amp; F'!$3:$5</definedName>
    <definedName name="_xlnm.Print_Titles" localSheetId="9">'Leasehold Prprts'!$3:$5</definedName>
    <definedName name="_xlnm.Print_Titles" localSheetId="18">'Office Euipt'!$3:$5</definedName>
    <definedName name="_xlnm.Print_Titles" localSheetId="13">'P &amp; M'!$4:$4</definedName>
    <definedName name="_xlnm.Print_Titles" localSheetId="14">'P&amp;M-Ele-Insta'!$5:$5</definedName>
    <definedName name="_xlnm.Print_Titles" localSheetId="7">'Plant Buildings'!$5:$5</definedName>
    <definedName name="_xlnm.Print_Titles" localSheetId="17">Vehicles!$3:$5</definedName>
    <definedName name="ProjDesc" localSheetId="8">#REF!</definedName>
    <definedName name="ProjDesc" localSheetId="7">#REF!</definedName>
    <definedName name="ProjDesc">#REF!</definedName>
    <definedName name="PROJECT_NAME" localSheetId="8">#REF!</definedName>
    <definedName name="PROJECT_NAME" localSheetId="7">#REF!</definedName>
    <definedName name="PROJECT_NAME">#REF!</definedName>
    <definedName name="ProjName" localSheetId="8">#REF!</definedName>
    <definedName name="ProjName" localSheetId="7">#REF!</definedName>
    <definedName name="ProjName">#REF!</definedName>
    <definedName name="PrtMajMaint" localSheetId="8">#REF!</definedName>
    <definedName name="PrtMajMaint" localSheetId="7">#REF!</definedName>
    <definedName name="PrtMajMaint">#REF!</definedName>
    <definedName name="PrtOffsite" localSheetId="8">#REF!</definedName>
    <definedName name="PrtOffsite" localSheetId="7">#REF!</definedName>
    <definedName name="PrtOffsite">#REF!</definedName>
    <definedName name="PrtPrecomm" localSheetId="8">#REF!</definedName>
    <definedName name="PrtPrecomm" localSheetId="7">#REF!</definedName>
    <definedName name="PrtPrecomm">#REF!</definedName>
    <definedName name="PrtSetup" localSheetId="8">#REF!</definedName>
    <definedName name="PrtSetup" localSheetId="7">#REF!</definedName>
    <definedName name="PrtSetup">#REF!</definedName>
    <definedName name="Ptas" localSheetId="8">#REF!</definedName>
    <definedName name="Ptas" localSheetId="7">#REF!</definedName>
    <definedName name="Ptas">#REF!</definedName>
    <definedName name="Ram" localSheetId="8">#REF!</definedName>
    <definedName name="Ram" localSheetId="7">#REF!</definedName>
    <definedName name="Ram">#REF!</definedName>
    <definedName name="RegenCost" localSheetId="8">#REF!</definedName>
    <definedName name="RegenCost" localSheetId="7">#REF!</definedName>
    <definedName name="RegenCost">#REF!</definedName>
    <definedName name="RO?" localSheetId="8">#REF!</definedName>
    <definedName name="RO?" localSheetId="7">#REF!</definedName>
    <definedName name="RO?">#REF!</definedName>
    <definedName name="Rs.2.25" localSheetId="8">#REF!</definedName>
    <definedName name="Rs.2.25" localSheetId="7">#REF!</definedName>
    <definedName name="Rs.2.25">#REF!</definedName>
    <definedName name="RunDate" localSheetId="8">#REF!</definedName>
    <definedName name="RunDate" localSheetId="7">#REF!</definedName>
    <definedName name="RunDate">#REF!</definedName>
    <definedName name="RunName" localSheetId="8">#REF!</definedName>
    <definedName name="RunName" localSheetId="7">#REF!</definedName>
    <definedName name="RunName">#REF!</definedName>
    <definedName name="sadfdsa" localSheetId="8">#REF!</definedName>
    <definedName name="sadfdsa" localSheetId="7">#REF!</definedName>
    <definedName name="sadfdsa">#REF!</definedName>
    <definedName name="sadfdsafds">'[7]Setup Variables'!$D$11</definedName>
    <definedName name="Salaries" localSheetId="9" hidden="1">{#N/A,#N/A,FALSE,"Input"}</definedName>
    <definedName name="Salaries" localSheetId="13" hidden="1">{#N/A,#N/A,FALSE,"Input"}</definedName>
    <definedName name="Salaries" localSheetId="7" hidden="1">{#N/A,#N/A,FALSE,"Input"}</definedName>
    <definedName name="Salaries" localSheetId="10" hidden="1">{#N/A,#N/A,FALSE,"Input"}</definedName>
    <definedName name="Salaries" hidden="1">{#N/A,#N/A,FALSE,"Input"}</definedName>
    <definedName name="scs" localSheetId="8">#REF!</definedName>
    <definedName name="scs" localSheetId="7">#REF!</definedName>
    <definedName name="scs">#REF!</definedName>
    <definedName name="sda" localSheetId="8">#REF!</definedName>
    <definedName name="sda" localSheetId="7">#REF!</definedName>
    <definedName name="sda">#REF!</definedName>
    <definedName name="sdafds" localSheetId="8">#REF!</definedName>
    <definedName name="sdafds" localSheetId="7">#REF!</definedName>
    <definedName name="sdafds">#REF!</definedName>
    <definedName name="sdfd" localSheetId="8">#REF!</definedName>
    <definedName name="sdfd" localSheetId="7">#REF!</definedName>
    <definedName name="sdfd">#REF!</definedName>
    <definedName name="SEPDATA?" localSheetId="8">#REF!</definedName>
    <definedName name="SEPDATA?" localSheetId="7">#REF!</definedName>
    <definedName name="SEPDATA?">#REF!</definedName>
    <definedName name="Service">'[1]Service Function'!$CC$71:$CE$86</definedName>
    <definedName name="SETUP_PRINT" localSheetId="8">#REF!</definedName>
    <definedName name="SETUP_PRINT" localSheetId="7">#REF!</definedName>
    <definedName name="SETUP_PRINT">#REF!</definedName>
    <definedName name="SEVENDAY" localSheetId="8">#REF!</definedName>
    <definedName name="SEVENDAY" localSheetId="7">#REF!</definedName>
    <definedName name="SEVENDAY">#REF!</definedName>
    <definedName name="Shared_Interest_Total" localSheetId="8">#REF!</definedName>
    <definedName name="Shared_Interest_Total" localSheetId="7">#REF!</definedName>
    <definedName name="Shared_Interest_Total">#REF!</definedName>
    <definedName name="SS" localSheetId="8">#REF!</definedName>
    <definedName name="SS" localSheetId="7">#REF!</definedName>
    <definedName name="SS">#REF!</definedName>
    <definedName name="ssa" localSheetId="8">#REF!</definedName>
    <definedName name="ssa" localSheetId="7">#REF!</definedName>
    <definedName name="ssa">#REF!</definedName>
    <definedName name="StaffScale" localSheetId="8">#REF!</definedName>
    <definedName name="StaffScale" localSheetId="7">#REF!</definedName>
    <definedName name="StaffScale">#REF!</definedName>
    <definedName name="STScale" localSheetId="8">#REF!</definedName>
    <definedName name="STScale" localSheetId="7">#REF!</definedName>
    <definedName name="STScale">#REF!</definedName>
    <definedName name="TENDAY" localSheetId="8">#REF!</definedName>
    <definedName name="TENDAY" localSheetId="7">#REF!</definedName>
    <definedName name="TENDAY">#REF!</definedName>
    <definedName name="THREEDAY" localSheetId="8">#REF!</definedName>
    <definedName name="THREEDAY" localSheetId="7">#REF!</definedName>
    <definedName name="THREEDAY">#REF!</definedName>
    <definedName name="TITLE_1" localSheetId="8">#REF!</definedName>
    <definedName name="TITLE_1" localSheetId="7">#REF!</definedName>
    <definedName name="TITLE_1">#REF!</definedName>
    <definedName name="TITLE_2" localSheetId="8">#REF!</definedName>
    <definedName name="TITLE_2" localSheetId="7">#REF!</definedName>
    <definedName name="TITLE_2">#REF!</definedName>
    <definedName name="TITLE_3" localSheetId="8">#REF!</definedName>
    <definedName name="TITLE_3" localSheetId="7">#REF!</definedName>
    <definedName name="TITLE_3">#REF!</definedName>
    <definedName name="TITLE_4" localSheetId="8">#REF!</definedName>
    <definedName name="TITLE_4" localSheetId="7">#REF!</definedName>
    <definedName name="TITLE_4">#REF!</definedName>
    <definedName name="TITLE_5" localSheetId="8">#REF!</definedName>
    <definedName name="TITLE_5" localSheetId="7">#REF!</definedName>
    <definedName name="TITLE_5">#REF!</definedName>
    <definedName name="TITLE_6" localSheetId="8">#REF!</definedName>
    <definedName name="TITLE_6" localSheetId="7">#REF!</definedName>
    <definedName name="TITLE_6">#REF!</definedName>
    <definedName name="TITLE_7" localSheetId="8">#REF!</definedName>
    <definedName name="TITLE_7" localSheetId="7">#REF!</definedName>
    <definedName name="TITLE_7">#REF!</definedName>
    <definedName name="TotalStmFlw" localSheetId="8">#REF!</definedName>
    <definedName name="TotalStmFlw" localSheetId="7">#REF!</definedName>
    <definedName name="TotalStmFlw">#REF!</definedName>
    <definedName name="TOTINSURANCE" localSheetId="8">'[8]15'!#REF!</definedName>
    <definedName name="TOTINSURANCE" localSheetId="7">'[8]15'!#REF!</definedName>
    <definedName name="TOTINSURANCE">'[8]15'!#REF!</definedName>
    <definedName name="User1_Access">'[1]Service Function'!$C$20:$H$22</definedName>
    <definedName name="User1_IOC">'[1]Service Function'!$J$20:$O$23</definedName>
    <definedName name="User2_Access">'[1]Service Function'!$C$44:$H$46</definedName>
    <definedName name="User2_IOC">'[1]Service Function'!$J$44:$O$47</definedName>
    <definedName name="User3_T11_GDA">'[1]Service Function'!$C$68:$H$76</definedName>
    <definedName name="User3_T11_T1">'[1]Service Function'!$J$68:$O$76</definedName>
    <definedName name="User3_T9_56k">'[1]Service Function'!$C$85:$H$93</definedName>
    <definedName name="User3_T9_IBR">'[1]Service Function'!$J$85:$O$93</definedName>
    <definedName name="User3_T9_T1">'[1]Service Function'!$C$102:$H$110</definedName>
    <definedName name="User4_T11_GDA">'[1]Service Function'!$C$131:$H$139</definedName>
    <definedName name="User4_T11_T1">'[1]Service Function'!$J$131:$O$139</definedName>
    <definedName name="User4_T9_56k">'[1]Service Function'!$C$154:$H$165</definedName>
    <definedName name="User4_T9_IBR">'[1]Service Function'!$J$154:$O$165</definedName>
    <definedName name="User4_T9_T1">'[1]Service Function'!$C$174:$H$182</definedName>
    <definedName name="User5_Access">'[1]Service Function'!$C$203:$H$205</definedName>
    <definedName name="User5_Components">'[1]Service Function'!$J$216:$O$218</definedName>
    <definedName name="User5_IOC">'[1]Service Function'!$J$203:$O$206</definedName>
    <definedName name="wrn.Input._.Screen." localSheetId="9" hidden="1">{#N/A,#N/A,FALSE,"Input"}</definedName>
    <definedName name="wrn.Input._.Screen." localSheetId="13" hidden="1">{#N/A,#N/A,FALSE,"Input"}</definedName>
    <definedName name="wrn.Input._.Screen." localSheetId="7" hidden="1">{#N/A,#N/A,FALSE,"Input"}</definedName>
    <definedName name="wrn.Input._.Screen." localSheetId="10" hidden="1">{#N/A,#N/A,FALSE,"Input"}</definedName>
    <definedName name="wrn.Input._.Screen." hidden="1">{#N/A,#N/A,FALSE,"Input"}</definedName>
  </definedNames>
  <calcPr calcId="152511"/>
  <customWorkbookViews>
    <customWorkbookView name="mallikarjun - Personal View" guid="{2E8714DC-F7B3-4DFF-97D0-C625D52808BD}" mergeInterval="0" personalView="1" maximized="1" windowWidth="1020" windowHeight="526" tabRatio="958" activeSheetId="18"/>
    <customWorkbookView name="maheswararao.v - Personal View" guid="{8BBFCEC8-7221-40D3-BE86-900CC66AE9C4}" mergeInterval="0" personalView="1" maximized="1" windowWidth="1020" windowHeight="603" tabRatio="958" activeSheetId="79"/>
  </customWorkbookViews>
</workbook>
</file>

<file path=xl/calcChain.xml><?xml version="1.0" encoding="utf-8"?>
<calcChain xmlns="http://schemas.openxmlformats.org/spreadsheetml/2006/main">
  <c r="F33" i="208" l="1"/>
  <c r="E33" i="208"/>
  <c r="J31" i="208" l="1"/>
  <c r="I31" i="208"/>
  <c r="H31" i="208"/>
  <c r="G31" i="208"/>
  <c r="J30" i="208"/>
  <c r="I30" i="208"/>
  <c r="H30" i="208"/>
  <c r="G30" i="208"/>
  <c r="J32" i="208"/>
  <c r="I32" i="208"/>
  <c r="H32" i="208"/>
  <c r="G32" i="208"/>
  <c r="F37" i="208" l="1"/>
  <c r="F36" i="208"/>
  <c r="F31" i="208" l="1"/>
  <c r="F34" i="208" s="1"/>
  <c r="E31" i="208"/>
  <c r="E34" i="208" s="1"/>
  <c r="F30" i="208"/>
  <c r="D34" i="208"/>
  <c r="C34" i="208"/>
  <c r="D33" i="208"/>
  <c r="D30" i="208"/>
  <c r="C30" i="208"/>
  <c r="O16" i="210" l="1"/>
  <c r="K16" i="210"/>
  <c r="N16" i="210"/>
  <c r="M16" i="210"/>
  <c r="L16" i="210"/>
  <c r="K13" i="210"/>
  <c r="L13" i="210"/>
  <c r="M13" i="210"/>
  <c r="N13" i="210"/>
  <c r="K14" i="210"/>
  <c r="L14" i="210"/>
  <c r="M14" i="210"/>
  <c r="N14" i="210"/>
  <c r="K15" i="210"/>
  <c r="L15" i="210"/>
  <c r="M15" i="210"/>
  <c r="N15" i="210"/>
  <c r="K17" i="210"/>
  <c r="L17" i="210"/>
  <c r="M17" i="210"/>
  <c r="N17" i="210"/>
  <c r="K18" i="210"/>
  <c r="L18" i="210"/>
  <c r="M18" i="210"/>
  <c r="N18" i="210"/>
  <c r="L12" i="210"/>
  <c r="M12" i="210"/>
  <c r="N12" i="210"/>
  <c r="K12" i="210"/>
  <c r="B16" i="208" l="1"/>
  <c r="C16" i="208"/>
  <c r="D16" i="208"/>
  <c r="E16" i="208"/>
  <c r="E21" i="208"/>
  <c r="E20" i="208"/>
  <c r="E18" i="208"/>
  <c r="E17" i="208"/>
  <c r="F19" i="208"/>
  <c r="F24" i="208" s="1"/>
  <c r="D19" i="208"/>
  <c r="C19" i="208"/>
  <c r="C24" i="208" s="1"/>
  <c r="D21" i="208"/>
  <c r="D20" i="208"/>
  <c r="D23" i="208" s="1"/>
  <c r="D18" i="208"/>
  <c r="D17" i="208"/>
  <c r="F23" i="208"/>
  <c r="C23" i="208"/>
  <c r="B23" i="208"/>
  <c r="B22" i="208"/>
  <c r="B19" i="208"/>
  <c r="B24" i="208" s="1"/>
  <c r="C21" i="208"/>
  <c r="C20" i="208"/>
  <c r="C18" i="208"/>
  <c r="C17" i="208"/>
  <c r="B21" i="208"/>
  <c r="B20" i="208"/>
  <c r="B18" i="208"/>
  <c r="B17" i="208"/>
  <c r="F10" i="208"/>
  <c r="E10" i="208"/>
  <c r="D10" i="208"/>
  <c r="C10" i="208"/>
  <c r="B10" i="208"/>
  <c r="F9" i="208"/>
  <c r="E9" i="208"/>
  <c r="H9" i="208" s="1"/>
  <c r="D9" i="208"/>
  <c r="C9" i="208"/>
  <c r="B9" i="208"/>
  <c r="F8" i="208"/>
  <c r="E8" i="208"/>
  <c r="G7" i="208"/>
  <c r="F7" i="208"/>
  <c r="E7" i="208"/>
  <c r="D8" i="208"/>
  <c r="C8" i="208"/>
  <c r="B8" i="208"/>
  <c r="H8" i="208" s="1"/>
  <c r="D7" i="208"/>
  <c r="C7" i="208"/>
  <c r="B7" i="208"/>
  <c r="H7" i="208" s="1"/>
  <c r="E23" i="208" l="1"/>
  <c r="E19" i="208"/>
  <c r="D24" i="208"/>
  <c r="H10" i="208"/>
  <c r="E24" i="208" l="1"/>
  <c r="R29" i="153" l="1"/>
  <c r="Q29" i="153"/>
  <c r="R28" i="153"/>
  <c r="Q28" i="153"/>
  <c r="R27" i="153"/>
  <c r="Q27" i="153"/>
  <c r="R26" i="153"/>
  <c r="Q26" i="153"/>
  <c r="R25" i="153"/>
  <c r="Q25" i="153"/>
  <c r="R24" i="153"/>
  <c r="Q24" i="153"/>
  <c r="R23" i="153"/>
  <c r="Q23" i="153"/>
  <c r="R22" i="153"/>
  <c r="Q22" i="153"/>
  <c r="R21" i="153"/>
  <c r="Q21" i="153"/>
  <c r="R20" i="153"/>
  <c r="Q20" i="153"/>
  <c r="R19" i="153"/>
  <c r="Q19" i="153"/>
  <c r="R18" i="153"/>
  <c r="Q18" i="153"/>
  <c r="R17" i="153"/>
  <c r="Q17" i="153"/>
  <c r="R16" i="153"/>
  <c r="Q16" i="153"/>
  <c r="R15" i="153"/>
  <c r="Q15" i="153"/>
  <c r="R14" i="153"/>
  <c r="Q14" i="153"/>
  <c r="R13" i="153"/>
  <c r="Q13" i="153"/>
  <c r="R12" i="153"/>
  <c r="Q12" i="153"/>
  <c r="R11" i="153"/>
  <c r="Q11" i="153"/>
  <c r="R10" i="153"/>
  <c r="Q10" i="153"/>
  <c r="R9" i="153"/>
  <c r="Q9" i="153"/>
  <c r="R8" i="153"/>
  <c r="Q8" i="153"/>
  <c r="H33" i="153"/>
  <c r="H32" i="153"/>
  <c r="H31" i="153"/>
  <c r="G33" i="153"/>
  <c r="G31" i="153"/>
  <c r="C33" i="207"/>
  <c r="C34" i="207" s="1"/>
  <c r="C29" i="207"/>
  <c r="G22" i="207"/>
  <c r="C25" i="207"/>
  <c r="E6" i="206" l="1"/>
  <c r="E5" i="206"/>
  <c r="E4" i="206"/>
  <c r="D7" i="206"/>
  <c r="C7" i="206"/>
  <c r="H16" i="207"/>
  <c r="D10" i="207"/>
  <c r="F6" i="207"/>
  <c r="F8" i="207" s="1"/>
  <c r="G8" i="207" s="1"/>
  <c r="D11" i="207" s="1"/>
  <c r="E7" i="206" l="1"/>
  <c r="D13" i="207"/>
  <c r="D15" i="207" s="1"/>
  <c r="C4" i="192"/>
  <c r="N833" i="192"/>
  <c r="D4" i="192"/>
  <c r="E833" i="192"/>
  <c r="W996" i="190"/>
  <c r="T996" i="190"/>
  <c r="S996" i="190"/>
  <c r="R996" i="190"/>
  <c r="V996" i="190"/>
  <c r="U996" i="190"/>
  <c r="Q996" i="190"/>
  <c r="O996" i="190"/>
  <c r="F996" i="190"/>
  <c r="O562" i="203"/>
  <c r="M45" i="204" l="1"/>
  <c r="M46" i="204" s="1"/>
  <c r="J45" i="204" l="1"/>
  <c r="J46" i="204" s="1"/>
  <c r="I45" i="204"/>
  <c r="H45" i="204"/>
  <c r="G45" i="204"/>
  <c r="G46" i="204" s="1"/>
  <c r="F55" i="204"/>
  <c r="L44" i="204" s="1"/>
  <c r="N44" i="204" s="1"/>
  <c r="O44" i="204" s="1"/>
  <c r="F54" i="204"/>
  <c r="L43" i="204" s="1"/>
  <c r="N43" i="204" s="1"/>
  <c r="O43" i="204" s="1"/>
  <c r="F53" i="204"/>
  <c r="F56" i="204" s="1"/>
  <c r="F44" i="204"/>
  <c r="K44" i="204" s="1"/>
  <c r="F50" i="204"/>
  <c r="F49" i="204"/>
  <c r="F43" i="204" s="1"/>
  <c r="K43" i="204" s="1"/>
  <c r="F48" i="204"/>
  <c r="F42" i="204" s="1"/>
  <c r="K42" i="204" s="1"/>
  <c r="K38" i="204"/>
  <c r="J38" i="204"/>
  <c r="F51" i="204" l="1"/>
  <c r="L42" i="204"/>
  <c r="F45" i="204"/>
  <c r="F46" i="204" s="1"/>
  <c r="K45" i="204"/>
  <c r="K46" i="204" s="1"/>
  <c r="N31" i="204"/>
  <c r="O31" i="204" s="1"/>
  <c r="P31" i="204" s="1"/>
  <c r="N30" i="204"/>
  <c r="N29" i="204"/>
  <c r="N27" i="204"/>
  <c r="N26" i="204"/>
  <c r="N25" i="204"/>
  <c r="L30" i="204"/>
  <c r="L29" i="204"/>
  <c r="L27" i="204"/>
  <c r="L26" i="204"/>
  <c r="L25" i="204"/>
  <c r="E9" i="205"/>
  <c r="E8" i="205"/>
  <c r="E7" i="205"/>
  <c r="F6" i="205"/>
  <c r="F8" i="205" s="1"/>
  <c r="G8" i="205" s="1"/>
  <c r="H8" i="205" s="1"/>
  <c r="J25" i="204" s="1"/>
  <c r="E6" i="205"/>
  <c r="N42" i="204" l="1"/>
  <c r="L45" i="204"/>
  <c r="L46" i="204" s="1"/>
  <c r="G6" i="205"/>
  <c r="H6" i="205" s="1"/>
  <c r="J26" i="204" s="1"/>
  <c r="F7" i="205"/>
  <c r="N45" i="204" l="1"/>
  <c r="N46" i="204" s="1"/>
  <c r="N47" i="204" s="1"/>
  <c r="O42" i="204"/>
  <c r="O45" i="204" s="1"/>
  <c r="G7" i="205"/>
  <c r="H7" i="205" s="1"/>
  <c r="J27" i="204" s="1"/>
  <c r="F9" i="205"/>
  <c r="G9" i="205" s="1"/>
  <c r="H9" i="205" s="1"/>
  <c r="J29" i="204" s="1"/>
  <c r="J30" i="204" s="1"/>
  <c r="I31" i="204"/>
  <c r="F17" i="204"/>
  <c r="F31" i="204"/>
  <c r="P11" i="153"/>
  <c r="I30" i="204"/>
  <c r="I29" i="204"/>
  <c r="H27" i="204"/>
  <c r="G27" i="204"/>
  <c r="I27" i="204" s="1"/>
  <c r="H26" i="204"/>
  <c r="G26" i="204"/>
  <c r="I26" i="204" s="1"/>
  <c r="N2" i="190"/>
  <c r="M2" i="190"/>
  <c r="M4" i="192"/>
  <c r="L4" i="192"/>
  <c r="F30" i="204"/>
  <c r="E26" i="204"/>
  <c r="D26" i="204"/>
  <c r="E30" i="204"/>
  <c r="D30" i="204"/>
  <c r="E29" i="204"/>
  <c r="D29" i="204"/>
  <c r="I2" i="190"/>
  <c r="H2" i="190"/>
  <c r="F15" i="204"/>
  <c r="F14" i="204"/>
  <c r="F29" i="204" s="1"/>
  <c r="E12" i="204"/>
  <c r="D12" i="204"/>
  <c r="D27" i="204" s="1"/>
  <c r="E11" i="204"/>
  <c r="T873" i="192"/>
  <c r="S873" i="192"/>
  <c r="P866" i="192"/>
  <c r="H61" i="170"/>
  <c r="E586" i="174"/>
  <c r="K29" i="204" l="1"/>
  <c r="K30" i="204"/>
  <c r="F26" i="204"/>
  <c r="K26" i="204" s="1"/>
  <c r="O26" i="204"/>
  <c r="P26" i="204" s="1"/>
  <c r="Q26" i="204" s="1"/>
  <c r="O30" i="204"/>
  <c r="P30" i="204" s="1"/>
  <c r="O29" i="204"/>
  <c r="P29" i="204" s="1"/>
  <c r="F12" i="204"/>
  <c r="E27" i="204"/>
  <c r="U616" i="164"/>
  <c r="T616" i="164"/>
  <c r="S616" i="164"/>
  <c r="O616" i="164"/>
  <c r="E616" i="164"/>
  <c r="B578" i="164"/>
  <c r="B577" i="164"/>
  <c r="B489" i="164"/>
  <c r="B488" i="164"/>
  <c r="B487" i="164"/>
  <c r="B486" i="164"/>
  <c r="B416" i="164"/>
  <c r="B417" i="164" s="1"/>
  <c r="B418" i="164" s="1"/>
  <c r="B419" i="164" s="1"/>
  <c r="B420" i="164" s="1"/>
  <c r="B421" i="164" s="1"/>
  <c r="B422" i="164" s="1"/>
  <c r="B423" i="164" s="1"/>
  <c r="B424" i="164" s="1"/>
  <c r="B425" i="164" s="1"/>
  <c r="B426" i="164" s="1"/>
  <c r="B427" i="164" s="1"/>
  <c r="B428" i="164" s="1"/>
  <c r="B429" i="164" s="1"/>
  <c r="B430" i="164" s="1"/>
  <c r="B431" i="164" s="1"/>
  <c r="B432" i="164" s="1"/>
  <c r="B433" i="164" s="1"/>
  <c r="B434" i="164" s="1"/>
  <c r="B435" i="164" s="1"/>
  <c r="B436" i="164" s="1"/>
  <c r="B437" i="164" s="1"/>
  <c r="B438" i="164" s="1"/>
  <c r="B439" i="164" s="1"/>
  <c r="B440" i="164" s="1"/>
  <c r="B441" i="164" s="1"/>
  <c r="B442" i="164" s="1"/>
  <c r="B443" i="164" s="1"/>
  <c r="B444" i="164" s="1"/>
  <c r="B445" i="164" s="1"/>
  <c r="B446" i="164" s="1"/>
  <c r="B447" i="164" s="1"/>
  <c r="B448" i="164" s="1"/>
  <c r="B449" i="164" s="1"/>
  <c r="B450" i="164" s="1"/>
  <c r="B451" i="164" s="1"/>
  <c r="B452" i="164" s="1"/>
  <c r="B453" i="164" s="1"/>
  <c r="B454" i="164" s="1"/>
  <c r="B455" i="164" s="1"/>
  <c r="B456" i="164" s="1"/>
  <c r="B457" i="164" s="1"/>
  <c r="B458" i="164" s="1"/>
  <c r="B459" i="164" s="1"/>
  <c r="B460" i="164" s="1"/>
  <c r="B461" i="164" s="1"/>
  <c r="B462" i="164" s="1"/>
  <c r="B463" i="164" s="1"/>
  <c r="B464" i="164" s="1"/>
  <c r="B465" i="164" s="1"/>
  <c r="B466" i="164" s="1"/>
  <c r="B467" i="164" s="1"/>
  <c r="B468" i="164" s="1"/>
  <c r="B469" i="164" s="1"/>
  <c r="B470" i="164" s="1"/>
  <c r="B471" i="164" s="1"/>
  <c r="B472" i="164" s="1"/>
  <c r="B473" i="164" s="1"/>
  <c r="B474" i="164" s="1"/>
  <c r="B475" i="164" s="1"/>
  <c r="B476" i="164" s="1"/>
  <c r="B477" i="164" s="1"/>
  <c r="B478" i="164" s="1"/>
  <c r="B479" i="164" s="1"/>
  <c r="B480" i="164" s="1"/>
  <c r="B481" i="164" s="1"/>
  <c r="B482" i="164" s="1"/>
  <c r="B483" i="164" s="1"/>
  <c r="B484" i="164" s="1"/>
  <c r="B485" i="164" s="1"/>
  <c r="B415" i="164"/>
  <c r="B164" i="164"/>
  <c r="B150" i="164"/>
  <c r="B151" i="164" s="1"/>
  <c r="B152" i="164" s="1"/>
  <c r="B153" i="164" s="1"/>
  <c r="B154" i="164" s="1"/>
  <c r="B155" i="164" s="1"/>
  <c r="B156" i="164" s="1"/>
  <c r="B157" i="164" s="1"/>
  <c r="B158" i="164" s="1"/>
  <c r="B159" i="164" s="1"/>
  <c r="B160" i="164" s="1"/>
  <c r="B161" i="164" s="1"/>
  <c r="B162" i="164" s="1"/>
  <c r="B163" i="164" s="1"/>
  <c r="B149" i="164"/>
  <c r="B292" i="164"/>
  <c r="B270" i="164"/>
  <c r="B271" i="164" s="1"/>
  <c r="B272" i="164" s="1"/>
  <c r="B273" i="164" s="1"/>
  <c r="B274" i="164" s="1"/>
  <c r="B275" i="164" s="1"/>
  <c r="B276" i="164" s="1"/>
  <c r="B277" i="164" s="1"/>
  <c r="B278" i="164" s="1"/>
  <c r="B279" i="164" s="1"/>
  <c r="B280" i="164" s="1"/>
  <c r="B281" i="164" s="1"/>
  <c r="B282" i="164" s="1"/>
  <c r="B283" i="164" s="1"/>
  <c r="B284" i="164" s="1"/>
  <c r="B285" i="164" s="1"/>
  <c r="B286" i="164" s="1"/>
  <c r="B287" i="164" s="1"/>
  <c r="B288" i="164" s="1"/>
  <c r="B289" i="164" s="1"/>
  <c r="B290" i="164" s="1"/>
  <c r="B291" i="164" s="1"/>
  <c r="E257" i="164"/>
  <c r="B170" i="164"/>
  <c r="B171" i="164" s="1"/>
  <c r="B172" i="164" s="1"/>
  <c r="B173" i="164" s="1"/>
  <c r="B174" i="164" s="1"/>
  <c r="B175" i="164" s="1"/>
  <c r="B176" i="164" s="1"/>
  <c r="B177" i="164" s="1"/>
  <c r="B178" i="164" s="1"/>
  <c r="B179" i="164" s="1"/>
  <c r="B180" i="164" s="1"/>
  <c r="B181" i="164" s="1"/>
  <c r="B182" i="164" s="1"/>
  <c r="B183" i="164" s="1"/>
  <c r="B184" i="164" s="1"/>
  <c r="B185" i="164" s="1"/>
  <c r="B186" i="164" s="1"/>
  <c r="B187" i="164" s="1"/>
  <c r="B188" i="164" s="1"/>
  <c r="B189" i="164" s="1"/>
  <c r="B190" i="164" s="1"/>
  <c r="B191" i="164" s="1"/>
  <c r="B192" i="164" s="1"/>
  <c r="B193" i="164" s="1"/>
  <c r="B194" i="164" s="1"/>
  <c r="B195" i="164" s="1"/>
  <c r="B196" i="164" s="1"/>
  <c r="B197" i="164" s="1"/>
  <c r="B198" i="164" s="1"/>
  <c r="B199" i="164" s="1"/>
  <c r="B200" i="164" s="1"/>
  <c r="B201" i="164" s="1"/>
  <c r="B202" i="164" s="1"/>
  <c r="B203" i="164" s="1"/>
  <c r="B204" i="164" s="1"/>
  <c r="B205" i="164" s="1"/>
  <c r="B206" i="164" s="1"/>
  <c r="B207" i="164" s="1"/>
  <c r="B208" i="164" s="1"/>
  <c r="B209" i="164" s="1"/>
  <c r="B210" i="164" s="1"/>
  <c r="B211" i="164" s="1"/>
  <c r="B212" i="164" s="1"/>
  <c r="B213" i="164" s="1"/>
  <c r="B214" i="164" s="1"/>
  <c r="B215" i="164" s="1"/>
  <c r="B216" i="164" s="1"/>
  <c r="B217" i="164" s="1"/>
  <c r="B218" i="164" s="1"/>
  <c r="B219" i="164" s="1"/>
  <c r="B220" i="164" s="1"/>
  <c r="B221" i="164" s="1"/>
  <c r="B222" i="164" s="1"/>
  <c r="B223" i="164" s="1"/>
  <c r="B224" i="164" s="1"/>
  <c r="B225" i="164" s="1"/>
  <c r="B226" i="164" s="1"/>
  <c r="B227" i="164" s="1"/>
  <c r="B228" i="164" s="1"/>
  <c r="B229" i="164" s="1"/>
  <c r="B230" i="164" s="1"/>
  <c r="B231" i="164" s="1"/>
  <c r="B232" i="164" s="1"/>
  <c r="B233" i="164" s="1"/>
  <c r="B234" i="164" s="1"/>
  <c r="B235" i="164" s="1"/>
  <c r="B236" i="164" s="1"/>
  <c r="B237" i="164" s="1"/>
  <c r="B238" i="164" s="1"/>
  <c r="B239" i="164" s="1"/>
  <c r="B240" i="164" s="1"/>
  <c r="B241" i="164" s="1"/>
  <c r="B242" i="164" s="1"/>
  <c r="B243" i="164" s="1"/>
  <c r="B244" i="164" s="1"/>
  <c r="B245" i="164" s="1"/>
  <c r="B246" i="164" s="1"/>
  <c r="B247" i="164" s="1"/>
  <c r="B248" i="164" s="1"/>
  <c r="B249" i="164" s="1"/>
  <c r="B250" i="164" s="1"/>
  <c r="B251" i="164" s="1"/>
  <c r="B252" i="164" s="1"/>
  <c r="B253" i="164" s="1"/>
  <c r="B254" i="164" s="1"/>
  <c r="B255" i="164" s="1"/>
  <c r="B256" i="164" s="1"/>
  <c r="B257" i="164" s="1"/>
  <c r="B169" i="164"/>
  <c r="E181" i="163"/>
  <c r="P181" i="163"/>
  <c r="V181" i="163"/>
  <c r="U181" i="163"/>
  <c r="T181" i="163"/>
  <c r="E174" i="163"/>
  <c r="E100" i="163"/>
  <c r="E99" i="163"/>
  <c r="E98" i="163"/>
  <c r="E92" i="163"/>
  <c r="E22" i="163"/>
  <c r="E68" i="161"/>
  <c r="O68" i="161"/>
  <c r="U68" i="161"/>
  <c r="T68" i="161"/>
  <c r="S68" i="161"/>
  <c r="E39" i="161"/>
  <c r="E38" i="161"/>
  <c r="E36" i="161"/>
  <c r="E35" i="161"/>
  <c r="U285" i="168"/>
  <c r="T285" i="168"/>
  <c r="S285" i="168"/>
  <c r="O285" i="168"/>
  <c r="E285" i="168"/>
  <c r="Q29" i="204" l="1"/>
  <c r="R29" i="204" s="1"/>
  <c r="Q30" i="204"/>
  <c r="R30" i="204" s="1"/>
  <c r="R26" i="204"/>
  <c r="F27" i="204"/>
  <c r="K27" i="204" s="1"/>
  <c r="B278" i="168"/>
  <c r="B279" i="168" s="1"/>
  <c r="E207" i="168"/>
  <c r="E274" i="168"/>
  <c r="E167" i="168"/>
  <c r="E128" i="168"/>
  <c r="E113" i="168"/>
  <c r="E112" i="168"/>
  <c r="E111" i="168"/>
  <c r="E110" i="168"/>
  <c r="E109" i="168"/>
  <c r="E108" i="168"/>
  <c r="E46" i="167"/>
  <c r="O46" i="167"/>
  <c r="U46" i="167"/>
  <c r="T46" i="167"/>
  <c r="S46" i="167"/>
  <c r="O36" i="167"/>
  <c r="O35" i="167"/>
  <c r="O34" i="167"/>
  <c r="O31" i="167"/>
  <c r="O30" i="167"/>
  <c r="E36" i="167"/>
  <c r="E35" i="167"/>
  <c r="E34" i="167"/>
  <c r="E31" i="167"/>
  <c r="E30" i="167"/>
  <c r="V584" i="174"/>
  <c r="U584" i="174"/>
  <c r="T584" i="174"/>
  <c r="P584" i="174"/>
  <c r="E584" i="174"/>
  <c r="B773" i="166" l="1"/>
  <c r="E251" i="166"/>
  <c r="E388" i="166"/>
  <c r="E758" i="166"/>
  <c r="E576" i="166"/>
  <c r="E575" i="166"/>
  <c r="D609" i="166"/>
  <c r="E531" i="166"/>
  <c r="E530" i="166"/>
  <c r="E526" i="166"/>
  <c r="E525" i="166"/>
  <c r="E651" i="166"/>
  <c r="E438" i="166"/>
  <c r="E437" i="166"/>
  <c r="E149" i="166"/>
  <c r="E351" i="166"/>
  <c r="E349" i="166"/>
  <c r="E325" i="166"/>
  <c r="O27" i="204" l="1"/>
  <c r="P27" i="204" s="1"/>
  <c r="Q27" i="204" s="1"/>
  <c r="K12" i="153"/>
  <c r="N29" i="153" l="1"/>
  <c r="J29" i="153"/>
  <c r="I29" i="153"/>
  <c r="H29" i="153"/>
  <c r="F29" i="153"/>
  <c r="E29" i="153"/>
  <c r="D29" i="153"/>
  <c r="C29" i="153"/>
  <c r="L27" i="153"/>
  <c r="G27" i="153"/>
  <c r="M27" i="153" s="1"/>
  <c r="K24" i="153"/>
  <c r="L24" i="153" s="1"/>
  <c r="G24" i="153"/>
  <c r="K23" i="153"/>
  <c r="L23" i="153" s="1"/>
  <c r="G23" i="153"/>
  <c r="K20" i="153"/>
  <c r="L20" i="153" s="1"/>
  <c r="G20" i="153"/>
  <c r="K18" i="153"/>
  <c r="L18" i="153" s="1"/>
  <c r="G18" i="153"/>
  <c r="K16" i="153"/>
  <c r="L16" i="153" s="1"/>
  <c r="G16" i="153"/>
  <c r="K15" i="153"/>
  <c r="L15" i="153" s="1"/>
  <c r="G15" i="153"/>
  <c r="L12" i="153"/>
  <c r="G12" i="153"/>
  <c r="K11" i="153"/>
  <c r="L11" i="153" s="1"/>
  <c r="G11" i="153"/>
  <c r="L8" i="153"/>
  <c r="G8" i="153"/>
  <c r="L6" i="153"/>
  <c r="H6" i="153"/>
  <c r="B104" i="163"/>
  <c r="B27" i="163"/>
  <c r="B703" i="166"/>
  <c r="B642" i="166"/>
  <c r="B537" i="166"/>
  <c r="B538" i="166" s="1"/>
  <c r="B539" i="166" s="1"/>
  <c r="B540" i="166" s="1"/>
  <c r="B541" i="166" s="1"/>
  <c r="B542" i="166" s="1"/>
  <c r="B543" i="166" s="1"/>
  <c r="B544" i="166" s="1"/>
  <c r="B545" i="166" s="1"/>
  <c r="B256" i="166"/>
  <c r="B257" i="166" s="1"/>
  <c r="B258" i="166" s="1"/>
  <c r="B259" i="166" s="1"/>
  <c r="B153" i="166"/>
  <c r="B128" i="166"/>
  <c r="B129" i="166" s="1"/>
  <c r="B130" i="166" s="1"/>
  <c r="B131" i="166" s="1"/>
  <c r="B132" i="166" s="1"/>
  <c r="B133" i="166" s="1"/>
  <c r="B134" i="166" s="1"/>
  <c r="B135" i="166" s="1"/>
  <c r="B136" i="166" s="1"/>
  <c r="B137" i="166" s="1"/>
  <c r="B138" i="166" s="1"/>
  <c r="B139" i="166" s="1"/>
  <c r="B140" i="166" s="1"/>
  <c r="B141" i="166" s="1"/>
  <c r="B142" i="166" s="1"/>
  <c r="B143" i="166" s="1"/>
  <c r="B144" i="166" s="1"/>
  <c r="B145" i="166" s="1"/>
  <c r="O615" i="164"/>
  <c r="B303" i="164"/>
  <c r="B308" i="164" s="1"/>
  <c r="B309" i="164" s="1"/>
  <c r="B311" i="164"/>
  <c r="B312" i="164" s="1"/>
  <c r="B313" i="164" s="1"/>
  <c r="B582" i="164"/>
  <c r="B583" i="164" s="1"/>
  <c r="B585" i="164"/>
  <c r="B586" i="164" s="1"/>
  <c r="B588" i="164"/>
  <c r="B589" i="164" s="1"/>
  <c r="R27" i="204" l="1"/>
  <c r="M12" i="153"/>
  <c r="M8" i="153"/>
  <c r="M11" i="153"/>
  <c r="M20" i="153"/>
  <c r="M23" i="153"/>
  <c r="M24" i="153"/>
  <c r="M18" i="153"/>
  <c r="M15" i="153"/>
  <c r="M16" i="153"/>
  <c r="L29" i="153"/>
  <c r="G29" i="153"/>
  <c r="K29" i="153"/>
  <c r="M29" i="153" l="1"/>
  <c r="B668" i="166" l="1"/>
  <c r="B669" i="166" l="1"/>
  <c r="B670" i="166" s="1"/>
  <c r="B671" i="166" s="1"/>
  <c r="B672" i="166" s="1"/>
  <c r="B673" i="166" s="1"/>
  <c r="B656" i="166"/>
  <c r="B657" i="166" s="1"/>
  <c r="B658" i="166" s="1"/>
  <c r="B551" i="166"/>
  <c r="B552" i="166" s="1"/>
  <c r="B553" i="166" s="1"/>
  <c r="B554" i="166" s="1"/>
  <c r="B555" i="166" s="1"/>
  <c r="B556" i="166" s="1"/>
  <c r="B557" i="166" s="1"/>
  <c r="B558" i="166" s="1"/>
  <c r="B559" i="166" s="1"/>
  <c r="B560" i="166" s="1"/>
  <c r="B561" i="166" s="1"/>
  <c r="B562" i="166" s="1"/>
  <c r="B563" i="166" s="1"/>
  <c r="B564" i="166" s="1"/>
  <c r="B565" i="166" s="1"/>
  <c r="B566" i="166" s="1"/>
  <c r="B567" i="166" s="1"/>
  <c r="B568" i="166" s="1"/>
  <c r="B569" i="166" s="1"/>
  <c r="B570" i="166" s="1"/>
  <c r="B571" i="166" s="1"/>
  <c r="B572" i="166" s="1"/>
  <c r="B573" i="166" s="1"/>
  <c r="B674" i="166" l="1"/>
  <c r="B675" i="166" s="1"/>
  <c r="B154" i="166"/>
  <c r="B155" i="166" s="1"/>
  <c r="B156" i="166" s="1"/>
  <c r="B157" i="166" s="1"/>
  <c r="B158" i="166" s="1"/>
  <c r="B159" i="166" s="1"/>
  <c r="B160" i="166" s="1"/>
  <c r="B161" i="166" s="1"/>
  <c r="B562" i="164"/>
  <c r="B563" i="164" s="1"/>
  <c r="B564" i="164" s="1"/>
  <c r="B565" i="164" s="1"/>
  <c r="B566" i="164" s="1"/>
  <c r="B567" i="164" s="1"/>
  <c r="B568" i="164" s="1"/>
  <c r="B569" i="164" s="1"/>
  <c r="B570" i="164" s="1"/>
  <c r="B571" i="164" s="1"/>
  <c r="B572" i="164" s="1"/>
  <c r="B573" i="164" s="1"/>
  <c r="B574" i="164" s="1"/>
  <c r="B575" i="164" s="1"/>
  <c r="B576" i="164" s="1"/>
  <c r="B547" i="164"/>
  <c r="B548" i="164" s="1"/>
  <c r="B549" i="164" s="1"/>
  <c r="B550" i="164" s="1"/>
  <c r="B551" i="164" s="1"/>
  <c r="B552" i="164" s="1"/>
  <c r="B553" i="164" s="1"/>
  <c r="B554" i="164" s="1"/>
  <c r="B555" i="164" s="1"/>
  <c r="B556" i="164" l="1"/>
  <c r="B557" i="164" s="1"/>
  <c r="B558" i="164" s="1"/>
  <c r="B559" i="164" s="1"/>
  <c r="B676" i="166"/>
  <c r="B677" i="166" s="1"/>
  <c r="B678" i="166" s="1"/>
  <c r="B679" i="166" s="1"/>
  <c r="B680" i="166" s="1"/>
  <c r="B9" i="163" l="1"/>
  <c r="B10" i="163" s="1"/>
  <c r="B11" i="163" s="1"/>
  <c r="B643" i="166" l="1"/>
  <c r="B644" i="166" s="1"/>
  <c r="B645" i="166" s="1"/>
  <c r="B646" i="166" s="1"/>
  <c r="B647" i="166" s="1"/>
  <c r="B648" i="166" s="1"/>
  <c r="B649" i="166" s="1"/>
  <c r="B650" i="166" s="1"/>
  <c r="B509" i="166"/>
  <c r="B486" i="166" l="1"/>
  <c r="B487" i="166" s="1"/>
  <c r="B488" i="166" s="1"/>
  <c r="B489" i="166" s="1"/>
  <c r="B490" i="166" s="1"/>
  <c r="B491" i="166" s="1"/>
  <c r="B492" i="166" s="1"/>
  <c r="B493" i="166" s="1"/>
  <c r="B494" i="166" s="1"/>
  <c r="B495" i="166" s="1"/>
  <c r="B496" i="166" s="1"/>
  <c r="B497" i="166" s="1"/>
  <c r="B498" i="166" s="1"/>
  <c r="B499" i="166" s="1"/>
  <c r="B500" i="166" s="1"/>
  <c r="B501" i="166" s="1"/>
  <c r="B502" i="166" s="1"/>
  <c r="B503" i="166" s="1"/>
  <c r="B504" i="166" s="1"/>
  <c r="B505" i="166" s="1"/>
  <c r="E560" i="203" l="1"/>
  <c r="I493" i="203"/>
  <c r="J493" i="203" s="1"/>
  <c r="E494" i="203" l="1"/>
  <c r="N560" i="203" l="1"/>
  <c r="L560" i="203"/>
  <c r="M560" i="203"/>
  <c r="L494" i="203" l="1"/>
  <c r="M494" i="203"/>
  <c r="N494" i="203" l="1"/>
  <c r="E543" i="203" l="1"/>
  <c r="E446" i="203"/>
  <c r="E528" i="203"/>
  <c r="C2" i="203" s="1"/>
  <c r="D10" i="204" s="1"/>
  <c r="E459" i="203"/>
  <c r="E194" i="203"/>
  <c r="E302" i="203"/>
  <c r="E164" i="203"/>
  <c r="E584" i="203"/>
  <c r="E307" i="203"/>
  <c r="E474" i="203"/>
  <c r="E261" i="203"/>
  <c r="E226" i="203"/>
  <c r="E47" i="203"/>
  <c r="E35" i="203"/>
  <c r="E428" i="203"/>
  <c r="E539" i="203"/>
  <c r="D25" i="204" l="1"/>
  <c r="D2" i="203"/>
  <c r="E10" i="204" s="1"/>
  <c r="F10" i="204" s="1"/>
  <c r="E590" i="203"/>
  <c r="D590" i="203" s="1"/>
  <c r="E496" i="203"/>
  <c r="E562" i="203"/>
  <c r="E25" i="204" l="1"/>
  <c r="E13" i="204"/>
  <c r="D28" i="204"/>
  <c r="F25" i="204"/>
  <c r="K25" i="204" s="1"/>
  <c r="E587" i="203"/>
  <c r="E588" i="203" s="1"/>
  <c r="E28" i="204" l="1"/>
  <c r="F28" i="204"/>
  <c r="L47" i="203"/>
  <c r="L459" i="203"/>
  <c r="L302" i="203"/>
  <c r="L584" i="203"/>
  <c r="L539" i="203"/>
  <c r="L261" i="203"/>
  <c r="L307" i="203"/>
  <c r="L528" i="203"/>
  <c r="E35" i="204" l="1"/>
  <c r="F35" i="204" s="1"/>
  <c r="F32" i="204"/>
  <c r="O25" i="204"/>
  <c r="P25" i="204" s="1"/>
  <c r="Q25" i="204" s="1"/>
  <c r="K28" i="204"/>
  <c r="K32" i="204" s="1"/>
  <c r="M35" i="204" s="1"/>
  <c r="M261" i="203"/>
  <c r="M459" i="203"/>
  <c r="L474" i="203"/>
  <c r="M584" i="203"/>
  <c r="N474" i="203"/>
  <c r="M47" i="203"/>
  <c r="N261" i="203"/>
  <c r="N584" i="203"/>
  <c r="N302" i="203"/>
  <c r="N47" i="203"/>
  <c r="N459" i="203"/>
  <c r="L35" i="203"/>
  <c r="M302" i="203"/>
  <c r="L446" i="203"/>
  <c r="L194" i="203"/>
  <c r="N164" i="203"/>
  <c r="M539" i="203"/>
  <c r="M528" i="203"/>
  <c r="L226" i="203"/>
  <c r="N428" i="203"/>
  <c r="N539" i="203"/>
  <c r="N528" i="203"/>
  <c r="L2" i="203" s="1"/>
  <c r="G25" i="204" s="1"/>
  <c r="M164" i="203"/>
  <c r="L164" i="203"/>
  <c r="N307" i="203"/>
  <c r="M307" i="203"/>
  <c r="P28" i="204" l="1"/>
  <c r="P32" i="204" s="1"/>
  <c r="G28" i="204"/>
  <c r="M474" i="203"/>
  <c r="N226" i="203"/>
  <c r="N194" i="203"/>
  <c r="M428" i="203"/>
  <c r="L428" i="203"/>
  <c r="L496" i="203" s="1"/>
  <c r="N543" i="203"/>
  <c r="L543" i="203"/>
  <c r="L562" i="203" s="1"/>
  <c r="N446" i="203"/>
  <c r="M446" i="203"/>
  <c r="M226" i="203"/>
  <c r="M194" i="203"/>
  <c r="M543" i="203"/>
  <c r="N35" i="203"/>
  <c r="M35" i="203"/>
  <c r="R25" i="204" l="1"/>
  <c r="R28" i="204" s="1"/>
  <c r="Q28" i="204"/>
  <c r="Q32" i="204" s="1"/>
  <c r="N496" i="203"/>
  <c r="M496" i="203"/>
  <c r="M562" i="203"/>
  <c r="L587" i="203"/>
  <c r="L588" i="203" s="1"/>
  <c r="N562" i="203"/>
  <c r="M2" i="203" s="1"/>
  <c r="H25" i="204" s="1"/>
  <c r="H28" i="204" l="1"/>
  <c r="I25" i="204"/>
  <c r="I28" i="204" s="1"/>
  <c r="I32" i="204" s="1"/>
  <c r="J32" i="204" s="1"/>
  <c r="R32" i="204"/>
  <c r="R36" i="204" s="1"/>
  <c r="Q33" i="204"/>
  <c r="N35" i="204"/>
  <c r="N587" i="203"/>
  <c r="N588" i="203" s="1"/>
  <c r="M587" i="203"/>
  <c r="M588" i="203" s="1"/>
  <c r="E29" i="185" l="1"/>
  <c r="E30" i="185" l="1"/>
  <c r="E73" i="163" l="1"/>
  <c r="E72" i="163"/>
  <c r="E76" i="163"/>
  <c r="E75" i="163"/>
  <c r="E74" i="163"/>
  <c r="B9" i="161" l="1"/>
  <c r="B10" i="161" s="1"/>
  <c r="B11" i="161" s="1"/>
  <c r="B12" i="161" s="1"/>
  <c r="B13" i="161" s="1"/>
  <c r="B14" i="161" s="1"/>
  <c r="B28" i="161"/>
  <c r="B61" i="161"/>
  <c r="B53" i="170" l="1"/>
  <c r="B431" i="174" l="1"/>
  <c r="B42" i="170" l="1"/>
  <c r="B43" i="170" s="1"/>
  <c r="B44" i="170" s="1"/>
  <c r="B45" i="170" s="1"/>
  <c r="B46" i="170" s="1"/>
  <c r="B47" i="170" s="1"/>
  <c r="B48" i="170" s="1"/>
  <c r="B180" i="168" l="1"/>
  <c r="B181" i="168" s="1"/>
  <c r="B182" i="168" s="1"/>
  <c r="B183" i="168" s="1"/>
  <c r="B184" i="168" s="1"/>
  <c r="B185" i="168" s="1"/>
  <c r="B186" i="168" s="1"/>
  <c r="B187" i="168" s="1"/>
  <c r="B188" i="168" s="1"/>
  <c r="B189" i="168" s="1"/>
  <c r="B190" i="168" s="1"/>
  <c r="B191" i="168" s="1"/>
  <c r="B192" i="168" s="1"/>
  <c r="B193" i="168" s="1"/>
  <c r="B194" i="168" s="1"/>
  <c r="B195" i="168" s="1"/>
  <c r="B434" i="174" l="1"/>
  <c r="B435" i="174" s="1"/>
  <c r="B436" i="174" s="1"/>
  <c r="B437" i="174" s="1"/>
  <c r="E11" i="161" l="1"/>
  <c r="E140" i="168" l="1"/>
  <c r="E239" i="168" l="1"/>
  <c r="E238" i="168"/>
  <c r="E348" i="174"/>
  <c r="E347" i="174"/>
  <c r="E346" i="174"/>
  <c r="E345" i="174"/>
  <c r="E344" i="174"/>
  <c r="B353" i="174" l="1"/>
  <c r="B354" i="174" s="1"/>
  <c r="B355" i="174" s="1"/>
  <c r="B356" i="174" s="1"/>
  <c r="B357" i="174" s="1"/>
  <c r="B358" i="174" s="1"/>
  <c r="B359" i="174" s="1"/>
  <c r="B360" i="174" s="1"/>
  <c r="B361" i="174" s="1"/>
  <c r="B9" i="185" l="1"/>
  <c r="B834" i="192" l="1"/>
  <c r="B789" i="192"/>
  <c r="E786" i="192"/>
  <c r="B730" i="192"/>
  <c r="B661" i="192"/>
  <c r="B630" i="192"/>
  <c r="B471" i="192"/>
  <c r="B403" i="192"/>
  <c r="B394" i="192"/>
  <c r="B344" i="192"/>
  <c r="B304" i="192"/>
  <c r="B235" i="192"/>
  <c r="B101" i="192"/>
  <c r="B36" i="192"/>
  <c r="B8" i="192"/>
  <c r="J242" i="190"/>
  <c r="B18" i="162"/>
  <c r="B19" i="162" s="1"/>
  <c r="B20" i="162" s="1"/>
  <c r="B21" i="162" s="1"/>
  <c r="B22" i="162" s="1"/>
  <c r="B23" i="162" s="1"/>
  <c r="E9" i="162"/>
  <c r="B9" i="162"/>
  <c r="B10" i="162" s="1"/>
  <c r="B11" i="162" s="1"/>
  <c r="E158" i="163"/>
  <c r="E157" i="163"/>
  <c r="E84" i="163"/>
  <c r="E83" i="163"/>
  <c r="E82" i="163"/>
  <c r="E58" i="163"/>
  <c r="E54" i="163"/>
  <c r="E50" i="163"/>
  <c r="D50" i="163"/>
  <c r="E49" i="163"/>
  <c r="E45" i="163"/>
  <c r="D45" i="163"/>
  <c r="E44" i="163"/>
  <c r="D44" i="163"/>
  <c r="E43" i="163"/>
  <c r="D43" i="163"/>
  <c r="E42" i="163"/>
  <c r="D42" i="163"/>
  <c r="E35" i="163"/>
  <c r="D35" i="163"/>
  <c r="E20" i="163"/>
  <c r="E13" i="163"/>
  <c r="E11" i="163"/>
  <c r="B12" i="163"/>
  <c r="B13" i="163" s="1"/>
  <c r="E58" i="161"/>
  <c r="B43" i="161"/>
  <c r="B44" i="161" s="1"/>
  <c r="B45" i="161" s="1"/>
  <c r="B46" i="161" s="1"/>
  <c r="B47" i="161" s="1"/>
  <c r="B48" i="161" s="1"/>
  <c r="B49" i="161" s="1"/>
  <c r="B50" i="161" s="1"/>
  <c r="B51" i="161" s="1"/>
  <c r="B52" i="161" s="1"/>
  <c r="B53" i="161" s="1"/>
  <c r="B54" i="161" s="1"/>
  <c r="B55" i="161" s="1"/>
  <c r="B56" i="161" s="1"/>
  <c r="B57" i="161" s="1"/>
  <c r="B58" i="161" s="1"/>
  <c r="B29" i="161"/>
  <c r="B30" i="161" s="1"/>
  <c r="B31" i="161" s="1"/>
  <c r="B32" i="161" s="1"/>
  <c r="B33" i="161" s="1"/>
  <c r="B34" i="161" s="1"/>
  <c r="G12" i="161"/>
  <c r="E12" i="161"/>
  <c r="B816" i="166"/>
  <c r="B817" i="166" s="1"/>
  <c r="E810" i="166"/>
  <c r="E809" i="166"/>
  <c r="B810" i="166"/>
  <c r="B806" i="166"/>
  <c r="B807" i="166" s="1"/>
  <c r="E784" i="166"/>
  <c r="B784" i="166"/>
  <c r="B762" i="166"/>
  <c r="B763" i="166" s="1"/>
  <c r="B764" i="166" s="1"/>
  <c r="B765" i="166" s="1"/>
  <c r="B766" i="166" s="1"/>
  <c r="E733" i="166"/>
  <c r="B731" i="166"/>
  <c r="B732" i="166" s="1"/>
  <c r="B733" i="166" s="1"/>
  <c r="B734" i="166" s="1"/>
  <c r="B735" i="166" s="1"/>
  <c r="B736" i="166" s="1"/>
  <c r="B737" i="166" s="1"/>
  <c r="B738" i="166" s="1"/>
  <c r="B739" i="166" s="1"/>
  <c r="B740" i="166" s="1"/>
  <c r="B741" i="166" s="1"/>
  <c r="B742" i="166" s="1"/>
  <c r="B743" i="166" s="1"/>
  <c r="B744" i="166" s="1"/>
  <c r="E726" i="166"/>
  <c r="E714" i="166"/>
  <c r="E713" i="166"/>
  <c r="E712" i="166"/>
  <c r="E711" i="166"/>
  <c r="E710" i="166"/>
  <c r="E709" i="166"/>
  <c r="E708" i="166"/>
  <c r="E707" i="166"/>
  <c r="E706" i="166"/>
  <c r="E705" i="166"/>
  <c r="E704" i="166"/>
  <c r="E703" i="166"/>
  <c r="E693" i="166"/>
  <c r="B687" i="166"/>
  <c r="B688" i="166" s="1"/>
  <c r="B689" i="166" s="1"/>
  <c r="B690" i="166" s="1"/>
  <c r="B691" i="166" s="1"/>
  <c r="B692" i="166" s="1"/>
  <c r="B693" i="166" s="1"/>
  <c r="B694" i="166" s="1"/>
  <c r="E676" i="166"/>
  <c r="E636" i="166"/>
  <c r="E635" i="166"/>
  <c r="E632" i="166"/>
  <c r="E631" i="166"/>
  <c r="D631" i="166"/>
  <c r="B613" i="166"/>
  <c r="B614" i="166" s="1"/>
  <c r="B615" i="166" s="1"/>
  <c r="B616" i="166" s="1"/>
  <c r="B617" i="166" s="1"/>
  <c r="B618" i="166" s="1"/>
  <c r="B619" i="166" s="1"/>
  <c r="B620" i="166" s="1"/>
  <c r="B621" i="166" s="1"/>
  <c r="B622" i="166" s="1"/>
  <c r="B623" i="166" s="1"/>
  <c r="B624" i="166" s="1"/>
  <c r="B625" i="166" s="1"/>
  <c r="B626" i="166" s="1"/>
  <c r="B627" i="166" s="1"/>
  <c r="B628" i="166" s="1"/>
  <c r="B629" i="166" s="1"/>
  <c r="B630" i="166" s="1"/>
  <c r="B631" i="166" s="1"/>
  <c r="B632" i="166" s="1"/>
  <c r="B633" i="166" s="1"/>
  <c r="B634" i="166" s="1"/>
  <c r="B635" i="166" s="1"/>
  <c r="B636" i="166" s="1"/>
  <c r="B637" i="166" s="1"/>
  <c r="B638" i="166" s="1"/>
  <c r="B639" i="166" s="1"/>
  <c r="D596" i="166"/>
  <c r="B589" i="166"/>
  <c r="B590" i="166" s="1"/>
  <c r="B591" i="166" s="1"/>
  <c r="B592" i="166" s="1"/>
  <c r="B593" i="166" s="1"/>
  <c r="B594" i="166" s="1"/>
  <c r="B595" i="166" s="1"/>
  <c r="B596" i="166" s="1"/>
  <c r="B597" i="166" s="1"/>
  <c r="B598" i="166" s="1"/>
  <c r="B599" i="166" s="1"/>
  <c r="B600" i="166" s="1"/>
  <c r="B601" i="166" s="1"/>
  <c r="B602" i="166" s="1"/>
  <c r="B603" i="166" s="1"/>
  <c r="B604" i="166" s="1"/>
  <c r="B605" i="166" s="1"/>
  <c r="E585" i="166"/>
  <c r="B584" i="166"/>
  <c r="B585" i="166" s="1"/>
  <c r="B586" i="166" s="1"/>
  <c r="E545" i="166"/>
  <c r="E544" i="166"/>
  <c r="E534" i="166"/>
  <c r="E524" i="166"/>
  <c r="E522" i="166"/>
  <c r="E508" i="166"/>
  <c r="D504" i="166"/>
  <c r="D501" i="166"/>
  <c r="D500" i="166"/>
  <c r="E498" i="166"/>
  <c r="E496" i="166"/>
  <c r="E493" i="166"/>
  <c r="E491" i="166"/>
  <c r="E490" i="166"/>
  <c r="E487" i="166"/>
  <c r="E481" i="166"/>
  <c r="D481" i="166"/>
  <c r="E480" i="166"/>
  <c r="D480" i="166"/>
  <c r="E479" i="166"/>
  <c r="E478" i="166"/>
  <c r="E477" i="166"/>
  <c r="E465" i="166"/>
  <c r="D457" i="166"/>
  <c r="E455" i="166"/>
  <c r="E454" i="166"/>
  <c r="E453" i="166"/>
  <c r="E450" i="166"/>
  <c r="E449" i="166"/>
  <c r="B443" i="166"/>
  <c r="B444" i="166" s="1"/>
  <c r="B445" i="166" s="1"/>
  <c r="B446" i="166" s="1"/>
  <c r="B447" i="166" s="1"/>
  <c r="B448" i="166" s="1"/>
  <c r="B449" i="166" s="1"/>
  <c r="B450" i="166" s="1"/>
  <c r="B451" i="166" s="1"/>
  <c r="B452" i="166" s="1"/>
  <c r="B453" i="166" s="1"/>
  <c r="B454" i="166" s="1"/>
  <c r="B455" i="166" s="1"/>
  <c r="B456" i="166" s="1"/>
  <c r="B457" i="166" s="1"/>
  <c r="B458" i="166" s="1"/>
  <c r="B459" i="166" s="1"/>
  <c r="B460" i="166" s="1"/>
  <c r="B461" i="166" s="1"/>
  <c r="B462" i="166" s="1"/>
  <c r="B463" i="166" s="1"/>
  <c r="B464" i="166" s="1"/>
  <c r="B465" i="166" s="1"/>
  <c r="B466" i="166" s="1"/>
  <c r="B467" i="166" s="1"/>
  <c r="B468" i="166" s="1"/>
  <c r="B469" i="166" s="1"/>
  <c r="B470" i="166" s="1"/>
  <c r="B471" i="166" s="1"/>
  <c r="B472" i="166" s="1"/>
  <c r="B473" i="166" s="1"/>
  <c r="B474" i="166" s="1"/>
  <c r="B475" i="166" s="1"/>
  <c r="B476" i="166" s="1"/>
  <c r="B477" i="166" s="1"/>
  <c r="B478" i="166" s="1"/>
  <c r="B479" i="166" s="1"/>
  <c r="E434" i="166"/>
  <c r="E433" i="166"/>
  <c r="E432" i="166"/>
  <c r="E431" i="166"/>
  <c r="E430" i="166"/>
  <c r="E416" i="166"/>
  <c r="E410" i="166"/>
  <c r="E409" i="166"/>
  <c r="E406" i="166"/>
  <c r="E403" i="166"/>
  <c r="E402" i="166"/>
  <c r="B392" i="166"/>
  <c r="B393" i="166" s="1"/>
  <c r="B394" i="166" s="1"/>
  <c r="B395" i="166" s="1"/>
  <c r="B396" i="166" s="1"/>
  <c r="B397" i="166" s="1"/>
  <c r="B398" i="166" s="1"/>
  <c r="B399" i="166" s="1"/>
  <c r="B400" i="166" s="1"/>
  <c r="B401" i="166" s="1"/>
  <c r="B402" i="166" s="1"/>
  <c r="B403" i="166" s="1"/>
  <c r="B404" i="166" s="1"/>
  <c r="B405" i="166" s="1"/>
  <c r="B406" i="166" s="1"/>
  <c r="B407" i="166" s="1"/>
  <c r="B408" i="166" s="1"/>
  <c r="B409" i="166" s="1"/>
  <c r="B410" i="166" s="1"/>
  <c r="B411" i="166" s="1"/>
  <c r="B412" i="166" s="1"/>
  <c r="B413" i="166" s="1"/>
  <c r="B414" i="166" s="1"/>
  <c r="B415" i="166" s="1"/>
  <c r="B416" i="166" s="1"/>
  <c r="B417" i="166" s="1"/>
  <c r="B418" i="166" s="1"/>
  <c r="B419" i="166" s="1"/>
  <c r="B420" i="166" s="1"/>
  <c r="B421" i="166" s="1"/>
  <c r="B422" i="166" s="1"/>
  <c r="B423" i="166" s="1"/>
  <c r="B424" i="166" s="1"/>
  <c r="B425" i="166" s="1"/>
  <c r="B426" i="166" s="1"/>
  <c r="B427" i="166" s="1"/>
  <c r="B428" i="166" s="1"/>
  <c r="B429" i="166" s="1"/>
  <c r="B430" i="166" s="1"/>
  <c r="B431" i="166" s="1"/>
  <c r="B432" i="166" s="1"/>
  <c r="B433" i="166" s="1"/>
  <c r="B434" i="166" s="1"/>
  <c r="B435" i="166" s="1"/>
  <c r="B436" i="166" s="1"/>
  <c r="E385" i="166"/>
  <c r="E384" i="166"/>
  <c r="E380" i="166"/>
  <c r="E379" i="166"/>
  <c r="E373" i="166"/>
  <c r="E372" i="166"/>
  <c r="B370" i="166"/>
  <c r="B371" i="166" s="1"/>
  <c r="B372" i="166" s="1"/>
  <c r="E348" i="166"/>
  <c r="E345" i="166"/>
  <c r="E342" i="166"/>
  <c r="B331" i="166"/>
  <c r="B332" i="166" s="1"/>
  <c r="B333" i="166" s="1"/>
  <c r="B334" i="166" s="1"/>
  <c r="B335" i="166" s="1"/>
  <c r="B336" i="166" s="1"/>
  <c r="B337" i="166" s="1"/>
  <c r="B338" i="166" s="1"/>
  <c r="B339" i="166" s="1"/>
  <c r="B340" i="166" s="1"/>
  <c r="B341" i="166" s="1"/>
  <c r="B342" i="166" s="1"/>
  <c r="B343" i="166" s="1"/>
  <c r="B344" i="166" s="1"/>
  <c r="B345" i="166" s="1"/>
  <c r="B346" i="166" s="1"/>
  <c r="B347" i="166" s="1"/>
  <c r="B348" i="166" s="1"/>
  <c r="E300" i="166"/>
  <c r="D279" i="166"/>
  <c r="E272" i="166"/>
  <c r="B270" i="166"/>
  <c r="B271" i="166" s="1"/>
  <c r="B272" i="166" s="1"/>
  <c r="B273" i="166" s="1"/>
  <c r="B274" i="166" s="1"/>
  <c r="B275" i="166" s="1"/>
  <c r="B276" i="166" s="1"/>
  <c r="B277" i="166" s="1"/>
  <c r="B278" i="166" s="1"/>
  <c r="B279" i="166" s="1"/>
  <c r="B280" i="166" s="1"/>
  <c r="B281" i="166" s="1"/>
  <c r="B282" i="166" s="1"/>
  <c r="B283" i="166" s="1"/>
  <c r="B284" i="166" s="1"/>
  <c r="B285" i="166" s="1"/>
  <c r="B286" i="166" s="1"/>
  <c r="B287" i="166" s="1"/>
  <c r="B288" i="166" s="1"/>
  <c r="B289" i="166" s="1"/>
  <c r="B290" i="166" s="1"/>
  <c r="B291" i="166" s="1"/>
  <c r="B292" i="166" s="1"/>
  <c r="B293" i="166" s="1"/>
  <c r="B294" i="166" s="1"/>
  <c r="B295" i="166" s="1"/>
  <c r="B296" i="166" s="1"/>
  <c r="B297" i="166" s="1"/>
  <c r="B298" i="166" s="1"/>
  <c r="B299" i="166" s="1"/>
  <c r="B300" i="166" s="1"/>
  <c r="B301" i="166" s="1"/>
  <c r="B302" i="166" s="1"/>
  <c r="B303" i="166" s="1"/>
  <c r="B304" i="166" s="1"/>
  <c r="B305" i="166" s="1"/>
  <c r="B306" i="166" s="1"/>
  <c r="B307" i="166" s="1"/>
  <c r="B308" i="166" s="1"/>
  <c r="B309" i="166" s="1"/>
  <c r="B310" i="166" s="1"/>
  <c r="B311" i="166" s="1"/>
  <c r="B312" i="166" s="1"/>
  <c r="B313" i="166" s="1"/>
  <c r="B314" i="166" s="1"/>
  <c r="B315" i="166" s="1"/>
  <c r="B316" i="166" s="1"/>
  <c r="B317" i="166" s="1"/>
  <c r="B318" i="166" s="1"/>
  <c r="B319" i="166" s="1"/>
  <c r="E243" i="166"/>
  <c r="E241" i="166"/>
  <c r="D241" i="166"/>
  <c r="D231" i="166"/>
  <c r="E212" i="166"/>
  <c r="D212" i="166"/>
  <c r="B196" i="166"/>
  <c r="B197" i="166" s="1"/>
  <c r="B198" i="166" s="1"/>
  <c r="B199" i="166" s="1"/>
  <c r="B200" i="166" s="1"/>
  <c r="B201" i="166" s="1"/>
  <c r="B202" i="166" s="1"/>
  <c r="B203" i="166" s="1"/>
  <c r="B204" i="166" s="1"/>
  <c r="B205" i="166" s="1"/>
  <c r="B206" i="166" s="1"/>
  <c r="B207" i="166" s="1"/>
  <c r="B208" i="166" s="1"/>
  <c r="E189" i="166"/>
  <c r="D178" i="166"/>
  <c r="E172" i="166"/>
  <c r="E167" i="166"/>
  <c r="E166" i="166"/>
  <c r="B165" i="166"/>
  <c r="B166" i="166" s="1"/>
  <c r="B167" i="166" s="1"/>
  <c r="B168" i="166" s="1"/>
  <c r="B169" i="166" s="1"/>
  <c r="B170" i="166" s="1"/>
  <c r="B171" i="166" s="1"/>
  <c r="B172" i="166" s="1"/>
  <c r="B173" i="166" s="1"/>
  <c r="B174" i="166" s="1"/>
  <c r="B175" i="166" s="1"/>
  <c r="B176" i="166" s="1"/>
  <c r="B177" i="166" s="1"/>
  <c r="E161" i="166"/>
  <c r="E153" i="166"/>
  <c r="E145" i="166"/>
  <c r="E144" i="166"/>
  <c r="E143" i="166"/>
  <c r="E141" i="166"/>
  <c r="E135" i="166"/>
  <c r="E117" i="166"/>
  <c r="E116" i="166"/>
  <c r="E115" i="166"/>
  <c r="E114" i="166"/>
  <c r="E111" i="166"/>
  <c r="E110" i="166"/>
  <c r="E109" i="166"/>
  <c r="E108" i="166"/>
  <c r="E107" i="166"/>
  <c r="E106" i="166"/>
  <c r="E97" i="166"/>
  <c r="D96" i="166"/>
  <c r="E95" i="166"/>
  <c r="E94" i="166"/>
  <c r="E93" i="166"/>
  <c r="E92" i="166"/>
  <c r="E86" i="166"/>
  <c r="E85" i="166"/>
  <c r="E84" i="166"/>
  <c r="E81" i="166"/>
  <c r="E80" i="166"/>
  <c r="E79" i="166"/>
  <c r="E77" i="166"/>
  <c r="E76" i="166"/>
  <c r="E75" i="166"/>
  <c r="E74" i="166"/>
  <c r="E73" i="166"/>
  <c r="E71" i="166"/>
  <c r="D71" i="166"/>
  <c r="E67" i="166"/>
  <c r="D67" i="166"/>
  <c r="D63" i="166"/>
  <c r="E62" i="166"/>
  <c r="E57" i="166"/>
  <c r="E54" i="166"/>
  <c r="E53" i="166"/>
  <c r="B48" i="166"/>
  <c r="B49" i="166" s="1"/>
  <c r="B50" i="166" s="1"/>
  <c r="B51" i="166" s="1"/>
  <c r="B52" i="166" s="1"/>
  <c r="B53" i="166" s="1"/>
  <c r="B54" i="166" s="1"/>
  <c r="B55" i="166" s="1"/>
  <c r="B56" i="166" s="1"/>
  <c r="B57" i="166" s="1"/>
  <c r="B58" i="166" s="1"/>
  <c r="B59" i="166" s="1"/>
  <c r="B60" i="166" s="1"/>
  <c r="B61" i="166" s="1"/>
  <c r="B62" i="166" s="1"/>
  <c r="B63" i="166" s="1"/>
  <c r="B64" i="166" s="1"/>
  <c r="B65" i="166" s="1"/>
  <c r="B66" i="166" s="1"/>
  <c r="B67" i="166" s="1"/>
  <c r="B68" i="166" s="1"/>
  <c r="B69" i="166" s="1"/>
  <c r="B70" i="166" s="1"/>
  <c r="B71" i="166" s="1"/>
  <c r="B72" i="166" s="1"/>
  <c r="B73" i="166" s="1"/>
  <c r="B74" i="166" s="1"/>
  <c r="B75" i="166" s="1"/>
  <c r="B76" i="166" s="1"/>
  <c r="B77" i="166" s="1"/>
  <c r="B78" i="166" s="1"/>
  <c r="B79" i="166" s="1"/>
  <c r="B80" i="166" s="1"/>
  <c r="B81" i="166" s="1"/>
  <c r="B82" i="166" s="1"/>
  <c r="B83" i="166" s="1"/>
  <c r="B84" i="166" s="1"/>
  <c r="B85" i="166" s="1"/>
  <c r="B86" i="166" s="1"/>
  <c r="B87" i="166" s="1"/>
  <c r="B88" i="166" s="1"/>
  <c r="B89" i="166" s="1"/>
  <c r="B90" i="166" s="1"/>
  <c r="B91" i="166" s="1"/>
  <c r="B92" i="166" s="1"/>
  <c r="B93" i="166" s="1"/>
  <c r="B94" i="166" s="1"/>
  <c r="B95" i="166" s="1"/>
  <c r="B96" i="166" s="1"/>
  <c r="B97" i="166" s="1"/>
  <c r="B98" i="166" s="1"/>
  <c r="B99" i="166" s="1"/>
  <c r="B100" i="166" s="1"/>
  <c r="B101" i="166" s="1"/>
  <c r="B102" i="166" s="1"/>
  <c r="B103" i="166" s="1"/>
  <c r="B104" i="166" s="1"/>
  <c r="B105" i="166" s="1"/>
  <c r="B106" i="166" s="1"/>
  <c r="B107" i="166" s="1"/>
  <c r="B108" i="166" s="1"/>
  <c r="B109" i="166" s="1"/>
  <c r="B110" i="166" s="1"/>
  <c r="B111" i="166" s="1"/>
  <c r="B112" i="166" s="1"/>
  <c r="B113" i="166" s="1"/>
  <c r="B114" i="166" s="1"/>
  <c r="B115" i="166" s="1"/>
  <c r="B116" i="166" s="1"/>
  <c r="B117" i="166" s="1"/>
  <c r="B118" i="166" s="1"/>
  <c r="B119" i="166" s="1"/>
  <c r="B120" i="166" s="1"/>
  <c r="B121" i="166" s="1"/>
  <c r="B122" i="166" s="1"/>
  <c r="B38" i="166"/>
  <c r="B39" i="166" s="1"/>
  <c r="B40" i="166" s="1"/>
  <c r="B41" i="166" s="1"/>
  <c r="B42" i="166" s="1"/>
  <c r="B43" i="166" s="1"/>
  <c r="B44" i="166" s="1"/>
  <c r="B45" i="166" s="1"/>
  <c r="E35" i="166"/>
  <c r="E33" i="166"/>
  <c r="B30" i="166"/>
  <c r="B31" i="166" s="1"/>
  <c r="B32" i="166" s="1"/>
  <c r="B33" i="166" s="1"/>
  <c r="B34" i="166" s="1"/>
  <c r="B35" i="166" s="1"/>
  <c r="D10" i="166"/>
  <c r="B612" i="164"/>
  <c r="B594" i="164"/>
  <c r="B595" i="164" s="1"/>
  <c r="B596" i="164" s="1"/>
  <c r="E590" i="164"/>
  <c r="G589" i="164"/>
  <c r="E576" i="164"/>
  <c r="E575" i="164"/>
  <c r="E559" i="164"/>
  <c r="E558" i="164"/>
  <c r="E542" i="164"/>
  <c r="E541" i="164"/>
  <c r="E540" i="164"/>
  <c r="E539" i="164"/>
  <c r="E538" i="164"/>
  <c r="E537" i="164"/>
  <c r="D535" i="164"/>
  <c r="B493" i="164"/>
  <c r="B494" i="164" s="1"/>
  <c r="B495" i="164" s="1"/>
  <c r="B496" i="164" s="1"/>
  <c r="B497" i="164" s="1"/>
  <c r="B498" i="164" s="1"/>
  <c r="B499" i="164" s="1"/>
  <c r="B500" i="164" s="1"/>
  <c r="B501" i="164" s="1"/>
  <c r="B502" i="164" s="1"/>
  <c r="B503" i="164" s="1"/>
  <c r="B504" i="164" s="1"/>
  <c r="B505" i="164" s="1"/>
  <c r="B506" i="164" s="1"/>
  <c r="B507" i="164" s="1"/>
  <c r="B508" i="164" s="1"/>
  <c r="B509" i="164" s="1"/>
  <c r="B510" i="164" s="1"/>
  <c r="B511" i="164" s="1"/>
  <c r="B512" i="164" s="1"/>
  <c r="B513" i="164" s="1"/>
  <c r="B514" i="164" s="1"/>
  <c r="B515" i="164" s="1"/>
  <c r="B516" i="164" s="1"/>
  <c r="B517" i="164" s="1"/>
  <c r="B518" i="164" s="1"/>
  <c r="B519" i="164" s="1"/>
  <c r="B520" i="164" s="1"/>
  <c r="B521" i="164" s="1"/>
  <c r="B522" i="164" s="1"/>
  <c r="B523" i="164" s="1"/>
  <c r="B524" i="164" s="1"/>
  <c r="B525" i="164" s="1"/>
  <c r="B526" i="164" s="1"/>
  <c r="B527" i="164" s="1"/>
  <c r="B528" i="164" s="1"/>
  <c r="B529" i="164" s="1"/>
  <c r="B530" i="164" s="1"/>
  <c r="B531" i="164" s="1"/>
  <c r="B532" i="164" s="1"/>
  <c r="B533" i="164" s="1"/>
  <c r="B534" i="164" s="1"/>
  <c r="B535" i="164" s="1"/>
  <c r="B536" i="164" s="1"/>
  <c r="B537" i="164" s="1"/>
  <c r="B538" i="164" s="1"/>
  <c r="B539" i="164" s="1"/>
  <c r="B540" i="164" s="1"/>
  <c r="B541" i="164" s="1"/>
  <c r="B542" i="164" s="1"/>
  <c r="B543" i="164" s="1"/>
  <c r="E483" i="164"/>
  <c r="E482" i="164"/>
  <c r="E481" i="164"/>
  <c r="E480" i="164"/>
  <c r="E479" i="164"/>
  <c r="E478" i="164"/>
  <c r="E477" i="164"/>
  <c r="E476" i="164"/>
  <c r="E475" i="164"/>
  <c r="E474" i="164"/>
  <c r="E473" i="164"/>
  <c r="E472" i="164"/>
  <c r="E463" i="164"/>
  <c r="E441" i="164"/>
  <c r="E436" i="164"/>
  <c r="E431" i="164"/>
  <c r="E429" i="164"/>
  <c r="B413" i="164"/>
  <c r="B414" i="164" s="1"/>
  <c r="E410" i="164"/>
  <c r="E409" i="164"/>
  <c r="B409" i="164"/>
  <c r="B410" i="164" s="1"/>
  <c r="E406" i="164"/>
  <c r="E405" i="164"/>
  <c r="E404" i="164"/>
  <c r="B405" i="164"/>
  <c r="B406" i="164" s="1"/>
  <c r="E403" i="164"/>
  <c r="E388" i="164"/>
  <c r="B380" i="164"/>
  <c r="B381" i="164" s="1"/>
  <c r="B382" i="164" s="1"/>
  <c r="E375" i="164"/>
  <c r="E370" i="164"/>
  <c r="E369" i="164"/>
  <c r="B344" i="164"/>
  <c r="B345" i="164" s="1"/>
  <c r="B346" i="164" s="1"/>
  <c r="B347" i="164" s="1"/>
  <c r="B348" i="164" s="1"/>
  <c r="B349" i="164" s="1"/>
  <c r="B350" i="164" s="1"/>
  <c r="B351" i="164" s="1"/>
  <c r="B352" i="164" s="1"/>
  <c r="B353" i="164" s="1"/>
  <c r="B354" i="164" s="1"/>
  <c r="B355" i="164" s="1"/>
  <c r="B356" i="164" s="1"/>
  <c r="B357" i="164" s="1"/>
  <c r="B358" i="164" s="1"/>
  <c r="B359" i="164" s="1"/>
  <c r="B360" i="164" s="1"/>
  <c r="B361" i="164" s="1"/>
  <c r="E338" i="164"/>
  <c r="E337" i="164"/>
  <c r="E331" i="164"/>
  <c r="D331" i="164"/>
  <c r="E330" i="164"/>
  <c r="D330" i="164"/>
  <c r="E324" i="164"/>
  <c r="B317" i="164"/>
  <c r="B318" i="164" s="1"/>
  <c r="B319" i="164" s="1"/>
  <c r="B320" i="164" s="1"/>
  <c r="B321" i="164" s="1"/>
  <c r="B322" i="164" s="1"/>
  <c r="B323" i="164" s="1"/>
  <c r="E312" i="164"/>
  <c r="E311" i="164"/>
  <c r="E310" i="164"/>
  <c r="E309" i="164"/>
  <c r="E308" i="164"/>
  <c r="B299" i="164"/>
  <c r="B300" i="164" s="1"/>
  <c r="B301" i="164" s="1"/>
  <c r="E288" i="164"/>
  <c r="E287" i="164"/>
  <c r="E286" i="164"/>
  <c r="E285" i="164"/>
  <c r="E284" i="164"/>
  <c r="E283" i="164"/>
  <c r="E282" i="164"/>
  <c r="E281" i="164"/>
  <c r="E280" i="164"/>
  <c r="E279" i="164"/>
  <c r="D278" i="164"/>
  <c r="D277" i="164"/>
  <c r="D276" i="164"/>
  <c r="E267" i="164"/>
  <c r="B268" i="164"/>
  <c r="B269" i="164" s="1"/>
  <c r="E263" i="164"/>
  <c r="B263" i="164"/>
  <c r="B264" i="164" s="1"/>
  <c r="E249" i="164"/>
  <c r="E248" i="164"/>
  <c r="E247" i="164"/>
  <c r="E246" i="164"/>
  <c r="E245" i="164"/>
  <c r="E244" i="164"/>
  <c r="E243" i="164"/>
  <c r="E242" i="164"/>
  <c r="E241" i="164"/>
  <c r="E240" i="164"/>
  <c r="E239" i="164"/>
  <c r="E238" i="164"/>
  <c r="E237" i="164"/>
  <c r="E236" i="164"/>
  <c r="E235" i="164"/>
  <c r="E209" i="164"/>
  <c r="E205" i="164"/>
  <c r="D203" i="164"/>
  <c r="E200" i="164"/>
  <c r="D200" i="164"/>
  <c r="B168" i="164"/>
  <c r="E162" i="164"/>
  <c r="E151" i="164"/>
  <c r="B147" i="164"/>
  <c r="B148" i="164" s="1"/>
  <c r="E131" i="164"/>
  <c r="E130" i="164"/>
  <c r="E129" i="164"/>
  <c r="E128" i="164"/>
  <c r="E127" i="164"/>
  <c r="E126" i="164"/>
  <c r="E125" i="164"/>
  <c r="E124" i="164"/>
  <c r="E120" i="164"/>
  <c r="E118" i="164"/>
  <c r="E112" i="164"/>
  <c r="E104" i="164"/>
  <c r="E38" i="164"/>
  <c r="E36" i="164"/>
  <c r="E35" i="164"/>
  <c r="E34" i="164"/>
  <c r="E33" i="164"/>
  <c r="E32" i="164"/>
  <c r="E31" i="164"/>
  <c r="E30" i="164"/>
  <c r="E29" i="164"/>
  <c r="E28" i="164"/>
  <c r="E27" i="164"/>
  <c r="E26" i="164"/>
  <c r="E25" i="164"/>
  <c r="E24" i="164"/>
  <c r="E23" i="164"/>
  <c r="E22" i="164"/>
  <c r="E21" i="164"/>
  <c r="E12" i="164"/>
  <c r="E11" i="164"/>
  <c r="E10" i="164"/>
  <c r="E9" i="164"/>
  <c r="E8" i="164"/>
  <c r="B267" i="168"/>
  <c r="B268" i="168" s="1"/>
  <c r="E263" i="168"/>
  <c r="B263" i="168"/>
  <c r="E262" i="168"/>
  <c r="E258" i="168"/>
  <c r="B253" i="168"/>
  <c r="B254" i="168" s="1"/>
  <c r="B255" i="168" s="1"/>
  <c r="D235" i="168"/>
  <c r="E231" i="168"/>
  <c r="E221" i="168"/>
  <c r="D216" i="168"/>
  <c r="D193" i="168"/>
  <c r="D187" i="168"/>
  <c r="D181" i="168"/>
  <c r="E174" i="168"/>
  <c r="B171" i="168"/>
  <c r="B172" i="168" s="1"/>
  <c r="B173" i="168" s="1"/>
  <c r="B174" i="168" s="1"/>
  <c r="E170" i="168"/>
  <c r="E139" i="168"/>
  <c r="E138" i="168"/>
  <c r="B132" i="168"/>
  <c r="B133" i="168" s="1"/>
  <c r="B134" i="168" s="1"/>
  <c r="B135" i="168" s="1"/>
  <c r="B136" i="168" s="1"/>
  <c r="B137" i="168" s="1"/>
  <c r="B138" i="168" s="1"/>
  <c r="B139" i="168" s="1"/>
  <c r="B140" i="168" s="1"/>
  <c r="B141" i="168" s="1"/>
  <c r="B142" i="168" s="1"/>
  <c r="B143" i="168" s="1"/>
  <c r="B144" i="168" s="1"/>
  <c r="B145" i="168" s="1"/>
  <c r="B146" i="168" s="1"/>
  <c r="B147" i="168" s="1"/>
  <c r="B148" i="168" s="1"/>
  <c r="B149" i="168" s="1"/>
  <c r="B150" i="168" s="1"/>
  <c r="B151" i="168" s="1"/>
  <c r="B152" i="168" s="1"/>
  <c r="B153" i="168" s="1"/>
  <c r="B154" i="168" s="1"/>
  <c r="B155" i="168" s="1"/>
  <c r="B156" i="168" s="1"/>
  <c r="B157" i="168" s="1"/>
  <c r="B158" i="168" s="1"/>
  <c r="B159" i="168" s="1"/>
  <c r="E107" i="168"/>
  <c r="E106" i="168"/>
  <c r="E105" i="168"/>
  <c r="E104" i="168"/>
  <c r="E103" i="168"/>
  <c r="E102" i="168"/>
  <c r="E101" i="168"/>
  <c r="E100" i="168"/>
  <c r="E99" i="168"/>
  <c r="E94" i="168"/>
  <c r="E93" i="168"/>
  <c r="E91" i="168"/>
  <c r="B91" i="168"/>
  <c r="B92" i="168" s="1"/>
  <c r="B93" i="168" s="1"/>
  <c r="B94" i="168" s="1"/>
  <c r="B95" i="168" s="1"/>
  <c r="B96" i="168" s="1"/>
  <c r="B97" i="168" s="1"/>
  <c r="B98" i="168" s="1"/>
  <c r="B99" i="168" s="1"/>
  <c r="B100" i="168" s="1"/>
  <c r="B101" i="168" s="1"/>
  <c r="B102" i="168" s="1"/>
  <c r="B103" i="168" s="1"/>
  <c r="B104" i="168" s="1"/>
  <c r="B105" i="168" s="1"/>
  <c r="B106" i="168" s="1"/>
  <c r="B107" i="168" s="1"/>
  <c r="B108" i="168" s="1"/>
  <c r="B109" i="168" s="1"/>
  <c r="B110" i="168" s="1"/>
  <c r="B111" i="168" s="1"/>
  <c r="B112" i="168" s="1"/>
  <c r="B113" i="168" s="1"/>
  <c r="B114" i="168" s="1"/>
  <c r="B115" i="168" s="1"/>
  <c r="B116" i="168" s="1"/>
  <c r="B117" i="168" s="1"/>
  <c r="B118" i="168" s="1"/>
  <c r="B119" i="168" s="1"/>
  <c r="B120" i="168" s="1"/>
  <c r="B121" i="168" s="1"/>
  <c r="B122" i="168" s="1"/>
  <c r="B123" i="168" s="1"/>
  <c r="B124" i="168" s="1"/>
  <c r="B125" i="168" s="1"/>
  <c r="B126" i="168" s="1"/>
  <c r="B127" i="168" s="1"/>
  <c r="B128" i="168" s="1"/>
  <c r="E90" i="168"/>
  <c r="E79" i="168"/>
  <c r="E76" i="168"/>
  <c r="E75" i="168"/>
  <c r="E74" i="168"/>
  <c r="E68" i="168"/>
  <c r="E67" i="168"/>
  <c r="E66" i="168"/>
  <c r="E65" i="168"/>
  <c r="E64" i="168"/>
  <c r="E63" i="168"/>
  <c r="E62" i="168"/>
  <c r="E61" i="168"/>
  <c r="E60" i="168"/>
  <c r="E59" i="168"/>
  <c r="E58" i="168"/>
  <c r="E57" i="168"/>
  <c r="E56" i="168"/>
  <c r="E55" i="168"/>
  <c r="E54" i="168"/>
  <c r="E53" i="168"/>
  <c r="E52" i="168"/>
  <c r="E51" i="168"/>
  <c r="E50" i="168"/>
  <c r="E49" i="168"/>
  <c r="E48" i="168"/>
  <c r="E47" i="168"/>
  <c r="E46" i="168"/>
  <c r="E45" i="168"/>
  <c r="E44" i="168"/>
  <c r="E43" i="168"/>
  <c r="E42" i="168"/>
  <c r="E41" i="168"/>
  <c r="E40" i="168"/>
  <c r="B40" i="168"/>
  <c r="B41" i="168" s="1"/>
  <c r="B42" i="168" s="1"/>
  <c r="B43" i="168" s="1"/>
  <c r="B44" i="168" s="1"/>
  <c r="B45" i="168" s="1"/>
  <c r="B46" i="168" s="1"/>
  <c r="B47" i="168" s="1"/>
  <c r="B48" i="168" s="1"/>
  <c r="B49" i="168" s="1"/>
  <c r="B50" i="168" s="1"/>
  <c r="B51" i="168" s="1"/>
  <c r="B52" i="168" s="1"/>
  <c r="B53" i="168" s="1"/>
  <c r="B54" i="168" s="1"/>
  <c r="B55" i="168" s="1"/>
  <c r="B56" i="168" s="1"/>
  <c r="B57" i="168" s="1"/>
  <c r="B58" i="168" s="1"/>
  <c r="B59" i="168" s="1"/>
  <c r="B60" i="168" s="1"/>
  <c r="B61" i="168" s="1"/>
  <c r="B62" i="168" s="1"/>
  <c r="B63" i="168" s="1"/>
  <c r="B64" i="168" s="1"/>
  <c r="B65" i="168" s="1"/>
  <c r="B66" i="168" s="1"/>
  <c r="B67" i="168" s="1"/>
  <c r="B68" i="168" s="1"/>
  <c r="B69" i="168" s="1"/>
  <c r="B70" i="168" s="1"/>
  <c r="B71" i="168" s="1"/>
  <c r="B72" i="168" s="1"/>
  <c r="B73" i="168" s="1"/>
  <c r="B74" i="168" s="1"/>
  <c r="B75" i="168" s="1"/>
  <c r="B76" i="168" s="1"/>
  <c r="B77" i="168" s="1"/>
  <c r="B78" i="168" s="1"/>
  <c r="B79" i="168" s="1"/>
  <c r="B80" i="168" s="1"/>
  <c r="B81" i="168" s="1"/>
  <c r="B82" i="168" s="1"/>
  <c r="B83" i="168" s="1"/>
  <c r="B84" i="168" s="1"/>
  <c r="B85" i="168" s="1"/>
  <c r="B86" i="168" s="1"/>
  <c r="B87" i="168" s="1"/>
  <c r="B88" i="168" s="1"/>
  <c r="E39" i="168"/>
  <c r="E32" i="168"/>
  <c r="E9" i="168"/>
  <c r="E8" i="168"/>
  <c r="E7" i="168"/>
  <c r="B28" i="167"/>
  <c r="E22" i="167"/>
  <c r="E20" i="167"/>
  <c r="E14" i="167"/>
  <c r="E13" i="167"/>
  <c r="E45" i="159"/>
  <c r="E44" i="159"/>
  <c r="B43" i="159"/>
  <c r="B44" i="159" s="1"/>
  <c r="B45" i="159" s="1"/>
  <c r="B46" i="159" s="1"/>
  <c r="D30" i="159"/>
  <c r="E25" i="159"/>
  <c r="E24" i="159"/>
  <c r="E23" i="159"/>
  <c r="E22" i="159"/>
  <c r="D17" i="159"/>
  <c r="B9" i="159"/>
  <c r="B10" i="159" s="1"/>
  <c r="B11" i="159" s="1"/>
  <c r="B12" i="159" s="1"/>
  <c r="B13" i="159" s="1"/>
  <c r="B14" i="159" s="1"/>
  <c r="B15" i="159" s="1"/>
  <c r="B16" i="159" s="1"/>
  <c r="B17" i="159" s="1"/>
  <c r="B18" i="159" s="1"/>
  <c r="B19" i="159" s="1"/>
  <c r="B20" i="159" s="1"/>
  <c r="B13" i="185"/>
  <c r="B14" i="185" s="1"/>
  <c r="B15" i="185" s="1"/>
  <c r="B16" i="185" s="1"/>
  <c r="B17" i="185" s="1"/>
  <c r="B18" i="185" s="1"/>
  <c r="B19" i="185" s="1"/>
  <c r="B20" i="185" s="1"/>
  <c r="B21" i="185" s="1"/>
  <c r="B22" i="185" s="1"/>
  <c r="B23" i="185" s="1"/>
  <c r="B24" i="185" s="1"/>
  <c r="B25" i="185" s="1"/>
  <c r="B26" i="185" s="1"/>
  <c r="E524" i="174"/>
  <c r="E523" i="174"/>
  <c r="B516" i="174"/>
  <c r="B517" i="174" s="1"/>
  <c r="B518" i="174" s="1"/>
  <c r="B519" i="174" s="1"/>
  <c r="B520" i="174" s="1"/>
  <c r="B521" i="174" s="1"/>
  <c r="B522" i="174" s="1"/>
  <c r="B523" i="174" s="1"/>
  <c r="B524" i="174" s="1"/>
  <c r="B525" i="174" s="1"/>
  <c r="B526" i="174" s="1"/>
  <c r="B527" i="174" s="1"/>
  <c r="B528" i="174" s="1"/>
  <c r="B529" i="174" s="1"/>
  <c r="B530" i="174" s="1"/>
  <c r="B531" i="174" s="1"/>
  <c r="B532" i="174" s="1"/>
  <c r="B533" i="174" s="1"/>
  <c r="B534" i="174" s="1"/>
  <c r="B535" i="174" s="1"/>
  <c r="B536" i="174" s="1"/>
  <c r="B537" i="174" s="1"/>
  <c r="B538" i="174" s="1"/>
  <c r="B539" i="174" s="1"/>
  <c r="B540" i="174" s="1"/>
  <c r="B541" i="174" s="1"/>
  <c r="B542" i="174" s="1"/>
  <c r="B543" i="174" s="1"/>
  <c r="B544" i="174" s="1"/>
  <c r="B545" i="174" s="1"/>
  <c r="B546" i="174" s="1"/>
  <c r="B547" i="174" s="1"/>
  <c r="B548" i="174" s="1"/>
  <c r="B549" i="174" s="1"/>
  <c r="B550" i="174" s="1"/>
  <c r="B551" i="174" s="1"/>
  <c r="B552" i="174" s="1"/>
  <c r="B553" i="174" s="1"/>
  <c r="B554" i="174" s="1"/>
  <c r="B555" i="174" s="1"/>
  <c r="B556" i="174" s="1"/>
  <c r="B557" i="174" s="1"/>
  <c r="B558" i="174" s="1"/>
  <c r="B559" i="174" s="1"/>
  <c r="E504" i="174"/>
  <c r="B485" i="174"/>
  <c r="B486" i="174" s="1"/>
  <c r="B487" i="174" s="1"/>
  <c r="B488" i="174" s="1"/>
  <c r="B489" i="174" s="1"/>
  <c r="B490" i="174" s="1"/>
  <c r="B491" i="174" s="1"/>
  <c r="B492" i="174" s="1"/>
  <c r="B493" i="174" s="1"/>
  <c r="B494" i="174" s="1"/>
  <c r="B495" i="174" s="1"/>
  <c r="B496" i="174" s="1"/>
  <c r="B497" i="174" s="1"/>
  <c r="B498" i="174" s="1"/>
  <c r="B462" i="174"/>
  <c r="B463" i="174" s="1"/>
  <c r="B464" i="174" s="1"/>
  <c r="E320" i="174"/>
  <c r="E316" i="174"/>
  <c r="B315" i="174"/>
  <c r="B316" i="174" s="1"/>
  <c r="B317" i="174" s="1"/>
  <c r="B318" i="174" s="1"/>
  <c r="B319" i="174" s="1"/>
  <c r="B320" i="174" s="1"/>
  <c r="B321" i="174" s="1"/>
  <c r="B322" i="174" s="1"/>
  <c r="B323" i="174" s="1"/>
  <c r="B324" i="174" s="1"/>
  <c r="B325" i="174" s="1"/>
  <c r="B326" i="174" s="1"/>
  <c r="B327" i="174" s="1"/>
  <c r="B328" i="174" s="1"/>
  <c r="B329" i="174" s="1"/>
  <c r="B330" i="174" s="1"/>
  <c r="B331" i="174" s="1"/>
  <c r="B332" i="174" s="1"/>
  <c r="B333" i="174" s="1"/>
  <c r="B334" i="174" s="1"/>
  <c r="B335" i="174" s="1"/>
  <c r="B336" i="174" s="1"/>
  <c r="B337" i="174" s="1"/>
  <c r="B338" i="174" s="1"/>
  <c r="B339" i="174" s="1"/>
  <c r="B340" i="174" s="1"/>
  <c r="B341" i="174" s="1"/>
  <c r="B342" i="174" s="1"/>
  <c r="B343" i="174" s="1"/>
  <c r="B344" i="174" s="1"/>
  <c r="B345" i="174" s="1"/>
  <c r="B346" i="174" s="1"/>
  <c r="B347" i="174" s="1"/>
  <c r="B348" i="174" s="1"/>
  <c r="E282" i="174"/>
  <c r="E201" i="174"/>
  <c r="E115" i="174"/>
  <c r="B25" i="174"/>
  <c r="B26" i="174" s="1"/>
  <c r="B27" i="174" s="1"/>
  <c r="B28" i="174" s="1"/>
  <c r="B29" i="174" s="1"/>
  <c r="B30" i="174" s="1"/>
  <c r="B31" i="174" s="1"/>
  <c r="B32" i="174" s="1"/>
  <c r="B33" i="174" s="1"/>
  <c r="B34" i="174" s="1"/>
  <c r="B35" i="174" s="1"/>
  <c r="B36" i="174" s="1"/>
  <c r="B37" i="174" s="1"/>
  <c r="B38" i="174" s="1"/>
  <c r="B39" i="174" s="1"/>
  <c r="B40" i="174" s="1"/>
  <c r="B41" i="174" s="1"/>
  <c r="B42" i="174" s="1"/>
  <c r="B43" i="174" s="1"/>
  <c r="B44" i="174" s="1"/>
  <c r="B45" i="174" s="1"/>
  <c r="B46" i="174" s="1"/>
  <c r="B47" i="174" s="1"/>
  <c r="B48" i="174" s="1"/>
  <c r="B49" i="174" s="1"/>
  <c r="B50" i="174" s="1"/>
  <c r="B51" i="174" s="1"/>
  <c r="B52" i="174" s="1"/>
  <c r="B53" i="174" s="1"/>
  <c r="B54" i="174" s="1"/>
  <c r="B55" i="174" s="1"/>
  <c r="B56" i="174" s="1"/>
  <c r="B57" i="174" s="1"/>
  <c r="B58" i="174" s="1"/>
  <c r="B59" i="174" s="1"/>
  <c r="B60" i="174" s="1"/>
  <c r="B61" i="174" s="1"/>
  <c r="B62" i="174" s="1"/>
  <c r="B63" i="174" s="1"/>
  <c r="B64" i="174" s="1"/>
  <c r="B65" i="174" s="1"/>
  <c r="B66" i="174" s="1"/>
  <c r="B67" i="174" s="1"/>
  <c r="B68" i="174" s="1"/>
  <c r="B69" i="174" s="1"/>
  <c r="B70" i="174" s="1"/>
  <c r="B71" i="174" s="1"/>
  <c r="B72" i="174" s="1"/>
  <c r="B73" i="174" s="1"/>
  <c r="B74" i="174" s="1"/>
  <c r="B75" i="174" s="1"/>
  <c r="B76" i="174" s="1"/>
  <c r="B77" i="174" s="1"/>
  <c r="B78" i="174" s="1"/>
  <c r="B79" i="174" s="1"/>
  <c r="B80" i="174" s="1"/>
  <c r="B81" i="174" s="1"/>
  <c r="B82" i="174" s="1"/>
  <c r="B83" i="174" s="1"/>
  <c r="B84" i="174" s="1"/>
  <c r="B85" i="174" s="1"/>
  <c r="B86" i="174" s="1"/>
  <c r="B87" i="174" s="1"/>
  <c r="B88" i="174" s="1"/>
  <c r="B89" i="174" s="1"/>
  <c r="B90" i="174" s="1"/>
  <c r="B91" i="174" s="1"/>
  <c r="B92" i="174" s="1"/>
  <c r="B93" i="174" s="1"/>
  <c r="B94" i="174" s="1"/>
  <c r="B95" i="174" s="1"/>
  <c r="B96" i="174" s="1"/>
  <c r="B97" i="174" s="1"/>
  <c r="B98" i="174" s="1"/>
  <c r="B99" i="174" s="1"/>
  <c r="B100" i="174" s="1"/>
  <c r="B101" i="174" s="1"/>
  <c r="B102" i="174" s="1"/>
  <c r="B103" i="174" s="1"/>
  <c r="B104" i="174" s="1"/>
  <c r="B105" i="174" s="1"/>
  <c r="B106" i="174" s="1"/>
  <c r="B107" i="174" s="1"/>
  <c r="B108" i="174" s="1"/>
  <c r="B109" i="174" s="1"/>
  <c r="B110" i="174" s="1"/>
  <c r="B111" i="174" s="1"/>
  <c r="B112" i="174" s="1"/>
  <c r="B113" i="174" s="1"/>
  <c r="B114" i="174" s="1"/>
  <c r="B115" i="174" s="1"/>
  <c r="B116" i="174" s="1"/>
  <c r="B117" i="174" s="1"/>
  <c r="B118" i="174" s="1"/>
  <c r="B119" i="174" s="1"/>
  <c r="B120" i="174" s="1"/>
  <c r="B121" i="174" s="1"/>
  <c r="B122" i="174" s="1"/>
  <c r="B123" i="174" s="1"/>
  <c r="B124" i="174" s="1"/>
  <c r="B125" i="174" s="1"/>
  <c r="B126" i="174" s="1"/>
  <c r="B127" i="174" s="1"/>
  <c r="B128" i="174" s="1"/>
  <c r="B129" i="174" s="1"/>
  <c r="B130" i="174" s="1"/>
  <c r="B131" i="174" s="1"/>
  <c r="B132" i="174" s="1"/>
  <c r="B133" i="174" s="1"/>
  <c r="B134" i="174" s="1"/>
  <c r="B135" i="174" s="1"/>
  <c r="B136" i="174" s="1"/>
  <c r="B137" i="174" s="1"/>
  <c r="B138" i="174" s="1"/>
  <c r="B139" i="174" s="1"/>
  <c r="B140" i="174" s="1"/>
  <c r="B141" i="174" s="1"/>
  <c r="B142" i="174" s="1"/>
  <c r="B143" i="174" s="1"/>
  <c r="B144" i="174" s="1"/>
  <c r="B145" i="174" s="1"/>
  <c r="B146" i="174" s="1"/>
  <c r="B147" i="174" s="1"/>
  <c r="B148" i="174" s="1"/>
  <c r="B149" i="174" s="1"/>
  <c r="B150" i="174" s="1"/>
  <c r="B151" i="174" s="1"/>
  <c r="B152" i="174" s="1"/>
  <c r="B153" i="174" s="1"/>
  <c r="B154" i="174" s="1"/>
  <c r="B155" i="174" s="1"/>
  <c r="B156" i="174" s="1"/>
  <c r="B157" i="174" s="1"/>
  <c r="B158" i="174" s="1"/>
  <c r="B159" i="174" s="1"/>
  <c r="B160" i="174" s="1"/>
  <c r="B161" i="174" s="1"/>
  <c r="B162" i="174" s="1"/>
  <c r="B163" i="174" s="1"/>
  <c r="B164" i="174" s="1"/>
  <c r="B165" i="174" s="1"/>
  <c r="B166" i="174" s="1"/>
  <c r="B167" i="174" s="1"/>
  <c r="B168" i="174" s="1"/>
  <c r="B169" i="174" s="1"/>
  <c r="B170" i="174" s="1"/>
  <c r="B171" i="174" s="1"/>
  <c r="B172" i="174" s="1"/>
  <c r="B173" i="174" s="1"/>
  <c r="B174" i="174" s="1"/>
  <c r="B175" i="174" s="1"/>
  <c r="B176" i="174" s="1"/>
  <c r="B177" i="174" s="1"/>
  <c r="B178" i="174" s="1"/>
  <c r="B179" i="174" s="1"/>
  <c r="B180" i="174" s="1"/>
  <c r="B181" i="174" s="1"/>
  <c r="B182" i="174" s="1"/>
  <c r="B183" i="174" s="1"/>
  <c r="B184" i="174" s="1"/>
  <c r="B185" i="174" s="1"/>
  <c r="B186" i="174" s="1"/>
  <c r="B187" i="174" s="1"/>
  <c r="B188" i="174" s="1"/>
  <c r="B189" i="174" s="1"/>
  <c r="B190" i="174" s="1"/>
  <c r="B191" i="174" s="1"/>
  <c r="B192" i="174" s="1"/>
  <c r="B193" i="174" s="1"/>
  <c r="B194" i="174" s="1"/>
  <c r="B195" i="174" s="1"/>
  <c r="B196" i="174" s="1"/>
  <c r="B197" i="174" s="1"/>
  <c r="B198" i="174" s="1"/>
  <c r="B199" i="174" s="1"/>
  <c r="B200" i="174" s="1"/>
  <c r="B201" i="174" s="1"/>
  <c r="B202" i="174" s="1"/>
  <c r="B203" i="174" s="1"/>
  <c r="B204" i="174" s="1"/>
  <c r="B205" i="174" s="1"/>
  <c r="B206" i="174" s="1"/>
  <c r="B207" i="174" s="1"/>
  <c r="B208" i="174" s="1"/>
  <c r="B209" i="174" s="1"/>
  <c r="B210" i="174" s="1"/>
  <c r="B211" i="174" s="1"/>
  <c r="B212" i="174" s="1"/>
  <c r="B213" i="174" s="1"/>
  <c r="B214" i="174" s="1"/>
  <c r="B215" i="174" s="1"/>
  <c r="B216" i="174" s="1"/>
  <c r="B217" i="174" s="1"/>
  <c r="B218" i="174" s="1"/>
  <c r="B219" i="174" s="1"/>
  <c r="B220" i="174" s="1"/>
  <c r="B221" i="174" s="1"/>
  <c r="B222" i="174" s="1"/>
  <c r="B223" i="174" s="1"/>
  <c r="B224" i="174" s="1"/>
  <c r="B225" i="174" s="1"/>
  <c r="B226" i="174" s="1"/>
  <c r="B227" i="174" s="1"/>
  <c r="B228" i="174" s="1"/>
  <c r="B229" i="174" s="1"/>
  <c r="B230" i="174" s="1"/>
  <c r="B231" i="174" s="1"/>
  <c r="B232" i="174" s="1"/>
  <c r="B233" i="174" s="1"/>
  <c r="B234" i="174" s="1"/>
  <c r="B235" i="174" s="1"/>
  <c r="B236" i="174" s="1"/>
  <c r="B237" i="174" s="1"/>
  <c r="B238" i="174" s="1"/>
  <c r="B239" i="174" s="1"/>
  <c r="B240" i="174" s="1"/>
  <c r="B241" i="174" s="1"/>
  <c r="B242" i="174" s="1"/>
  <c r="B243" i="174" s="1"/>
  <c r="B244" i="174" s="1"/>
  <c r="B245" i="174" s="1"/>
  <c r="B246" i="174" s="1"/>
  <c r="B247" i="174" s="1"/>
  <c r="B248" i="174" s="1"/>
  <c r="B249" i="174" s="1"/>
  <c r="B250" i="174" s="1"/>
  <c r="B251" i="174" s="1"/>
  <c r="B252" i="174" s="1"/>
  <c r="B253" i="174" s="1"/>
  <c r="B254" i="174" s="1"/>
  <c r="B255" i="174" s="1"/>
  <c r="B256" i="174" s="1"/>
  <c r="B257" i="174" s="1"/>
  <c r="B258" i="174" s="1"/>
  <c r="B259" i="174" s="1"/>
  <c r="B260" i="174" s="1"/>
  <c r="B261" i="174" s="1"/>
  <c r="B262" i="174" s="1"/>
  <c r="B263" i="174" s="1"/>
  <c r="B264" i="174" s="1"/>
  <c r="B265" i="174" s="1"/>
  <c r="B266" i="174" s="1"/>
  <c r="B267" i="174" s="1"/>
  <c r="B268" i="174" s="1"/>
  <c r="B269" i="174" s="1"/>
  <c r="B270" i="174" s="1"/>
  <c r="B271" i="174" s="1"/>
  <c r="B272" i="174" s="1"/>
  <c r="B273" i="174" s="1"/>
  <c r="B274" i="174" s="1"/>
  <c r="B275" i="174" s="1"/>
  <c r="B276" i="174" s="1"/>
  <c r="B277" i="174" s="1"/>
  <c r="B278" i="174" s="1"/>
  <c r="B279" i="174" s="1"/>
  <c r="B280" i="174" s="1"/>
  <c r="B281" i="174" s="1"/>
  <c r="B282" i="174" s="1"/>
  <c r="B283" i="174" s="1"/>
  <c r="B284" i="174" s="1"/>
  <c r="B285" i="174" s="1"/>
  <c r="B286" i="174" s="1"/>
  <c r="B287" i="174" s="1"/>
  <c r="B288" i="174" s="1"/>
  <c r="B289" i="174" s="1"/>
  <c r="B290" i="174" s="1"/>
  <c r="B291" i="174" s="1"/>
  <c r="B292" i="174" s="1"/>
  <c r="B293" i="174" s="1"/>
  <c r="B294" i="174" s="1"/>
  <c r="B295" i="174" s="1"/>
  <c r="B296" i="174" s="1"/>
  <c r="B297" i="174" s="1"/>
  <c r="B298" i="174" s="1"/>
  <c r="B299" i="174" s="1"/>
  <c r="B300" i="174" s="1"/>
  <c r="B301" i="174" s="1"/>
  <c r="B302" i="174" s="1"/>
  <c r="B303" i="174" s="1"/>
  <c r="B304" i="174" s="1"/>
  <c r="B305" i="174" s="1"/>
  <c r="B306" i="174" s="1"/>
  <c r="B307" i="174" s="1"/>
  <c r="B308" i="174" s="1"/>
  <c r="B13" i="170"/>
  <c r="B14" i="170" s="1"/>
  <c r="B15" i="170" s="1"/>
  <c r="B16" i="170" s="1"/>
  <c r="B17" i="170" s="1"/>
  <c r="B18" i="170" s="1"/>
  <c r="B19" i="170" s="1"/>
  <c r="B20" i="170" s="1"/>
  <c r="B21" i="170" s="1"/>
  <c r="B22" i="170" s="1"/>
  <c r="B23" i="170" s="1"/>
  <c r="B24" i="170" s="1"/>
  <c r="B25" i="170" s="1"/>
  <c r="B26" i="170" s="1"/>
  <c r="B27" i="170" s="1"/>
  <c r="B28" i="170" s="1"/>
  <c r="B29" i="170" s="1"/>
  <c r="B9" i="170"/>
  <c r="B10" i="170" s="1"/>
  <c r="B383" i="164" l="1"/>
  <c r="B384" i="164" s="1"/>
  <c r="B385" i="164" s="1"/>
  <c r="B386" i="164" s="1"/>
  <c r="B387" i="164" s="1"/>
  <c r="B388" i="164" s="1"/>
  <c r="B389" i="164" s="1"/>
  <c r="B390" i="164" s="1"/>
  <c r="B391" i="164" s="1"/>
  <c r="B392" i="164" s="1"/>
  <c r="B393" i="164" s="1"/>
  <c r="B704" i="166"/>
  <c r="B705" i="166" s="1"/>
  <c r="B706" i="166" s="1"/>
  <c r="B707" i="166" s="1"/>
  <c r="B708" i="166" s="1"/>
  <c r="B709" i="166" s="1"/>
  <c r="B710" i="166" s="1"/>
  <c r="B711" i="166" s="1"/>
  <c r="B712" i="166" s="1"/>
  <c r="B713" i="166" s="1"/>
  <c r="B714" i="166" s="1"/>
  <c r="B715" i="166" s="1"/>
  <c r="B716" i="166" s="1"/>
  <c r="B373" i="166"/>
  <c r="B374" i="166" s="1"/>
  <c r="B375" i="166" s="1"/>
  <c r="B376" i="166" s="1"/>
  <c r="B377" i="166" s="1"/>
  <c r="B378" i="166" s="1"/>
  <c r="B379" i="166" s="1"/>
  <c r="B380" i="166" s="1"/>
  <c r="B381" i="166" s="1"/>
  <c r="B382" i="166" s="1"/>
  <c r="B383" i="166" s="1"/>
  <c r="B384" i="166" s="1"/>
  <c r="B385" i="166" s="1"/>
  <c r="E47" i="159"/>
  <c r="E48" i="159" s="1"/>
  <c r="B510" i="166"/>
  <c r="B511" i="166" s="1"/>
  <c r="B512" i="166" s="1"/>
  <c r="B513" i="166" s="1"/>
  <c r="B514" i="166" s="1"/>
  <c r="B515" i="166" s="1"/>
  <c r="B516" i="166" s="1"/>
  <c r="B517" i="166" s="1"/>
  <c r="B518" i="166" s="1"/>
  <c r="B519" i="166" s="1"/>
  <c r="B520" i="166" s="1"/>
  <c r="B521" i="166" s="1"/>
  <c r="B522" i="166" s="1"/>
  <c r="E724" i="192"/>
  <c r="E830" i="192"/>
  <c r="E902" i="192"/>
  <c r="B24" i="162"/>
  <c r="B25" i="162" s="1"/>
  <c r="B12" i="162"/>
  <c r="B13" i="162" s="1"/>
  <c r="B14" i="162" s="1"/>
  <c r="B15" i="162" s="1"/>
  <c r="B14" i="163"/>
  <c r="B15" i="163" s="1"/>
  <c r="B16" i="163" s="1"/>
  <c r="B17" i="163" s="1"/>
  <c r="B18" i="163" s="1"/>
  <c r="B19" i="163" s="1"/>
  <c r="B20" i="163" s="1"/>
  <c r="B28" i="163"/>
  <c r="B29" i="163" s="1"/>
  <c r="B30" i="163" s="1"/>
  <c r="B31" i="163" s="1"/>
  <c r="B32" i="163" s="1"/>
  <c r="B33" i="163" s="1"/>
  <c r="B34" i="163" s="1"/>
  <c r="B35" i="163" s="1"/>
  <c r="B36" i="163" s="1"/>
  <c r="B37" i="163" s="1"/>
  <c r="B38" i="163" s="1"/>
  <c r="B39" i="163" s="1"/>
  <c r="B40" i="163" s="1"/>
  <c r="B41" i="163" s="1"/>
  <c r="B42" i="163" s="1"/>
  <c r="B43" i="163" s="1"/>
  <c r="B44" i="163" s="1"/>
  <c r="B45" i="163" s="1"/>
  <c r="B46" i="163" s="1"/>
  <c r="B47" i="163" s="1"/>
  <c r="B48" i="163" s="1"/>
  <c r="B49" i="163" s="1"/>
  <c r="B50" i="163" s="1"/>
  <c r="B51" i="163" s="1"/>
  <c r="B52" i="163" s="1"/>
  <c r="B53" i="163" s="1"/>
  <c r="B54" i="163" s="1"/>
  <c r="B55" i="163" s="1"/>
  <c r="B56" i="163" s="1"/>
  <c r="B57" i="163" s="1"/>
  <c r="B58" i="163" s="1"/>
  <c r="B59" i="163" s="1"/>
  <c r="B60" i="163" s="1"/>
  <c r="B61" i="163" s="1"/>
  <c r="B62" i="163" s="1"/>
  <c r="B63" i="163" s="1"/>
  <c r="B64" i="163" s="1"/>
  <c r="B65" i="163" s="1"/>
  <c r="B66" i="163" s="1"/>
  <c r="B67" i="163" s="1"/>
  <c r="B68" i="163" s="1"/>
  <c r="B69" i="163" s="1"/>
  <c r="B70" i="163" s="1"/>
  <c r="B71" i="163" s="1"/>
  <c r="B72" i="163" s="1"/>
  <c r="B73" i="163" s="1"/>
  <c r="B74" i="163" s="1"/>
  <c r="B75" i="163" s="1"/>
  <c r="B76" i="163" s="1"/>
  <c r="B77" i="163" s="1"/>
  <c r="B78" i="163" s="1"/>
  <c r="B79" i="163" s="1"/>
  <c r="B80" i="163" s="1"/>
  <c r="B81" i="163" s="1"/>
  <c r="B82" i="163" s="1"/>
  <c r="B83" i="163" s="1"/>
  <c r="B84" i="163" s="1"/>
  <c r="B85" i="163" s="1"/>
  <c r="B105" i="163"/>
  <c r="B106" i="163" s="1"/>
  <c r="B107" i="163" s="1"/>
  <c r="B108" i="163" s="1"/>
  <c r="B109" i="163" s="1"/>
  <c r="B110" i="163" s="1"/>
  <c r="B111" i="163" s="1"/>
  <c r="B112" i="163" s="1"/>
  <c r="B113" i="163" s="1"/>
  <c r="B114" i="163" s="1"/>
  <c r="B115" i="163" s="1"/>
  <c r="B116" i="163" s="1"/>
  <c r="B117" i="163" s="1"/>
  <c r="B118" i="163" s="1"/>
  <c r="B119" i="163" s="1"/>
  <c r="B120" i="163" s="1"/>
  <c r="B121" i="163" s="1"/>
  <c r="B122" i="163" s="1"/>
  <c r="B123" i="163" s="1"/>
  <c r="B124" i="163" s="1"/>
  <c r="B125" i="163" s="1"/>
  <c r="B126" i="163" s="1"/>
  <c r="B127" i="163" s="1"/>
  <c r="B128" i="163" s="1"/>
  <c r="B129" i="163" s="1"/>
  <c r="B130" i="163" s="1"/>
  <c r="B131" i="163" s="1"/>
  <c r="B132" i="163" s="1"/>
  <c r="B133" i="163" s="1"/>
  <c r="B134" i="163" s="1"/>
  <c r="B135" i="163" s="1"/>
  <c r="B136" i="163" s="1"/>
  <c r="B137" i="163" s="1"/>
  <c r="B138" i="163" s="1"/>
  <c r="B139" i="163" s="1"/>
  <c r="B140" i="163" s="1"/>
  <c r="B141" i="163" s="1"/>
  <c r="B142" i="163" s="1"/>
  <c r="B143" i="163" s="1"/>
  <c r="B144" i="163" s="1"/>
  <c r="B145" i="163" s="1"/>
  <c r="B146" i="163" s="1"/>
  <c r="B147" i="163" s="1"/>
  <c r="B148" i="163" s="1"/>
  <c r="B149" i="163" s="1"/>
  <c r="B150" i="163" s="1"/>
  <c r="B151" i="163" s="1"/>
  <c r="B152" i="163" s="1"/>
  <c r="B153" i="163" s="1"/>
  <c r="B154" i="163" s="1"/>
  <c r="B155" i="163" s="1"/>
  <c r="B156" i="163" s="1"/>
  <c r="B157" i="163" s="1"/>
  <c r="B158" i="163" s="1"/>
  <c r="B159" i="163" s="1"/>
  <c r="B160" i="163" s="1"/>
  <c r="B480" i="166"/>
  <c r="B481" i="166" s="1"/>
  <c r="B324" i="164"/>
  <c r="B325" i="164" s="1"/>
  <c r="B326" i="164" s="1"/>
  <c r="B327" i="164" s="1"/>
  <c r="B328" i="164" s="1"/>
  <c r="B329" i="164" s="1"/>
  <c r="B330" i="164" s="1"/>
  <c r="B331" i="164" s="1"/>
  <c r="B332" i="164" s="1"/>
  <c r="B333" i="164" s="1"/>
  <c r="B334" i="164" s="1"/>
  <c r="E45" i="167"/>
  <c r="B62" i="161"/>
  <c r="B63" i="161" s="1"/>
  <c r="B597" i="164"/>
  <c r="B598" i="164" s="1"/>
  <c r="B599" i="164" s="1"/>
  <c r="B600" i="164" s="1"/>
  <c r="B601" i="164" s="1"/>
  <c r="B602" i="164" s="1"/>
  <c r="B603" i="164" s="1"/>
  <c r="B604" i="164" s="1"/>
  <c r="B605" i="164" s="1"/>
  <c r="B606" i="164" s="1"/>
  <c r="B607" i="164" s="1"/>
  <c r="B608" i="164" s="1"/>
  <c r="B209" i="166"/>
  <c r="B210" i="166" s="1"/>
  <c r="B211" i="166" s="1"/>
  <c r="B212" i="166" s="1"/>
  <c r="B213" i="166" s="1"/>
  <c r="B214" i="166" s="1"/>
  <c r="B215" i="166" s="1"/>
  <c r="B216" i="166" s="1"/>
  <c r="B178" i="166"/>
  <c r="B179" i="166" s="1"/>
  <c r="B180" i="166" s="1"/>
  <c r="B181" i="166" s="1"/>
  <c r="B182" i="166" s="1"/>
  <c r="B183" i="166" s="1"/>
  <c r="B184" i="166" s="1"/>
  <c r="B185" i="166" s="1"/>
  <c r="B186" i="166" s="1"/>
  <c r="B187" i="166" s="1"/>
  <c r="B188" i="166" s="1"/>
  <c r="B189" i="166" s="1"/>
  <c r="B190" i="166" s="1"/>
  <c r="E417" i="166"/>
  <c r="E180" i="163"/>
  <c r="M47" i="159"/>
  <c r="E67" i="161"/>
  <c r="B160" i="168"/>
  <c r="B161" i="168" s="1"/>
  <c r="B162" i="168" s="1"/>
  <c r="B163" i="168" s="1"/>
  <c r="B164" i="168" s="1"/>
  <c r="B165" i="168" s="1"/>
  <c r="B166" i="168" s="1"/>
  <c r="E26" i="162"/>
  <c r="E27" i="162" s="1"/>
  <c r="H59" i="170"/>
  <c r="E615" i="164"/>
  <c r="E284" i="168"/>
  <c r="E583" i="174"/>
  <c r="B523" i="166" l="1"/>
  <c r="B524" i="166" s="1"/>
  <c r="M583" i="174"/>
  <c r="F994" i="190"/>
  <c r="F862" i="190"/>
  <c r="F941" i="190"/>
  <c r="B217" i="166"/>
  <c r="B218" i="166" s="1"/>
  <c r="B219" i="166" s="1"/>
  <c r="B220" i="166" s="1"/>
  <c r="B221" i="166" s="1"/>
  <c r="B222" i="166" s="1"/>
  <c r="B223" i="166" s="1"/>
  <c r="B224" i="166" s="1"/>
  <c r="B225" i="166" s="1"/>
  <c r="B226" i="166" s="1"/>
  <c r="B227" i="166" s="1"/>
  <c r="B228" i="166" s="1"/>
  <c r="B229" i="166" s="1"/>
  <c r="B230" i="166" s="1"/>
  <c r="B231" i="166" s="1"/>
  <c r="B232" i="166" s="1"/>
  <c r="B233" i="166" s="1"/>
  <c r="B234" i="166" s="1"/>
  <c r="B235" i="166" s="1"/>
  <c r="B236" i="166" s="1"/>
  <c r="B237" i="166" s="1"/>
  <c r="B238" i="166" s="1"/>
  <c r="B239" i="166" s="1"/>
  <c r="B240" i="166" s="1"/>
  <c r="B241" i="166" s="1"/>
  <c r="B242" i="166" s="1"/>
  <c r="B243" i="166" s="1"/>
  <c r="B244" i="166" s="1"/>
  <c r="B245" i="166" s="1"/>
  <c r="B246" i="166" s="1"/>
  <c r="B247" i="166" s="1"/>
  <c r="B248" i="166" s="1"/>
  <c r="B249" i="166" s="1"/>
  <c r="E826" i="166"/>
  <c r="E827" i="166" s="1"/>
  <c r="B335" i="164"/>
  <c r="B336" i="164" s="1"/>
  <c r="B337" i="164" s="1"/>
  <c r="B338" i="164" s="1"/>
  <c r="B339" i="164" s="1"/>
  <c r="B695" i="166" l="1"/>
  <c r="K26" i="162"/>
  <c r="M826" i="166"/>
  <c r="N583" i="174"/>
  <c r="B54" i="170"/>
  <c r="B55" i="170" s="1"/>
  <c r="B30" i="170"/>
  <c r="B31" i="170" s="1"/>
  <c r="B32" i="170" s="1"/>
  <c r="B33" i="170" s="1"/>
  <c r="B34" i="170" s="1"/>
  <c r="B35" i="170" s="1"/>
  <c r="B36" i="170" s="1"/>
  <c r="B37" i="170" s="1"/>
  <c r="B38" i="170" s="1"/>
  <c r="O583" i="174"/>
  <c r="B717" i="166" l="1"/>
  <c r="B718" i="166" s="1"/>
  <c r="B719" i="166" s="1"/>
  <c r="B720" i="166" s="1"/>
  <c r="I26" i="162"/>
  <c r="L59" i="170"/>
  <c r="O826" i="166"/>
  <c r="I27" i="162" l="1"/>
  <c r="L60" i="170"/>
  <c r="O45" i="167"/>
  <c r="O180" i="163"/>
  <c r="Q45" i="167"/>
  <c r="P180" i="163" l="1"/>
  <c r="O47" i="159"/>
  <c r="P826" i="166"/>
  <c r="P827" i="166" s="1"/>
  <c r="P583" i="174"/>
  <c r="Q47" i="159"/>
  <c r="O284" i="168"/>
  <c r="O67" i="161"/>
  <c r="Q284" i="168"/>
  <c r="R583" i="174"/>
  <c r="O48" i="159" l="1"/>
  <c r="B15" i="161"/>
  <c r="B16" i="161" s="1"/>
  <c r="B17" i="161" s="1"/>
  <c r="B18" i="161" s="1"/>
  <c r="B19" i="161" s="1"/>
  <c r="B20" i="161" s="1"/>
  <c r="B21" i="161" s="1"/>
  <c r="B22" i="161" s="1"/>
  <c r="R826" i="166"/>
  <c r="B23" i="161" l="1"/>
  <c r="B24" i="161" s="1"/>
  <c r="B25" i="161" s="1"/>
  <c r="E34" i="192" l="1"/>
  <c r="L26" i="162" l="1"/>
  <c r="L27" i="162" s="1"/>
  <c r="M26" i="162"/>
  <c r="E233" i="192"/>
  <c r="E99" i="192"/>
  <c r="E872" i="192"/>
  <c r="E903" i="192" s="1"/>
  <c r="F587" i="190"/>
  <c r="E628" i="192" l="1"/>
  <c r="E342" i="192"/>
  <c r="L786" i="192"/>
  <c r="L830" i="192"/>
  <c r="N830" i="192"/>
  <c r="N786" i="192"/>
  <c r="M830" i="192"/>
  <c r="L724" i="192"/>
  <c r="M786" i="192"/>
  <c r="F581" i="190"/>
  <c r="E302" i="192"/>
  <c r="E693" i="192"/>
  <c r="F112" i="190"/>
  <c r="E756" i="192"/>
  <c r="E401" i="192"/>
  <c r="E402" i="192" s="1"/>
  <c r="F478" i="190"/>
  <c r="F774" i="190"/>
  <c r="F399" i="190"/>
  <c r="F466" i="190"/>
  <c r="E800" i="192"/>
  <c r="E831" i="192" s="1"/>
  <c r="E392" i="192"/>
  <c r="M941" i="190" l="1"/>
  <c r="M724" i="192"/>
  <c r="N724" i="192"/>
  <c r="L902" i="192"/>
  <c r="O941" i="190"/>
  <c r="F243" i="190"/>
  <c r="F906" i="190"/>
  <c r="F942" i="190" s="1"/>
  <c r="E757" i="192"/>
  <c r="F40" i="190"/>
  <c r="F959" i="190"/>
  <c r="D3" i="190" l="1"/>
  <c r="N941" i="190"/>
  <c r="M902" i="192"/>
  <c r="N902" i="192"/>
  <c r="O862" i="190"/>
  <c r="M862" i="190"/>
  <c r="N862" i="190"/>
  <c r="E659" i="192"/>
  <c r="E469" i="192"/>
  <c r="F738" i="190"/>
  <c r="F343" i="190"/>
  <c r="E787" i="192"/>
  <c r="F995" i="190"/>
  <c r="M994" i="190" l="1"/>
  <c r="P29" i="185"/>
  <c r="P30" i="185" s="1"/>
  <c r="O994" i="190"/>
  <c r="N994" i="190"/>
  <c r="E726" i="192"/>
  <c r="F826" i="190"/>
  <c r="F863" i="190" s="1"/>
  <c r="R29" i="185" l="1"/>
  <c r="R30" i="185" s="1"/>
  <c r="N59" i="170"/>
  <c r="Q29" i="185"/>
  <c r="Q30" i="185" s="1"/>
  <c r="F997" i="190"/>
  <c r="F998" i="190" s="1"/>
  <c r="E727" i="192"/>
  <c r="E905" i="192" s="1"/>
  <c r="E906" i="192" s="1"/>
  <c r="P59" i="170" l="1"/>
  <c r="O59" i="170"/>
  <c r="O60" i="170" l="1"/>
  <c r="S67" i="161"/>
  <c r="S615" i="164"/>
  <c r="T583" i="174"/>
  <c r="U67" i="161"/>
  <c r="U45" i="167"/>
  <c r="S45" i="167"/>
  <c r="T180" i="163"/>
  <c r="T615" i="164"/>
  <c r="U284" i="168" l="1"/>
  <c r="S47" i="159"/>
  <c r="T45" i="167"/>
  <c r="V180" i="163"/>
  <c r="U180" i="163"/>
  <c r="U826" i="166"/>
  <c r="S284" i="168"/>
  <c r="T67" i="161"/>
  <c r="T826" i="166"/>
  <c r="U615" i="164"/>
  <c r="U827" i="166" l="1"/>
  <c r="T827" i="166"/>
  <c r="S48" i="159"/>
  <c r="V826" i="166"/>
  <c r="U583" i="174"/>
  <c r="V583" i="174"/>
  <c r="U47" i="159"/>
  <c r="U48" i="159" s="1"/>
  <c r="T284" i="168"/>
  <c r="T47" i="159"/>
  <c r="T48" i="159" s="1"/>
  <c r="L233" i="192"/>
  <c r="L302" i="192"/>
  <c r="L99" i="192"/>
  <c r="V827" i="166" l="1"/>
  <c r="M233" i="192"/>
  <c r="N99" i="192"/>
  <c r="L800" i="192"/>
  <c r="L831" i="192" s="1"/>
  <c r="L628" i="192"/>
  <c r="M99" i="192"/>
  <c r="N302" i="192"/>
  <c r="N233" i="192"/>
  <c r="M302" i="192"/>
  <c r="M34" i="192"/>
  <c r="L34" i="192"/>
  <c r="N628" i="192" l="1"/>
  <c r="M872" i="192"/>
  <c r="M903" i="192" s="1"/>
  <c r="M628" i="192"/>
  <c r="M342" i="192"/>
  <c r="L693" i="192"/>
  <c r="M800" i="192"/>
  <c r="M831" i="192" s="1"/>
  <c r="N872" i="192"/>
  <c r="N903" i="192" s="1"/>
  <c r="M392" i="192"/>
  <c r="L659" i="192"/>
  <c r="N34" i="192"/>
  <c r="N800" i="192"/>
  <c r="N831" i="192" s="1"/>
  <c r="L872" i="192"/>
  <c r="L903" i="192" s="1"/>
  <c r="M40" i="190" l="1"/>
  <c r="O112" i="190"/>
  <c r="M587" i="190"/>
  <c r="O587" i="190"/>
  <c r="M693" i="192"/>
  <c r="L756" i="192"/>
  <c r="L787" i="192" s="1"/>
  <c r="N392" i="192"/>
  <c r="L392" i="192"/>
  <c r="L401" i="192"/>
  <c r="N659" i="192"/>
  <c r="N693" i="192"/>
  <c r="N756" i="192"/>
  <c r="N787" i="192" s="1"/>
  <c r="L342" i="192"/>
  <c r="M112" i="190"/>
  <c r="N112" i="190"/>
  <c r="N587" i="190"/>
  <c r="O40" i="190"/>
  <c r="M659" i="192" l="1"/>
  <c r="M581" i="190"/>
  <c r="M243" i="190"/>
  <c r="O581" i="190"/>
  <c r="M401" i="192"/>
  <c r="N401" i="192"/>
  <c r="M756" i="192"/>
  <c r="M787" i="192" s="1"/>
  <c r="N342" i="192"/>
  <c r="M959" i="190"/>
  <c r="M995" i="190" s="1"/>
  <c r="N243" i="190"/>
  <c r="N40" i="190"/>
  <c r="N581" i="190"/>
  <c r="O243" i="190"/>
  <c r="M774" i="190" l="1"/>
  <c r="M906" i="190"/>
  <c r="M942" i="190" s="1"/>
  <c r="M478" i="190"/>
  <c r="M466" i="190"/>
  <c r="N906" i="190"/>
  <c r="N942" i="190" s="1"/>
  <c r="O478" i="190"/>
  <c r="N469" i="192"/>
  <c r="N726" i="192" s="1"/>
  <c r="L469" i="192"/>
  <c r="L726" i="192" s="1"/>
  <c r="N478" i="190"/>
  <c r="O959" i="190"/>
  <c r="O995" i="190" s="1"/>
  <c r="N959" i="190"/>
  <c r="N995" i="190" s="1"/>
  <c r="N466" i="190"/>
  <c r="N774" i="190"/>
  <c r="O466" i="190"/>
  <c r="O774" i="190"/>
  <c r="N905" i="192" l="1"/>
  <c r="N906" i="192" s="1"/>
  <c r="L905" i="192"/>
  <c r="L906" i="192" s="1"/>
  <c r="O906" i="190"/>
  <c r="O942" i="190" s="1"/>
  <c r="M469" i="192"/>
  <c r="M726" i="192" s="1"/>
  <c r="M905" i="192" s="1"/>
  <c r="M906" i="192" s="1"/>
  <c r="O399" i="190"/>
  <c r="M399" i="190"/>
  <c r="N399" i="190"/>
  <c r="M826" i="190" l="1"/>
  <c r="O343" i="190"/>
  <c r="N826" i="190"/>
  <c r="N343" i="190"/>
  <c r="O826" i="190"/>
  <c r="M343" i="190"/>
  <c r="M738" i="190" l="1"/>
  <c r="M863" i="190" s="1"/>
  <c r="N738" i="190"/>
  <c r="M997" i="190" l="1"/>
  <c r="M998" i="190" s="1"/>
  <c r="O738" i="190"/>
  <c r="O863" i="190"/>
  <c r="N863" i="190"/>
  <c r="N997" i="190" s="1"/>
  <c r="N998" i="190" s="1"/>
  <c r="O997" i="190" l="1"/>
  <c r="O998" i="190" s="1"/>
  <c r="D941" i="190" l="1"/>
  <c r="F19" i="204"/>
  <c r="E3" i="190" s="1"/>
  <c r="D11" i="204" s="1"/>
  <c r="F2" i="190"/>
  <c r="F11" i="204" l="1"/>
  <c r="D13" i="204"/>
  <c r="F13" i="204" s="1"/>
  <c r="F16" i="204" s="1"/>
</calcChain>
</file>

<file path=xl/sharedStrings.xml><?xml version="1.0" encoding="utf-8"?>
<sst xmlns="http://schemas.openxmlformats.org/spreadsheetml/2006/main" count="14139" uniqueCount="4831">
  <si>
    <t>NET CABLING - LEASE HOLD PROPERTIES - 311004</t>
  </si>
  <si>
    <t>KMPCL/015/10-11 dt.05.01.11</t>
  </si>
  <si>
    <t>Supply of material for lighting</t>
  </si>
  <si>
    <t>Porta Cabin fencing &amp; Barricating</t>
  </si>
  <si>
    <t>Borewells 6"</t>
  </si>
  <si>
    <t>Steel Rack - 15X36 &amp; Fuse (2 Nos)</t>
  </si>
  <si>
    <t>Supply of Sintex Containerised Offices-Size (20'x10'x8')</t>
  </si>
  <si>
    <t>08 &amp; '09 dt.26.8.10</t>
  </si>
  <si>
    <t>4 ft Ladder</t>
  </si>
  <si>
    <t>305 dt.24.9.10</t>
  </si>
  <si>
    <t>ELECTRICAL INSTALLATIONS - LEASE HOLD PROPERTIES - 311001</t>
  </si>
  <si>
    <t>Taroud</t>
  </si>
  <si>
    <t>Hi-Wall split AC2 star rating 1.5TR Model 2HW 181YB - Blue star + Vol Stabilier 4 KVA -V-Guard + ODU stand</t>
  </si>
  <si>
    <t>Hi-Wall split AC 2 star rating 1.5TR Model 2HW 181YB - Blue star + Vol Stabilier 5 KVA -V-Guard + ODU stand</t>
  </si>
  <si>
    <t>Supply &amp; Installationof Life Size Express video conferencing eqipt with P2P Video calling,singel camera, monitor cables embedded data sharing, samsung(100 Hz), Model 40B530P7r speakers,cable &amp; connectors, V Point HD SW based VC with dongle from Vcon Embalze</t>
  </si>
  <si>
    <t>09-10/14150, 80020 dt.31.03.10</t>
  </si>
  <si>
    <t>Porta Cabin</t>
  </si>
  <si>
    <t>CHAIRS - 141001</t>
  </si>
  <si>
    <t>Chairs</t>
  </si>
  <si>
    <t>150Sqm. MMx3.5 core, XLPE insual ted PVC tapes &amp; PVC Sheathed Alu.Armoured 1.1 KV power cable-Havells make for use of power cables for supply of power to porta cabins &amp; high mast lightings  for 37 balance Nos but proportionately taken for 11 Nos installed at site</t>
  </si>
  <si>
    <t>Construction of High mast light foundation at 6x600 MW TPP, Nariyara  for 37 Nos balance but proportionately taken for 11 Nos  installed at site</t>
  </si>
  <si>
    <t>Bill No.Nil dt.30.07.10</t>
  </si>
  <si>
    <t>30 Mtrs high mast lighting system with its accessories for nariyara plant site for balance 10 Nos and Erection &amp; commissioning of 20 nos of high mast lights, foundation, installation &amp; commissioning of 5 nos at site</t>
  </si>
  <si>
    <t>SIPH41CU0312 dt.23.02.11 &amp; SIPH41CG0517 dt.24.03.11</t>
  </si>
  <si>
    <t>SIPH11CU0109, 129,154 &amp;887, 0138, 161 dt.12/7, 14/7, 17/7, 27/7/, 20/8 &amp; 31/8/10</t>
  </si>
  <si>
    <t>25 set 30 mtr high mast foundation bolts, templates &amp; anchor plates, 10 sets 30 mtr high mast shaft with accessories, light fittings 2x400 watts HPSV non internal flood lights-25 sets, 25 nos of 30 mtrs high mast lighting system with its accessories (1 no capitalised out of 25 nos but proportionately taken)</t>
  </si>
  <si>
    <t>Supply of power distribution board for High Mast Power Supply for balance 37 nos Nos but proportionately taken for 11 Nos installed at site</t>
  </si>
  <si>
    <t>14 dt.Nil</t>
  </si>
  <si>
    <t>Supply of XLPE installed &amp; sheated Alarmoured cables for site electricla work for balance 37 nos Nos but proportionately taken for 11 Nos installed at site</t>
  </si>
  <si>
    <t>CTIS-1677 dt.31.03.11</t>
  </si>
  <si>
    <t>Construction of Site Meeting Hall</t>
  </si>
  <si>
    <t>RA-1&amp;2</t>
  </si>
  <si>
    <t>Furniture works for bachelor quarters at our camp office on completion of 22 Nos rooms</t>
  </si>
  <si>
    <t>PNS/KSK/24/10-11 &amp; PNS/KSK/28/10-11</t>
  </si>
  <si>
    <t xml:space="preserve">Construction of Four Room quarters &amp; Toilet Blocks at Nariyara Site </t>
  </si>
  <si>
    <t>Bill dtd.18.05.10</t>
  </si>
  <si>
    <t>Construction of Electrical Panel Room inside plant area</t>
  </si>
  <si>
    <t>1st &amp; Final dt.18.12.10</t>
  </si>
  <si>
    <t>9360514 dt.17.02.11</t>
  </si>
  <si>
    <t>Ducted split Unit DSA10526 R1 84158210</t>
  </si>
  <si>
    <t>Ducted split Unit DSA1322 R1 84158210</t>
  </si>
  <si>
    <t>3 star split AC(2)-model 3HW181YB &amp; Acces inclg Vol Stabilizer (2) stand etc and incidental exps for fixing</t>
  </si>
  <si>
    <t>Nil</t>
  </si>
  <si>
    <t>022, 023 dt.11.8.10 &amp; 029 dt.13.8.10</t>
  </si>
  <si>
    <t>Power Distribution boards (63AMP-3 Nos &amp; 200 AMP-1 No)</t>
  </si>
  <si>
    <t>2269 dt.24.11.10</t>
  </si>
  <si>
    <t>Beetel telephone instruments - Model- B-11</t>
  </si>
  <si>
    <t>Extention card for EPABX - Syntel make</t>
  </si>
  <si>
    <t>VIDEO CONFERENCE SYSTEM - 131042</t>
  </si>
  <si>
    <t>HP Offce-in-One</t>
  </si>
  <si>
    <t>YI/2476</t>
  </si>
  <si>
    <t>Primavera  P6 PPM</t>
  </si>
  <si>
    <t>BUILDINGS - OTHERS  - 2117</t>
  </si>
  <si>
    <t>Air conditioners along with Stabilizer, conderser stands</t>
  </si>
  <si>
    <t>125 KVA Diesel Generator Set installed at Bachelor Hostel</t>
  </si>
  <si>
    <t>19E1105080 dt.03.03.11</t>
  </si>
  <si>
    <t>S.No.</t>
  </si>
  <si>
    <t xml:space="preserve">Video Conferencing  </t>
  </si>
  <si>
    <t>Sharp LCD</t>
  </si>
  <si>
    <t>Video Conferencing  - Installation</t>
  </si>
  <si>
    <t>U P S SYSTEM - 131014</t>
  </si>
  <si>
    <t>APC 500 KVA</t>
  </si>
  <si>
    <t>HW/CASH - 358</t>
  </si>
  <si>
    <t xml:space="preserve">15 KVA Online UPS 360V DC </t>
  </si>
  <si>
    <t>SMF Battery Model EP 65-12</t>
  </si>
  <si>
    <t>Battery Rack for 30 Batteries</t>
  </si>
  <si>
    <t>AUTOMATIC ATTENDANCE SYSTEM - 131021</t>
  </si>
  <si>
    <t>121/10 dt.3.11.10</t>
  </si>
  <si>
    <t xml:space="preserve">26 Nos of Nilkamal Make Moulded chairs </t>
  </si>
  <si>
    <t>12 dt.25.10.10</t>
  </si>
  <si>
    <t>IN2: LIFESIZE-VCS HEADER, Life size express/200 with HD Codec, HD Camera, Standard Cables, High-Definition Video Communication System, Remote</t>
  </si>
  <si>
    <t>9942100014 dt.12.05.11</t>
  </si>
  <si>
    <t>PHTO COPIER - 131009</t>
  </si>
  <si>
    <t>Canon copier - Model IR-2022N</t>
  </si>
  <si>
    <t>SPIRAL BINDER - 131026</t>
  </si>
  <si>
    <t>Godrej Storewell Model 2</t>
  </si>
  <si>
    <t>177/08</t>
  </si>
  <si>
    <t>Godrej Slimeline (Steel Almairah)</t>
  </si>
  <si>
    <t>BAPL/275/09</t>
  </si>
  <si>
    <t>Basantpur</t>
  </si>
  <si>
    <t>Pamgarh</t>
  </si>
  <si>
    <t>CE/SL/10106 dt. 25.6.10</t>
  </si>
  <si>
    <t>Light fittings, Recess Mounting-17 Nos, Surface mounting-3 Nos, CFL 36W-34 Nos &amp; FRL 3 Nos etc at Meeting hall, Site</t>
  </si>
  <si>
    <t>23 dt.12.05.10</t>
  </si>
  <si>
    <t>Lease period  From</t>
  </si>
  <si>
    <t>Lease period  To</t>
  </si>
  <si>
    <t>Sony Cybershot Model DSCW320 14.1 Mega pixel with 4 GB Memory card (SRN:5718052)</t>
  </si>
  <si>
    <t>STEEL ALMAIRAH (STOREWELL)-141022</t>
  </si>
  <si>
    <t>DRESSING TABLES - 141025</t>
  </si>
  <si>
    <t>Partition</t>
  </si>
  <si>
    <t>21 Nos.</t>
  </si>
  <si>
    <t>INTERIORS INCLUDING THERMOCOL CLADDING -141007</t>
  </si>
  <si>
    <t>Slotted Angle Racks size 6' x 2' with five Compartments</t>
  </si>
  <si>
    <t>Computer Revolving Chair Hydraulic</t>
  </si>
  <si>
    <t>AL 201 5'x540 and EMC. Ladder 8'x315</t>
  </si>
  <si>
    <t>1748 dt.22.03.11</t>
  </si>
  <si>
    <t xml:space="preserve">Desert window with cooler </t>
  </si>
  <si>
    <t>795 dt.24.03.11</t>
  </si>
  <si>
    <t>SL/0164 dt.23.12.10</t>
  </si>
  <si>
    <t>CIVIL WORKS &amp; IMPROVEMENTS - LEASE HOLD PROPERTIES - 311003</t>
  </si>
  <si>
    <t>Real guard 5 KVA stabilizer Blue Star-Cost of SCR241YD - 2.0 TR- Cassette air</t>
  </si>
  <si>
    <t>L/142</t>
  </si>
  <si>
    <t>L/143</t>
  </si>
  <si>
    <t>L/147</t>
  </si>
  <si>
    <t>Construction of Boundary wall</t>
  </si>
  <si>
    <t>1,2,3 &amp; 4 dt.1/2, 8/3, 25/3 &amp; 7/7/10</t>
  </si>
  <si>
    <t>Toilet block &amp; Store room in front of porta cabin</t>
  </si>
  <si>
    <t>1 &amp; Final dt.21.10.10</t>
  </si>
  <si>
    <t>1 &amp; Final Bill dt.16.08.10</t>
  </si>
  <si>
    <t>Water pipe line, Over head tank 3000 ltrs - 2 Nos, Dining hall old tank 1000 ltrs - 1 No &amp; Dining hall new tank 1000 ltrs-1 No, providing and laying pipe line incl excavation, planting anti corroslve paint, bends, tees, unlons, valve etc</t>
  </si>
  <si>
    <t>310 Rmt, 9000 Ltrs &amp; 80 Rmt</t>
  </si>
  <si>
    <t>F &amp; F bill dt.20.02.11</t>
  </si>
  <si>
    <t xml:space="preserve">Construction of labour quarter with masonry foundation and super structure with aerocon panels </t>
  </si>
  <si>
    <t>140x20 ft - 2 Nos</t>
  </si>
  <si>
    <t>IBS/KRB/13/RA-01 dt.15.03.11</t>
  </si>
  <si>
    <t>Construction of WBM road for the approach to 33 KV sub station</t>
  </si>
  <si>
    <t>Havel Ceiling Fan XP-390 BR</t>
  </si>
  <si>
    <t>776 dt.01.01.11</t>
  </si>
  <si>
    <t>790 dt.01.01.11</t>
  </si>
  <si>
    <t>Banahil</t>
  </si>
  <si>
    <t xml:space="preserve">Dell Laptops E6410 Base Latitude </t>
  </si>
  <si>
    <t>8040188143 dt.24.02.11</t>
  </si>
  <si>
    <t>8040188952 dt.25.02.11</t>
  </si>
  <si>
    <t>248 dt.01.03.11</t>
  </si>
  <si>
    <t>249 dt.01.03.11</t>
  </si>
  <si>
    <t>Supply of IT &amp; Net working material for site office block-1&amp;2, installation charges</t>
  </si>
  <si>
    <t>780,781,819,720, 721 &amp; 0766 dt.10.11.10, 25.11.10 &amp; 23.02.11</t>
  </si>
  <si>
    <t>Construction of building for bachelor accommodation block-1 inside the camp office at Nariyara</t>
  </si>
  <si>
    <t>6th &amp; Final Bill dt.21.03.11</t>
  </si>
  <si>
    <t>Temporary Road for inside camp office</t>
  </si>
  <si>
    <t>457.99 Cu M &amp; 203.805 Cu M</t>
  </si>
  <si>
    <t>1st &amp; Final Bill dt.31.12.10</t>
  </si>
  <si>
    <t>Civil works for construction of building for dining hall and septic tank inside the camp office complex,</t>
  </si>
  <si>
    <t>RA-1 dt.20.12.10</t>
  </si>
  <si>
    <t>150Sqm. MMx3.5 core, XLPE insual ted PVC tapes &amp; PVC Sheathed Alu.Armoured 1.1 KV power cable-Havells make for use of power cables for supply of power to porta cabins &amp; high mast lightings  for 55 Nos but proportionately taken for 3 Nos installed at site</t>
  </si>
  <si>
    <t>Supply of current transformer (11. KV) for 55 Nos for 55 Nos but proportionately taken for 3 Nos installed at site</t>
  </si>
  <si>
    <t>Supply of Alarmoud cables for site for 55 Nos but proportionately taken for 3 Nos installed at site</t>
  </si>
  <si>
    <t>1047 &amp; 1048 dt.16.02.11</t>
  </si>
  <si>
    <t xml:space="preserve">Fire Bucket with stand </t>
  </si>
  <si>
    <t>103 dt.15.03.11</t>
  </si>
  <si>
    <t xml:space="preserve">Numecic 600 VA UPS </t>
  </si>
  <si>
    <t>dt.07.03.11</t>
  </si>
  <si>
    <t>Duro Tuff Roll Sq.Ft</t>
  </si>
  <si>
    <t>Kitchne Utensils &amp; Crockery items</t>
  </si>
  <si>
    <t>10-11/3279 dt.10.01.11</t>
  </si>
  <si>
    <t>10-11/3276 dt.10.01.11</t>
  </si>
  <si>
    <t>Sansui 100-150 Kg</t>
  </si>
  <si>
    <t>10-11/3280 dt.10.01.11</t>
  </si>
  <si>
    <t>Commercial Grill 4 SS Hand</t>
  </si>
  <si>
    <t>Bread Toaster 6 Slice</t>
  </si>
  <si>
    <t>Heavy Coomerical Mixi</t>
  </si>
  <si>
    <t>Atta Kneading machine 10 Kg</t>
  </si>
  <si>
    <t>Onida MICR Over 25 Ltr Con</t>
  </si>
  <si>
    <t>10-11/3290 dt.10.01.11</t>
  </si>
  <si>
    <t>319, 323 &amp; 325 dt.29/9, 02/10 &amp; 18/10/10</t>
  </si>
  <si>
    <t>Air Cooler</t>
  </si>
  <si>
    <t>Air Coolers</t>
  </si>
  <si>
    <t>Air Cooler with stand</t>
  </si>
  <si>
    <t>Air Cooler, Local made 5 '</t>
  </si>
  <si>
    <t>FANS -131043</t>
  </si>
  <si>
    <t>Akaltara</t>
  </si>
  <si>
    <t>Raipur</t>
  </si>
  <si>
    <t xml:space="preserve">Ceiling Fans 48' Zoom Bajaj </t>
  </si>
  <si>
    <t>AR02-10-18872811155</t>
  </si>
  <si>
    <t>Executive Dlx Chair Model 2151</t>
  </si>
  <si>
    <t>Tables &amp; Chairs</t>
  </si>
  <si>
    <t>3 +12</t>
  </si>
  <si>
    <t>Printer table</t>
  </si>
  <si>
    <t>Moulded tables for Porta Cabin</t>
  </si>
  <si>
    <t>Office tables - 3 drawers (4 x 2 x2)</t>
  </si>
  <si>
    <t>Steel Almirah 750x450x1200</t>
  </si>
  <si>
    <t>Steel Almirah 6000x450x1200</t>
  </si>
  <si>
    <t>Tracing table - Material &amp; labour</t>
  </si>
  <si>
    <t>LASER PRINTERS - 191003</t>
  </si>
  <si>
    <t>Dining table</t>
  </si>
  <si>
    <t>Dining table + 8 Chairs</t>
  </si>
  <si>
    <t>MAY1011/30, 31</t>
  </si>
  <si>
    <t>044 dt.31.7.10</t>
  </si>
  <si>
    <t>024 dt.11.8.10</t>
  </si>
  <si>
    <t>669 dt.1.6.10</t>
  </si>
  <si>
    <t>Supply of Electrical Tools and Tackles (Hand Drilling Machine up to 13 MM Make Black &amp; Decker, Drill Bit Set for above Machine up to 13 MM, Hand Grilling Machine part No.801 Make Dewalt, Nut Driver PYE 5.5 mm to 14 mm, Hand Blower Make Black &amp; Decker, Wire Cutter Product No.1122 Make Taparia, Nose Plicrs Product No.1430 Make Taparia, Line Tester Make Taparia, Water Hose Pipe 1", PVC Insulation Tapes Make Steelgrip, Measurement Tapes 30 Mtr Make Freemans, Box Spanner Set Make Taparia &amp; Crimping Tools Make Johnson Model BRD95Complete Set  for 33 KV Substations at Akaltara (C.G)</t>
  </si>
  <si>
    <t>Sum of Material</t>
  </si>
  <si>
    <t>Sofa Set 3+1+1 seater</t>
  </si>
  <si>
    <t>82.5 KVA AL412TG1-Genertor</t>
  </si>
  <si>
    <t xml:space="preserve">GPS MAP 76csx with Standard Accessories </t>
  </si>
  <si>
    <t>ASPL/SINV/2008-09/618</t>
  </si>
  <si>
    <t>Additions</t>
  </si>
  <si>
    <t>China</t>
  </si>
  <si>
    <t>Exhaust Fan - Khaitan Make</t>
  </si>
  <si>
    <t>12 dt.19.7.10</t>
  </si>
  <si>
    <t>37 dt.08.11.10, 029 dt.08.11.10 &amp; Nil dt.11.11.10</t>
  </si>
  <si>
    <t>Dongakharod</t>
  </si>
  <si>
    <t>Water Dispenser (Blue Star) Model BD 30 HCM, Sr.No.02367</t>
  </si>
  <si>
    <t>733 dtd.27.09.10</t>
  </si>
  <si>
    <t>AT/HO/1952 dt.02.03.11</t>
  </si>
  <si>
    <t>Computer Table</t>
  </si>
  <si>
    <t>UPS- Microtek s.no.10agnnb23043 along with battery 150ah make okaya, trolley</t>
  </si>
  <si>
    <t>Containerize offices 20'x10'x8'</t>
  </si>
  <si>
    <t>Back filling and dressing of soil for Porta cabin</t>
  </si>
  <si>
    <t>ELCTRICAL EQUIPMENT - 131002</t>
  </si>
  <si>
    <t>Moulded NX111Mid Back chairs with sunchor mechanism</t>
  </si>
  <si>
    <t>Flooring &amp; false ceiling works</t>
  </si>
  <si>
    <t xml:space="preserve">Supply, Erection, Testing And Commissionion of Panel </t>
  </si>
  <si>
    <t>Escape Signages</t>
  </si>
  <si>
    <t>Cease fire MAP 90- 5 kg cap</t>
  </si>
  <si>
    <t>Cease fire MAP 90- 1 kg cap</t>
  </si>
  <si>
    <t>Korba</t>
  </si>
  <si>
    <t>Projector ceiling mounitn kit, wall mount screen, Cables, celing spekers (4) and Amp 100 etc</t>
  </si>
  <si>
    <t xml:space="preserve">16 &amp; 259 </t>
  </si>
  <si>
    <t>C C T V SYSTEM - 131039</t>
  </si>
  <si>
    <t>Indoor color dome camera (Sony- 2nos) along with Power supply junction, DVR 1 each</t>
  </si>
  <si>
    <t>INTERIOR WORKS - LEASHOLD PROPERTIES - 311002</t>
  </si>
  <si>
    <t xml:space="preserve">Shakthi Model </t>
  </si>
  <si>
    <t xml:space="preserve">Split AC (Blue Star Make) Model No.2HW-181 YB (1.5 TR) with 5 KVA Voltage Stabilizer &amp; ODU Stand </t>
  </si>
  <si>
    <t>Diff of CST - B.No.17</t>
  </si>
  <si>
    <t>Appliances at raipur guest house</t>
  </si>
  <si>
    <t>Supply &amp; Installation of Double Conversion True online UPS of 6KVA, Single Phase Input &amp; Single Phase Output with 16 Nos. 12V/26AH SMF batteries for 60 minuts backup time along witj battery rack &amp; interconnecting cable, Liebert make UPS Power Bank Rs.65000/- &amp; Exide make 12V/26AHx16 Nos batteries Rs.27000/-</t>
  </si>
  <si>
    <t>Center Tables</t>
  </si>
  <si>
    <t xml:space="preserve">Cots </t>
  </si>
  <si>
    <t>Mattess &amp; Pillow</t>
  </si>
  <si>
    <t>4+4</t>
  </si>
  <si>
    <t>Cots, Local made</t>
  </si>
  <si>
    <t>s/19</t>
  </si>
  <si>
    <t>Nilkaml PVC Chair, Model - Passion</t>
  </si>
  <si>
    <t>51 dt.18.9.10</t>
  </si>
  <si>
    <t>707 dt.13.9.10</t>
  </si>
  <si>
    <t xml:space="preserve">Single Seater Sofa (Teak Wood) </t>
  </si>
  <si>
    <t>Supply of 5 Nos Exhaust Heavy Duty Ex.380MM 900RPM Fans @ Rs.2395/- and 2 Nos Venti Air DXG 200MM - Havels Make @ Rs.1125/-</t>
  </si>
  <si>
    <t>508 KG G.I Corrugated Sheet 0.3 MM , W-2.75Ft, L-8FT Make Jindal, 250 Nos. Self Tapping Screw, 4 Nos. Wooden ply 16 MM Thick 4x8, Make - Crown Brand for Tea stall at site</t>
  </si>
  <si>
    <t>327 / 10.8.10</t>
  </si>
  <si>
    <t>Supply &amp; Installation of Split AC 2 star for meeting hall at site</t>
  </si>
  <si>
    <t>Supply &amp; Installation of Mega Split Ac at meeting hall at akaltara</t>
  </si>
  <si>
    <t>1358 dt.22.7.10</t>
  </si>
  <si>
    <t>369 dt.29.5.10</t>
  </si>
  <si>
    <t>497 dt.28.6.10</t>
  </si>
  <si>
    <t>2763 dt.26.6.10</t>
  </si>
  <si>
    <t>8 dt.29.4.10</t>
  </si>
  <si>
    <t>0201 dt.12.5.10</t>
  </si>
  <si>
    <t>036 dt.7.6.10</t>
  </si>
  <si>
    <t>36 dt.7.6.10</t>
  </si>
  <si>
    <t>Chairs  Dark Blue PCH 7202R</t>
  </si>
  <si>
    <t>GOD/INC/09-10/13</t>
  </si>
  <si>
    <t>KITCHEN  EQUIPMENT 141014</t>
  </si>
  <si>
    <t>TRANSIT HOUSE FURNITURE - 141018</t>
  </si>
  <si>
    <t>Bed</t>
  </si>
  <si>
    <t>07</t>
  </si>
  <si>
    <t>Office Table</t>
  </si>
  <si>
    <t>75x36x4" Matresses</t>
  </si>
  <si>
    <t>SOFA SET - 141010</t>
  </si>
  <si>
    <t>Sony LCD 32" KLV -32 BX300THB, SR.No.530833238</t>
  </si>
  <si>
    <t>52 dt.24.9.10</t>
  </si>
  <si>
    <t>20 KVA UPS -Liebert S-400D</t>
  </si>
  <si>
    <t>6 KVA  UPS - Liebert Power bank</t>
  </si>
  <si>
    <t>Erection of Highmast light for 5 Nos but proportionately taken for 3 Nos  installed at site</t>
  </si>
  <si>
    <t>352 dt.22.10.10</t>
  </si>
  <si>
    <t>327 dt.19.10.10</t>
  </si>
  <si>
    <t>1.5 Ton Blue Star Make Split AC 6 Nos with 6 Nos Voltage Stabilizers (4KVA), 6 Nos ODU stands and Installation charges for Hostel at Camp office at Nariyara Plant Site</t>
  </si>
  <si>
    <t>TV Trolley</t>
  </si>
  <si>
    <t>79 dt.5.10.10</t>
  </si>
  <si>
    <t>147 dt.28.9.10</t>
  </si>
  <si>
    <t>Supply of Siemens Make Hipath 3800 System with 08-Analog Trunk Lines, 24-Digital Extensions, 96-Analog extensions nad other items</t>
  </si>
  <si>
    <t>1 set</t>
  </si>
  <si>
    <t>KTS/T/084 dt.31.05.11 &amp; KTS/P/064 dt.31.05.11</t>
  </si>
  <si>
    <t>Ahuja Sound System (Amp ssb 60W-1no, VHP wireless microphoe 1 no, ceiling speakers cs 608it 4 nos inclg installation chgrs</t>
  </si>
  <si>
    <t>MOBILE CONTAINER - STE OFFICE - 131015</t>
  </si>
  <si>
    <t>Computer Chair revolving without arms, Godrej Make</t>
  </si>
  <si>
    <t>Dining Table with six chairs (Teak wood)</t>
  </si>
  <si>
    <t>Sofa Set-Teak wood (3+1+1 with Central)</t>
  </si>
  <si>
    <t>Side Table</t>
  </si>
  <si>
    <t>Exast Fan 12' Bajaj Make</t>
  </si>
  <si>
    <t>Fans Bajaj Make</t>
  </si>
  <si>
    <t>356 dt.27.10.10</t>
  </si>
  <si>
    <t>15 Sft</t>
  </si>
  <si>
    <t>Fabrication &amp; Installation of furniture at site meeting hall (Pantry Counter)</t>
  </si>
  <si>
    <t>Fabrication &amp; Installation of furniture at site office meeting hall (Work Station)</t>
  </si>
  <si>
    <t>Fabrication &amp; Installation of furniture (Cabin with laminatedtop &amp; Overhead cabinet in pantry room)</t>
  </si>
  <si>
    <t>77 Sft &amp; 12 Sft</t>
  </si>
  <si>
    <t>1802 dt.29.9.10</t>
  </si>
  <si>
    <t>IP-ready digital ISDN key Telephone system (LOT)</t>
  </si>
  <si>
    <t>WIRELESS SET - 131019</t>
  </si>
  <si>
    <t>Depreciation - Cumulative</t>
  </si>
  <si>
    <t>FAX MACHINE  - 131003</t>
  </si>
  <si>
    <t>Bilaspur</t>
  </si>
  <si>
    <t xml:space="preserve">Fax Machine </t>
  </si>
  <si>
    <t xml:space="preserve">Water Dispenser Model No.BD 30 HL </t>
  </si>
  <si>
    <t>Olympus Binoculaus 7*35 DPSI</t>
  </si>
  <si>
    <t>Tea/Cofee Vending machine(Bru Brand)</t>
  </si>
  <si>
    <t>nil</t>
  </si>
  <si>
    <t>Mumbai</t>
  </si>
  <si>
    <t>Sony LCD 32" Bravia, Model:KLV 32 EX300</t>
  </si>
  <si>
    <t>Whirlpool Semi Automatic Washing Machine (Model: SRNo.A8kg. AEC)</t>
  </si>
  <si>
    <t>Water Dispenser (Blue Star) Model BD 30</t>
  </si>
  <si>
    <t>Supply of CSICO 2811 Router &amp; Card - 2811w/ACPWR,2FE,4HWICs,2PVDMs,INME,2AIMS,IP BASE,64F/256D</t>
  </si>
  <si>
    <t>Installation of CSICO 2811 Router &amp; Card - 2811w/ACPWR,2FE,4HWICs,2PVDMs,INME,2AIMS,IP BASE,64F/256D</t>
  </si>
  <si>
    <t>Balance Payment for Supply of 82.5 KVA AL412TG1-Genertor</t>
  </si>
  <si>
    <t>Pentax Autolevel Model AP 124(Survey Equip)</t>
  </si>
  <si>
    <t>1 set (06 pcs)</t>
  </si>
  <si>
    <t>P081</t>
  </si>
  <si>
    <t xml:space="preserve">Pentax Total Solution Model R 422N </t>
  </si>
  <si>
    <t>Dell Desktop AO-780 Base Optiplex</t>
  </si>
  <si>
    <t>Dell laptop AL-E5410 Latitude</t>
  </si>
  <si>
    <t>8030024898 dt.23.02.11</t>
  </si>
  <si>
    <t>8030024897 dt.23.02.11</t>
  </si>
  <si>
    <t xml:space="preserve">Crompton Greaves, Make Pedestal Fan 16" </t>
  </si>
  <si>
    <t>10296 dt.12.03.11</t>
  </si>
  <si>
    <t>Ahuja Amplifier TZA 4000-1 No, Ahuja PA Ceiling Speaker CSD-8401T-20 Nos, Speaker wire-5 Nos, Studio Master Cordless Mike-1 No, Philips/LG DVD Player-1 No &amp; Installation charges</t>
  </si>
  <si>
    <t>ST-C31/10-11 dt.07.02.11</t>
  </si>
  <si>
    <t>Metal box with stand</t>
  </si>
  <si>
    <t>ST-C32/10-11 dt.03.03.11</t>
  </si>
  <si>
    <t>Blue Star Make Water Dispenser, Model No.BD30HCM (Sl.No.610BD30HCM00036 &amp; M01001)</t>
  </si>
  <si>
    <t>801 dt.19.02.11</t>
  </si>
  <si>
    <t>Blue Star Make Water Dispenser, Model No.BD30HCM (Sl.No.610BD30HCM00031)</t>
  </si>
  <si>
    <t>800 dt.19.02.11</t>
  </si>
  <si>
    <t>Cat information outlets Red &amp; Blue AMP-65 &amp; 40 Nos, Cat 24 port loaded jack panel-AMP-3 &amp; 4 Nos, Dual Back box-AMP-20 Nos, Quad back box-AMP-20 nos and 100 pair krone MDF-1 No</t>
  </si>
  <si>
    <t>sum</t>
  </si>
  <si>
    <t>M/0995/10-11 dt.02.02.11</t>
  </si>
  <si>
    <t xml:space="preserve">Partition Alluminium Door (108x85) </t>
  </si>
  <si>
    <t>AUDIO SYSTEM - 131038</t>
  </si>
  <si>
    <t>Blue StarCost of 3 star-Model 3HW181YB - 1.5 TR</t>
  </si>
  <si>
    <t>Blue Star-Cost of 3 star-Model 3HW241YB - 2.0 TR</t>
  </si>
  <si>
    <t>Blue Star-Cost of SCR241YD - 2.0 TR- Cassette air</t>
  </si>
  <si>
    <t>Real guard 3 KVA satbilizer for Blue star 3 star-Model 3HW121YB - 1.0 TR</t>
  </si>
  <si>
    <t>715 dt.23.8.10</t>
  </si>
  <si>
    <t>Geyser- Bajaj 15 Ltr</t>
  </si>
  <si>
    <t>Supply &amp; Installation of IT &amp; Networking Material for meeting hall at Akaltara</t>
  </si>
  <si>
    <t>Tables</t>
  </si>
  <si>
    <t>Wooden Table Ply Top 3 x 1 1/2</t>
  </si>
  <si>
    <t>WORK STATION -141003</t>
  </si>
  <si>
    <t>WorkStation</t>
  </si>
  <si>
    <t>Rari make wardrobe 78inches with mirror</t>
  </si>
  <si>
    <t>Godrej Make Sliding Door Unit SDU 2</t>
  </si>
  <si>
    <t>200/08</t>
  </si>
  <si>
    <t>Cup Boards</t>
  </si>
  <si>
    <t>Storage racks</t>
  </si>
  <si>
    <t>Filing cabinet</t>
  </si>
  <si>
    <t>Filing cabinet &amp; File Folders</t>
  </si>
  <si>
    <t>RAI/08-09/280</t>
  </si>
  <si>
    <t>910-464</t>
  </si>
  <si>
    <t xml:space="preserve">Modem (Outdoor CPE-WIMAX) </t>
  </si>
  <si>
    <t>3 x 2 FT Fixed Table</t>
  </si>
  <si>
    <t>Networking of PCs</t>
  </si>
  <si>
    <t>Lumpsum</t>
  </si>
  <si>
    <t>Shivam-1011-02451 dt.03.01.11</t>
  </si>
  <si>
    <t>Supply of 33 KV transmission line related equipment</t>
  </si>
  <si>
    <t>RA-1 dt.29.11.10 &amp; 025 dt.11.01.11</t>
  </si>
  <si>
    <t>Micro Oven - Whirl PoolConvention type Cap 30 Ltrs - Magic Cook, SR No.WN0951000962</t>
  </si>
  <si>
    <t xml:space="preserve">Dining Table (Teak wood) with Glass Top &amp; 6 Nos Chairs </t>
  </si>
  <si>
    <t>121 dt.5.10.10</t>
  </si>
  <si>
    <t>67 dt.28.01.11</t>
  </si>
  <si>
    <t>47 dt.28.01.11</t>
  </si>
  <si>
    <t>Kitchen Equipment</t>
  </si>
  <si>
    <t>66 dt.10.01.11</t>
  </si>
  <si>
    <t xml:space="preserve">Computer Table (4x2) ft with drawer </t>
  </si>
  <si>
    <t>Laptop</t>
  </si>
  <si>
    <t>PVC Pipe for camp office, porta cabin</t>
  </si>
  <si>
    <t>Hydra hire charges for unloading of porta cabin at our project site</t>
  </si>
  <si>
    <t>Electrical items (GI Pipe 65mm, 2 core cable, service pipe, GI wire &amp; Insulator cycle) for laying electric line to porta cabin at PS3 Dongakharod and PS1 Basantpur</t>
  </si>
  <si>
    <t>Net Cabling</t>
  </si>
  <si>
    <t>01 dt.01.04.11</t>
  </si>
  <si>
    <t>Samsung double door fridge along with stabilizer</t>
  </si>
  <si>
    <t>Symphny Janbo Coolers S.No.15390, 15182</t>
  </si>
  <si>
    <t>Water Cooler (Big &amp; Small)</t>
  </si>
  <si>
    <t>Window Cooler</t>
  </si>
  <si>
    <t>Celing fans- Crompton greaves</t>
  </si>
  <si>
    <t>Eahaust fans 15"</t>
  </si>
  <si>
    <t>Micro Oven</t>
  </si>
  <si>
    <t>IT &amp; Networking at Porta cabin</t>
  </si>
  <si>
    <t>Power Distribution Board for Site Meeting Hall at Nariyara Plant</t>
  </si>
  <si>
    <t>Nariyara</t>
  </si>
  <si>
    <t>Centre Table (01) &amp; (04) Stands</t>
  </si>
  <si>
    <t>Office Tables</t>
  </si>
  <si>
    <t>Stand for Batteries for UPS</t>
  </si>
  <si>
    <t>USP Batteries</t>
  </si>
  <si>
    <t xml:space="preserve">Supply of containerised security cabin size 10x10x8.6 sft </t>
  </si>
  <si>
    <t>12 dt.06.10.10</t>
  </si>
  <si>
    <t>13 dt.25.10.10</t>
  </si>
  <si>
    <t>Supply of Alarmoud cables for site for balance 37 Nos Nos but proportionately taken for 11 Nos installed at site</t>
  </si>
  <si>
    <t>Supply of Alarmoud cables for site for balance 37 Nos but proportionately taken for 11 Nos installed at site</t>
  </si>
  <si>
    <t>Supply of current transformer (11. KV) for balance 37 Nos but proportionately taken for 11 Nos installed at site</t>
  </si>
  <si>
    <t>Kitchne Utensils</t>
  </si>
  <si>
    <t>ACP-2405G-N, Ceiling Mountable Ap, 600nW with POE Kit Building WI-FI (8 No), 24 DBI Semi Parabolic Grid Antenna (2 No), ASU-24005g, PTP/PTMP Bridge, 180 Mw, Integrated 12 dbl patch Antenna with POE kit for PTP wireless backhausting (2 Nos), Cat 6 information outlets (12 Nos), Back box (12 Nos), Cable cat 6 (2 Nos), Cat 6 4 feet patch cords (14 Nos), Single face plates (12 Nos), 9U wall mountable rack with cable manager &amp; PDU (1 No)</t>
  </si>
  <si>
    <t>M/0843/10-11 dt.04.12.10</t>
  </si>
  <si>
    <t>24 port switch HP-Proc 2510G 24 S/n:-CN035DE100 (1 No) and 24 port switch +2 GB port HP-Proc 2510 10/100 S/n:- CN035FW0x0 (1 No)</t>
  </si>
  <si>
    <t>M/0859/10-11 dt.07.12.10</t>
  </si>
  <si>
    <t>8040116306 dt.26.11.10</t>
  </si>
  <si>
    <t>03502/10-11 dt.10.03.11</t>
  </si>
  <si>
    <t>15 Mtr VGA Cable 4 Nos @ Rs.950/-, LCD Projector Ceiling mount stand with installation  2 Nos @ Rs.5,000/-</t>
  </si>
  <si>
    <t>29 dt.01.02.11</t>
  </si>
  <si>
    <t>Supply &amp; Installation of CSICO 1240 series acess point with Rp-TNC connect, FCC config, Power Injectors, Semi parabolic grid antena, cables, metal enclosers, fortigte 80c bulnde</t>
  </si>
  <si>
    <t>5 stage RO water purification systes - 40 Ltr /Hr</t>
  </si>
  <si>
    <t xml:space="preserve">Projector - APP-PROJ18-Dell M109S™Ultra portable </t>
  </si>
  <si>
    <t>5 Mtrs Leica Make Auto Level Staff for Rly &amp; Civil Dept</t>
  </si>
  <si>
    <t>VERTICAL BLINDS - 141015</t>
  </si>
  <si>
    <t>Supply of raiser cables for telephone wiring between site office block - 1&amp;2</t>
  </si>
  <si>
    <t>814 dt.22.11.10</t>
  </si>
  <si>
    <t>Safex Brand Fire Safety products (5 Kgs-28 Nos @ Rs.2,499/-, 2 Kgs-42 Nos @ Rs.1,720/-and 4.5 Kgs-4 Nos @ Rs.5,583/-)</t>
  </si>
  <si>
    <t>Safex Brand Fire Safety products (4.5 Kgs-4 Nos @ Rs.5,583/-)</t>
  </si>
  <si>
    <t>Nature of Expenditure</t>
  </si>
  <si>
    <t>Qty. / Nos.</t>
  </si>
  <si>
    <t>Others</t>
  </si>
  <si>
    <t>Bill No.</t>
  </si>
  <si>
    <t>Date of put to Use</t>
  </si>
  <si>
    <t>Place</t>
  </si>
  <si>
    <t>No. of Days</t>
  </si>
  <si>
    <t>WDV</t>
  </si>
  <si>
    <t>Depn. - Current period</t>
  </si>
  <si>
    <t xml:space="preserve">1.5 AC Hitachi with Voltage Atabilizer </t>
  </si>
  <si>
    <t>RKV-07902 dt.12.03.11</t>
  </si>
  <si>
    <t>RKV/11/0188 dt.09.04.11</t>
  </si>
  <si>
    <t>155/10-11 dt.29.03.11</t>
  </si>
  <si>
    <t>Water heator-Haier, Juice maker-Philips, Coffee Kettle-Philips, Bread Toaster morphy Richards</t>
  </si>
  <si>
    <t>Pedestal Fan</t>
  </si>
  <si>
    <t>19588 dt.19.05.11</t>
  </si>
  <si>
    <t>EPL/Hyd/005 dt.13.05.11</t>
  </si>
  <si>
    <t>121 dt.04.05.11</t>
  </si>
  <si>
    <t>Primavera P6 Enterprise Project Management software applicaion</t>
  </si>
  <si>
    <t>GGNBILL/111120024 dt.29.04.11</t>
  </si>
  <si>
    <t xml:space="preserve">Repairing of road in Km 49/8-10 on NH 49 at KMPCL junction </t>
  </si>
  <si>
    <t>Bill dtd.06.05.11</t>
  </si>
  <si>
    <t>MISCELLANEOUS FIXED ASSETS - 151006</t>
  </si>
  <si>
    <t>Supply of Reber cutting M/c Brand - Ashok, Model -GW40Z, 02 Nos, Reber Banding M/c. Brand-Ashok, Model -GQ40C 02 Nos</t>
  </si>
  <si>
    <t>VTA/5/11-12 dt.22.04.11</t>
  </si>
  <si>
    <t>Supply of welding rectifier M/c. Make ESAB and SSR 600 (10 sets) S 400 (10 Sets)</t>
  </si>
  <si>
    <t>Aluminium Indl. Cable 35 sq mmx3.5 cire ARMD for porta cabin</t>
  </si>
  <si>
    <t>Supply of XLPE installed &amp; sheated Alarmoured cables for site electricla work for 55 Nos but proportionately taken for 15 Nos installed at site</t>
  </si>
  <si>
    <t>Supply of Alarmoud cables for site for 55 Nos but proportionately taken for 15 Nos installed at site</t>
  </si>
  <si>
    <t>488 dt.26.7.10</t>
  </si>
  <si>
    <t>Supply of XLPE installed &amp; sheated Alarmoured cables for site electricla work for 55 Nos but proportionately taken for 3 Nos installed at site</t>
  </si>
  <si>
    <t>Supply of power distribution board for High Mast Power Supply for 55 Nos but proportionately taken for 3 Nos installed at site</t>
  </si>
  <si>
    <t>Construction of High mast light foundation at 6x600 MW TPP, Nariyara  for 55 Nos but proportionately taken for 15 Nos  installed at site</t>
  </si>
  <si>
    <t>Supply of power distribution board for High Mast Power Supply for 55 Nos but proportionately taken for 15 Nos installed at site</t>
  </si>
  <si>
    <t>189 to 193</t>
  </si>
  <si>
    <t>1899 dt.15.7.10</t>
  </si>
  <si>
    <t>RP/RS/10/933</t>
  </si>
  <si>
    <t>8 +20</t>
  </si>
  <si>
    <t>035/2010-11 (Final Bill) dt.26.02.11</t>
  </si>
  <si>
    <t>KSK Mahanadi Power Company Limited</t>
  </si>
  <si>
    <t>Sony Cyber Shot Model:DSC-W320 ISC, Sr.No.5772451</t>
  </si>
  <si>
    <t>Supply of Revolving chairs (Godrej)</t>
  </si>
  <si>
    <t>466 dt.20.12.10</t>
  </si>
  <si>
    <t>Sofa Set Teak wood 3+1+1 with Centre Table with glass top</t>
  </si>
  <si>
    <t>416 dt.20.11.10</t>
  </si>
  <si>
    <t>8040129947 dt.15.12.10</t>
  </si>
  <si>
    <t xml:space="preserve">Dell Laptop AL-E5410-Latitude </t>
  </si>
  <si>
    <t xml:space="preserve">Dell Laptop AL-E6400-Latitude </t>
  </si>
  <si>
    <t>032 dt.07.02.11</t>
  </si>
  <si>
    <t>Septic Tank at Porta cabin</t>
  </si>
  <si>
    <t>Sock Pite at Porta Cabin</t>
  </si>
  <si>
    <t>Leica dual struct Bipod for Railway dept</t>
  </si>
  <si>
    <t>E07/IN/10/000350 dt.14.6.10</t>
  </si>
  <si>
    <t>145,146 dt.11.5.10</t>
  </si>
  <si>
    <t>Moulded plastic chairs- Neelkamal make</t>
  </si>
  <si>
    <t>16 dt.18.06.10</t>
  </si>
  <si>
    <t>416 &amp; 417 dt.20.11.10</t>
  </si>
  <si>
    <t>77 dt.30.10.10</t>
  </si>
  <si>
    <t>ZOM/150/10-11 dt.01.12.10</t>
  </si>
  <si>
    <t>PLANT LIGHTING - 151029</t>
  </si>
  <si>
    <t>BARREL PUMP - 131017</t>
  </si>
  <si>
    <t>Supply of Liebert Make Super 410D of Double Conversion Tube online UPS of 10KVA, 3 phase input &amp; single phase output with 60 m inutes backup time alongwith battery rack &amp; interconnecting cable (A).UPS Make-Liebert Super 410D (B).Battery Make-Exide/Auanta/Rocket</t>
  </si>
  <si>
    <t>2 Sets</t>
  </si>
  <si>
    <t>Geeken Chairsodel No.GC-931 (Restaurant chairs without arms - Chrome plated)</t>
  </si>
  <si>
    <t>116 dt.26.10.10</t>
  </si>
  <si>
    <t>Almirah (Major) with 4 Shelves size 1980x915x485) MM</t>
  </si>
  <si>
    <t>RP/RS/11/575 dt.22.11.10</t>
  </si>
  <si>
    <t>BRC10800 dt.30.10.10</t>
  </si>
  <si>
    <t>Addl work-Cost of supply of Ducting and installation of Acs</t>
  </si>
  <si>
    <t>SE/09-10/023</t>
  </si>
  <si>
    <t>Split AC</t>
  </si>
  <si>
    <t>Side Stool for Bed</t>
  </si>
  <si>
    <t>Corner Table</t>
  </si>
  <si>
    <t>Bedside Table-KC 030140</t>
  </si>
  <si>
    <t>Dressing Table</t>
  </si>
  <si>
    <t>3 dt.16.4.10</t>
  </si>
  <si>
    <t>36 dt.2.8.10</t>
  </si>
  <si>
    <t>DIGITAL CAMERA - 131018</t>
  </si>
  <si>
    <t>Sony Cyber Shot Model DSCW210/SC E37</t>
  </si>
  <si>
    <t>TRANSIT HOUSE EQUIPMENT  - 131023</t>
  </si>
  <si>
    <t>Towels</t>
  </si>
  <si>
    <t>Blankets</t>
  </si>
  <si>
    <t>New Beds</t>
  </si>
  <si>
    <t>Buckets, Pipes, jali</t>
  </si>
  <si>
    <t>Cooker,Ganj,LID</t>
  </si>
  <si>
    <t>1</t>
  </si>
  <si>
    <t>1203</t>
  </si>
  <si>
    <t>Bajaj Mixi</t>
  </si>
  <si>
    <t>Water Tank 1000 Ltr</t>
  </si>
  <si>
    <t>FURNITURES &amp; FIXTURES  : GL Code - 2114</t>
  </si>
  <si>
    <t>FURNITURE &amp; FIXTURES - 141000</t>
  </si>
  <si>
    <t>Main Desk Table 1350x750x750MM</t>
  </si>
  <si>
    <t>GOD/INC/09-10/12</t>
  </si>
  <si>
    <t>Mobile Pedestal</t>
  </si>
  <si>
    <t>Wireless Smoke Detector</t>
  </si>
  <si>
    <t>Wireless Smoke Detection Panel</t>
  </si>
  <si>
    <t>SD - Repeater</t>
  </si>
  <si>
    <t>ABC MAP90 (SP) FE 2 Kg</t>
  </si>
  <si>
    <t>ABC MAP90 (SP) FE 5 Kg</t>
  </si>
  <si>
    <t>Clean Agent HCFC 123</t>
  </si>
  <si>
    <t xml:space="preserve">Installation of Acs </t>
  </si>
  <si>
    <t>J/22</t>
  </si>
  <si>
    <t>0291/06/0109/KH dt.01.10.10</t>
  </si>
  <si>
    <t>BICYCLE - 181003</t>
  </si>
  <si>
    <t>24.75 Sq. Mtr. Roller blind, Make-MAC, Model No.SD 5688</t>
  </si>
  <si>
    <t>Slotted Angel Rack of 21x36 and Height:6 Feet of 20 SWG and back support in plate</t>
  </si>
  <si>
    <t>736 dt.22.12.10</t>
  </si>
  <si>
    <t>60,61 / 14.06.10</t>
  </si>
  <si>
    <t>Projector - Make APP-PRO26,1610hd projector</t>
  </si>
  <si>
    <t>Sony Cyber Shot Model DSCW320/SC E37 S.No.8730617</t>
  </si>
  <si>
    <t>Sony Cyber Shot Model DSCW320/SC 37 S.No.8762134</t>
  </si>
  <si>
    <t>Sony Cyber Shot Model DSCW320/GC E37 S.No.8711546</t>
  </si>
  <si>
    <t>WATER COOLER - 131012</t>
  </si>
  <si>
    <t>Water cooler -Blue staf model SDLX-680 S.No.10P00673</t>
  </si>
  <si>
    <t xml:space="preserve">Nariyara </t>
  </si>
  <si>
    <t>61 dt.16.11.10</t>
  </si>
  <si>
    <t>743 dt.17.12.10</t>
  </si>
  <si>
    <t>Supply of Energy Meter for our plant (Make-Conzerv, Type:ELF 3234/3 Phase, Input Voltage 440V, Input Current : 1A, Aux Supply: 240V, Burden: 0.2 VA, Frequency: 50Hz, Accuracy Class: 1.0, Size: 98x48x40</t>
  </si>
  <si>
    <t>1st &amp; Final dt.22.5.10</t>
  </si>
  <si>
    <t>Supply &amp; Installation of Emblaze VCON Video Conference System-X Point</t>
  </si>
  <si>
    <t>Steel Bookshelf</t>
  </si>
  <si>
    <t>T V Cabinet</t>
  </si>
  <si>
    <t>Cabinet with Locker</t>
  </si>
  <si>
    <t>CENTER TABLES - 141011</t>
  </si>
  <si>
    <t>21 nos.</t>
  </si>
  <si>
    <t>CUP BOARDS - 141017</t>
  </si>
  <si>
    <t>FILINIG CABINET - 141016</t>
  </si>
  <si>
    <t>COTS - 141020</t>
  </si>
  <si>
    <t>WHITE BOARDS - 141012</t>
  </si>
  <si>
    <t>Meeting/conference tables</t>
  </si>
  <si>
    <t>Cabin tables</t>
  </si>
  <si>
    <t xml:space="preserve">Supply of Liebert Make Super 410D of Double Conversion Tube online UPS of 10KVA, 3 phase input &amp; single phase output with 60 m inutes backup time </t>
  </si>
  <si>
    <t>Dressing Table with mirror</t>
  </si>
  <si>
    <t>Office chair Revolving - Godrej</t>
  </si>
  <si>
    <t>Plastic chair - Nilkamal Heritage</t>
  </si>
  <si>
    <t>Electrical items for New Porta Cabin at Nariyara Site</t>
  </si>
  <si>
    <t>Refrigerator</t>
  </si>
  <si>
    <t>Demand Note No.Eng-53</t>
  </si>
  <si>
    <t>Pedestal Fans Havels trendy</t>
  </si>
  <si>
    <t>42 dt.08.03.11</t>
  </si>
  <si>
    <t>04715881dt.07.10.10</t>
  </si>
  <si>
    <t>Office desk for printer</t>
  </si>
  <si>
    <t>04715881 dt.07.10.10</t>
  </si>
  <si>
    <t>May/1011/032 dt.31.5.10, Jun/1011/012 &amp; 013 dt.12.6.10</t>
  </si>
  <si>
    <t>Supply of Containerised / Porta Cabin -2 Nos</t>
  </si>
  <si>
    <t>05 dt.25.7.10</t>
  </si>
  <si>
    <t>04 dt.25.7.10</t>
  </si>
  <si>
    <t>Computer Tables with 3 drawer 48x30x30</t>
  </si>
  <si>
    <t>Steel Almirah with Locker &amp; Four Shelves (1270x760x435)</t>
  </si>
  <si>
    <t xml:space="preserve">UPS </t>
  </si>
  <si>
    <t>RP/RS/11/0439 dt.04.10.10</t>
  </si>
  <si>
    <t xml:space="preserve">Major Almirahs with Four (4) Shelves, Height 1980 MM, Width 915 MM </t>
  </si>
  <si>
    <t>204/08</t>
  </si>
  <si>
    <t>GOD/INC/08-09/3235</t>
  </si>
  <si>
    <t>GOD/INC/08-09/3254</t>
  </si>
  <si>
    <t>Office chairs</t>
  </si>
  <si>
    <t>Three Seater Sofa set</t>
  </si>
  <si>
    <t>Two Seater Sofa set</t>
  </si>
  <si>
    <t>Sum of 13 Nos</t>
  </si>
  <si>
    <t>Moulded chairs</t>
  </si>
  <si>
    <t>Chairs for Dining table</t>
  </si>
  <si>
    <t>Bar Stools</t>
  </si>
  <si>
    <t>Executive Dlx Chair Model 2141</t>
  </si>
  <si>
    <t>Hi-Wall split AC 2 star rating 1.5TR Model 2HW 181YB - Blue star + Vol Stabilier 4 KVA -V-Guard + ODU stand</t>
  </si>
  <si>
    <t>4 Nos Blue Star Make Split Air Conditioners with 4 Nos Stabilzers (5KVA) fabrication of ODU stand &amp; Installation charges for porta cabin</t>
  </si>
  <si>
    <t>2 dt.07.09.10</t>
  </si>
  <si>
    <t>302 dt.18.10.10</t>
  </si>
  <si>
    <t>Unloading, installation, testing, commissioning &amp; handing over of 33 KV switch yard</t>
  </si>
  <si>
    <t>40430 dt.09.01.10</t>
  </si>
  <si>
    <t>02 dt.04.03.10</t>
  </si>
  <si>
    <t>Supply of Transmission line and DP Pole related equipment for 33 KV construction power switchyard</t>
  </si>
  <si>
    <t>118 dt.01.09.09</t>
  </si>
  <si>
    <t>114 dt.24.07.09</t>
  </si>
  <si>
    <t>116 dt.31.08.09</t>
  </si>
  <si>
    <t>GENERATOR - 131037</t>
  </si>
  <si>
    <t>Exhust pipe Line of 82.5 KVA DG set  GMMCO Make &amp; 120 SQ MM Cable</t>
  </si>
  <si>
    <t>Energy Meter Box for DG Set</t>
  </si>
  <si>
    <t>FIRE PROTECTION SYSTEM - 131004</t>
  </si>
  <si>
    <t>Crimping Tool</t>
  </si>
  <si>
    <t>PARTITIONS AND CABINS - 141026</t>
  </si>
  <si>
    <t>Siemens Make Hipath 3550 Telephone System with 02 ISDN Lines, 16-Digital Extensions &amp; 16-Analog Extensions</t>
  </si>
  <si>
    <t>KTS/T/086 dt.27.05.10</t>
  </si>
  <si>
    <t>Installation &amp; Commission of Video Conferencing equipment Make life size express 1000-0000-1106 &amp; Samsung LCD LA-40B530P7MXL</t>
  </si>
  <si>
    <t>10-11/12513</t>
  </si>
  <si>
    <t>Erection of Transmission line and DP pole and related equipment for 33 KV Construction power switchyard</t>
  </si>
  <si>
    <t>Supply of 11 KV Transmission line (Temporary construction power supply for site, before 33 KV construction switchyard-Replaced with 33 KV switchyard construction power)</t>
  </si>
  <si>
    <t>3093879 dt.21.02.11</t>
  </si>
  <si>
    <t>Canon Flash 580 E (II), Lense EF 10-22 F3.5-4.5 USM and EO 7D Kit  incl. customs duty</t>
  </si>
  <si>
    <t>VCON-M4 Xpoint HD high Definition (720 PTX 1080P RX) IP Multimedia Video Conferencing System with Samsung LCD 40" (100 Hz), Model -LA40C550J1R</t>
  </si>
  <si>
    <t>Supply of office work stations, Tables, Filing cabinet</t>
  </si>
  <si>
    <t>014 dt.09.03.11</t>
  </si>
  <si>
    <t xml:space="preserve">Multipurpose Rack (Made with wood) </t>
  </si>
  <si>
    <t>531 dt.11.03.11</t>
  </si>
  <si>
    <t>SOFTWARE  LICENSE - 281001</t>
  </si>
  <si>
    <t xml:space="preserve">RA-1 &amp; Final </t>
  </si>
  <si>
    <t>RA-1 &amp; Final dt.21.12.10</t>
  </si>
  <si>
    <t xml:space="preserve">Dining Hall - Construction of foundation </t>
  </si>
  <si>
    <t>150Sqm. MMx3.5 core, XLPE insual ted PVC tapes &amp; PVC Sheathed Alu.Armoured 1.1 KV power cable-Havells make for use of power cables for supply of power to porta cabins &amp; high mast lightings  for 55 Nos but proportionately taken for 15 Nos  installed at site</t>
  </si>
  <si>
    <t>Painting/blinds/decoration</t>
  </si>
  <si>
    <t>Big Table (8 ft x 3 ft)</t>
  </si>
  <si>
    <t>Table set with chair (GM Cabin)</t>
  </si>
  <si>
    <t>Big size table (Site Head &amp; CEO)</t>
  </si>
  <si>
    <t>Reception Table</t>
  </si>
  <si>
    <t>Revolving chair</t>
  </si>
  <si>
    <t>RI/08-09/150</t>
  </si>
  <si>
    <t xml:space="preserve">Bilaspur </t>
  </si>
  <si>
    <t>Plant and Machinery</t>
  </si>
  <si>
    <t>M/0530 dt.20.8.10</t>
  </si>
  <si>
    <t>Sofa Set</t>
  </si>
  <si>
    <t>Book case and Cup boards</t>
  </si>
  <si>
    <t>New Connectino for earth including copper cable,copper plate, coal, salt, digging of land, labourcharges etc.,</t>
  </si>
  <si>
    <t>Labour charges for input connection of UPS from AC Mains to UPS</t>
  </si>
  <si>
    <t>Labour charges for output connection of UPS from UPS for 12 PCs</t>
  </si>
  <si>
    <t>LEASE HOLD PROPERTIES  - 2131</t>
  </si>
  <si>
    <t>NIL</t>
  </si>
  <si>
    <t>Tata Sky setup box</t>
  </si>
  <si>
    <t>Tata Sky setup boxes</t>
  </si>
  <si>
    <t>Cost of supply of Ducting and installation of Acs</t>
  </si>
  <si>
    <t>Passive network components &amp; cabling installation</t>
  </si>
  <si>
    <t xml:space="preserve">Supply and installation of Passive coponent including cabling at </t>
  </si>
  <si>
    <t>116, 158</t>
  </si>
  <si>
    <t>TELEPHONE EQUIPMENT - 131011</t>
  </si>
  <si>
    <t>Cordless Phone - TG2338</t>
  </si>
  <si>
    <t>Desktop Pro Includes - Additional (Microsoft Licenses) for 106 users (Valied for 1 year from 01.03.11 to 28.02.12)</t>
  </si>
  <si>
    <t>Godrej Chair PCH - 710 R, Clour: Dark Blue</t>
  </si>
  <si>
    <t>BAPL/103/10 dt.9.10.10</t>
  </si>
  <si>
    <t>191 &amp; 192</t>
  </si>
  <si>
    <t>753 dt.06.11.10</t>
  </si>
  <si>
    <t>BRC10576 dt.31.8.10</t>
  </si>
  <si>
    <t>OFFICE EQUIPMENT - 2113</t>
  </si>
  <si>
    <t xml:space="preserve">Grand Total </t>
  </si>
  <si>
    <t>DATA PROCESSING EQUIPMENT - 191000</t>
  </si>
  <si>
    <t xml:space="preserve">Grand Total   </t>
  </si>
  <si>
    <t>PLANT &amp; MACHINERY - 2115</t>
  </si>
  <si>
    <t>ELECTRICAL EQUIPMENT - 151097</t>
  </si>
  <si>
    <t>Installation charges of IT &amp; Networking material at porta cabin, nariyara site</t>
  </si>
  <si>
    <t>Tables - Neelkamal make</t>
  </si>
  <si>
    <t>Upgradation of AutoCAD2009 to 2010 software</t>
  </si>
  <si>
    <t>Fresh Licence of AutoCAD2009 to 2010 software</t>
  </si>
  <si>
    <t>Leica Make - Model no.TS06-1 Electronic Total Sttion along with all accessories</t>
  </si>
  <si>
    <t>1 set (12 pcs)</t>
  </si>
  <si>
    <t>Supply &amp; Installation of Double Conversion True Online UPS of 6KVA, Single Phase Input &amp; Output with 16 Nos. 12V/65AH SMF Batteries of Exide Make for 60 Minutes backup time along with battery rack &amp; Inconnecting cable (UPS Make:Liebert Power Bank, Battery Make: Exide (12V/65AHx16Nos)</t>
  </si>
  <si>
    <t>Supply &amp; Installation of Double Convesion True Online UPS of 10 KVA, 3Phase Input &amp; Single Phase Output with 26 Nos. 12V/42AH SMF Batteries of Exide Make for 60 Minutes backup time along with battery rack &amp; Inconnecting cable (UPS Make:Liebert Super 410D, Battery Make:Exide (12V/42AHx26Nos)</t>
  </si>
  <si>
    <t>417 dt.20.11.10</t>
  </si>
  <si>
    <t>WASHING MACHINE  - 131029</t>
  </si>
  <si>
    <t>Washing Machine Spares</t>
  </si>
  <si>
    <t xml:space="preserve">Washing Machine </t>
  </si>
  <si>
    <t>CG/712/2007-08</t>
  </si>
  <si>
    <t>9/136</t>
  </si>
  <si>
    <t>1371 dt.18.8.10</t>
  </si>
  <si>
    <t>PV/071/10-11 dt.8.7.10</t>
  </si>
  <si>
    <t>114 / 15.7.10</t>
  </si>
  <si>
    <t>OFFICE EQUIPMENT - 131000</t>
  </si>
  <si>
    <t>Modem</t>
  </si>
  <si>
    <t>GOD,INC/09-10/3319</t>
  </si>
  <si>
    <t>GOD/INC/9-10/3295</t>
  </si>
  <si>
    <t>Net value</t>
  </si>
  <si>
    <t>RP/RS/10/908</t>
  </si>
  <si>
    <t>Particulars</t>
  </si>
  <si>
    <t>04 dt.12.6.10</t>
  </si>
  <si>
    <t>10 * 2</t>
  </si>
  <si>
    <t xml:space="preserve">Cable laying charges for 11kv S/s </t>
  </si>
  <si>
    <t>Civil work for Placement of 2 nos Porta cabins</t>
  </si>
  <si>
    <t>Cost of cable, pole trnptn, labour for fittings etc</t>
  </si>
  <si>
    <t>Power distribution board</t>
  </si>
  <si>
    <t>Street light pole 24 feet height</t>
  </si>
  <si>
    <t>Sunmercible pump 5 HP 8 stage Make CRI-3 sets, GI Pipe 2"-450 feets, socket GI 2"-48 nos, Cable wire 2.5 Sq mm 153 mtr, Panel Board -1 set, Bore cap 3 nos, Bend 2"-3 nos and Fitting charges for 3 nos</t>
  </si>
  <si>
    <t>71 to 73 dt.26.06.10</t>
  </si>
  <si>
    <t>Surface/pendent mounting luminaries for 1x36W FTL Lamps</t>
  </si>
  <si>
    <t>Sofa set</t>
  </si>
  <si>
    <t>Centre Table</t>
  </si>
  <si>
    <t>106 04.05.10</t>
  </si>
  <si>
    <t>COMPUTER SOFTWARE - 2128</t>
  </si>
  <si>
    <t>Wooden imported side table</t>
  </si>
  <si>
    <t>Supply of current transformer (11. KV) for 55 Nos for 55 Nos but proportionately taken for 15 Nos installed at site</t>
  </si>
  <si>
    <t>1 dt.6.4.10</t>
  </si>
  <si>
    <t>03 dt.6.4.10</t>
  </si>
  <si>
    <t>02 dt.6.4.10</t>
  </si>
  <si>
    <t>CE/SL/10/089 dt.10.5.10</t>
  </si>
  <si>
    <t>Conducting preliminary survey and approval from CSEB for diversion of 220 KV transmission of line</t>
  </si>
  <si>
    <t>01.08.09</t>
  </si>
  <si>
    <t>Supply, Erection, Stringing, Testing &amp; Civil works for supply of 11 KV SC Transmission Line</t>
  </si>
  <si>
    <t>161 dt.08.02.11</t>
  </si>
  <si>
    <t>Supply of 11KV SC transmission line related equipment &amp; 200 KVA transformers related equipment material at site</t>
  </si>
  <si>
    <t>150 dt.13.11.10</t>
  </si>
  <si>
    <t>Steel Almirah</t>
  </si>
  <si>
    <t>19.04.11</t>
  </si>
  <si>
    <t>Dell Desktop AO-780 base optiplex</t>
  </si>
  <si>
    <t>8040202993 dt.18.04.11 &amp; 8040205018 dt.20.03.11</t>
  </si>
  <si>
    <t>Real guard 4 KVA stabilzer for Blue StarCost of 3 star-Model 3HW181YB - 1.5 TR</t>
  </si>
  <si>
    <t>Real guard 5 KVA stabilizer for Blue Star-Cost of 3 star-Model 3HW241YB - 2.0 TR</t>
  </si>
  <si>
    <t>RA-1 dt.29.11.10 &amp; 026 dt.11.01.11</t>
  </si>
  <si>
    <t>324 / 29.7.10</t>
  </si>
  <si>
    <t>Revolving chair for Computer Table</t>
  </si>
  <si>
    <t>283 dt.08.10.10</t>
  </si>
  <si>
    <t>Euroset 802 (Basic Phone) Telephone Instruments</t>
  </si>
  <si>
    <t>WORK SHOP EQUIPMENT - 151015</t>
  </si>
  <si>
    <t xml:space="preserve">Dining hall - Fall Ceiling work </t>
  </si>
  <si>
    <t>Dining hall - Construction of Prefab Structure</t>
  </si>
  <si>
    <t>Supply of Dell Desktop AO-780N Optiplex</t>
  </si>
  <si>
    <t>Geyser 15Litre</t>
  </si>
  <si>
    <t>WATER PURIFIER - 131031</t>
  </si>
  <si>
    <t>Tataline Dispenser</t>
  </si>
  <si>
    <t>Water Purifier</t>
  </si>
  <si>
    <t>Water Dispenser</t>
  </si>
  <si>
    <t>Supply of chairs (Connect Project 02)</t>
  </si>
  <si>
    <t>Supply of chairs (Connect Project 02 (20 Nos) and Connect Project 01 (6 Nos)</t>
  </si>
  <si>
    <t>DRY &amp; Wet Vaccum cleaner</t>
  </si>
  <si>
    <t>ZOM/149/10-11 dt.01.12.10</t>
  </si>
  <si>
    <t>5568 dt.14.12.10</t>
  </si>
  <si>
    <t>Local Exhaust Fan</t>
  </si>
  <si>
    <t>Bill No.Nil dt.26.02.11</t>
  </si>
  <si>
    <t>Computerised attendance recording system (Biometric bane) Finger brand model AFA-110 monochrome display with key pad built in TCP/IP</t>
  </si>
  <si>
    <t>APS-350/10-11 dt.31.03.11</t>
  </si>
  <si>
    <t>APS-353/10-11 dt.31.03.11</t>
  </si>
  <si>
    <t>126 dt.07.12.10</t>
  </si>
  <si>
    <t>Tables (1050x600)</t>
  </si>
  <si>
    <t xml:space="preserve">HP Single Phase Mono Block Pump Setwith Accessories (1 No. Foot Volve, 3 Mtr Suction Pipe 50x50, 1 No. Motor Starter Make-Bentex, 3 Nos Hose Nipple, 1 No. Bend 2 inch &amp; 3 Nos hose clamp) for 33 KV Switchyard at plant site </t>
  </si>
  <si>
    <t>1988 dtd.27.9.10</t>
  </si>
  <si>
    <t>SLOTTED ANGLE ROCK - STORES - 131027</t>
  </si>
  <si>
    <t>1/2 Sofa</t>
  </si>
  <si>
    <t>MD Cabin Chair</t>
  </si>
  <si>
    <t>Cabin chair - Chrome base</t>
  </si>
  <si>
    <t>Cabin - Visitors (fixed)</t>
  </si>
  <si>
    <t>77 dt.10.5.10</t>
  </si>
  <si>
    <t>251 dt.1.7.10</t>
  </si>
  <si>
    <t>24.75 Sq.Mtrs</t>
  </si>
  <si>
    <t>40 dt.3.7.10</t>
  </si>
  <si>
    <t>12 dt.16.8.10</t>
  </si>
  <si>
    <t>136 dt.4.8.10</t>
  </si>
  <si>
    <t>408415</t>
  </si>
  <si>
    <t>423719</t>
  </si>
  <si>
    <t xml:space="preserve">Ceiling Fans 48' Crystal Bajaj </t>
  </si>
  <si>
    <t>Ceiling Fans 48' Hawels</t>
  </si>
  <si>
    <t>Ceiling Fans, Cropmton</t>
  </si>
  <si>
    <t>a-201</t>
  </si>
  <si>
    <t>Ceiling Fans, Bajaj</t>
  </si>
  <si>
    <t>CeilingFan</t>
  </si>
  <si>
    <t>MICROWAVE OVEN - 131006</t>
  </si>
  <si>
    <t>Micro oven</t>
  </si>
  <si>
    <t>NET CABLING - 131008</t>
  </si>
  <si>
    <t>Switch Card 3 mtr (CAT 6)</t>
  </si>
  <si>
    <t>81215/7</t>
  </si>
  <si>
    <t>Switch 16 Port Dlink</t>
  </si>
  <si>
    <t>I/O Box Single CAT 6</t>
  </si>
  <si>
    <t>RJ 45 Dlink</t>
  </si>
  <si>
    <t>Office Table 3x2 Fix and transportation charges</t>
  </si>
  <si>
    <t>326 dt.05.10.10</t>
  </si>
  <si>
    <t>366 dt.10.6.10</t>
  </si>
  <si>
    <t>159 dt.04.5.10</t>
  </si>
  <si>
    <t>BG263317 &amp; BG263335 dt.16.7.10</t>
  </si>
  <si>
    <t>BG251272 dt. 12.05.10</t>
  </si>
  <si>
    <t>BG256581 dt. 09.06.10</t>
  </si>
  <si>
    <t>355 dt.25.5.10</t>
  </si>
  <si>
    <t>447 dt.15.6.10</t>
  </si>
  <si>
    <t>1074/S dt.8.6.10</t>
  </si>
  <si>
    <t>Vehicles</t>
  </si>
  <si>
    <t>Total</t>
  </si>
  <si>
    <t>Gross Block</t>
  </si>
  <si>
    <t>Depreciation/Amortisation</t>
  </si>
  <si>
    <t>For the period</t>
  </si>
  <si>
    <t>Loewe 3str-5 Nos @ Rs.31,950/-, Loewe 2str-1 No @ Rs.25,950/-, Loewe 1str-5 Nos @ Rs.18,950/-and Bellagio Coff Tab-D.Wint-1 No. @ Rs.17,950/- Less 25% discount</t>
  </si>
  <si>
    <t>013141041401 dt.25.05.11</t>
  </si>
  <si>
    <t>Bajaj - 21090A Pedestal Fan</t>
  </si>
  <si>
    <t>018359 dt.03.05.11</t>
  </si>
  <si>
    <t xml:space="preserve">Hitachi WAC 1.5T Quadricool RAV418ERD and VOLTZ STAB 4KAV Analog Plain2step </t>
  </si>
  <si>
    <t>IFB Microwave oven 30SC3</t>
  </si>
  <si>
    <t>1 each</t>
  </si>
  <si>
    <t>Haier Water heater ES-15E V1</t>
  </si>
  <si>
    <t>Kent WP Grand Plus Water purifier</t>
  </si>
  <si>
    <t>6 Seater Meeting Table - 2 Nos @ Rs.10,273/- and Conference Table @ Rs.19,355/-</t>
  </si>
  <si>
    <t>Metal key board tray without mouse tray - 14 Nos @ Rs.403/-, CPU Trolley - 14 Nos @ Rs.415/-, 3D Movable Pedastal - 14 Nos @ Rs.3,537/- and Storage with Hinged Door Unit - 3 Nos @ Rs.9,338/-</t>
  </si>
  <si>
    <t>Curvlinear Workstation - 14 Nos @ Rs.14,407.5</t>
  </si>
  <si>
    <t>Whirlpool Double Door Refrigerator</t>
  </si>
  <si>
    <t>Electrical items &amp; installation-porta cabin &amp; 33 KV Meter fencing</t>
  </si>
  <si>
    <t>Sum of bills (4/5, 28/4 &amp; 29/4)</t>
  </si>
  <si>
    <t>L189</t>
  </si>
  <si>
    <t>L189,/254</t>
  </si>
  <si>
    <t>30 Mtr High mast foundation bolts, Template &amp; Anchor plates, 30 Mtr High mast shaft with accessories (Head frame, Lantern Carriage, Motor/Winch mounting brackets etc for panel lighting located at Nariyara)  for 25 Nos but proportionately taken for 15 Nos  installed at site</t>
  </si>
  <si>
    <t>30 Mtr high mast shaft with accessories(Head frame, Lantern Carriage etc)  for 25 Nos but proportionately taken for 15 Nos  installed at site</t>
  </si>
  <si>
    <t>Bajaj Make Light fittings 2*400 watt HPSV Non Integral flood lights for Nariyara Plant site  for 25 Nos but proportionately taken for 15 Nos  installed at site</t>
  </si>
  <si>
    <t>30 Mtrs high mast lighting system with its accessories for nariyara plant site for 25 Nos but proportionately taken for 15 Nos  installed at site</t>
  </si>
  <si>
    <t>Erection of Highmast lights, flood light luminaries and erection of control panel  for 5 Nos but proportionately taken for 3 Nos  installed at site</t>
  </si>
  <si>
    <t>Supply of PCC panel for meeting hall</t>
  </si>
  <si>
    <t>140 dt.20.10.10</t>
  </si>
  <si>
    <t>Supply &amp; Fixing of 2 Nos Hume pipes for 33 KV Sub-Station Road at Nariyara</t>
  </si>
  <si>
    <t>01 dt.07.09.10</t>
  </si>
  <si>
    <t>Stone dust filling</t>
  </si>
  <si>
    <t>815 dt.30.10.10</t>
  </si>
  <si>
    <t>91 &amp; 0003 dt.5.5.10</t>
  </si>
  <si>
    <t>41 dt.24.5.10</t>
  </si>
  <si>
    <t>752 dt.6.11.10</t>
  </si>
  <si>
    <t xml:space="preserve">Supply &amp; Installtion of Microtek make UPS 875VA/12 volt, Single trolly &amp; Okaya Make battery 150AH </t>
  </si>
  <si>
    <t>66 dt.19.10.10</t>
  </si>
  <si>
    <t>Lot</t>
  </si>
  <si>
    <t>Mixer Grinder</t>
  </si>
  <si>
    <t>Camera</t>
  </si>
  <si>
    <t>Sony Cyber Shot-210 W</t>
  </si>
  <si>
    <t>Supply of Dell Desktop AO-780N Optiplex,</t>
  </si>
  <si>
    <t>8040115617 dt.26.11.10</t>
  </si>
  <si>
    <t>Dell Optiplex ™ 780DT base Desktop</t>
  </si>
  <si>
    <t>8040156364 dt.17.01.11</t>
  </si>
  <si>
    <t>Fabrication &amp; Fixing</t>
  </si>
  <si>
    <t>3 Star Split AC 1.5Ton</t>
  </si>
  <si>
    <t>Voltage Stablizers</t>
  </si>
  <si>
    <t>Installation charges of Air Conditioners</t>
  </si>
  <si>
    <t>Fixing of outdoor unit bracket</t>
  </si>
  <si>
    <t>Water Dispenser, Stabilizers &amp; Fittings</t>
  </si>
  <si>
    <t>3 Star Split AC 1.5 ton  incg Stabilizer + Installation chgrs</t>
  </si>
  <si>
    <t>White Board, Notice Board</t>
  </si>
  <si>
    <t>TABLES - 141021</t>
  </si>
  <si>
    <t>Transportation charges for supply of Porta office cabin containers at site office</t>
  </si>
  <si>
    <t>E-400 dt.19.02.11</t>
  </si>
  <si>
    <t>131 dt.08.02.11</t>
  </si>
  <si>
    <t>Supply of Extra Kitchen Equipment including transportation</t>
  </si>
  <si>
    <t>067 dt.11.02.11</t>
  </si>
  <si>
    <t>Steel Almirahs</t>
  </si>
  <si>
    <t>932 dt.14.02.11</t>
  </si>
  <si>
    <t>122/664 dt.29.12.10</t>
  </si>
  <si>
    <t>ABC MAP90 FE 25 Kg</t>
  </si>
  <si>
    <t>122/665 dt.29.12.10</t>
  </si>
  <si>
    <t>122/682 dt.31.12.10</t>
  </si>
  <si>
    <t>Pentax Total Station Model R 422N (1 No), Batteries BP 02C (2 nos), Battery charger STDCO3 (1 No), Heavy Duty Wooden Stands (1 No), Single Prism with Target Plate (1 No), Range Pole Pentax (1 No) Mini Prism (1 No), Mini Prism Range Pole (1 No) and Bipod Stands (1 Nos)</t>
  </si>
  <si>
    <t>P375 dt.08.11.10</t>
  </si>
  <si>
    <t>Digital Camera</t>
  </si>
  <si>
    <t>Construction of AC Platform near Porta Cabin (Excavation, PCC(1:4:8), Brick work (1:6), Brick work in each pit, Plaster (1:5) &amp; Plaster in earth pit)</t>
  </si>
  <si>
    <t>Nil dt.14.6.10</t>
  </si>
  <si>
    <t>Exhaust fan</t>
  </si>
  <si>
    <t>AO-755nDT Dell Optiplex 755 n Desktop</t>
  </si>
  <si>
    <t xml:space="preserve">Desktops - AO-760N </t>
  </si>
  <si>
    <t>bg196382</t>
  </si>
  <si>
    <t>Desk tops - ao760N Optiplex</t>
  </si>
  <si>
    <t>97 dt.28.02.11</t>
  </si>
  <si>
    <t>96 dt.28.02.11</t>
  </si>
  <si>
    <t>Standard HR Management Software in VB 6.0 Multi user / Access with MS Access having M.I.S., Leave and Auto shift management, master customization (License), Attendance Machine wooden box and Installation &amp; commissioning charges</t>
  </si>
  <si>
    <t>Installation, testing &amp; commissioning of audio set up</t>
  </si>
  <si>
    <t>Sofa Set 3+2</t>
  </si>
  <si>
    <t>Office Chairs Revolving type with arm Make Godrej-2 Nos, Computer chairs revolving type without Arm Make Godrej-4 Nos and Plastic chairs Make Nilkamal Heritage-12 Nos)</t>
  </si>
  <si>
    <t>Chairs for work stations, Ergo Bravo Model No.M01, Mid back chairs with adjustable arm, stainless steel base, syncro tilt base</t>
  </si>
  <si>
    <t>Wooden cot 3'x6' and Mattress 3'x6' Make Godrej</t>
  </si>
  <si>
    <t>Office Table T 104 Make Godrej</t>
  </si>
  <si>
    <t>Tables with Glass top (5' x 2 1/2') (40 Nos for Site Canteen and 30 Nos for Camp office)</t>
  </si>
  <si>
    <t>Office Tables T-104 Godrej</t>
  </si>
  <si>
    <t>Steel Almirahs, Make-Zenith</t>
  </si>
  <si>
    <t>Steel Almirahs Zenith 7.8"</t>
  </si>
  <si>
    <t>Dining Table six chairs Teak wood</t>
  </si>
  <si>
    <t>Side Table (Bed)</t>
  </si>
  <si>
    <t xml:space="preserve">Supply &amp; Installation of Data Voice items </t>
  </si>
  <si>
    <t>SM/100/10-11 dt.23.12.10</t>
  </si>
  <si>
    <t>SM/79/10-11 dt.24.12.10</t>
  </si>
  <si>
    <t>Furniture &amp; Fixtures</t>
  </si>
  <si>
    <t>Adjustments / Deletions</t>
  </si>
  <si>
    <t>6' x 4' &amp; 6' x 3' wooden cots</t>
  </si>
  <si>
    <t>111 dt.26.01.11</t>
  </si>
  <si>
    <t>3 x 2 fix frame office table</t>
  </si>
  <si>
    <t>542 dt.26.01.11</t>
  </si>
  <si>
    <t>Computer</t>
  </si>
  <si>
    <t>Supply of High mast lighting  for 5 Nos but proportionately taken for 3 Nos  installed at site</t>
  </si>
  <si>
    <t>10-11/143A dt.6.7.10</t>
  </si>
  <si>
    <t>Discharge Rod Rating 33 KVA</t>
  </si>
  <si>
    <t>Manual cum motorize insulation tester range upto 2500 volt with 4t test lead set make waco S.No.853752</t>
  </si>
  <si>
    <t>10-11/143 dt.6.7.10</t>
  </si>
  <si>
    <t>10-11/165 dt.19.7.10</t>
  </si>
  <si>
    <t xml:space="preserve">Motwane Make Digital Earth resistance meter model DET 20, </t>
  </si>
  <si>
    <t xml:space="preserve"> Digital Lux meter 0-20000 lux imported </t>
  </si>
  <si>
    <t xml:space="preserve"> Wacon make hand operated migger 500volt 100 M Ohms with test lead</t>
  </si>
  <si>
    <t>ELCB Tester Micro Processor based setting 3 MA to 500 MA "SEW Make"</t>
  </si>
  <si>
    <t>10-11/194 dt.9.8.10</t>
  </si>
  <si>
    <t>Leica dual strut support for GLS11/11K Bipod for Civil dept</t>
  </si>
  <si>
    <t>E07/IN/10/000589 dt.27.7.10</t>
  </si>
  <si>
    <t>SWITCH YARD - 151010 (33 kv Construction Switch Yard)</t>
  </si>
  <si>
    <t>Supply of Transmission Line and DP Pole for 33 KV Switch Yard</t>
  </si>
  <si>
    <t>113 dt.13.06.09</t>
  </si>
  <si>
    <t>002-9-10 dt.01.09.09</t>
  </si>
  <si>
    <t>004-9-10 dt.22.11.09</t>
  </si>
  <si>
    <t>5 &amp; 6 dt.14.12.09</t>
  </si>
  <si>
    <t>8, 9 dt.03.02.10</t>
  </si>
  <si>
    <t>10 dt.15.02.10</t>
  </si>
  <si>
    <t xml:space="preserve">ZION Chair </t>
  </si>
  <si>
    <t>ZOM/340/10-11 dt.11.02.11</t>
  </si>
  <si>
    <t>Café Table</t>
  </si>
  <si>
    <t>Primavera  P6 PPM (PART OF ABOVE)</t>
  </si>
  <si>
    <t>Electrial Works - External - 201004</t>
  </si>
  <si>
    <t>175/KH</t>
  </si>
  <si>
    <t>Fabrication of RCC pillars 600 x 450 x 500, Height 500 MM incl labour and cost of materials</t>
  </si>
  <si>
    <t>Safe Locker</t>
  </si>
  <si>
    <t xml:space="preserve">Raipur </t>
  </si>
  <si>
    <t xml:space="preserve">Bhopal </t>
  </si>
  <si>
    <t xml:space="preserve">Hyderabad </t>
  </si>
  <si>
    <t>Sanitary Items for Toilets at Site near Porta Cabin</t>
  </si>
  <si>
    <t>Sum</t>
  </si>
  <si>
    <t>Nil dt.04.09.10</t>
  </si>
  <si>
    <t>53 dt.03.09.10</t>
  </si>
  <si>
    <t>RA-1 dt.06.09.10</t>
  </si>
  <si>
    <t>Nil dt.02.10.10</t>
  </si>
  <si>
    <t>NIL dt.14.09.10</t>
  </si>
  <si>
    <t>Electronic balance - 30 Kg  - Sharp</t>
  </si>
  <si>
    <t>Rapid moisture metere - 0.50%</t>
  </si>
  <si>
    <t>Hyderabad</t>
  </si>
  <si>
    <t>AIR CONDITIONERS - 131001</t>
  </si>
  <si>
    <t>MOTORS - 131007</t>
  </si>
  <si>
    <t>HP Single Phase Pumpset (Make Kirloskar) and accessories</t>
  </si>
  <si>
    <t>2001 dt.15.10.10</t>
  </si>
  <si>
    <t>First &amp; Final Bill dt.01.10.10</t>
  </si>
  <si>
    <t>Construction charges of DG Set room near site meeting hall</t>
  </si>
  <si>
    <t>Bill dt.16.08.10</t>
  </si>
  <si>
    <t>Supply and fixing of Sintex tank with GI Pipe fitting etc. at Nariyara</t>
  </si>
  <si>
    <t>RA-1 dt.10.08.10</t>
  </si>
  <si>
    <t>TRANSMISSION LINES - 151018</t>
  </si>
  <si>
    <t>Supply of 33 KV Transmission related equipment</t>
  </si>
  <si>
    <t>146 dt.30.07.10</t>
  </si>
  <si>
    <t xml:space="preserve">Unloading, pre-commissioning, ready for energisation handingover of transmission lines </t>
  </si>
  <si>
    <t>150 dt.09.10.10</t>
  </si>
  <si>
    <t>155 dt.28.01.11</t>
  </si>
  <si>
    <t>157 dt.18.02.11</t>
  </si>
  <si>
    <t>Exhaust Fan (Crompton Greaves)</t>
  </si>
  <si>
    <t>867 dt.27.11.10</t>
  </si>
  <si>
    <t>Exhaust Fan 12" (Bajaj Make) &amp; Ceiling Fans-Bajaj Make</t>
  </si>
  <si>
    <t>Grand Total</t>
  </si>
  <si>
    <t>375421</t>
  </si>
  <si>
    <t>Tea/Cofee Vending machine</t>
  </si>
  <si>
    <t>gv-4</t>
  </si>
  <si>
    <t>Primavera P6 Enterprise Project Management software</t>
  </si>
  <si>
    <t>GGNLBILL/110110201 dt.15.10.10</t>
  </si>
  <si>
    <t>Black stone for foundation of 2 porta cabins</t>
  </si>
  <si>
    <t>Electrical items for New Porta Cabins (4 Nos) at Nariyara Site</t>
  </si>
  <si>
    <t>Nx 112 - Workstation chairs</t>
  </si>
  <si>
    <t>Nx 111 - Conference chiars (medium back ) revolving</t>
  </si>
  <si>
    <t>GENERATOR SET - 151032</t>
  </si>
  <si>
    <t>Supply of 125 KVA &amp; 250 KVA diesel generator set with AMF panels</t>
  </si>
  <si>
    <t>19E1104370 &amp; 19E1101389 dt.18.01.11</t>
  </si>
  <si>
    <t>ADH,BILAS/RSM.1160208/349</t>
  </si>
  <si>
    <t>Supply of Hydra &amp; Man Power for unloading of porta cabin at MISDA ZEC site</t>
  </si>
  <si>
    <t>Supply of Siemens Make Openstage 40T Digital Phones</t>
  </si>
  <si>
    <t>KTS/T/405 dt.27.01.11</t>
  </si>
  <si>
    <t>8040033385 dt.11.8.10</t>
  </si>
  <si>
    <t xml:space="preserve">Supply of Dell Laptops, AL-E6410 Latitude </t>
  </si>
  <si>
    <t>1880, 1881 dt.9.8.10 &amp; 2671 dt.11.8.10</t>
  </si>
  <si>
    <t>918 dt.29.7.10</t>
  </si>
  <si>
    <t>SAFE LOCKER (CASH) - 131048</t>
  </si>
  <si>
    <t xml:space="preserve">Godrej Safe 27" at KSK-2 </t>
  </si>
  <si>
    <t>AIR COOLERS  - 131022</t>
  </si>
  <si>
    <t>Passive Network Horizontal cabling for Data &amp; Coice desciption - metworking</t>
  </si>
  <si>
    <t>1793 dt.10.4.10</t>
  </si>
  <si>
    <t>1 &amp; Final</t>
  </si>
  <si>
    <t>Difference in Supply of Deligate unit Make Ahuja make CMD 4200</t>
  </si>
  <si>
    <t>Set</t>
  </si>
  <si>
    <t>35 dt.11.8.10</t>
  </si>
  <si>
    <t>Supply of Electrical items for UPS Installation at Raipur Guest House</t>
  </si>
  <si>
    <t>Fabrication &amp; Installation of furniture at site meeting hall (Conference Table)</t>
  </si>
  <si>
    <t xml:space="preserve">Altas super strong 2 inch Green </t>
  </si>
  <si>
    <t>144/177</t>
  </si>
  <si>
    <t xml:space="preserve">Akaltara </t>
  </si>
  <si>
    <t>Fire Extinguishers (1 Taroud Guesthouse, 1 Admin Port A Cabin, 3 Meeting hall &amp; 1 DG Panel romm)</t>
  </si>
  <si>
    <t>Micro Oven cap 20 ltr (Whirl Pool Make)</t>
  </si>
  <si>
    <t>ABC Stored Pressure Fire Extinguisher 2 Kg (map 90)-6 Nos, 5 Kg (map 90)-6 Nos and Sand Bucket with Stand set of 4 buckets</t>
  </si>
  <si>
    <t>ELECTRICAL INSTALLATIONS - 2120</t>
  </si>
  <si>
    <t>Electrical Installation - Transformers - 201005</t>
  </si>
  <si>
    <t>ABC 2kg new Fire Extinguisher</t>
  </si>
  <si>
    <t>LCD PROJECTOR - 131005</t>
  </si>
  <si>
    <t>Dell Projector 1409X</t>
  </si>
  <si>
    <t>BG205059</t>
  </si>
  <si>
    <t>Geyser-Crompton015 ltr</t>
  </si>
  <si>
    <t>OTH/09-10/20</t>
  </si>
  <si>
    <t>09-10/60089</t>
  </si>
  <si>
    <t>VACCUM CLEANER - 131046</t>
  </si>
  <si>
    <t>PASSENGER CARS - 181001</t>
  </si>
  <si>
    <t>VEHICLES - 181000</t>
  </si>
  <si>
    <t>SCOOTERS &amp; MOTOR CYCLES - 181002</t>
  </si>
  <si>
    <t>SURVEY EQUIPMENT - 271002</t>
  </si>
  <si>
    <t>MISCELLANEOUS EQUIPMENT - GROSS BLOCK - 2127</t>
  </si>
  <si>
    <t>VEHICLES - 2118</t>
  </si>
  <si>
    <t>144/55 dt.10.7.10</t>
  </si>
  <si>
    <t xml:space="preserve">Electrical work at camp office and electrical items </t>
  </si>
  <si>
    <t>Different dates</t>
  </si>
  <si>
    <t>Labour charges for electrical work at porta cabin &amp; 33 KV Meter fencing, Sand for 33 KV fencing &amp; Cable laying, Cement for fencing work at 33 KV DP and Making 2 Nos Cable drum stand</t>
  </si>
  <si>
    <t>Nilkamal Make Chairs - 2135</t>
  </si>
  <si>
    <t>Steel House keeping racks</t>
  </si>
  <si>
    <t>DINING TABLE - 141002</t>
  </si>
  <si>
    <t>Dining/ Conference Table 8 x 4 with 6 Chairs</t>
  </si>
  <si>
    <t>1450</t>
  </si>
  <si>
    <t>CST DIFF-Executive Dlx Chair Model 2151</t>
  </si>
  <si>
    <t>746 dt.23.10.10</t>
  </si>
  <si>
    <t>Dining Table</t>
  </si>
  <si>
    <t>Supply of 1 No Almirah (Major with 4 shelves) for electrical department</t>
  </si>
  <si>
    <t>574 dt.25.11.10</t>
  </si>
  <si>
    <t>COMPUTER SOFTWARE - 281002</t>
  </si>
  <si>
    <t>AS/SW-021/10-11 dt.16.11.10</t>
  </si>
  <si>
    <t>Computer Software on DVD Media: Fresh License of Auto CAD 2011 Software-Network License (SL.No.357-56649646, 357-56649745, 357-56649844, 357-56649943, 357-56650042)</t>
  </si>
  <si>
    <t>596 dt.15.12.10</t>
  </si>
  <si>
    <t>001 dt.16.4.10</t>
  </si>
  <si>
    <t>Electrical Installations - Transmission Lines - 201002</t>
  </si>
  <si>
    <t>Supply of transmission lines and related equipment for 11 KV &amp; 33 KV single circuit transmission line Length Max. 0.8 km</t>
  </si>
  <si>
    <t>157 dt.25.12.10</t>
  </si>
  <si>
    <t>Erection of 11 KV &amp; 33 KV single circuit transmission line length max.0.8 km and dismantling of existing transmission line 0.5 km length</t>
  </si>
  <si>
    <t>158 dt.25.12.10</t>
  </si>
  <si>
    <t>Modification of 11 KV CSPDCL Transmission line from Banahil to Amora near our plant earth stocking yard</t>
  </si>
  <si>
    <t>SIDE TABLES (CREDENZA) - 141023</t>
  </si>
  <si>
    <t>IT &amp; Networking Material for 4 Nos New Porta Cabin</t>
  </si>
  <si>
    <t>1 Nos 24 Port Giga Ethernet Switch Manageable, HP Procurve 25 10 G-24</t>
  </si>
  <si>
    <t>Center Tables (1 or 2)</t>
  </si>
  <si>
    <t>DATA PROCESSING EQUIPMENT - 2119</t>
  </si>
  <si>
    <t>Godrej Make Popular 27 Safe Locker (Height-685, Width-535, Depth-510, Net weight-90 Kg)</t>
  </si>
  <si>
    <t>09-10/60069,80012</t>
  </si>
  <si>
    <t>Sun Screen fittings for porta cabin glass</t>
  </si>
  <si>
    <t>2767 dt.13.5.10</t>
  </si>
  <si>
    <t>Construction of High mast light foundation at 6x600 MW TPP, Nariyara  for 55 Nos but proportionately taken for 3 Nos installed at site</t>
  </si>
  <si>
    <t>Steel Almirah Make Zenith size 78"</t>
  </si>
  <si>
    <t>564/10 dt.22.02.11</t>
  </si>
  <si>
    <t>Moulded Chairs Brand Nilkamal Model-Passion 2135, colour-coffee</t>
  </si>
  <si>
    <t>007 dt.28.02.11</t>
  </si>
  <si>
    <t>231 dt.03.02.11</t>
  </si>
  <si>
    <t xml:space="preserve">Dining hall - Supply &amp; laying of VINYL Flooring </t>
  </si>
  <si>
    <t>File Cabinet of 20 ft length</t>
  </si>
  <si>
    <t>File cabinet L shape</t>
  </si>
  <si>
    <t>File cabinet of 6 ft size</t>
  </si>
  <si>
    <t>Electrical &amp; Networking for interior works  at Block-1 &amp; 2 of our site building</t>
  </si>
  <si>
    <t>PNS/KSK/35/10-11 dt.12.02.11</t>
  </si>
  <si>
    <t>Air conditioning works for Site office block 1 &amp; 2</t>
  </si>
  <si>
    <t>Work ststion/partition/storage works</t>
  </si>
  <si>
    <t>WOODEN FLOORING - 141013</t>
  </si>
  <si>
    <t>Bill dt (26/4, 27/4, 28/4 and 22/4)</t>
  </si>
  <si>
    <t>TN385</t>
  </si>
  <si>
    <t>402579</t>
  </si>
  <si>
    <t xml:space="preserve">Projector 1410X, </t>
  </si>
  <si>
    <t>Installation charges of IT Material at meeting hall at site</t>
  </si>
  <si>
    <t>266-69</t>
  </si>
  <si>
    <t>Supply &amp; Installation of Ofice Furniture Tables-32 Nos, Conference Table-1No, Executive std chairs-42 nos for Porta cabin at site</t>
  </si>
  <si>
    <t>2010/2011/108 dt.18.05.10</t>
  </si>
  <si>
    <t>Beds, Almirah and Mattress</t>
  </si>
  <si>
    <t>106 dt.4.5.10</t>
  </si>
  <si>
    <t>16 dt.18.6.10</t>
  </si>
  <si>
    <t>77 dt.10.7.10</t>
  </si>
  <si>
    <t>Almirahs and Mattress</t>
  </si>
  <si>
    <t>56 dt.3.9.10</t>
  </si>
  <si>
    <t>LADDER - 131024</t>
  </si>
  <si>
    <t>GEYSER  - 131028</t>
  </si>
  <si>
    <t>2010/2011/108 dt. 18.05.10</t>
  </si>
  <si>
    <t>68 dt.14.8.10</t>
  </si>
  <si>
    <t>Cable Crimping Tools Hydraulic Capacity upto 400sq.mm Make Jansons Model No.HPCT 20B</t>
  </si>
  <si>
    <t>Hand Crimping tools upto 16 sq mm Make Janson</t>
  </si>
  <si>
    <t>10-11/28 dt.24.04.10</t>
  </si>
  <si>
    <t>Analog Multimeter Make Motwane, Model No.8 X MK III, Sl.No.271289</t>
  </si>
  <si>
    <t>10-11/29 dt.26.04.10</t>
  </si>
  <si>
    <t>10-11/16 dt.16.04.10</t>
  </si>
  <si>
    <t>Digital Multi meter Make Motwane Model DM 6K1</t>
  </si>
  <si>
    <t>Digital Clamp Meter 1000 AAC Model No.DCM 30A Make Motwanw</t>
  </si>
  <si>
    <t>Godrej Make Fire Resistant Record Cabinet</t>
  </si>
  <si>
    <t>BAPL/105/10 dt.12.10.10</t>
  </si>
  <si>
    <t>LCD Display System</t>
  </si>
  <si>
    <t>REFRIGERATOR  - 131010</t>
  </si>
  <si>
    <t>Refregerator - LG Make</t>
  </si>
  <si>
    <t>02/10-11 dt.19.8.10</t>
  </si>
  <si>
    <t>1.5 Ton 3 Star Split ACS inclg Stabilier + Instllation chgrs</t>
  </si>
  <si>
    <t>TELEVISION - 131013</t>
  </si>
  <si>
    <t xml:space="preserve">Sony CTV </t>
  </si>
  <si>
    <t>Transortation charges of Slotted Angel Racks</t>
  </si>
  <si>
    <t>2235 dt.06.10.10</t>
  </si>
  <si>
    <t>24 &amp; 25 dt.17.02.11</t>
  </si>
  <si>
    <t>CST DIFF-Three Seater Sofa set</t>
  </si>
  <si>
    <t>GSC/1041/09-2010</t>
  </si>
  <si>
    <t>1407, 1585</t>
  </si>
  <si>
    <t>SOFA SET</t>
  </si>
  <si>
    <t>2009/2010/113</t>
  </si>
  <si>
    <t>AC/JN/167 dt.14.02.11</t>
  </si>
  <si>
    <t>Amora</t>
  </si>
  <si>
    <t>Erection of 11 KVA Transmission line at Nariyara</t>
  </si>
  <si>
    <t>156 dt.13.12.10</t>
  </si>
  <si>
    <t>Erection of electric pole in camp office area</t>
  </si>
  <si>
    <t>Cable, trench, cable laying, earth pits, earth strip laying, cable termination and pcc panel erection jobs at Nariyara site</t>
  </si>
  <si>
    <t>22 dt.29.10.10</t>
  </si>
  <si>
    <t>Supply &amp; installation of tBit collabwrite ver 6.x</t>
  </si>
  <si>
    <t>Nil dt.28.01.10 &amp; 42 dt.21.03.11</t>
  </si>
  <si>
    <t>Sony, KLV-32EX300 Television</t>
  </si>
  <si>
    <t xml:space="preserve">Emerson Liebert Make S410D 10KVA UPS System with 26 Nos of Batteries </t>
  </si>
  <si>
    <t>HTX07201000116 / 9.7.10</t>
  </si>
  <si>
    <t>No.of Days considered to Amortize</t>
  </si>
  <si>
    <t>Sony - Model VPL Ex7 LCD projectection</t>
  </si>
  <si>
    <t xml:space="preserve">Supply &amp; Installation of Extra Passive components &amp; network cables at </t>
  </si>
  <si>
    <t>Steel Almirah Zenith size 78'</t>
  </si>
  <si>
    <t>353 dt.27.10.10</t>
  </si>
  <si>
    <t>Computer Tables</t>
  </si>
  <si>
    <t>Wooden cot 3x61 size</t>
  </si>
  <si>
    <t>Office Table T - 104 Godrej</t>
  </si>
  <si>
    <t>355 dt.27.10.10</t>
  </si>
  <si>
    <t>3194 dt.10.6.10</t>
  </si>
  <si>
    <t>1234 dt.02.06.10</t>
  </si>
  <si>
    <t>COMPUTERS - 191001</t>
  </si>
  <si>
    <t>CAT 6 Cable D link</t>
  </si>
  <si>
    <t>Tool Punching</t>
  </si>
  <si>
    <t>Spike Guard</t>
  </si>
  <si>
    <t>Supply &amp; Installation of IT &amp; Networking Material for our Raipur Guesthouse</t>
  </si>
  <si>
    <t>2315 dt.14.09.10</t>
  </si>
  <si>
    <t>3 Star Split AC 1.5 ton  3HW181YB</t>
  </si>
  <si>
    <t>1.5 TR AC cassette split Model SCR 181yb</t>
  </si>
  <si>
    <t>Ducted split Unit DSA3361 R1 84158210</t>
  </si>
  <si>
    <t>Submercible pum 5 HP 8 stage make CRI-2 Nos, GI Pipe 2"-300 nos, Socket GI 2"-30 nos, Cable wire 2.5 Sq mm-100 nos, Panel Board-2 nos, Bore Cap 6"-2 nos, Bend 2"-2 nos, Pipe Clamp with nut bolt size 2"-2 nos and fitting charge-2 nos</t>
  </si>
  <si>
    <t>74 &amp; 75 dt.28.06.10</t>
  </si>
  <si>
    <t>Drilling of 2 Nos of Borewells of 6" size, supply &amp; fixing of GI casing pipe of 150 mm diameter up to required depth as desired by our site engineer, providing and fixing of MS well cap, providing &amp; fixing of socket and welding of each joint of pipe</t>
  </si>
  <si>
    <t>21 &amp; 22 dt.02.02.11</t>
  </si>
  <si>
    <t>Submercible pump 2 HP 12 stage (Make-CRI)-2 nos, GI Pipe 1 1/2"-280 Feet, Socket 1 1/4"-30 nos, Bend 1 1/4"-2 nos, Clamp 1 1/4"-4 nos, Cap 1 1/4" x 6"-2 nos, Cable Cu. 2.5 Sqmm-100 Mtr and Ele.Panel Board-2 nos</t>
  </si>
  <si>
    <t>23 dt.03.03.11</t>
  </si>
  <si>
    <t>Chairman Unit CMC 4100-1 No, Delegate Unit CMD 4200-10 Nos, Amplifier for system CMA 4400-1 No, Celling Speaker CS 508IT-12 Nos, UHF Hand Held Cord Less Mike AWM 890 UHF-2 Nos, VHF Tie Mike Cord Less ER 58/EL58-2 Nos &amp; Mixer Five Channel MMX55-1 No</t>
  </si>
  <si>
    <t>1 Set</t>
  </si>
  <si>
    <t>1074 dt.8.6.10</t>
  </si>
  <si>
    <t>Sony DVD Player - SR650P, Amplifier &amp; Speaker</t>
  </si>
  <si>
    <t>5308 dt.01.0211, 396 dt.03.02.11 and 2084 dt.03.02.11</t>
  </si>
  <si>
    <t>Trnsptn</t>
  </si>
  <si>
    <t>Debi Note No.11 dt.09.02.11</t>
  </si>
  <si>
    <t>Oracle 10G (52164-5738 Sevice Tax refunded by party)</t>
  </si>
  <si>
    <t>20KVA UPS - Liebert make with 26 batteries (set)</t>
  </si>
  <si>
    <t>775 mtrs</t>
  </si>
  <si>
    <t>175/kh</t>
  </si>
  <si>
    <t>Halogen fittings along with tubes</t>
  </si>
  <si>
    <t>RP/RS/10/0976</t>
  </si>
  <si>
    <t>GOD/INC/09-10/3298</t>
  </si>
  <si>
    <t>1st stage 50% and 2nd stage 50% for unloading, installation, testing, pre-commissioning ready for energisation and handing over 33 KV transmission line</t>
  </si>
  <si>
    <t>Supply of copper cable 50AqMM 1.1 KV GD, 26 Mtr &amp; Lighting arrestor 1 Mtr complete set-2 Nos for 33 KV Sub station at Nariyara</t>
  </si>
  <si>
    <t>136 dt.14.03.10</t>
  </si>
  <si>
    <t>140 dt.18.04.10</t>
  </si>
  <si>
    <t>10264 dt.12.06.10</t>
  </si>
  <si>
    <t>Cost of one Additional bay &amp; Supervision charges</t>
  </si>
  <si>
    <t>Provision to be made (Balance to billed)</t>
  </si>
  <si>
    <t>306915215 dt.24.03.10</t>
  </si>
  <si>
    <t>306921683 dt.29.05.10</t>
  </si>
  <si>
    <t>10141 dt.23.04.10</t>
  </si>
  <si>
    <t>Nil dt.30.07.10</t>
  </si>
  <si>
    <t>SIPH11CU0061 dt.30.05.10</t>
  </si>
  <si>
    <t>061dt.27.07.10</t>
  </si>
  <si>
    <t>108 B dt.20.08.10</t>
  </si>
  <si>
    <t>108 A dt.20.08.10</t>
  </si>
  <si>
    <t>APJ 1610HD Base (AP) HD Projector 1610xHD</t>
  </si>
  <si>
    <t>9020044132 dt.20.05.11</t>
  </si>
  <si>
    <t>Samsung Refrigerator 230 Ltrs</t>
  </si>
  <si>
    <t>E-182 dt.08.06.11</t>
  </si>
  <si>
    <t>Kharsia</t>
  </si>
  <si>
    <t>Air coolers</t>
  </si>
  <si>
    <t>Samsung Colout Television with stand</t>
  </si>
  <si>
    <t>Ceiling fans</t>
  </si>
  <si>
    <t>Water purifier - CAP -18 Ltr</t>
  </si>
  <si>
    <t>Tata Sky Digicomp</t>
  </si>
  <si>
    <t>Supply of Diut 2 ISDN Pri Card for Hipath 3800 System</t>
  </si>
  <si>
    <t>KTS/098 dt.06.06.11</t>
  </si>
  <si>
    <t xml:space="preserve">Supply and Installation of Containerised porta cabins </t>
  </si>
  <si>
    <t>82 dt.19.05.11</t>
  </si>
  <si>
    <t>081 dt.19.05.11</t>
  </si>
  <si>
    <t>Supply of computerised attendance recording system finger based model AFA110 monochrome display (with key pad)</t>
  </si>
  <si>
    <t>ACS-023/11-12 dt.29.04.11</t>
  </si>
  <si>
    <t>10 dt.18.05.11</t>
  </si>
  <si>
    <t xml:space="preserve">Window coolers with stand 4/2.5 inch </t>
  </si>
  <si>
    <t>07 dt.19.05.11</t>
  </si>
  <si>
    <t xml:space="preserve">Ceiling fans 1200 MM Make Orpat Air Flora </t>
  </si>
  <si>
    <t xml:space="preserve">Supply of 25 IFS Application Licenses  35% of implementation charges for IFS ERP for material management </t>
  </si>
  <si>
    <t>153, 154 &amp; 166-28.09.10 &amp; 13.10.10, IFS/10-11/186-16.11.10, IFS/10-11/309-16.02.11</t>
  </si>
  <si>
    <t>Bicycle</t>
  </si>
  <si>
    <t>42 dt.23.05.11</t>
  </si>
  <si>
    <t>Supply of 384 Cu Mtr Crusher Stone 10 mm to 20 mm</t>
  </si>
  <si>
    <t>67, 70 &amp; 77 dt.13.06.11</t>
  </si>
  <si>
    <t>1785 dt.30.04.11</t>
  </si>
  <si>
    <t>DEWATERING PUMP - 151061</t>
  </si>
  <si>
    <t>VTA/09/11-12/11 dt.30.05.11</t>
  </si>
  <si>
    <t xml:space="preserve">Supply of Dewatering Diesel Engine pump make Kirloskar </t>
  </si>
  <si>
    <t>Supply of Openwell pumps, Self priming pumps, &amp; Diesel engine pump</t>
  </si>
  <si>
    <t xml:space="preserve">Supply of Shoe Shining machine (Sole cleaner) </t>
  </si>
  <si>
    <t>11-12/3069 dt.25.02.11</t>
  </si>
  <si>
    <t>Usha water Dispencer floor type coolers</t>
  </si>
  <si>
    <t>E-202 dt.18.06.11</t>
  </si>
  <si>
    <t>Desert Cooler big size</t>
  </si>
  <si>
    <t>E-162 dt.02.06.11</t>
  </si>
  <si>
    <t>E-217 dt.21.06.11</t>
  </si>
  <si>
    <t>Khaitan Paloma Fan</t>
  </si>
  <si>
    <t>APS-074/11-12 dt.22.06.11</t>
  </si>
  <si>
    <t xml:space="preserve">Havells Ceiling fan XP-39 white </t>
  </si>
  <si>
    <t>E-199 dt.15.06.11</t>
  </si>
  <si>
    <t>100 MM Verticle blinds Symphony, Quantity:15.68</t>
  </si>
  <si>
    <t xml:space="preserve">RO Water purification system 5 stage CAP 40 Ltr </t>
  </si>
  <si>
    <t>Office table executive</t>
  </si>
  <si>
    <t>5065 dt.06.06.11</t>
  </si>
  <si>
    <t>Revolving chairs executive</t>
  </si>
  <si>
    <t>113242 dt.23.05.11</t>
  </si>
  <si>
    <t>Seorinarayan</t>
  </si>
  <si>
    <t>BRC11341 dt.23.05.11</t>
  </si>
  <si>
    <t>Visa Power - 30 KVAR AMPFC Panel V4N (2 Nso), 50 Sqmm x 3.5 Core Alluminium Armd Cable (10 Nos), 2.5 Sqmm x 2 Core Flexible Cable (10 Nos) and 100/5 CT, Glands, Luges, Accessories</t>
  </si>
  <si>
    <t>TIV-500 dt.25.06.11</t>
  </si>
  <si>
    <t>7968, 7967 and 7969 dt.31.05.11</t>
  </si>
  <si>
    <t>Supply of 3 Phase oil filled transformers (630 KVA 33/0.433 KV, 500 KVA 33/0.433 KV and 200 KVA 33/0.433 KV)</t>
  </si>
  <si>
    <t>Symphony Air Cooler Model Jumbo - 2 Nos @ Rs.6,800/- each, Junior 36 Nos @ Rs.5,500/- each</t>
  </si>
  <si>
    <t>1 dt.10.05.11</t>
  </si>
  <si>
    <t>Offline UPS 1 KVA, Iboll</t>
  </si>
  <si>
    <t>705 dt.05.04.11</t>
  </si>
  <si>
    <t>Zenith Make Steel Almirah 78" size</t>
  </si>
  <si>
    <t>Voltage Stabilizer-2KVR, CAPRI Make 150V-290V</t>
  </si>
  <si>
    <t>Cutting &amp; Bending Machine</t>
  </si>
  <si>
    <t>VTA/3/11-12 dt.06.04.11</t>
  </si>
  <si>
    <t>Supply of Rotory hammer &amp; drill bit make hilti (Rs.28562/- for 2 Nos, Rs.1211/- for 4 Nos, Rs.2728/- for 4 Nos, 6275/- for 4 Nos, Rs.54566/- for 4 Nos and Rs.5320/- for 4 Nos)</t>
  </si>
  <si>
    <t>Dell Laptop 1 S R Black, Coreis 3320, w-7</t>
  </si>
  <si>
    <t>111, 110 &amp; 109 dt.25.04.11</t>
  </si>
  <si>
    <t>Shree/BAP/31/10-11 dt.27.05.11</t>
  </si>
  <si>
    <t>Dell Laptop accessories</t>
  </si>
  <si>
    <t>11102253 dt.29.04.11</t>
  </si>
  <si>
    <t>Scanner</t>
  </si>
  <si>
    <t>09768734 dt.25.04.11</t>
  </si>
  <si>
    <t xml:space="preserve">Siemens make SLA 24 N Card-1 No, Polycom SS EX audio conference phone with mics-1 No and Euroset 2005 phones-16 Nos </t>
  </si>
  <si>
    <t>KTS/T/052 dt.31.05.11</t>
  </si>
  <si>
    <t xml:space="preserve">Supply of Finger based computerised attendance recording system, Model AFA110 Monochrome display (with key pad) </t>
  </si>
  <si>
    <t>APS-075/11-12 dt.22.06.11</t>
  </si>
  <si>
    <t>Drilling of Borewell size - 6" (04 Nos)</t>
  </si>
  <si>
    <t>2011/4218 dt.28.04.11</t>
  </si>
  <si>
    <t>Supply of concrete breaker, Flat Chisel and pointed out chisel</t>
  </si>
  <si>
    <t>Supply of Light fittings for dining hall at plant site</t>
  </si>
  <si>
    <t>67 dt.16.11.10</t>
  </si>
  <si>
    <t xml:space="preserve">Supply of power contractor for site office PCC panel </t>
  </si>
  <si>
    <t>60 dt.11.11.10</t>
  </si>
  <si>
    <t>Supply of electrical items for site work and Supply of Hologen Rod 1000 W-20 Nos &amp; Battery 9 V-5 Nos</t>
  </si>
  <si>
    <t>44 dt.08.12.10 &amp; 51 dt.20.12.10</t>
  </si>
  <si>
    <t>Supply of Electrical items for site officce Luminaries &amp; Panel Accessories</t>
  </si>
  <si>
    <t>96 &amp; 97 dt.05.02.11</t>
  </si>
  <si>
    <t xml:space="preserve">Supply of 24 port Giga Internet switch </t>
  </si>
  <si>
    <t>Bill dtd.29.03.11</t>
  </si>
  <si>
    <t>Supply of verticle wire managers and cable ladder for block offices at Nariyara Site</t>
  </si>
  <si>
    <t>M/1125 dt.08.03.11</t>
  </si>
  <si>
    <t>Installation and configuration of IT equipment &amp; Networking material for stores block at site</t>
  </si>
  <si>
    <t>S/0800A/10-11 dt.14.03.11 &amp; S/0829/10-11 dt.29.03.11</t>
  </si>
  <si>
    <t xml:space="preserve">6 Nos 240 mm cable glands and 30 nos ring alum lugs </t>
  </si>
  <si>
    <t>E/539 dt.28.03.11</t>
  </si>
  <si>
    <t>100 MM GI pipe 60 ft purchased for 33 KV switchyard at plant site, 35sqm 3.5 core armd alum cable etc fro 33 kv switchyard and Supply of polycab make cables for 33 KV switchyard</t>
  </si>
  <si>
    <t>NE443/05/175/GSM dt.01.02.10</t>
  </si>
  <si>
    <t>Demand note from CSPDCL towards application fee for shifting of 33 KVA Line Nariyara feeder at Banahil</t>
  </si>
  <si>
    <t>Demand note from CSPDCL towards application fee for shifting of 11 KVA Line Nariyara feeder at Banahil</t>
  </si>
  <si>
    <t xml:space="preserve">Supervision charges for shifting of 33 KV line Akaltara-1 to Banahil under Nariyara D/C of O&amp;M Division Akaltara </t>
  </si>
  <si>
    <t>High mast lightings</t>
  </si>
  <si>
    <t>0291/06/0109/KH, 327 and 352 dt.22.10.10</t>
  </si>
  <si>
    <t>Supply of energy meter diris A40 model no.DAP-48250A40 Sl.No.10242320322 make HPL Socomec for electrical dept.</t>
  </si>
  <si>
    <t>034 dt.10.03.11</t>
  </si>
  <si>
    <t>Poly cab brand power cables for electrical work at Porta cabins</t>
  </si>
  <si>
    <t>EX9/06/175 &amp; EX/KH/KH060029 dt.17.04.10 &amp; 17.05.10</t>
  </si>
  <si>
    <t>25 set 30 mtr high mast foundation bolts, templates &amp; anchor plates, 10 sets 30 mtr high mast shaft with accessories, light fittings 2x400 watts HPSV non internal flood lights-25 sets, 25 nos of 30 mtrs high mast lighting system with its accessories (5 no capitalised out of 25 nos but proportionately taken (Total 50 Nos, already capitalised 31 nos and balance 19 nos to be capitalised)</t>
  </si>
  <si>
    <t>High mast light shifted at new location of KMPCL site Nariyara (out of 8 nos 3 nos capitalised)</t>
  </si>
  <si>
    <t>01 dt.08.05.11</t>
  </si>
  <si>
    <t>Erection of Highmast lights, flood light luminaries and erection of control panel  for 5 Nos but proportionately taken for balance 2 Nos  installed at site</t>
  </si>
  <si>
    <t>150Sqm. MMx3.5 core, XLPE insual ted PVC tapes &amp; PVC Sheathed Alu.Armoured 1.1 KV power cable-Havells make for use of power cables for supply of power to porta cabins &amp; high mast lightings  for 55 Nos but proportionately taken for balance 26 Nos installed at site</t>
  </si>
  <si>
    <t>Supply of power distribution board for High Mast Power Supply for 55 Nos but proportionately taken for balance 26 Nos installed at site</t>
  </si>
  <si>
    <t>Supply of armoured cable</t>
  </si>
  <si>
    <t>E-27 dt.12.04.11</t>
  </si>
  <si>
    <t xml:space="preserve">10 sets of metal halide fitting with 400 w lamp make havells, 500 mtr SB arm cu cable -havell </t>
  </si>
  <si>
    <t>72 dt.30.03.11</t>
  </si>
  <si>
    <t>818 dt.20.06.11</t>
  </si>
  <si>
    <t>Air Conditioners</t>
  </si>
  <si>
    <t>Work stations</t>
  </si>
  <si>
    <t>Revolving chairs</t>
  </si>
  <si>
    <t>File Cabinet of 20fit length &amp; 6 ft size</t>
  </si>
  <si>
    <t>Interiors</t>
  </si>
  <si>
    <t>Tone Japan Make Electric Torque control wrench model No.GSR 72E suitable for M22 and M24 bolts (Import of torque 3 nos)</t>
  </si>
  <si>
    <t>Bill dtd.20.05.11</t>
  </si>
  <si>
    <t>Wireless Modem</t>
  </si>
  <si>
    <t>Supply of life size phone</t>
  </si>
  <si>
    <t>VSPL-SL/597/11-12 dt.08.07.11</t>
  </si>
  <si>
    <t>Ceiling fans 1200 MM Make SS 390</t>
  </si>
  <si>
    <t>8249 dt.18.06.11</t>
  </si>
  <si>
    <t>Steel Almirah (Trinidad 2 door wardrobe model MA 014173)</t>
  </si>
  <si>
    <t>1240107 dt.30.06.11</t>
  </si>
  <si>
    <t>867 dt.22.07.11</t>
  </si>
  <si>
    <t>848 dt.12.07.11</t>
  </si>
  <si>
    <t>78,79 &amp; 89 dt.25.06.11</t>
  </si>
  <si>
    <t>LABORATORY EQUIPMENT - 151016</t>
  </si>
  <si>
    <t>Supply of High intensity radiographic film viewer  Model:Radant SS 207</t>
  </si>
  <si>
    <t>RD/11/001/11 dt.27.06.11</t>
  </si>
  <si>
    <t>Video conference equipment (720P, 169 wide screen mode HD camera upto 1280x720 resolution, 4 times optical zoom support)</t>
  </si>
  <si>
    <t>Television</t>
  </si>
  <si>
    <t>Supply, Installation &amp; Commissioning of web based video conferencing license &amp; web based cameras</t>
  </si>
  <si>
    <t>PLC-VC-2011-12/098 dt.30.07.11</t>
  </si>
  <si>
    <t>Nariyara, Hyd</t>
  </si>
  <si>
    <t>Moulded Chairs</t>
  </si>
  <si>
    <t>315 dt.04.08.11</t>
  </si>
  <si>
    <t xml:space="preserve">Supply of storages for KSK-6 extension works </t>
  </si>
  <si>
    <t>Lamination Board Almirah 6.5 FT</t>
  </si>
  <si>
    <t>Single bed 3x6 teakwood 18mm ply, matress foam with pillow (Sleepwell)</t>
  </si>
  <si>
    <t>Study table 3x2.5</t>
  </si>
  <si>
    <t>Laptop - Compaq CQ42-233TU</t>
  </si>
  <si>
    <t>July/010 dt.06.07.11</t>
  </si>
  <si>
    <t>Aug/004 dt.03.08.11</t>
  </si>
  <si>
    <t>1112-00635 dt.30.06.11</t>
  </si>
  <si>
    <t xml:space="preserve">Supply of Pre-fabricated structure steel and Aerocon Panels for proposed dining hall at camp office </t>
  </si>
  <si>
    <t>108 dt.22.01.11</t>
  </si>
  <si>
    <t xml:space="preserve">Fabrication &amp; Erection of Aerocon Pre-Fab Structure for dinig hall at camp office </t>
  </si>
  <si>
    <t>06 dt.22.01.11</t>
  </si>
  <si>
    <t xml:space="preserve">Plumbing, Sanitory, Flooring &amp; Electrical works for dining hall at camp site at banahil </t>
  </si>
  <si>
    <t>048/10-11 dt.02.03.11</t>
  </si>
  <si>
    <t>049/10-11 dt.05.03.11</t>
  </si>
  <si>
    <t>Supply of extra material BOM for wireless bridging, modular router and switch</t>
  </si>
  <si>
    <t>129 dt.22.08.11</t>
  </si>
  <si>
    <t>Installation and commissioning for Attendance recording system</t>
  </si>
  <si>
    <t>AS/SW-006/11-12 dt.03.08.11</t>
  </si>
  <si>
    <t>Havells 15 Ltrs  Geyser</t>
  </si>
  <si>
    <t>8332 dt.20.07.11</t>
  </si>
  <si>
    <t>8327 dt.19.07.11</t>
  </si>
  <si>
    <t>Havells Make Exhaust fan</t>
  </si>
  <si>
    <t>8328 dt.19.07.11</t>
  </si>
  <si>
    <t>Diva wall fan make Havells</t>
  </si>
  <si>
    <t>Bill dtd.23.09.11</t>
  </si>
  <si>
    <t>Bill dt.14.07.11</t>
  </si>
  <si>
    <t>Cassette Ac-2 Tr Inclg Cabling</t>
  </si>
  <si>
    <t>3 Star Split Ac - 1 Tr</t>
  </si>
  <si>
    <t>Stabiliers -3Kva - Real Guard</t>
  </si>
  <si>
    <t>Lcd-Model Klv 32T-550A</t>
  </si>
  <si>
    <t>Ups 1550 Va-Microtek Inclg Installation</t>
  </si>
  <si>
    <t>Okaya Battery-Red Big-Tabular Xl600T</t>
  </si>
  <si>
    <t>Trolley</t>
  </si>
  <si>
    <t>Double Conversion True Online Ups</t>
  </si>
  <si>
    <t>16 Nos. Set Of Amarraj Quanta 12V/26Ahx Batteries</t>
  </si>
  <si>
    <t>Pre-Fabricated Bldg -Cabin Including 1.5 Ac Samsung(2Nos), Wheel Chairs(14 Nos) Wall Mounted Tables(2), Independted Tables(2) &amp; Storage Cabins(2)</t>
  </si>
  <si>
    <t>Pre-Fabricated Bldg- Toilet</t>
  </si>
  <si>
    <t>Gyser 15 Lt</t>
  </si>
  <si>
    <t>Gyser 15 Lt-Crompton Greaves</t>
  </si>
  <si>
    <t>Ceiling Mount Kit For Peojecter</t>
  </si>
  <si>
    <t>Mixer-Nexia Tc, Teleconference Dsp</t>
  </si>
  <si>
    <t>Amplifier</t>
  </si>
  <si>
    <t>Expansion Module</t>
  </si>
  <si>
    <t>Ceiling Speakers</t>
  </si>
  <si>
    <t>Collar Mic</t>
  </si>
  <si>
    <t>Hand Held Mic</t>
  </si>
  <si>
    <t>Pocium Mic</t>
  </si>
  <si>
    <t>Control System</t>
  </si>
  <si>
    <t>Switcher</t>
  </si>
  <si>
    <t>Splitter</t>
  </si>
  <si>
    <t>Patch Plate</t>
  </si>
  <si>
    <t>Executive Standard Chairs-Gm-2153</t>
  </si>
  <si>
    <t>Chairs-X-17</t>
  </si>
  <si>
    <t>Fibre Chairs</t>
  </si>
  <si>
    <t>Cabinet-Vsdu - Godrej &amp; Boyce</t>
  </si>
  <si>
    <t>Steel Book Case 4 Drawers</t>
  </si>
  <si>
    <t>Single Bed Teak Wood 3X61/4</t>
  </si>
  <si>
    <t>Mattresses 3X61/4 With Pillow</t>
  </si>
  <si>
    <t>Table-1000X600X750-Gcom-802</t>
  </si>
  <si>
    <t>Conference Table 4000X840X750</t>
  </si>
  <si>
    <t>Key Board Tray</t>
  </si>
  <si>
    <t>Table 3X2(3 Drawer)</t>
  </si>
  <si>
    <t>C.Table 5X2</t>
  </si>
  <si>
    <t>Diff Of Cst-Printer Table</t>
  </si>
  <si>
    <t>Storewel-Godrej Make</t>
  </si>
  <si>
    <t>Major Locker</t>
  </si>
  <si>
    <t>Almirahs 6 X 6.25</t>
  </si>
  <si>
    <t>CST Diff-Steel Almirah 750x450x1200</t>
  </si>
  <si>
    <t>CST Diff-Steel Almirah 6000x450x1200</t>
  </si>
  <si>
    <t>Difference in CST</t>
  </si>
  <si>
    <t>Dining Table Teak Wood With Glass Frame And 6 Chairs</t>
  </si>
  <si>
    <t>Side Table(Bed) Teak Ply</t>
  </si>
  <si>
    <t>E316 dt.04.08.11</t>
  </si>
  <si>
    <t>Laptops-AL-4300N-Dell Latitude</t>
  </si>
  <si>
    <t>Desktops AO-78,Optiplex</t>
  </si>
  <si>
    <t>AO-780N DT-Dell Optiplex 780-N Series</t>
  </si>
  <si>
    <t xml:space="preserve">Laptops-AL-E300n-Dell Latitude </t>
  </si>
  <si>
    <t xml:space="preserve">Laptops-AL-E600-Dell Latitude </t>
  </si>
  <si>
    <t xml:space="preserve">Dell Desktops 260S Tower </t>
  </si>
  <si>
    <t>8040314339 dt.03.08.11</t>
  </si>
  <si>
    <t>Dell Laptops Model:Vostro 3450 with 2nd Generation Processor</t>
  </si>
  <si>
    <t>8040314725 dt.04.08.11</t>
  </si>
  <si>
    <t>RE/1112/0118 dt.17.09.11</t>
  </si>
  <si>
    <t>Pedestal Fans Model-Trend, Make-Havells</t>
  </si>
  <si>
    <t>E-425 dt.17.09.11</t>
  </si>
  <si>
    <t>Matress</t>
  </si>
  <si>
    <t>E-427 dt.17.09.11</t>
  </si>
  <si>
    <t>290 dt.23.08.11</t>
  </si>
  <si>
    <t>112 &amp; 115 dt.05.09.11 &amp; 10.09.11</t>
  </si>
  <si>
    <t>Civil work for site office (Block-3&amp;4) inside plant area</t>
  </si>
  <si>
    <t>RA-1, 2 &amp; Final</t>
  </si>
  <si>
    <t xml:space="preserve">Plumbing, Electrical anf Finishing works for Bachelor quarters t our camp office, plant site and Finishing works &amp; Plumbing and sanitory works for bachelor quarters </t>
  </si>
  <si>
    <t>RA-1,2,3 &amp; '041/2010-11</t>
  </si>
  <si>
    <t>324, 01, 006 &amp; 029 dt.18.10.10, 16.11.10, 24.11.10 &amp; 20.08.11</t>
  </si>
  <si>
    <t xml:space="preserve">Supply of material at site for fabrication &amp; erection of Prefab structure with Aerocon panels, roofing sheet &amp; internal wall for our site </t>
  </si>
  <si>
    <t>Fabrication &amp; Erection of prefab structure with Aerocon panels for our stores office block</t>
  </si>
  <si>
    <t>007 &amp; 012 dt.25.11.10 &amp; 22.02.11</t>
  </si>
  <si>
    <t>Construction of labour quarters super structure with aerocon v panels</t>
  </si>
  <si>
    <t>INV001/KSK, INV003/KSK &amp; '006/KSK dt.6.4.11, 8.4.11 &amp; 27.4.11</t>
  </si>
  <si>
    <t xml:space="preserve">Interior works for stores office building, false ceiling erection of partition walls &amp; 25 after receipt of AC units, electrical panel energising, commission of sanitary fixtures for construction of store office building  and completion towards interior works for storage buildings works at KMPCL at nariyara, akaltara </t>
  </si>
  <si>
    <t>RA-1 (044/10-11), 047/10-11 (Pre-Final Bill) and '02/2011-12 dt.02.02.11, 26.02.11 and 07.04.11</t>
  </si>
  <si>
    <t>Construction of Vehicle service platform &amp; development at site</t>
  </si>
  <si>
    <t>RA-1 &amp; final dt.04.08.11</t>
  </si>
  <si>
    <t>Supply of wooden ply for construction of security post, and GI corrugated sheet &amp; pipe hook with washers for construction of security post</t>
  </si>
  <si>
    <t>312 dt.27.05.10 &amp; 309 dt.24.05.10</t>
  </si>
  <si>
    <t>Supply of Submersible pump cable 2.5 Sq. mmx3 core flat cable make bentex</t>
  </si>
  <si>
    <t>160 Mtrs</t>
  </si>
  <si>
    <t>61 dt.17.11.10</t>
  </si>
  <si>
    <t xml:space="preserve">Drilling of 3 Nos guaranteed borewell aize 6" </t>
  </si>
  <si>
    <t>20081421 dt.01.04.11</t>
  </si>
  <si>
    <t>Supply of Submercible &amp; fitting charges</t>
  </si>
  <si>
    <t>14 dt.22.4.11 &amp; 23 dt.10.05.11</t>
  </si>
  <si>
    <t>Construction of building for site office block 1 &amp; 2 inside plant area</t>
  </si>
  <si>
    <t>RA-1 dt.15.7.10, RA-2 dt.04.09.10 &amp; RA-3&amp;Final dt.18.12.10</t>
  </si>
  <si>
    <t>Civil work for Store office, DG set foundation, drain work</t>
  </si>
  <si>
    <t>RA-1 dt.28.03.11</t>
  </si>
  <si>
    <t>Fabrication, erection and fittings etc.,</t>
  </si>
  <si>
    <t>Bill dtd.25.02.11</t>
  </si>
  <si>
    <t>177 dt.28.2.11, AC/JNJ/23 dt.4.5.11 &amp; 19 dt.26.06.11</t>
  </si>
  <si>
    <t>5.5 km 33 KV transmission line including supply of material, erection &amp; commissioning at Nariyara (To give supply to site office and High mast)</t>
  </si>
  <si>
    <t>Supply of electrical material and installtion for project site, Nariyara</t>
  </si>
  <si>
    <t xml:space="preserve">377 and 378 </t>
  </si>
  <si>
    <t>Computerised Attendance recording system finger based model AFA110C TFT Colour display</t>
  </si>
  <si>
    <t>APS139/A/11-12 dt.06.09.11</t>
  </si>
  <si>
    <t>Supply of steel storage</t>
  </si>
  <si>
    <t>0004875 dt.19.10.11</t>
  </si>
  <si>
    <t>PUBLIC ADDRESS AND COMMUNICATION SYSTEM - 131049</t>
  </si>
  <si>
    <t xml:space="preserve">Supply of PA Meghaphone </t>
  </si>
  <si>
    <t>CR-56 dt.30.09.11</t>
  </si>
  <si>
    <t xml:space="preserve">Single Moduled PP Shell 16 guage round pipe with SS 304 grade legs cafetaris chairs </t>
  </si>
  <si>
    <t>9626 dt.17.10.11</t>
  </si>
  <si>
    <t>E-388 dt.01.09.11</t>
  </si>
  <si>
    <t xml:space="preserve">Lamination Board Almirah Storewell </t>
  </si>
  <si>
    <t>E388 dt.01.09.11</t>
  </si>
  <si>
    <t>Matress foam with pillow (Sleepwell)</t>
  </si>
  <si>
    <t>M/0528/11-12 dt.15.09.11</t>
  </si>
  <si>
    <t xml:space="preserve">Supply of 150 CU Mtrs Crusher Stone 10 mm to 20 mm </t>
  </si>
  <si>
    <t>179 &amp; 180 dt.14.10.11</t>
  </si>
  <si>
    <t>E-503 dt.18.10.11</t>
  </si>
  <si>
    <t>E-560 dt.10.11.11</t>
  </si>
  <si>
    <t xml:space="preserve">Water Dispencer floor type Make Usha </t>
  </si>
  <si>
    <t>331 &amp; 332 dt.26.09.11</t>
  </si>
  <si>
    <t>Samsung Refrigerator Double door</t>
  </si>
  <si>
    <t>Nilkamal Moulded chairs</t>
  </si>
  <si>
    <t>Study table 3x2</t>
  </si>
  <si>
    <t>LCD TV</t>
  </si>
  <si>
    <t>333 dt.4.11.11</t>
  </si>
  <si>
    <t>333 dt.04.11.11</t>
  </si>
  <si>
    <t xml:space="preserve">Steel Slited Angle Rack </t>
  </si>
  <si>
    <t>1048 dt.09.11.11</t>
  </si>
  <si>
    <t>Lecture Stand</t>
  </si>
  <si>
    <t>Fans</t>
  </si>
  <si>
    <t>48 dt.28.10.11</t>
  </si>
  <si>
    <t>E-502 dt.18.10.11</t>
  </si>
  <si>
    <t>Interiors (Fitment of wire mesh alluminium frame at camp office building, banahil)</t>
  </si>
  <si>
    <t>32 dt.28.10.11</t>
  </si>
  <si>
    <t>Alluminium partition in the new office behind the 4 room quarter</t>
  </si>
  <si>
    <t>PNS/KSK/47/11-12 dt.12.10.11</t>
  </si>
  <si>
    <t xml:space="preserve">Dell Desktop Vostro - Model 260S Tower with 2nd Generation processor </t>
  </si>
  <si>
    <t>8040362294 dt.06.10.11</t>
  </si>
  <si>
    <t>8040362464 dt.06.10.11</t>
  </si>
  <si>
    <t xml:space="preserve">Dell Laptop Model Vostro 3450 with 2nd generation processor </t>
  </si>
  <si>
    <t>8040377980 dt.23.10.11</t>
  </si>
  <si>
    <t>8040364467 dt.08.10.11</t>
  </si>
  <si>
    <t>8040362229 dt.06.10.11</t>
  </si>
  <si>
    <t xml:space="preserve">Dell laptop Model : Vostro 3450 with 2nd generation processor </t>
  </si>
  <si>
    <t>8040377708 dt.22.10.11</t>
  </si>
  <si>
    <t>356 dt.18.10.11</t>
  </si>
  <si>
    <t>Microtek 230 VAC UPS (1 No) &amp; Inverter battery 12V/200AH (2 Nos)</t>
  </si>
  <si>
    <t>71 dt.03.11.11</t>
  </si>
  <si>
    <t>130 dt.30.09.11</t>
  </si>
  <si>
    <t>131 dt.30.09.11</t>
  </si>
  <si>
    <t>Low Back Chairs (GM Cabins-8 Nos, Security porta cabin-4 Nos, C&amp;I (2) porta cabin-8 Nos and Mechanical boiler 3 - 4 Nos</t>
  </si>
  <si>
    <t xml:space="preserve">Low back chair-Model NX132, Mid back chairs-Model NX131, TA-Bular chairs with push back-Model NX133 </t>
  </si>
  <si>
    <t>407 dt.01.11.11</t>
  </si>
  <si>
    <t>Side Tables (New GM Cabins, Security cabin, C&amp;I porta cabin &amp; Mech. Porta cabins)</t>
  </si>
  <si>
    <t>134 dt.30.09.11</t>
  </si>
  <si>
    <t>Executive Table with drawer for New GM cabin</t>
  </si>
  <si>
    <t>132 dt.30.09.11</t>
  </si>
  <si>
    <t>11-12/013 dt.15.10.11</t>
  </si>
  <si>
    <t xml:space="preserve">Hilti breaker model TE-111 AVR concrete </t>
  </si>
  <si>
    <t>2310 dt.08.10.11</t>
  </si>
  <si>
    <t xml:space="preserve">Aqua Guard Classic (UV) flow rate 1HR/60 Ltr </t>
  </si>
  <si>
    <t>9003 dt.26.11.11</t>
  </si>
  <si>
    <t xml:space="preserve">File Cabinet 4 drawer </t>
  </si>
  <si>
    <t>3597 dt.14.11.11</t>
  </si>
  <si>
    <t>Wooden bed double decker 2.1x2x6</t>
  </si>
  <si>
    <t>E-551 dt.05.11.11</t>
  </si>
  <si>
    <t xml:space="preserve">Submersible slurry pump with motor 7.5 KW </t>
  </si>
  <si>
    <t>Shree/Bsp/149 dt.25.10.11</t>
  </si>
  <si>
    <t xml:space="preserve">Passive network components, network racks, accessories &amp; L2 24 port switches </t>
  </si>
  <si>
    <t>210 dt.17.12.11</t>
  </si>
  <si>
    <t xml:space="preserve">Installation of Passive network components, network racks &amp; switches </t>
  </si>
  <si>
    <t>211 dt.17.12.11</t>
  </si>
  <si>
    <t>03 dt.04.12.11</t>
  </si>
  <si>
    <t>Safety Message announcing system wire &amp; switch (1 no), Safety message announcing system with 30w 02 horn speaker (Ahuja) &amp; 01 timer (2 nos)</t>
  </si>
  <si>
    <t xml:space="preserve">Amplifier 50 watt </t>
  </si>
  <si>
    <t>004 dt.04.12.11</t>
  </si>
  <si>
    <t>Nov/1112/027/11 dt.29.11.11</t>
  </si>
  <si>
    <t>256 dt.28.12.11</t>
  </si>
  <si>
    <t>Supply of Alum.Arm Cable Lug Gland (Alluminium armoured cable 3.5C x 12Sq.mm)</t>
  </si>
  <si>
    <t>09 &amp; 13/11 dt.02.06.11 &amp; 06.06.11</t>
  </si>
  <si>
    <t>Flate Cable 3Cx2.5Sqmm, Flate Cable 3Cx6Sqmm</t>
  </si>
  <si>
    <t>E126/11 dt.18.05.11</t>
  </si>
  <si>
    <t>Construction of area filling, roads, Dg set foundation &amp; Misc. works inside camp office at nariyara</t>
  </si>
  <si>
    <t>RA-1 &amp; Final dt.27.06.11</t>
  </si>
  <si>
    <t>Construction of double pole with rerouting of cable for 33 KV at Nariyara plant site</t>
  </si>
  <si>
    <t>32 dt.17.10.11</t>
  </si>
  <si>
    <t>MS angles and Flats for fencing &amp; ISA 65x65x6mm for fencing at site</t>
  </si>
  <si>
    <t>10-11/002 dt.22.4.10 &amp; 4 dt.10.05.10</t>
  </si>
  <si>
    <t>Structural steel ISA 90X90X8 MS Angles 20.570 MT</t>
  </si>
  <si>
    <t>004 dt.31.07.10</t>
  </si>
  <si>
    <t>Structural steel 24.92 MT for our fencing work at aite (DBR No.157 dtd.16.10.10)</t>
  </si>
  <si>
    <t>26 dt.15.10.10</t>
  </si>
  <si>
    <t>Supply of GI fencing wire 1.830 MT for green belt</t>
  </si>
  <si>
    <t xml:space="preserve">Supply of MS Bolt -200 Kg &amp; Nut 25 Kg for boundary wall fencing </t>
  </si>
  <si>
    <t>333 dt.08.10.10</t>
  </si>
  <si>
    <t>Supply of GI chain link fencing size 50*500 MM wire dia 8SWG, height 3 Mtr (MRN No.GE/11-12/41 dt.23.04.11)</t>
  </si>
  <si>
    <t>21 dt.18.04.11</t>
  </si>
  <si>
    <t>Fabrication &amp; Erection of Angles for fencing work at site</t>
  </si>
  <si>
    <t>RA-1,2,3 &amp; 19, Bill no.17 dt.01.1210, 05.08.11 &amp; 06.09.11</t>
  </si>
  <si>
    <t xml:space="preserve">Supply of Structural steel 29.01 Mt for fencing work at site </t>
  </si>
  <si>
    <t>KS/1188 dt.04.11.10</t>
  </si>
  <si>
    <t>Supply of Structural steel (19.95 MT) for fencing work at site (MRN No.220 dt.27.01.11)</t>
  </si>
  <si>
    <t>KS/1767 dt.25.01.11</t>
  </si>
  <si>
    <t>Supply of MS Nuts M-16 (Qty 25 Kg) for fencing work at site</t>
  </si>
  <si>
    <t>25 Kg</t>
  </si>
  <si>
    <t>341 dt.05.11.10</t>
  </si>
  <si>
    <t>Supply of MS Nuts 25 Kg &amp; MS Bolts 200 KS, GI Chain link fencing (6.85 Mt), G.I Chain &amp; G.I chain link 7.47 mt for fencing work at site (MRN No.214 dt.14.01.11)</t>
  </si>
  <si>
    <t>342 dt.11.11.10, 346 dt.24.11.10, 350 dt.04.12.10 &amp; 353 dt.29.12.10</t>
  </si>
  <si>
    <t>Supply of MS Nut M-16 (50 Kg) for site fencing work</t>
  </si>
  <si>
    <t>347 dt.27.11.10</t>
  </si>
  <si>
    <t>Supply of MS Nut &amp; Bolts for fencing work at site (MRN No.213 &amp; 14.01.11)</t>
  </si>
  <si>
    <t>354 &amp; 356 dt.30.12.10 &amp; 10.01.11</t>
  </si>
  <si>
    <t>Erection &amp; Fabrication of Angles &amp; Chain link with Civel Material for site fencing work (700 MT)</t>
  </si>
  <si>
    <t>700 mt</t>
  </si>
  <si>
    <t>RA-1 - 4 dt.12.1.11, 03.03.11 &amp; 08.05.11</t>
  </si>
  <si>
    <t>Supply of OG MS Nuts, Bolts, Red oxide  (MRN No.219 dt.25.01.11)</t>
  </si>
  <si>
    <t>304 dt.24.01.11</t>
  </si>
  <si>
    <t>Supply of 1.905 MT GI Chain Link fencing for fencing work at site (MRN No.218 dt.25.01.11), (8.74 MT) of G.I Chain Link fencing for site fencing work (MRN No.6 dt.16.02.11) &amp; (6.75 MT) GI Chain Link fencing  (MRN No.GE/KSK/19 dt.16.02.11</t>
  </si>
  <si>
    <t>306 dt.25.1.11, 315 dt.5.2.11 &amp; 351 dt.19.2.11</t>
  </si>
  <si>
    <t>Supply of GI Concernita coil 2.5 MM Dia (400 rolls) for fencing work at site (MRN No.GE/KSK/20 dt.26.02.11)</t>
  </si>
  <si>
    <t>20 dt.23.02.11</t>
  </si>
  <si>
    <t>Supply of GI Concertina coil 2.5 mm Qty 600 roll &amp; GI Concertina coil 2.5MM at nariyara site</t>
  </si>
  <si>
    <t>VTA/07/11-12 dt.11.05.11 &amp; VTA/4/11-12 dt.15.04.11</t>
  </si>
  <si>
    <t>Supply of material for fencing of boundary wall (MRN No.GE/KSK/43 dt.15.03.11) &amp; GI Chain link fencing at site (MRN No.GE/11-12/19 dt.15.04.11)</t>
  </si>
  <si>
    <t>377 dt.08.03.11 &amp; 381 dt.31.03.11</t>
  </si>
  <si>
    <t>Supply of material for fencing of boundary wall (MRN No.GE/KSK/65 dt.21.03.11)</t>
  </si>
  <si>
    <t>SSSC/2589/10-11 DT.17.03.11</t>
  </si>
  <si>
    <t>Supply of material for fencing of boundary wall (MRN No.GE/KSK/42 dt.15.03.11)</t>
  </si>
  <si>
    <t>378 dt.08.03.11</t>
  </si>
  <si>
    <t>Purchase of MS Nuts &amp; Bolts for site fencing work</t>
  </si>
  <si>
    <t>Erection of Angles and chain link with materials for fencing work at site, Nariyara</t>
  </si>
  <si>
    <t>RA-1 &amp; 2 dt.06.06.11 &amp; 01.07.11</t>
  </si>
  <si>
    <t>Supply of 20 Nos ball valve zoloto</t>
  </si>
  <si>
    <t>SSSC/2665/10-11 dt.28.03.11</t>
  </si>
  <si>
    <t>Supply of ball valve &amp; nipple at site, Nariyara</t>
  </si>
  <si>
    <t>119 dt.25.04.11</t>
  </si>
  <si>
    <t>Erection of Angles for fencing work at site, nariyara</t>
  </si>
  <si>
    <t>RA-3 dt.04.06.11</t>
  </si>
  <si>
    <t xml:space="preserve">GI wiremesh, Red oxide &amp; Tarpin oil for boundary fencing, GI Chain Link fencing 3.08 MT for boundary fencing work &amp; GI Chain link fencing (7.51 MT) </t>
  </si>
  <si>
    <t xml:space="preserve"> 337 dt.21.10.10, 339 dt.30.10.10 &amp; 344 dt.13.11.10</t>
  </si>
  <si>
    <t>334 dt.9.10.10</t>
  </si>
  <si>
    <t xml:space="preserve">Fabrication of PPOST for fencing, Shed for vehicle, security post-2 nso, post fencing for porta cabin  </t>
  </si>
  <si>
    <t>Fabrication charges of Angles &amp; pipes with consumables &amp; tools for fencing of plant green belt area</t>
  </si>
  <si>
    <t xml:space="preserve">RA-1  dt.08.06.10 </t>
  </si>
  <si>
    <t>RA-2 dt.02.07.10</t>
  </si>
  <si>
    <t>GI Corrugated sheet,bolt, Pipe Hook for fencing outside green belt</t>
  </si>
  <si>
    <t>306 dt.06.05.10</t>
  </si>
  <si>
    <t>GI Chain link for fencing for outside green belt area</t>
  </si>
  <si>
    <t>303 dt.12.05.10</t>
  </si>
  <si>
    <t>Supply of Red oxide-100 Ltr, Tarpine oil-20 Ltr, Wire brush-24 Nos, Paint brush-20 Nos, Plywood-2 Nos for Greenbelt fencing at Nariyara site \</t>
  </si>
  <si>
    <t>316 dt.15.06.10</t>
  </si>
  <si>
    <t>Purchase of 6.300 MT (176 Pcs) 65 MM NB Medium duty MS Pipe for Green Belt area pipelink work</t>
  </si>
  <si>
    <t>2843 dt.25.01.11</t>
  </si>
  <si>
    <t>Supply of Gate Valve 5.5 Inch-2 Nos, Gate Valve 1 Inch-20 Nos, Nipple (1x12) Inch -20 Nos, Nipple (1x6) -20 Nos &amp; Flexible hose pipe -100 Mtrs for watering arrangement at Green Belt area</t>
  </si>
  <si>
    <t>2151 dt.24.01.11</t>
  </si>
  <si>
    <t>Supply of Gate valve &amp; Nipple for watering of green belt area (MRN No.18 dt.24.02.11)</t>
  </si>
  <si>
    <t>2352 dt.17.02.11</t>
  </si>
  <si>
    <t>Supply of MS pipe (160 Pcs-5.67 MT) for green belt area (GE/KSK/17 dt.24.02.11)</t>
  </si>
  <si>
    <t>3156 dt.21.02.11</t>
  </si>
  <si>
    <t>Supply of material for green belt area (Gate valve &amp; Nipple) (MRN No.GE/KSK/67 dt.14.03.11)</t>
  </si>
  <si>
    <t>SSSC/2566/10-11 dt.14.03.11</t>
  </si>
  <si>
    <t>Polycab LAN cable CAT-6 305 mtr roll for camp office, porta cabin &amp; other internet wiring</t>
  </si>
  <si>
    <t>E187 dt.10.06.11</t>
  </si>
  <si>
    <t xml:space="preserve">Supply of passive components &amp; network cabling for voice at Block-3 &amp; 4, Nariyara </t>
  </si>
  <si>
    <t>M/1107/11-12 dt.01.11.11</t>
  </si>
  <si>
    <t>Supply of IT &amp; Networking material, Installation of IT &amp; Networking for raipur office</t>
  </si>
  <si>
    <t>142 &amp; 35 dt.01.07.11</t>
  </si>
  <si>
    <t>412 dt.07.12.11</t>
  </si>
  <si>
    <t>Supply and installation of porta office cabin MRN No.GE/11-12/258 dt.27.08.11 &amp; GE/11-12/255 dt.25.08.11 (1 No. for Security and 2 Nos. for Candi dept.) incl fabrication of pillars for porta cabin 9SAV Constructions)</t>
  </si>
  <si>
    <t>Supply and installation of porta office cabin MRN No.GE/11-12/258 dt.27.08.11 &amp; GE/11-12/255 dt.25.08.11 (1 No. for Security and 2 Nos. for Candi dept.) incl fabrication of pillars for porta cabin (SAV Constructions)</t>
  </si>
  <si>
    <t>Containerised /porta cabin offices at Nariyara Site (MRN No.GE/11-12/311 dt.01.11.11) incl fabrication of pillars for porta cabin (SAV Constructions) 1 No capitalised</t>
  </si>
  <si>
    <t>190 &amp; 191 dt.18.08.11</t>
  </si>
  <si>
    <t>268 dt.20.10.11</t>
  </si>
  <si>
    <t>Light fitting &amp; other materials for site levelling qtrs</t>
  </si>
  <si>
    <t>34 dt.19.07.10</t>
  </si>
  <si>
    <t>Construction of Sr.Management quarters inside the camp office at Akaltara</t>
  </si>
  <si>
    <t>RA-1 to RA-6 dt.04.08.11</t>
  </si>
  <si>
    <t xml:space="preserve">Fabrication, erection, sheeting work in bachelor accommodation </t>
  </si>
  <si>
    <t>RA-1 dt.01.12.1</t>
  </si>
  <si>
    <t>Construction plinth level for labour colony at Nariyara plant site</t>
  </si>
  <si>
    <t>Bill dtd.31.03.11</t>
  </si>
  <si>
    <t>Construction of labour quarter with masonry foundation and super structure with aerocon panels, plinth for labour colony &amp; security cabin at our project site-nariyara</t>
  </si>
  <si>
    <t>Drinking water platform to facilitate labours at summer season at differenrent location at site</t>
  </si>
  <si>
    <t>RA-1 dt.11.04.11</t>
  </si>
  <si>
    <t>Water tank foundation work in labour colony area</t>
  </si>
  <si>
    <t>RA-1 dt.28.04.11</t>
  </si>
  <si>
    <t>Civil works for the construction of labour colony two blocks, 20 rooms at nariyara plant site</t>
  </si>
  <si>
    <t>RA-1,2 &amp; Final dt.07.07.11</t>
  </si>
  <si>
    <t xml:space="preserve">Civil works for labour colony block-3 at nariyara plant site </t>
  </si>
  <si>
    <t>RA-1,2 &amp; Final dt.08.07.11</t>
  </si>
  <si>
    <t>Construction of labour quarter with masonry foundation &amp; super structure with aerocon panels, plinth for labour colony</t>
  </si>
  <si>
    <t>IBS/KRB/09/RA-03 dt.29.04.11</t>
  </si>
  <si>
    <t>Civil work for the construction of labour colony sheds &amp; Civil works for 20 nos. rooms at labour colony block-4 at nariyara plant site</t>
  </si>
  <si>
    <t xml:space="preserve">Septic tank in labour colony area at KMPCL site Nariyara </t>
  </si>
  <si>
    <t>F &amp; F Bill dt.30.05.11</t>
  </si>
  <si>
    <t>Plinth work for labour colony area at KMPCL site, Nariyara</t>
  </si>
  <si>
    <t>Construction of building with 50 MM thick aerocon panel all including GI sheet /  MS pipe/ C channel with window &amp; door</t>
  </si>
  <si>
    <t>IBS/KRB/20/RA-01 &amp; 02 dt.15.06.11 &amp; 28.07.11</t>
  </si>
  <si>
    <t xml:space="preserve">Construction of toilet block civil work </t>
  </si>
  <si>
    <t>1st &amp; Final bill dt.11.07.11</t>
  </si>
  <si>
    <t xml:space="preserve">Fabrication &amp; erection of inter office connection passage at nariyara </t>
  </si>
  <si>
    <t>RA-1 dt.12.08.11</t>
  </si>
  <si>
    <t xml:space="preserve">Toilet block 14 nos work in labour colony area at nariyara </t>
  </si>
  <si>
    <t>SE/01 dt.01.08.11</t>
  </si>
  <si>
    <t>Supply of 1 lakh fly ash bricks for temporary Nala for rain water diversion out side plant</t>
  </si>
  <si>
    <t>151 &amp; 152 dt.11.06.11</t>
  </si>
  <si>
    <t>Construction Overhead Tank Foundation at Plant site</t>
  </si>
  <si>
    <t>1st &amp; Final dt.21.10.10</t>
  </si>
  <si>
    <t>Miscellaneous works at camp office</t>
  </si>
  <si>
    <t>RA-1 dt.03.09.11</t>
  </si>
  <si>
    <t>Construction of servicing room, platfrom and Misc. civil works</t>
  </si>
  <si>
    <t>1st &amp; Final bill dt.14.09.11</t>
  </si>
  <si>
    <t xml:space="preserve">Construction of labour quarter with masonry foundation </t>
  </si>
  <si>
    <t>IBS/KSK/23/RA-01 dt.29.09.11</t>
  </si>
  <si>
    <t>Shed work in labour colony</t>
  </si>
  <si>
    <t>RA-1 dt.25.10.11</t>
  </si>
  <si>
    <t>Miscellaneous works at camp office - site</t>
  </si>
  <si>
    <t>F &amp; F Bill dt.23.11.11</t>
  </si>
  <si>
    <t>Supply of stone dust with dressing for labour colony at Nariyara site TPP power plant</t>
  </si>
  <si>
    <t>201 dt.25.11.11</t>
  </si>
  <si>
    <t>Supply of Ash bed for Labour colony at nariyara Site</t>
  </si>
  <si>
    <t>Nil dt.25.11.11</t>
  </si>
  <si>
    <t>NPB - Nala Waste Water Diversion - 171012</t>
  </si>
  <si>
    <t>IBS/KRB/19/RA-01 to RA-04/02.04.11,11.05.11,18.05.11&amp; 06.05.11</t>
  </si>
  <si>
    <t>Laying of LAN &amp; Tele Cable through Pvc casing for Raipur Guesthouse</t>
  </si>
  <si>
    <t>77 dt.12.11.11</t>
  </si>
  <si>
    <t>Networking items for Raipur guesthouse</t>
  </si>
  <si>
    <t>BN.346 dt.12.11.11</t>
  </si>
  <si>
    <t>Deep freezer glass top 400 Ltr capacity (GT425)</t>
  </si>
  <si>
    <t>239 dt.16.12.11</t>
  </si>
  <si>
    <t>NEC Digital EPABX system with KTS phone 1 No, Beetel 4 Nos, Panasonic phones 2 Nos and Modem</t>
  </si>
  <si>
    <t>5450 dt.23.11.11</t>
  </si>
  <si>
    <t>Water Dispencer, Voltas Model Minimagic plus</t>
  </si>
  <si>
    <t>987 dt.21.11.11</t>
  </si>
  <si>
    <t>Exhaust Fan 1500 mm Havels Make for Raipur Guesthouse</t>
  </si>
  <si>
    <t>617 dt.16.11.11</t>
  </si>
  <si>
    <t xml:space="preserve">Neelkmal moulded chairs </t>
  </si>
  <si>
    <t>3834 dt.12.11.11</t>
  </si>
  <si>
    <t xml:space="preserve">Computer table 1 No and Small Table </t>
  </si>
  <si>
    <t>Bill dtd.19.11.11</t>
  </si>
  <si>
    <t>Purchase of 1 Ball UPS System and Installation</t>
  </si>
  <si>
    <t>5346 dt.14.12.11</t>
  </si>
  <si>
    <t>RS/11-12/3673 dt.03.01.12</t>
  </si>
  <si>
    <t xml:space="preserve">Digital Camera (Nikon-S3100) 14 Mega pixel with 4 GB Memory card </t>
  </si>
  <si>
    <t xml:space="preserve">Cyber Shot Digital Camera Model DSC-W520, 14.1 Mega pixel (Make-Soni) with 4 GB Memory card </t>
  </si>
  <si>
    <t>RS/11-12/3674 dt.03.01.12</t>
  </si>
  <si>
    <t>Supply of Elan Low Back chair-999706</t>
  </si>
  <si>
    <t>135 dt.23.11.11</t>
  </si>
  <si>
    <t>160 dt.25.12.11</t>
  </si>
  <si>
    <t>Trinidad Bed 90x200MA-014310-16 Nos, Siesta labes pillow-999800DT-16 Nos and Siesta-4 Coir Mattress 90x200-921433-16 Nos</t>
  </si>
  <si>
    <t>107 to 111 &amp; 122 dt.25.12.11</t>
  </si>
  <si>
    <t>Trinidad RWO door wardrobe MA 014173</t>
  </si>
  <si>
    <t>107 to 113 &amp; 122, 126 dt.25.12.11</t>
  </si>
  <si>
    <t>Supply of sundries study desk 1020*600-Z560060</t>
  </si>
  <si>
    <t>133 dt.25.12.11</t>
  </si>
  <si>
    <t>Venus fabric sofa set MFL 1+1+3 seater 997041</t>
  </si>
  <si>
    <t>112, 113 dt.25.12.11</t>
  </si>
  <si>
    <t>Fiesta Dining tables AC3912-997268 &amp; 12 Nos Fiesta dinign chairs AC3953-997269</t>
  </si>
  <si>
    <t>126 dt.25.12.11</t>
  </si>
  <si>
    <t>112 &amp; 113 dt.25.12.11</t>
  </si>
  <si>
    <t>Klassik Centra table CTX649-997240</t>
  </si>
  <si>
    <t xml:space="preserve">Plucky model without casters with PD-14 Fabric </t>
  </si>
  <si>
    <t xml:space="preserve">Plain Thali, SS AP Spoon, SS Katories, Service Tray, SS Ater Jug &amp; Idly Maker, Grinder 10 L &amp; Transport charges </t>
  </si>
  <si>
    <t>2974 dt.16.12.11</t>
  </si>
  <si>
    <t xml:space="preserve">Steel Almirahs (Zenith  Make) 78 inch </t>
  </si>
  <si>
    <t>1096 dt.05.12.11</t>
  </si>
  <si>
    <t>Jan/1112/001 dt.04.01.12</t>
  </si>
  <si>
    <t>Passive network components (Switch, Router, Access point) at site camp office - Nariyara, KSK-11</t>
  </si>
  <si>
    <t>5437 dt.23.01.12</t>
  </si>
  <si>
    <t xml:space="preserve">Supply and installation of Siemens Make IP ready Digital ISDN key telephone system Hipath 3550 equipment with openstage 40T digital phones, speaker phones </t>
  </si>
  <si>
    <t>KTS/T/390 &amp; 320 dt.24.01.12</t>
  </si>
  <si>
    <t>600 VA UPS System</t>
  </si>
  <si>
    <t>192 dt.31.01.12</t>
  </si>
  <si>
    <t xml:space="preserve">Supply of wireless equipment AP1242AG-A-K9 for wireless access points </t>
  </si>
  <si>
    <t>233 &amp; 234 dt.17.01.12</t>
  </si>
  <si>
    <t>191008184 dt.31.01.12</t>
  </si>
  <si>
    <t>File Cabinet 2 drawer (Size 470W x 710H x 6200D make Godrej)</t>
  </si>
  <si>
    <t>3616 dt.01.02.12</t>
  </si>
  <si>
    <t xml:space="preserve">Portable scanner (POR 440) alongwith green lock, charger, hard case &amp; usb battery </t>
  </si>
  <si>
    <t>3 dt.01.02.12</t>
  </si>
  <si>
    <t xml:space="preserve">Moulded Chair model - Passion 2135 Make Neelkamal </t>
  </si>
  <si>
    <t>85 dt.03.02.12</t>
  </si>
  <si>
    <t xml:space="preserve">Cane sofa set </t>
  </si>
  <si>
    <t>474 dt.17.01.12</t>
  </si>
  <si>
    <t>Venus fabric sofa set MF IV 1+1+3 seater Model No.997045</t>
  </si>
  <si>
    <t>1240202 dt.31.08.11</t>
  </si>
  <si>
    <t>Trinidad Beds 90x200 model No.B014310</t>
  </si>
  <si>
    <t>Trinidad two door wardrobe Model 014173</t>
  </si>
  <si>
    <t>1240201 dt.31.08.11</t>
  </si>
  <si>
    <t>Klassic side table AM-999738</t>
  </si>
  <si>
    <t>1240203 dt.31.08.11</t>
  </si>
  <si>
    <t>Trinidad Bed 90x200 Model B014310</t>
  </si>
  <si>
    <t>Trinidad Dressing table Model - B014145</t>
  </si>
  <si>
    <t>Trinidad Bed Side Table MA-014140</t>
  </si>
  <si>
    <t>Trinidad Bed Side Table Model No.B014140</t>
  </si>
  <si>
    <t>12040201 dt.31.08.11</t>
  </si>
  <si>
    <t>8040435804 dt.27.01.12</t>
  </si>
  <si>
    <t>2167, 2170, 2169 &amp; 2168 dt.11.01.12</t>
  </si>
  <si>
    <t>Havells Make Halogen Fitting 1000 Watt Model Jeta 2</t>
  </si>
  <si>
    <t>Halogen Ords 1000 Watt</t>
  </si>
  <si>
    <t>Power Distribution Board I/C 100 Amp Tp Mccb</t>
  </si>
  <si>
    <t>Street Light Pole 24' Along With Pole Box</t>
  </si>
  <si>
    <t>5772 dt.07.02.12</t>
  </si>
  <si>
    <t xml:space="preserve">Dell 1410X projectors </t>
  </si>
  <si>
    <t>9020086559 dt.09.02.12</t>
  </si>
  <si>
    <t>Ceiling mount X3</t>
  </si>
  <si>
    <t>APC 600VA UPSX2</t>
  </si>
  <si>
    <t>Havells Make 9 inch High speed Exhaust Fan</t>
  </si>
  <si>
    <t>142 dt.11.02.12</t>
  </si>
  <si>
    <t>Restaurant chairs without arm, pipe frame, Make Geeken, Model-GC953</t>
  </si>
  <si>
    <t>126 dt.10.02.12</t>
  </si>
  <si>
    <t xml:space="preserve">Moulded chairs Model Passion 2135 Make-Neelkamal, colour-Coffee </t>
  </si>
  <si>
    <t>089 dt.10.02.12</t>
  </si>
  <si>
    <t xml:space="preserve">Roti Tawa &amp; Puffer unit </t>
  </si>
  <si>
    <t>40/11-12 dt.28.01.12</t>
  </si>
  <si>
    <t>DIGITAL GROUND TESTER - 271004</t>
  </si>
  <si>
    <t>Testing Meter for C&amp;I Dept for Digital earth tester with kit make Motwane and Digital insulation tester make Motwane</t>
  </si>
  <si>
    <t>EX-248 dt.31.01.12</t>
  </si>
  <si>
    <t>RA-1 &amp; 2 dt.25.10.11 &amp; 20.12.11</t>
  </si>
  <si>
    <t xml:space="preserve">Construction of water sump in our camp office site in Banahil </t>
  </si>
  <si>
    <t>F &amp; F Bill dt.03.02.12</t>
  </si>
  <si>
    <t>Drilling of borewell 468 feet</t>
  </si>
  <si>
    <t>468 ft</t>
  </si>
  <si>
    <t>63 dt.20.10.11</t>
  </si>
  <si>
    <t xml:space="preserve">Construction of Septic tank &amp; water sump in staff accommodation inside Sepco Living qtrs </t>
  </si>
  <si>
    <t>Construction of Septic tank &amp; water sump in staff accommodation inside Sepco Living qtrs</t>
  </si>
  <si>
    <t>Supply of boulder &amp; dust laying compaction in labour colony area</t>
  </si>
  <si>
    <t>1st &amp; Final Bill dt.03.01.12</t>
  </si>
  <si>
    <t>RA-1 &amp; RA-2 dt.25.10.11 &amp; 21.12.11</t>
  </si>
  <si>
    <t>Service tax amount recovered</t>
  </si>
  <si>
    <t>33 dt.17.10.11</t>
  </si>
  <si>
    <t>Construction of staff accommodation inside Sepco living quarter at project site Nariyara</t>
  </si>
  <si>
    <t>RA-1, 2 and F&amp;F dt.26.11.11, 27.12.11 &amp; 07.02.12</t>
  </si>
  <si>
    <t>Construction of proposed staff accommodation inside Sepco living qtr at Kmpcl, Nariyara</t>
  </si>
  <si>
    <t>Construction of building for bachelor quarters 1 (block-2) &amp; G+1 (66 DUS) inside the camp office for site</t>
  </si>
  <si>
    <t>6th &amp; Final Bill dt.10.03.11</t>
  </si>
  <si>
    <t>Construction of toilet block for admin staff in camp office site (between BAU 1&amp;2) at Banahil staff accommodation - Sepco living qtrs</t>
  </si>
  <si>
    <t>RA - F &amp; F dt.28.01.12</t>
  </si>
  <si>
    <t>Civil work for road block 1 &amp; 2 and dining hall at plant area - nariyara site and Construction of roads at site block offices and dining hall at nariyara plant site</t>
  </si>
  <si>
    <t>RA-1 dt.28.03.11 &amp; RA-2 dt.07.07.11</t>
  </si>
  <si>
    <t>Construction of peripheral roads for 1 kilometre and Peripheral road works for 1 kilometer, Outer peripheral road 1 KM completion</t>
  </si>
  <si>
    <t>RA-1, 2 &amp; Final dt.07.07.11 &amp; 29.12.11</t>
  </si>
  <si>
    <t>Supply of RCC Hume pipe 600 MM dia NP3 for construction of approach roads to various facilities at Nariyara plant site</t>
  </si>
  <si>
    <t>21/10 dt.15.03.11</t>
  </si>
  <si>
    <t>Construction of area filling, roads, DG set foundation and misc.works inside camp office at nariyara</t>
  </si>
  <si>
    <t>1st &amp; Final bill dt.27.06.11</t>
  </si>
  <si>
    <t>Construction of Internal road for camp office at nariyara, akaltara</t>
  </si>
  <si>
    <t>F &amp; F Bill dt.20.12.10</t>
  </si>
  <si>
    <t>Construction of Approach roads in Camp office area at Nariyara</t>
  </si>
  <si>
    <t>Ra-1 dt.10.08.10</t>
  </si>
  <si>
    <t>Supply and lying of concrete road at camp hostel, nariyara site</t>
  </si>
  <si>
    <t>RA-1 &amp; Final dt.10.07.11</t>
  </si>
  <si>
    <t>Construction of approach road at camp office, Nariyara</t>
  </si>
  <si>
    <t>1 &amp; 2 dt.06.03.10 &amp; 25.03.10</t>
  </si>
  <si>
    <t>Construction of proposed staff accommodation (Block B) inside Sepco living qtrs at Nariyara</t>
  </si>
  <si>
    <t>RA-1, 3 and F&amp;F dt.26.11.11, 27.12.11, 18.02.12 &amp; 23.02.12</t>
  </si>
  <si>
    <t>Cable copper , panel board for submersible pump, pipe, socket, bend, clamp, borecap (MRN No.GE/11-12/309 dt.31.10.11)</t>
  </si>
  <si>
    <t>40 dt.02.09.11</t>
  </si>
  <si>
    <t>PNS/KSK/49/11-12 dt.28.01.12</t>
  </si>
  <si>
    <t>LAN Cabling/wiring etc (Interiors and furniture works in block 5 at Nariyara plant site office)</t>
  </si>
  <si>
    <t>Discussion Table</t>
  </si>
  <si>
    <t>AGM Table</t>
  </si>
  <si>
    <t>Library Table</t>
  </si>
  <si>
    <t xml:space="preserve">Conference Table </t>
  </si>
  <si>
    <t>Work Stations 14 Nos @ Rs.7500/- each</t>
  </si>
  <si>
    <t>Partitions &amp; Cabins (Doors 13 Nos @ Rs.9162/- each)</t>
  </si>
  <si>
    <t>Sliding doors 212.68 sft @ Rs.500 sft</t>
  </si>
  <si>
    <t>212.68 sft</t>
  </si>
  <si>
    <t>CI/GI Connection, Urinals, Wash Basin and painting wash rooms, False ceiling 2779 sft @ rs.70 sft and Flooring are 2779 sft @ Rs.72 sft</t>
  </si>
  <si>
    <t>PNS/KSK/49/11/12 dt.28.01.12</t>
  </si>
  <si>
    <t>Full height partitions 189.31 sft @ Rs.300 sft</t>
  </si>
  <si>
    <t>189.31 sft</t>
  </si>
  <si>
    <t>Low height partition 189.31 sft @ Rs.300 sft</t>
  </si>
  <si>
    <t>AGM Table 3 Nos @ Rs.3123/-</t>
  </si>
  <si>
    <t xml:space="preserve">Split Air Conditioner 1.5 TR 3 star model No.3HW-18VA (Make-Blue Star) with 2 Nos Voltage stabilizer 4 KVA and 2 Nos ODU stand (Bracket L -Type) </t>
  </si>
  <si>
    <t>290 dt.01.03.12</t>
  </si>
  <si>
    <t>Fogging Machine (Make-Aspee)</t>
  </si>
  <si>
    <t>14 dt.06.08.11</t>
  </si>
  <si>
    <t xml:space="preserve">Water Dispenser floor type (Usha) </t>
  </si>
  <si>
    <t>E-797 dt.14.02.12</t>
  </si>
  <si>
    <t xml:space="preserve">Cleaning fan XP-390 1400 MM Make Havells </t>
  </si>
  <si>
    <t>E-808 dt.20.02.12</t>
  </si>
  <si>
    <t>Public Address &amp; Communication System (2113-131049), Safety Massage Announcing System (Max.15 Sentance) With 01 Horn Speaker (Ahuja) &amp; 01 Timer</t>
  </si>
  <si>
    <t xml:space="preserve">Steel book cash almirah 4 self with glass size 66 inch x 34 inch LX 19 inch  W make Zenith </t>
  </si>
  <si>
    <t>1255 dt.27.02.12</t>
  </si>
  <si>
    <t>Almirah Steel(Make-Zenith) Size: 78" for stores dept</t>
  </si>
  <si>
    <t>Almirah Steel Size: 66" for Stores dept.</t>
  </si>
  <si>
    <t>880 dt.29.07.11</t>
  </si>
  <si>
    <t>RE/1112/0227 dt.17.03.12</t>
  </si>
  <si>
    <t xml:space="preserve">Construction of new road and renovation of lod road at Tarod </t>
  </si>
  <si>
    <t>01 dt.30.07.10 &amp; 02 dt.13.10.10</t>
  </si>
  <si>
    <t>Tarod</t>
  </si>
  <si>
    <t>Internal road inside project complex</t>
  </si>
  <si>
    <t>NSP-KSK-K-1 dt.22.01.11</t>
  </si>
  <si>
    <t>M 15 Mix Concrete Concrete for Internal road in project site</t>
  </si>
  <si>
    <t>Civil &amp; Interior and electrical works for our office at 3rd floor, trade view complex, CMD square-E</t>
  </si>
  <si>
    <t>PNS/KSK/27-10-11 dt.21.02.12</t>
  </si>
  <si>
    <t>Hi-Wall Split 3 star Air conditioners 1.5 TR (Model 3HW181YC Sr No.10A11544) along with 4KVA Stabilizer, conderser stands</t>
  </si>
  <si>
    <t xml:space="preserve">Air Conditioners 5.5 Tr (Make-Carrier) </t>
  </si>
  <si>
    <t xml:space="preserve">Air Conditioners 8.5 Tr (Make-Carrier) </t>
  </si>
  <si>
    <t xml:space="preserve">Air Conditioners 1.50 Tr (Make-Carrier) </t>
  </si>
  <si>
    <t>Voltage Stabilizer 100 Kva - 1 No</t>
  </si>
  <si>
    <t>Kmpcl/Used Office Equipments/002/2011-12 dt.16.01.12</t>
  </si>
  <si>
    <t>Steel GM work Station with side draw</t>
  </si>
  <si>
    <t>Kmpcl/Used furnitures/001/2011-12 dt.16.01.12</t>
  </si>
  <si>
    <t>Steel HOD work Station with side draw</t>
  </si>
  <si>
    <t>Steel Corner Tables with Side draw</t>
  </si>
  <si>
    <t>Steel Straight work stations with side draw</t>
  </si>
  <si>
    <t>Steel Shared Corner tables with side draw</t>
  </si>
  <si>
    <t>Steel Work stations with side draw</t>
  </si>
  <si>
    <t>Steel Conference table</t>
  </si>
  <si>
    <t>Steel Storage Racks Size 900*1200 mm</t>
  </si>
  <si>
    <t>Steel Storage Racks Size 750*1200 mm</t>
  </si>
  <si>
    <t>Steel Storage Racks Size 600*1200 mm</t>
  </si>
  <si>
    <t>Steel wall mounted storages</t>
  </si>
  <si>
    <t>APS-009/12-13 dt.09.04.12</t>
  </si>
  <si>
    <t>Air coller with trolley (Model:Jumbo Make Symphony)</t>
  </si>
  <si>
    <t>14/11-12 dt.09.04.12</t>
  </si>
  <si>
    <t>Havells Velocity 48"ceiling fans, 6"ventilator DXW and 8" Ventilator DX Exhaust fan</t>
  </si>
  <si>
    <t>7006 &amp; 6664 dt.19.04.12 &amp; 06.04.12</t>
  </si>
  <si>
    <t>Glass Top CT-21991 Brown (Centre Table)</t>
  </si>
  <si>
    <t>4136 dt.20.04.12</t>
  </si>
  <si>
    <t xml:space="preserve">Alluminium Ladder 6 feet with platform </t>
  </si>
  <si>
    <t>AC-01 dt.15.05.12</t>
  </si>
  <si>
    <t>Water dispencer floor type, Make-Usha</t>
  </si>
  <si>
    <t>E-39 dt.16.04.12</t>
  </si>
  <si>
    <t>Restaurant chairs without arm</t>
  </si>
  <si>
    <t>128 dt.28.04.12</t>
  </si>
  <si>
    <t>6196000065 dt.25.04.12</t>
  </si>
  <si>
    <t>Cots</t>
  </si>
  <si>
    <t>1341 dt.28.03.12</t>
  </si>
  <si>
    <t xml:space="preserve">Printer Model:HP office Jet J3608 with fax </t>
  </si>
  <si>
    <t>RE/1213/0022 dt.02.05.12</t>
  </si>
  <si>
    <t>BRC-12706 dtd.01.04.12</t>
  </si>
  <si>
    <t>Freight charges against supply of 500 KVA transformer for Tower crane</t>
  </si>
  <si>
    <t>593 dt.21.04.12</t>
  </si>
  <si>
    <t>COMPRESSED AIR SYSTEM - 151047</t>
  </si>
  <si>
    <t>92, 93 dt.20.03.12</t>
  </si>
  <si>
    <t>Air Compressor with motor along with all accessories (1 No), Car wash machine with motor along with all accessories (1 No)</t>
  </si>
  <si>
    <t xml:space="preserve">Wall Fan 300 MM, Havells Make </t>
  </si>
  <si>
    <t>TL/0402 dt.21.05.12</t>
  </si>
  <si>
    <t>Ex-Fan 250 MM Metal, Havells Make</t>
  </si>
  <si>
    <t>Wall Fan 400 MM, Havells Make</t>
  </si>
  <si>
    <t>Sub Total</t>
  </si>
  <si>
    <t>Innovative Brand Industrial ID Tagging Machine</t>
  </si>
  <si>
    <t>AE/89 dt.14.05.12</t>
  </si>
  <si>
    <t>Letatwin Lettering Machine LM 390A/PC</t>
  </si>
  <si>
    <t>AE/12-13/008 dt.02.04.12</t>
  </si>
  <si>
    <t>Peripheral road work 1 kilometer</t>
  </si>
  <si>
    <t>1 Km</t>
  </si>
  <si>
    <t>Construction of Peripheral road work 1 kilometer</t>
  </si>
  <si>
    <t>RA-1 dt.08.07.11 &amp; RA-2 &amp; Final dt.08.05.12</t>
  </si>
  <si>
    <t>RA-1 dt.20.03.12 &amp; RA-2 &amp; Final dt.29.04.12</t>
  </si>
  <si>
    <t>Depr. - Cumulative</t>
  </si>
  <si>
    <t>Peripheral road works for  1 km, outer peripheral road root no.3</t>
  </si>
  <si>
    <t>RA-1 dt.16.01.12 &amp; RA-2&amp;Final dt.10.04.12</t>
  </si>
  <si>
    <t>Transformers 3 phase 200 KVA, 3300/443 V copper wound with first filling of oil and with fitting with 10% extra oil and transportation charges of Rs.14,770/-</t>
  </si>
  <si>
    <t>Transformers 3 phase 315 KVA, 3300/443 V copper wound with first filling of oil and with fitting with 10% extra oil and transportation charges of Rs.11,510/-</t>
  </si>
  <si>
    <t>PETE/422 dt.14.03.12</t>
  </si>
  <si>
    <t>PETE/421/11-12 dt.14.03.12</t>
  </si>
  <si>
    <t>Aluminium Armoured cable 3.5C X 185 Sqmm, 35 Sqmm and 70 Sqmm</t>
  </si>
  <si>
    <t>E-475 dt.05.10.11</t>
  </si>
  <si>
    <t xml:space="preserve"> Vaccum circuit breaker outdoor 1600 AMP 33 KV rated voltage 24 VDC with support structure (Make - ABB) </t>
  </si>
  <si>
    <t>1213301152 dt.08.02.12</t>
  </si>
  <si>
    <t>Cu.Armoured Cable 4C X 4Sqmm</t>
  </si>
  <si>
    <t>Supply Of Junction Box (Junction Box 250Amp With 04 Nos 100Amp Out Going-2 Nos &amp; Junction Box 125Amp With 04 Nos 100Amp Out Going-2 Nos)  (Material Issued From Stores)</t>
  </si>
  <si>
    <t>54 dt.05.03.12</t>
  </si>
  <si>
    <t>Supply of cable CU armoured multistand 1.5 sq.mm x 4 core qty.500 Mtr and cable CU armoured multistand 2.5 sq. mm x 4 core qty.300 mtr cable used for new CB installed at 33 KV sub station, Nariyara</t>
  </si>
  <si>
    <t>E-858 dt.14.03.12</t>
  </si>
  <si>
    <t>Copper Cable Armoured Cable Cu. Armoured Multistand 1.5 Sqmm X 19 Core (Material Issued From Stores)</t>
  </si>
  <si>
    <t>878 dt.22.03.12</t>
  </si>
  <si>
    <t xml:space="preserve">1.0 KM 33 KV transmission line including supply of material, erection &amp; commissioning at infront of stores office &amp; along side Sepco living qtrs of plant area </t>
  </si>
  <si>
    <t>SIPL/12-13/01 dt.24.05.12</t>
  </si>
  <si>
    <t xml:space="preserve">Supply of cable gland / LUG (Make-MCI/DOWELLS) at kmpcl site nariyara </t>
  </si>
  <si>
    <t>11 dt.06.06.11</t>
  </si>
  <si>
    <t>Height extension of 33 KV internal line in ash bound area at Nariyara</t>
  </si>
  <si>
    <t>02 dt.27.01.12</t>
  </si>
  <si>
    <t>Copper Ballast Bios/Omh400 (For Hpsv 4000W) - 10 Nos for Electrical dept, Hpsv Lamp 400W, Contractor Mnx40 3Pole (1No+1Nc Aux)40A Coil 240V, Contractor Kit Mnx40 3Pole (1No+1Nc Aux)40A Coil 240V, Contractor Coil 240V For Mnx 40, Ignitor Ign1130Mh 400W, Capacitor 42.0Uf +10% and Analog Timer Type-Qt(Daily) 240Vac 16A - Material from stores</t>
  </si>
  <si>
    <t>IA/11-12/M1260 dt.01.11.11, 1A/11-12/M1340 dt.15.11.11</t>
  </si>
  <si>
    <t xml:space="preserve">Supply of current transformer (11.KV) 24 Nos </t>
  </si>
  <si>
    <t xml:space="preserve">Transportation charges </t>
  </si>
  <si>
    <t>19MD110755 dt.17.05.11</t>
  </si>
  <si>
    <t>External electrical works for labour colony - Nariyara (work completed dt.22.12.11)</t>
  </si>
  <si>
    <t>KCL/KSK/03 dt.08.12.11</t>
  </si>
  <si>
    <t xml:space="preserve">Hiring of breaker &amp; excavator, for cable crossing the road to be constructed, depth of cable laying need to be increased at kmpcl site </t>
  </si>
  <si>
    <t>MKIPL/KSELECTRICAL/01 dt.02.05.12</t>
  </si>
  <si>
    <t>Erection of 13 mtrs high mast for camp office-Nariyara</t>
  </si>
  <si>
    <t>168 dt.23.02.11 &amp; 26 dt.26.08.11</t>
  </si>
  <si>
    <t>LUFFERING TYPE TOWER CRANE - KERUN MODEL FZA2400Z -151115</t>
  </si>
  <si>
    <t>SK1101-B001, SK1104-C001 dt.31.10.11</t>
  </si>
  <si>
    <t>HYDRAULIC CRAWLER CRANE - QUY-250T - 151114</t>
  </si>
  <si>
    <t>FWQUY250/11/08/9155-41 dt.29.10.11</t>
  </si>
  <si>
    <t>Construction of dining hall (5% of W.Ovalue on completion of work at site)</t>
  </si>
  <si>
    <t>028 dt.20.08.11</t>
  </si>
  <si>
    <t>30695215 dt.24.03.10</t>
  </si>
  <si>
    <t>nil dt.30.07.10</t>
  </si>
  <si>
    <t>High mast foundation bolts, Template, Anchor plates,shaft with its accessories,HPSV non Internal flood lights</t>
  </si>
  <si>
    <t>19E1300082 dt.05.04.12 &amp; DN No.19MD130014 dt.10.04.12</t>
  </si>
  <si>
    <t>Water dispencer</t>
  </si>
  <si>
    <t>GE216 dt.29.06.12</t>
  </si>
  <si>
    <t>1 Ball LAN Cable CAT - 6 Internet cabling</t>
  </si>
  <si>
    <t xml:space="preserve">Desert Air Cooler with tanki &amp; stand (Height 5 ft) </t>
  </si>
  <si>
    <t>1411 dt.24.05.12</t>
  </si>
  <si>
    <t>Steel Book Cash Almirah</t>
  </si>
  <si>
    <t>1430 dt.16.06.12</t>
  </si>
  <si>
    <t>July/1213/007 dt.07.07.12</t>
  </si>
  <si>
    <t>Product support for processor based unlimited users oracle database license</t>
  </si>
  <si>
    <t>AP/HO/0158 dt.06.06.12</t>
  </si>
  <si>
    <t xml:space="preserve">Oracle database 11G enterprise edition - processor based (unlimited users) </t>
  </si>
  <si>
    <t>AP/HO/0155 dt.06.06.12</t>
  </si>
  <si>
    <t>License for processor based (unlimited users) oracle diagnosticspack, tuning pack and database license</t>
  </si>
  <si>
    <t>AP/HO/0156 dt.06.06.12</t>
  </si>
  <si>
    <t xml:space="preserve">Software update for processor based (unlimited users) oracle database 11 G enterprise edition </t>
  </si>
  <si>
    <t>AP/HO/0157 dt.06.06.12</t>
  </si>
  <si>
    <t>Installtion of Standard HR Management software for attendance recording system</t>
  </si>
  <si>
    <t>AS/CB-009/12-13 dt.03.08.12</t>
  </si>
  <si>
    <t>GE283 dt.23.07.12</t>
  </si>
  <si>
    <t>Examination tables</t>
  </si>
  <si>
    <t>885 dt.03.08.12</t>
  </si>
  <si>
    <t>17117 dt.19.04.12</t>
  </si>
  <si>
    <t xml:space="preserve">Demolition breaker (Model GSH 388) 1050W, 4.9 Kg, Make Bosch &amp; 10 Nos pointed Chisel 400 MM Make Bosch </t>
  </si>
  <si>
    <t>293/12 dt.21.08.12</t>
  </si>
  <si>
    <t>WEIGHING MACHINE - 151100</t>
  </si>
  <si>
    <t>Suzuki Acess Black 125 CC (Engine No.486-965972, Frame No.MB8CF4ACC8103709) Temporary Reg.No.AP09VBTR0840</t>
  </si>
  <si>
    <t>ELECTRIC HAND DRYERS - 131057</t>
  </si>
  <si>
    <t>Constructed labour colony area for chimney civil work</t>
  </si>
  <si>
    <t>Scpl/Akt/12-13/Kmpcl-Ra-01 &amp; 02</t>
  </si>
  <si>
    <t>Cost of 4 Nos Jibs bought for $ 43688 @ 55.035</t>
  </si>
  <si>
    <t>Tariff room approach road in Switchyard area</t>
  </si>
  <si>
    <t>1st &amp; Final bill dt.29.09.12</t>
  </si>
  <si>
    <t>TT Table</t>
  </si>
  <si>
    <t>1823 dt.11.09.12</t>
  </si>
  <si>
    <t>5018 dt.12.09.12</t>
  </si>
  <si>
    <t>CURRENCY COUNTING MACHINE - 131030</t>
  </si>
  <si>
    <t>206 dt.16.10.12</t>
  </si>
  <si>
    <t>Electronic Note Counting Machine with FND (MX501 - Make)</t>
  </si>
  <si>
    <t xml:space="preserve">Exhaust Fan 12" DS (Make-Havells) </t>
  </si>
  <si>
    <t>GE403/12 dt.17.09.12</t>
  </si>
  <si>
    <t>Radiation survey meter</t>
  </si>
  <si>
    <t>193 dt.26.09.12</t>
  </si>
  <si>
    <t>Supply of Level meter-cum-level generator (Model: ET91)</t>
  </si>
  <si>
    <t>489 dt.20.10.12</t>
  </si>
  <si>
    <t xml:space="preserve">Supply of Micro controller based Digital thermometer </t>
  </si>
  <si>
    <t>432 dt.16.10.12</t>
  </si>
  <si>
    <t>Hydraulic hand operated pipe bending machine</t>
  </si>
  <si>
    <t>160 dt.10.10.12</t>
  </si>
  <si>
    <t>File Rack</t>
  </si>
  <si>
    <t>283 dt.09.10.12</t>
  </si>
  <si>
    <t>Folding table</t>
  </si>
  <si>
    <t>Supply of Handheld Dragon Search Light (Make: Kelin) Model: KDL 55U</t>
  </si>
  <si>
    <t>34 dt.24.09.12</t>
  </si>
  <si>
    <t>Storm water drain inside KSK Living qtrs</t>
  </si>
  <si>
    <t>Final bill dt.29.10.12</t>
  </si>
  <si>
    <t xml:space="preserve">Construction of staff accommodation in sepco living qtrs (Block-C) </t>
  </si>
  <si>
    <t>RA-1 to 5 &amp; Final bill dt.11.10.12</t>
  </si>
  <si>
    <t xml:space="preserve">Additional manpower for labour colony area </t>
  </si>
  <si>
    <t>RA-1 &amp; 2 dt.26.09.12</t>
  </si>
  <si>
    <t>Construction of proposed project site staff accommodation (Block-G) inside Sepco living qtrs</t>
  </si>
  <si>
    <t>RA-1,2 &amp; Final bill dt.20.07.12</t>
  </si>
  <si>
    <t>Water tank work in camp office Banahil</t>
  </si>
  <si>
    <t>01 dt.19.10.12</t>
  </si>
  <si>
    <t>Inside Camp office, Banahil  miscelleneous work</t>
  </si>
  <si>
    <t>RA-1 &amp; Final bill dt.30.10.12</t>
  </si>
  <si>
    <t>Plumbing connections &amp; Driver room painting work</t>
  </si>
  <si>
    <t>1st &amp; Final bill dt.01.12.12</t>
  </si>
  <si>
    <t>Construction of four room supporting staff quarters (Extension of existing four romm qtrs) with masonry foundations &amp; super structure &amp; other Misc works with aerocon panels at our camp office</t>
  </si>
  <si>
    <t>IBS/KSK/43/RA-01 dt.14.03.12</t>
  </si>
  <si>
    <t xml:space="preserve">Vehicle parking Platlatform in Ramagreen (Bilaspur) </t>
  </si>
  <si>
    <t>09, 10 &amp; 12 dt.12.10.12</t>
  </si>
  <si>
    <t>Construction of proposed Canteen/dining hall in staff accommodation inside Sepco living qtrs, Nariyara</t>
  </si>
  <si>
    <t>RA-1 to 3 &amp; Final bill dtd.31.08.12</t>
  </si>
  <si>
    <t xml:space="preserve">Construction of balance internal road for the camp office complex for KMPCL at Nariyara </t>
  </si>
  <si>
    <t>RA-1 &amp; 2 dt.8.02, 08.03 &amp; 16.03.12</t>
  </si>
  <si>
    <t xml:space="preserve">Construction of store building civil work in plant </t>
  </si>
  <si>
    <t>RA-1 to 3 &amp; final bill dt.23.08.12</t>
  </si>
  <si>
    <t>Construction of waste material bin &amp; small store near GMS office</t>
  </si>
  <si>
    <t>1st &amp; final bill dt.17.07.12</t>
  </si>
  <si>
    <t>Construction of staff accommodation inside Sepco living qtrs at Kmpcl, Nariyara</t>
  </si>
  <si>
    <t>RA-1 to 3 &amp; final bill dt.16.07.12</t>
  </si>
  <si>
    <t>Reimbursement of electrical inspector inspection fees</t>
  </si>
  <si>
    <t>Bill dtd.31.07.12</t>
  </si>
  <si>
    <t>Supply of LCR Meter (9 Range 200 PF 20MF &amp; 2MH-2H) Make Metra VI Model 460 - 1 No &amp; Micro OHM Meter (MLI OHM Drop tester) 10 AMP with stand accessories (Make Sudarshan) Model SI/MVD-10 - 1 No</t>
  </si>
  <si>
    <t>GE500 dt.03.11.12</t>
  </si>
  <si>
    <t xml:space="preserve">Portable verticla submersible pump 0.75 KW (Model Eterna - 750 SW) Make Kirloskar </t>
  </si>
  <si>
    <t>Shree/Bsp/256 dt.24.11.12</t>
  </si>
  <si>
    <t>Fabrication of frame along with material in CHP PCC panel room</t>
  </si>
  <si>
    <t>RA-1 dt.08.09.12</t>
  </si>
  <si>
    <t>Construction of counter weight for Tower crane at Site</t>
  </si>
  <si>
    <t>1st &amp; Final bill dt.30.10.12</t>
  </si>
  <si>
    <t>Tea container</t>
  </si>
  <si>
    <t>216 dt.20.12.12</t>
  </si>
  <si>
    <t xml:space="preserve">Supply of Siemens telephone system openstage 20 IP </t>
  </si>
  <si>
    <t>3 Nos</t>
  </si>
  <si>
    <t>KTS/T/391 dt.01.12.12</t>
  </si>
  <si>
    <t>Exhaust fan 12 inch DS (Make Havells)</t>
  </si>
  <si>
    <t>GE532 dt.20.11.12</t>
  </si>
  <si>
    <t>3 Star Split AC 1.5Ton (Two Nos.(Water dispenser (One On.), Voltage stabilizwer (Two nos)</t>
  </si>
  <si>
    <t>Construction of toilet block for support staff (Adjacent to support staff accommodation) in our camp office site, banahil</t>
  </si>
  <si>
    <t>RA-1 dt.26.03.12</t>
  </si>
  <si>
    <t>Construction of Septic Tank in camp office Sr.Mgmnt qtrs, Banahil</t>
  </si>
  <si>
    <t>RA-1 dt.21.03.12</t>
  </si>
  <si>
    <t>Construction of CC Road in staff accommodation inside Sepco Living qtrs</t>
  </si>
  <si>
    <t>RA-1&amp;2 dt.20.03.12 &amp; 21.05.12</t>
  </si>
  <si>
    <t xml:space="preserve">WPD Box for XIRP 8200 </t>
  </si>
  <si>
    <t>Digital Safety display unit</t>
  </si>
  <si>
    <t>Shed work in labour colony and LD charges</t>
  </si>
  <si>
    <t>RA-2 dt.02.01.12</t>
  </si>
  <si>
    <t>Temperature scanner</t>
  </si>
  <si>
    <t>1072 dt.08.12.12</t>
  </si>
  <si>
    <t>HANDY CAM - 131033</t>
  </si>
  <si>
    <t>Sony Handy Cam</t>
  </si>
  <si>
    <t>Bill Dtd.20.01.13</t>
  </si>
  <si>
    <t>Expansion proof Axial Fans of Capacity 8667 m3/hr 170 Pa Marathon make</t>
  </si>
  <si>
    <t>ETAKMPCLHAVC/Supply dt.26.12.12</t>
  </si>
  <si>
    <t>Supply of Cement Grouting pump 140PSI make - Omsai</t>
  </si>
  <si>
    <t>1/12 dt.16.01.13</t>
  </si>
  <si>
    <t xml:space="preserve">Module Chair model Passion 2135 (Make-Neelkamal) </t>
  </si>
  <si>
    <t>247 &amp; 248 dt.08.01.13</t>
  </si>
  <si>
    <t>Steel slotted Angle rack</t>
  </si>
  <si>
    <t>249/12 dt.09.01.13</t>
  </si>
  <si>
    <t>Digital weighing machine Capacity 50 Kgs</t>
  </si>
  <si>
    <t>152 dt.02.02.13</t>
  </si>
  <si>
    <t>Weighing scale Capacity 200 Kg</t>
  </si>
  <si>
    <t xml:space="preserve">Moduled chair model - passion 2135 make Nilkamal </t>
  </si>
  <si>
    <t>GE640 dt.11.02.13</t>
  </si>
  <si>
    <t>Conference Table</t>
  </si>
  <si>
    <t>3678 dt.24.01.13</t>
  </si>
  <si>
    <t>APC 600VA UPS</t>
  </si>
  <si>
    <t>6573 dt.28.02.13</t>
  </si>
  <si>
    <t xml:space="preserve">Computerised Attendance Recording Syatem Finger based model AFA110C, TFT Colour display with key pad </t>
  </si>
  <si>
    <t>APS-246/12-13 dt.21.02.13</t>
  </si>
  <si>
    <t>2318 dt.04.03.13</t>
  </si>
  <si>
    <t>Cooler stands</t>
  </si>
  <si>
    <t>316 dt.11.02.13</t>
  </si>
  <si>
    <t>Exhaust Fan 18 inch, 1400 RPM Heavy duty Make Sahara ISI</t>
  </si>
  <si>
    <t>GE662 dt.01.03.13</t>
  </si>
  <si>
    <t>Tech Next small vaccum cleaner</t>
  </si>
  <si>
    <t>D-Link access point (Double antenna)</t>
  </si>
  <si>
    <t>I-Ball -1 bundle Cat - 6 cable</t>
  </si>
  <si>
    <t>I-Ball Single atenna access point</t>
  </si>
  <si>
    <t xml:space="preserve">Dell Optiplex - 3010 DT base </t>
  </si>
  <si>
    <t>8040626131 dt.25.02.13</t>
  </si>
  <si>
    <t>8040626130 dt.25.02.13</t>
  </si>
  <si>
    <t>8040629697 dt.06.03.13</t>
  </si>
  <si>
    <t>Adobe creative cloud for team</t>
  </si>
  <si>
    <t>1057 dt.30.03.13</t>
  </si>
  <si>
    <t>Passive network components, 24 port switch &amp; accessories</t>
  </si>
  <si>
    <t>Installation of extra network components (data &amp; voice ports)</t>
  </si>
  <si>
    <t>108 dt.05.02.13</t>
  </si>
  <si>
    <t>PITS/INST/088 dt.25.03.13</t>
  </si>
  <si>
    <t>TP Link 5210G outdoor CPE</t>
  </si>
  <si>
    <t>I Ball cat 6 cable (305 M)</t>
  </si>
  <si>
    <t xml:space="preserve">I Ball 16 port switch </t>
  </si>
  <si>
    <t>3678 dt.23.03.13</t>
  </si>
  <si>
    <t>TP Link TL-WA5210G Wireless out door CPE</t>
  </si>
  <si>
    <t>3801 dt.04.04.13</t>
  </si>
  <si>
    <t>Sheeting, erection of structural steel and ply for vehicle shed and security post</t>
  </si>
  <si>
    <t>RA-1</t>
  </si>
  <si>
    <t>Cement stacking yard work</t>
  </si>
  <si>
    <t>01 dt.05.05.11</t>
  </si>
  <si>
    <t>Supply of Air conditional material and Installation of Air conditioner for Block-6</t>
  </si>
  <si>
    <t>Ge595 &amp; 596 dt.18.12.12</t>
  </si>
  <si>
    <t>E12-13/4932 dt.20.03.13</t>
  </si>
  <si>
    <t xml:space="preserve">Supply &amp; services for plant security &amp; surviillance system, Universal of etahrrnet surge suppressor and services for plant security &amp; surveillance systems </t>
  </si>
  <si>
    <t>Inv/TTS/Kmpcl/1209-00024 dt.29.9.12, TTS/BNG/12-13/01/00014 dt.4.1.13, 15 &amp; 16 dt.11.1.13, Inv/TTS/Kmpcl/1209-00021 dt.3.3.13 and 20 dt.2.3.13</t>
  </si>
  <si>
    <t>Supply, Installation and Re-installation of interior work for block-6</t>
  </si>
  <si>
    <t>PNS/01,2 &amp; 3/2012-13 dt.21.8.12 &amp; 08.09.12</t>
  </si>
  <si>
    <t>WEIGH BRIDGE - 151090</t>
  </si>
  <si>
    <t>23100462,23100461 &amp; 23800260 dtd.04.01.13</t>
  </si>
  <si>
    <t>2 Weigh Bridges (Bridge Nos.2 &amp; 3) and one for Control Cabin (Control Room No.2)</t>
  </si>
  <si>
    <t xml:space="preserve">Construction and Civil work for helipad &amp; high mast tower at plant site </t>
  </si>
  <si>
    <t>RA-1 &amp; 2 dt.07.07.11</t>
  </si>
  <si>
    <t>Construction of Two (2) helipads and connecting pavement at Nariyara</t>
  </si>
  <si>
    <t>RA-1 dt.25.03.11</t>
  </si>
  <si>
    <t>Aficio MP 2352 SP W662HC00060 (Sl No.416255)</t>
  </si>
  <si>
    <t>UWC1080 dt.28.02.13</t>
  </si>
  <si>
    <t>Aficio MP 2352 SP W662HC00041 (Sl No.416255)</t>
  </si>
  <si>
    <t>UWC1081 dt.28.02.13</t>
  </si>
  <si>
    <t>Erection &amp; Commissioning of Weigh bridge near Fuel tank</t>
  </si>
  <si>
    <t>1st &amp; Final Bill dt.05.03.13</t>
  </si>
  <si>
    <t>Bread Toaster 4 Slice ETS-4</t>
  </si>
  <si>
    <t>17x17 3 BUR Ring Heavy Short Bhatti</t>
  </si>
  <si>
    <t>2 Tyre Trolley, Size:24x30x30</t>
  </si>
  <si>
    <t>SS Masala Trolly</t>
  </si>
  <si>
    <t>SS 6 Counter Bainmare with 6" wheel</t>
  </si>
  <si>
    <t>Atta Kneader 10 No</t>
  </si>
  <si>
    <t>Kitchen utensils and Crockery items</t>
  </si>
  <si>
    <t>E12-13/4700 dt.09.03.13</t>
  </si>
  <si>
    <t>GE705 dt.23.03.13</t>
  </si>
  <si>
    <t>Air cooler with stand Make-Symohony, Model-Jumbo</t>
  </si>
  <si>
    <t>2373 dt.22.03.13</t>
  </si>
  <si>
    <t>Note counting cum authentication Machine (Model-NAM-1000)</t>
  </si>
  <si>
    <t>RP/RS/13/0791 dt.19.03.13</t>
  </si>
  <si>
    <t xml:space="preserve">Water cooler Model-SDX680, Storage capacity 80 Ltr &amp; Cooling capacity Cap 60 Ltr/Hr, Make Blue star </t>
  </si>
  <si>
    <t>106 dt.23.03.13</t>
  </si>
  <si>
    <t>TRD/49 dt.29.03.13</t>
  </si>
  <si>
    <t>Heavy duty wet &amp; dry vaccum cleaner (PC-80 twin motor), Make-GISOWATI with standard accessories</t>
  </si>
  <si>
    <t>Hydro Metre for measuring density of LDO &amp; HFO</t>
  </si>
  <si>
    <t>49/2013 dt.13.04.13</t>
  </si>
  <si>
    <t>Electric Torque wrench NM-1000 (1 inch drive) Make-Makita Model 6910, with 41 MM socket - 2 Nos &amp; Impact Socket 46 MM (1 Inch drive) 1 No</t>
  </si>
  <si>
    <t>1989 dt.09.04.13</t>
  </si>
  <si>
    <t>POLLUTION CONTROL EQUIPMENT - 151034</t>
  </si>
  <si>
    <t>Continuous Emission Monitoring System (CEMS) foundation civil work near chimney -1 north side</t>
  </si>
  <si>
    <t>01 dt.29.04.13</t>
  </si>
  <si>
    <t>Verticle blinds</t>
  </si>
  <si>
    <t>69 dt.01.05.13</t>
  </si>
  <si>
    <t>A&amp;C13 dt.14.05.13</t>
  </si>
  <si>
    <t>Bed (Single) 6x3 18mm ply (32 Nos)</t>
  </si>
  <si>
    <t>A&amp;C/13 dt.20.05.13</t>
  </si>
  <si>
    <t xml:space="preserve">Almirah 78x36x21 with mirror </t>
  </si>
  <si>
    <t>A&amp;C09 dt.20.05.13</t>
  </si>
  <si>
    <t>Bed side table with three drawer 12x15 inch</t>
  </si>
  <si>
    <t>A&amp;C15 dt.08.06.13</t>
  </si>
  <si>
    <t>PVC chairs</t>
  </si>
  <si>
    <t>A&amp;C2 dt.12.04.13</t>
  </si>
  <si>
    <t>Centre table</t>
  </si>
  <si>
    <t>A&amp;c1 dt.05.04.13</t>
  </si>
  <si>
    <t>A&amp;C1 dt.05.04.13</t>
  </si>
  <si>
    <t>Bed side table with three drawer</t>
  </si>
  <si>
    <t xml:space="preserve">1.5 Ton without voltage stabilizer Make-LG Air conditioner </t>
  </si>
  <si>
    <t>GE70 dt.14.05.13</t>
  </si>
  <si>
    <t xml:space="preserve">1.5 Ton without voltage stabilizer Make-LG, Model-LSAMMRN3N Air conditioner </t>
  </si>
  <si>
    <t>GE111 dt.07.06.13</t>
  </si>
  <si>
    <t xml:space="preserve">LED torch Alfin 400 (Bright Lite Make-Philips) </t>
  </si>
  <si>
    <t>GE68 dt.11.05.13</t>
  </si>
  <si>
    <t>GE53 dt.03.05.13</t>
  </si>
  <si>
    <t>GE69 dt.12.05.13</t>
  </si>
  <si>
    <t xml:space="preserve">Flyatcher (Standard size) </t>
  </si>
  <si>
    <t>GE03 dt.03.04.13</t>
  </si>
  <si>
    <t>LED torch Alfin 400 (Bright Lite)</t>
  </si>
  <si>
    <t>GE83 dt.25.05.13</t>
  </si>
  <si>
    <t>Extension board 16 AMP 4 way</t>
  </si>
  <si>
    <t>GE34 dt.25.04.13</t>
  </si>
  <si>
    <t xml:space="preserve">Powersure 25KA Transient voltage surge suppressor (TVSS) to protect all kind of load from high/surge voltages </t>
  </si>
  <si>
    <t>001 dt.06.04.13</t>
  </si>
  <si>
    <t>Water Dispencer</t>
  </si>
  <si>
    <t>GE76 dt.16.05.13</t>
  </si>
  <si>
    <t>Barrel Pump</t>
  </si>
  <si>
    <t>Horizontal Trilex pump Cap 40 LPM</t>
  </si>
  <si>
    <t>VTA/01/13-14 dt.02.04.13</t>
  </si>
  <si>
    <t xml:space="preserve">Flame proof motor </t>
  </si>
  <si>
    <t>VTA/11/13-14 dt.18.04.13</t>
  </si>
  <si>
    <t>7.5 KW/10 HP Motor</t>
  </si>
  <si>
    <t>Shree/Bsp/11/12-13 dt.16.04.13</t>
  </si>
  <si>
    <t>Openwell submersible pump 1 HP /0.75 KW 2900 Rpm</t>
  </si>
  <si>
    <t>Shree/Bsp/57/13-14 dt.27.05.13</t>
  </si>
  <si>
    <t xml:space="preserve">Mono block pump 1 HP self priming (Make V-Guard) </t>
  </si>
  <si>
    <t>Micro Trends Computer</t>
  </si>
  <si>
    <t xml:space="preserve">OFC Media converters 10/100x4 wireless connectivity (BSNL) Block-1 to all blocks </t>
  </si>
  <si>
    <t>3835 dt.08.05.13</t>
  </si>
  <si>
    <t>BN908 dt.06.05.13</t>
  </si>
  <si>
    <t>Supply &amp; Installation of MS frames cooler stand</t>
  </si>
  <si>
    <t>348 dt.20.05.13</t>
  </si>
  <si>
    <t>Air cooler without trolley, Model-Jumbo, Make:Symphony and Stands</t>
  </si>
  <si>
    <t>642 dt.22.04.13</t>
  </si>
  <si>
    <t>Alum Ledder 6 with platform</t>
  </si>
  <si>
    <t>GE13 dt.11.04.13</t>
  </si>
  <si>
    <t>Steel slotted Angle rack 78 inch x 36 inch x 15 inch (05 self) heavy duty</t>
  </si>
  <si>
    <t>598 dt.26.03.13</t>
  </si>
  <si>
    <t>A&amp;C11 dt.23.05.13</t>
  </si>
  <si>
    <t>Slotted Angle rack and Steel Book Almirah</t>
  </si>
  <si>
    <t xml:space="preserve">Siemens IP phones Model: Openstage 20 IP, </t>
  </si>
  <si>
    <t>T-160 dt.04.05.13</t>
  </si>
  <si>
    <t>Havells Make Fans (36 Nos wall fans and 1 No Pedestal fan)</t>
  </si>
  <si>
    <t>221 dt.19.04.13</t>
  </si>
  <si>
    <t>Ceiling fan 1400mm (Make-Havells) 8 Nos, Pedestal fan 400mm (Make-Havells) 10 Nos and extension board 16 AMP 4 way 1 No</t>
  </si>
  <si>
    <t xml:space="preserve">Wall mountain fan 400mm H/s (Make-Havells) </t>
  </si>
  <si>
    <t>GE63 dt.10.05.13</t>
  </si>
  <si>
    <t>RODENT REPELLENT SYSTEM - 131052</t>
  </si>
  <si>
    <t>Ultrasonic Rodent Repellent (Model-VX) Make-Varna Suraksha</t>
  </si>
  <si>
    <t>610403 dt.20.03.13</t>
  </si>
  <si>
    <t xml:space="preserve">Video conferencing equipment Make Polycom HDX 7000 with HDX MP multi point software license </t>
  </si>
  <si>
    <t>S-51 dt.22.04.13</t>
  </si>
  <si>
    <t>Water purification system 05 stage Cap 40 Ltr</t>
  </si>
  <si>
    <t>1243 dt.17.04.13</t>
  </si>
  <si>
    <t>1236 dt.10.04.13</t>
  </si>
  <si>
    <t>Water purification system</t>
  </si>
  <si>
    <t>VAT/011 dt.18.04.13</t>
  </si>
  <si>
    <t>Steel book Almirah MS Power coated with 04 glass pannel power coating paint</t>
  </si>
  <si>
    <t>Samsung 209L Printer</t>
  </si>
  <si>
    <t>1959 dt.27.05.13</t>
  </si>
  <si>
    <t>Ricoh Multifunctional productAficio MP2000L2 Printer</t>
  </si>
  <si>
    <t>UWC1083 dt.25.03.13</t>
  </si>
  <si>
    <t>Samsung 209L Printers 3 Nos, HP Q2612A 1 No and Samsung 209 SCX4828 1 No</t>
  </si>
  <si>
    <t>239 dt.06.04.13</t>
  </si>
  <si>
    <t>Polycom M100 Desktop conferencing application for 5 users (VC conferencing software)</t>
  </si>
  <si>
    <t>T-255 dt.24.05.13</t>
  </si>
  <si>
    <t>Acrylic Podium CCP062</t>
  </si>
  <si>
    <t>0113 dt.18.06.13</t>
  </si>
  <si>
    <t>3875 dt.19.06.13</t>
  </si>
  <si>
    <t>Cisco Multiplex Trunk voice / WAN Interface card G.703 2nd Generation (V WIC2-1 MFT)</t>
  </si>
  <si>
    <t>Pits/Sup/062 dt.04.07.13</t>
  </si>
  <si>
    <t>8233 Mtrs</t>
  </si>
  <si>
    <t>266 dt.25.06.13, 234 dt.18.06.13</t>
  </si>
  <si>
    <t>12 Fiber single mode (SM armoured OFC cable make: Finolex (Connectivity of BSNL leased line)</t>
  </si>
  <si>
    <t>Pits/Inst/015 dt.03.06.13</t>
  </si>
  <si>
    <t>CISCO Router 2811 - IP Base 64F/256D</t>
  </si>
  <si>
    <t>Supply of PVC water tank capacity 2000 Ltr (Tripple layer) Make Johnson from MCC room wigen tripper area</t>
  </si>
  <si>
    <t>61 dt.05.04.13</t>
  </si>
  <si>
    <t>60 dt.05.04.13</t>
  </si>
  <si>
    <t>Supply of PVC water tank capacity 1000 Ltr (Tripple layer) Make Johnson from MCC room wigen tripper area</t>
  </si>
  <si>
    <t>Nil dt.28.01.12</t>
  </si>
  <si>
    <t>Computer attendance recording system facial model AFA610 multi colour with touch screen X2 S.No.2647413090004 &amp;5)</t>
  </si>
  <si>
    <t>APS-031/13-14 dt.30.04.13</t>
  </si>
  <si>
    <t>Freight charges for Heavy duty wet &amp; dry vaccum cleaner from HAFI Elektra Pvt.Ltd</t>
  </si>
  <si>
    <t>CCTV &amp; Network components</t>
  </si>
  <si>
    <t>3866 &amp; 3867 dt.11.06.13</t>
  </si>
  <si>
    <t>I Ball Router WIFI 150M Outdoor</t>
  </si>
  <si>
    <t>3896 dt.27.06.13</t>
  </si>
  <si>
    <t>Samsung Joy 46" LED full HD TV (UA 46F5100AR)</t>
  </si>
  <si>
    <t>3898 dt.27.06.13</t>
  </si>
  <si>
    <t>HP Laserjet PRO400MFP M425DN Printer</t>
  </si>
  <si>
    <t>3897 dt.27.06.13</t>
  </si>
  <si>
    <t>Mattress 6'x3' with pillow</t>
  </si>
  <si>
    <t xml:space="preserve">Bed (Single) 6'x3' 18 MM ply  </t>
  </si>
  <si>
    <t>Matress 6'x3' with pillow make godrej</t>
  </si>
  <si>
    <t>Study Table 3x2.5</t>
  </si>
  <si>
    <t>Almirah 78"x36"x21" with mirror</t>
  </si>
  <si>
    <t xml:space="preserve">Moulded chair 2135, Make:Nilkamal </t>
  </si>
  <si>
    <t>Skoda  - Model Soka Laura (GJ01HQ8148)</t>
  </si>
  <si>
    <t>Media converter, optical fiber components &amp; network devices</t>
  </si>
  <si>
    <t>3876 &amp; 3877 dt.19.06.13</t>
  </si>
  <si>
    <t>Slotted angle rack 75x15 9 three side cover</t>
  </si>
  <si>
    <t>A&amp;C19 dt.02.07.13</t>
  </si>
  <si>
    <t xml:space="preserve">Freight charges agnst DWB No.020804991 for automatic Wet &amp; Dry vaccum cleaner &amp; spares from Hafi electra Pvt.Ltd </t>
  </si>
  <si>
    <t>I Ball cat 6 cable and cable tie</t>
  </si>
  <si>
    <t>3744 dt.03.07.13</t>
  </si>
  <si>
    <t>Dell optiplex-3010 DT base</t>
  </si>
  <si>
    <t>8040668405 dt.28.06.13</t>
  </si>
  <si>
    <t xml:space="preserve">Computer attendance recording system facial model AFA610 multi colour with touch screen </t>
  </si>
  <si>
    <t>APS-104/13-14 dt.08.08.13</t>
  </si>
  <si>
    <t>8040668100 dt.27.06.13</t>
  </si>
  <si>
    <t xml:space="preserve">Water purification system capacity 5000 Ltrs </t>
  </si>
  <si>
    <t>1258 dt.08.07.13</t>
  </si>
  <si>
    <t>GE145 dt.02.07.13</t>
  </si>
  <si>
    <t>No. of days</t>
  </si>
  <si>
    <t xml:space="preserve">Analog Insulation Tester Hand driven </t>
  </si>
  <si>
    <t>235 dt.30.08.13</t>
  </si>
  <si>
    <t xml:space="preserve">Steel Almirah </t>
  </si>
  <si>
    <t>839 dt.13.09.13</t>
  </si>
  <si>
    <t xml:space="preserve">Network cable &amp; ADSL-Router </t>
  </si>
  <si>
    <t>1200 dt.19.09.13</t>
  </si>
  <si>
    <t>Installation charges of Automatic Attendance recording system AFA610</t>
  </si>
  <si>
    <t>AS/CB-006/13-14 dt.18.07.13</t>
  </si>
  <si>
    <t>1247 dt.27.05.13</t>
  </si>
  <si>
    <t>3936 dt.05.08.13</t>
  </si>
  <si>
    <t>CCTV &amp; DVR components</t>
  </si>
  <si>
    <t>3951 dt.17.08.13</t>
  </si>
  <si>
    <t>3967 dt.30.08.13</t>
  </si>
  <si>
    <t>Shure podium MIC &amp; Cable connector, Nexia programming</t>
  </si>
  <si>
    <t>CSPL-SR/111/13-14 &amp; VSOL-SL/182/13-14 dt.19.09.13</t>
  </si>
  <si>
    <t>3305 dt.20.09.13</t>
  </si>
  <si>
    <t>Ahuja Delegate unit MIC model CMD-4200 Extra 8 Nos</t>
  </si>
  <si>
    <t xml:space="preserve">Automatic Vaccum cleaner wet &amp; dry scrubber HAF143CT with Std accessories </t>
  </si>
  <si>
    <t>HEP/52/13 dt.18.06.13</t>
  </si>
  <si>
    <t>RP/RS/11/1006&amp;1088 dt.22.07.13</t>
  </si>
  <si>
    <t>DARD Disk 01TB Make-Seagate</t>
  </si>
  <si>
    <t>2432 dt.06.08.13</t>
  </si>
  <si>
    <t xml:space="preserve">Dell Vostro 3460 BTX base laptops </t>
  </si>
  <si>
    <t>8040680528 dt.31.07.13</t>
  </si>
  <si>
    <t>Samsung 209 L Printer</t>
  </si>
  <si>
    <t>4865 dt.20.08.13</t>
  </si>
  <si>
    <t>2 Weigh Bridges (Bridge Nos.2 &amp; 3) and one for Control Cabin (Control Room No.2) balance 50% capitalised</t>
  </si>
  <si>
    <t>Erection &amp; Commissioning of Weigh bridge near Fuel tank balance 50% capitalised</t>
  </si>
  <si>
    <t>1st &amp; Final bill dt.01.04.13</t>
  </si>
  <si>
    <t>23100462,23100461 &amp; 23800260 dt.04.01.13</t>
  </si>
  <si>
    <t>Steel Almirah (Make-Zenith)</t>
  </si>
  <si>
    <t>840 dt.13.09.13</t>
  </si>
  <si>
    <t>826 dt.28.08.13</t>
  </si>
  <si>
    <t>RO Unit</t>
  </si>
  <si>
    <t>1268 dt.06.09.13</t>
  </si>
  <si>
    <t>Ultrasonic Rodent Repellent (Make-Varna Suraksha)</t>
  </si>
  <si>
    <t>620325 dt.20.09.13</t>
  </si>
  <si>
    <t>ACCESS CONTROL SYSTEM - 131053</t>
  </si>
  <si>
    <t>sum of various bills</t>
  </si>
  <si>
    <t>5876 dt.16.09.13</t>
  </si>
  <si>
    <t>Computerised Attendance Recording System (Biometric Base) Model AFA110C TFT color display</t>
  </si>
  <si>
    <t>APS-174/13-14 dt.08.11.13</t>
  </si>
  <si>
    <t>Computerised attendance recording system (Biometric base) Finger brand model AFA-110 monochrome display with key pad built in TCP/IP</t>
  </si>
  <si>
    <t xml:space="preserve">Network &amp; OFC components </t>
  </si>
  <si>
    <t>3990 &amp; 3991 dt.26.09.13</t>
  </si>
  <si>
    <t xml:space="preserve">Supply of Model Fortigate 80C BDL (S/N.FGT80C3913614494) Firewall with support for 3 years </t>
  </si>
  <si>
    <t>PITS/Sup/121 dt.16.10.13</t>
  </si>
  <si>
    <t xml:space="preserve">Passive Network components </t>
  </si>
  <si>
    <t>4503 dt.11.12.13</t>
  </si>
  <si>
    <t xml:space="preserve">Dell Laptop E6330 with 3rd Gen Inter ('R) Core ™ 15-3340M Processor </t>
  </si>
  <si>
    <t>8040711323 dt.07.11.13</t>
  </si>
  <si>
    <t>9020218431 dt.03.12.13</t>
  </si>
  <si>
    <t>38110016 dt.26.11.13</t>
  </si>
  <si>
    <t>4507 &amp; 4508 dt.19.12.13</t>
  </si>
  <si>
    <t>Weighing scale Capacity 200 Kg (Make Venus)</t>
  </si>
  <si>
    <t>1091 dt.28.10.13</t>
  </si>
  <si>
    <t>Tvs-Flame-CG04DP6616</t>
  </si>
  <si>
    <t>4 CH CCTV Network video recorder equipment, Dahua, DH-NVR2104-PNVR 4CH 720P Nwport</t>
  </si>
  <si>
    <t>4513 dt.03.01.14</t>
  </si>
  <si>
    <t xml:space="preserve">Supply of Pressure Guage 0-10Kg/CM2 Dial -150M, Qty:4 &amp; Isolation Valve &amp; Thresaded Nipple &amp; PIG Tail type syphone &amp; Threaded socket </t>
  </si>
  <si>
    <t>GBL-1063 dt.07.12.13</t>
  </si>
  <si>
    <t xml:space="preserve">Verticle File cabinet </t>
  </si>
  <si>
    <t>1011 dt.10.01.14</t>
  </si>
  <si>
    <t>994 dt.26.12.13</t>
  </si>
  <si>
    <t>25 Nos Cots, Mattresses &amp; Pillows</t>
  </si>
  <si>
    <t>954 dt.23.11.13</t>
  </si>
  <si>
    <t xml:space="preserve">Slotted angle rack </t>
  </si>
  <si>
    <t>957 dt.23.11.13</t>
  </si>
  <si>
    <t>Supply of Siemens make SLM024 port digital extension card for Hipath 3800 equipment</t>
  </si>
  <si>
    <t>T-1041 dt.06.02.14</t>
  </si>
  <si>
    <t>Supply of Dahua-IP Camera (Internet protocal Camera)</t>
  </si>
  <si>
    <t>4120 dt.23.01.14</t>
  </si>
  <si>
    <t>Weigh Bridge</t>
  </si>
  <si>
    <t>Wall Mounted Rack 6 U with accessories</t>
  </si>
  <si>
    <t>INV/TTS/KSK/1052 dt.07.01.14</t>
  </si>
  <si>
    <t>Polycom Extra Microphone with cable DT HDX7000 VC</t>
  </si>
  <si>
    <t>T-1029 dt.01.02.14</t>
  </si>
  <si>
    <t>Ricoh Multifunctional Product Aficio SP202SN printer</t>
  </si>
  <si>
    <t>93110967 dt.16.01.14</t>
  </si>
  <si>
    <t>93110848 dt.16.01.14</t>
  </si>
  <si>
    <t>KE/13-14/1099 dt.10.02.14</t>
  </si>
  <si>
    <t>Jan/1314/003 dt.08.01.14</t>
  </si>
  <si>
    <t xml:space="preserve">Verticle File cabinet 4 drawer size (Make-Godrej) </t>
  </si>
  <si>
    <t>1010 dt.10.01.14</t>
  </si>
  <si>
    <t>4595 dt.25.02.14</t>
  </si>
  <si>
    <t>Slotted Angle Rack</t>
  </si>
  <si>
    <t>A&amp;C29 dt.26.02.14</t>
  </si>
  <si>
    <t>Shure podium MIC &amp; Cable connector</t>
  </si>
  <si>
    <t>VSPL-SL/436/13-14 dt.12.03.14</t>
  </si>
  <si>
    <t xml:space="preserve">Samsung 209L Printer </t>
  </si>
  <si>
    <t>10326 dt.23.01.14</t>
  </si>
  <si>
    <t>4220 dt.11.03.14</t>
  </si>
  <si>
    <t>93111288 dt.14.03.14</t>
  </si>
  <si>
    <t>Air and Flue gas system</t>
  </si>
  <si>
    <t>Ash Handling System</t>
  </si>
  <si>
    <t>Boiler system</t>
  </si>
  <si>
    <t>Coal Handling Plant</t>
  </si>
  <si>
    <t>Control and Instrumentation  system</t>
  </si>
  <si>
    <t>Electrical Equipment</t>
  </si>
  <si>
    <t>Fuel Oil System</t>
  </si>
  <si>
    <t>Miscellaneous Equipment</t>
  </si>
  <si>
    <t>Transmission lines</t>
  </si>
  <si>
    <t>Turbine and Generator</t>
  </si>
  <si>
    <t>Water and steam system</t>
  </si>
  <si>
    <t>Water treatment system</t>
  </si>
  <si>
    <t>Plant buildings</t>
  </si>
  <si>
    <t>Roads</t>
  </si>
  <si>
    <t xml:space="preserve">Watch towers </t>
  </si>
  <si>
    <t xml:space="preserve">Fencing of Plant Area </t>
  </si>
  <si>
    <t xml:space="preserve">Green Belt Development </t>
  </si>
  <si>
    <t xml:space="preserve">Construction Of Staff Quarters </t>
  </si>
  <si>
    <t>Civil Works On Property Not Owned By Company</t>
  </si>
  <si>
    <t>Parking Sheds</t>
  </si>
  <si>
    <t>Borewell</t>
  </si>
  <si>
    <t>Construction of Pulverizer Room</t>
  </si>
  <si>
    <t>Drains, Culverts and Crossovers</t>
  </si>
  <si>
    <t>Office Building</t>
  </si>
  <si>
    <t>Temporary Constructions</t>
  </si>
  <si>
    <t>RA-Final dt.10.03.14</t>
  </si>
  <si>
    <t>RA-01 &amp; Final dt.15.03.14</t>
  </si>
  <si>
    <t>Copper cable procured for providing temporary power supply TPU-3 boiler elevator</t>
  </si>
  <si>
    <t>OFC Cable lying work</t>
  </si>
  <si>
    <t>Cable laying work near Fly ash unloading system in to Railway</t>
  </si>
  <si>
    <t>1st &amp; Final bill</t>
  </si>
  <si>
    <t>BSPK/13-14/05 dt.06.02.14</t>
  </si>
  <si>
    <t>1st &amp; Final bill dt.30.01.14</t>
  </si>
  <si>
    <t>01A dt.26.03.14</t>
  </si>
  <si>
    <t>Assembling of work stations in CHP, Switchyard, Chemistry Lab, CCR</t>
  </si>
  <si>
    <t>Work station assembly work at site</t>
  </si>
  <si>
    <t>PLANT AND MACHINERY - 151000</t>
  </si>
  <si>
    <t xml:space="preserve">Manpower supply for fabrication &amp; erection of platform of Unit-3 </t>
  </si>
  <si>
    <t>RA-16</t>
  </si>
  <si>
    <t>Electrical material for logistics office in CHP area</t>
  </si>
  <si>
    <t>Electrical material for Block office-06 at site</t>
  </si>
  <si>
    <t>GE07</t>
  </si>
  <si>
    <t>GE389</t>
  </si>
  <si>
    <t>GR388</t>
  </si>
  <si>
    <t>VTA/201/13</t>
  </si>
  <si>
    <t>Supply of weigh bridge Cap 20 Kg - 490 nos and Weight cap 10 Kg - 20 Nos for weigh bridge at CHP, Nariyara</t>
  </si>
  <si>
    <t>Cleaning, cheaping work &amp; shifting the material in weight Bridge # 3 and compound wall plant area</t>
  </si>
  <si>
    <t>Stone dust for back filling work in Web weigh bridge no.3</t>
  </si>
  <si>
    <t>Supply of free standing table for CCB#2 (1500x75mmx727mm size)</t>
  </si>
  <si>
    <t>5274 &amp; 5275</t>
  </si>
  <si>
    <t>Supply of 1500x750 MM x 727 MM HT size table system - M</t>
  </si>
  <si>
    <t>1064 &amp; 1065</t>
  </si>
  <si>
    <t>Supply &amp; Installation of interior work for block-6</t>
  </si>
  <si>
    <t xml:space="preserve">Construction of H Block in KSK Living </t>
  </si>
  <si>
    <t>RA-1(S)</t>
  </si>
  <si>
    <t xml:space="preserve">Construction of J Block in KSK Living </t>
  </si>
  <si>
    <t>RA-1(S)&amp;2(S)</t>
  </si>
  <si>
    <t>Work of Block - B Sepco living quarters</t>
  </si>
  <si>
    <t>RA-1&amp;Final</t>
  </si>
  <si>
    <t>Civil miscellaneous work for Block-C,H, J inside Sepco Living qtrs</t>
  </si>
  <si>
    <t>1st &amp; RA Final</t>
  </si>
  <si>
    <t>Filling of pit holes parking area block-4 and approach road  for main road to camp office and construction of storage space in work space-1</t>
  </si>
  <si>
    <t>Manpower supply for filling of pit holes parking area block-4</t>
  </si>
  <si>
    <t>1st &amp; Final</t>
  </si>
  <si>
    <t xml:space="preserve">Civil work for coal vehicle movement in CHP area </t>
  </si>
  <si>
    <t xml:space="preserve">Construction of Temporary road work in KSK Labour colony </t>
  </si>
  <si>
    <t xml:space="preserve">Supply, Laying, Filling, Spreading, Levelling &amp; Dressing to stonedust in labour colony </t>
  </si>
  <si>
    <t>VC/01/2013</t>
  </si>
  <si>
    <t>RA-1st &amp; Final</t>
  </si>
  <si>
    <t>ASH HANDLING SYSTEM - 151019</t>
  </si>
  <si>
    <t xml:space="preserve">Excavation work of fly new ash silos # 3 </t>
  </si>
  <si>
    <t>01</t>
  </si>
  <si>
    <t>WATER TREATMENT PLANT - 151067</t>
  </si>
  <si>
    <t>Construction of flow meter pit DM plant area at site, Nariyara</t>
  </si>
  <si>
    <t>02</t>
  </si>
  <si>
    <t>RAI/13-14/539</t>
  </si>
  <si>
    <t>Ref.DN/00539</t>
  </si>
  <si>
    <t>ACC000275 &amp; 244</t>
  </si>
  <si>
    <t>RAI/13-14/440</t>
  </si>
  <si>
    <t>Ref.DN/00440</t>
  </si>
  <si>
    <t>ACC000275 &amp; 280</t>
  </si>
  <si>
    <t>BN.77/A</t>
  </si>
  <si>
    <t>RTO Charges and other fees for Fortuner CG04KW9999</t>
  </si>
  <si>
    <t>RTO Charges and other fees for Fortuner CG04KX0567</t>
  </si>
  <si>
    <t>Purchase of Toyota Fortuner Toyota (4x2) Suffix FC (Colour white) LMV Super white CG04KX0567</t>
  </si>
  <si>
    <t>New vehicle Toyota Fortuner insurance under lying advance and transferred to CWIP (Insurance period 09.10.13 to 08.10.14) CG04KX0567</t>
  </si>
  <si>
    <t>Accessories for New fortuner white colour CG04KX0567</t>
  </si>
  <si>
    <t>Purchase of Toyota Fortuner 4x2 MT (FC) Black Mica LMV at Site CG04KW9999</t>
  </si>
  <si>
    <t>New vehicle Toyota Fortuner insurance under lying advance and transferred to CWIP (Insurance period 01.11.13 to 31.10.14) CG04KW9999</t>
  </si>
  <si>
    <t>Accessories for New fortuner black colour CG04KW9999</t>
  </si>
  <si>
    <t>No.of Days</t>
  </si>
  <si>
    <t>Depr.-Current period</t>
  </si>
  <si>
    <t>Depr.-Cumulative</t>
  </si>
  <si>
    <t>Buildings</t>
  </si>
  <si>
    <t>Exchange Variation - Buildings</t>
  </si>
  <si>
    <t>Exchange Variation - Non Plant Buildings</t>
  </si>
  <si>
    <t>Digital Cameras</t>
  </si>
  <si>
    <t>1577 dt.23.02.14</t>
  </si>
  <si>
    <t>Supply of Network &amp; OFC components</t>
  </si>
  <si>
    <t>4294,4296 &amp; 4297 dt.04.05.14</t>
  </si>
  <si>
    <t>Passive Network &amp; CCTV components</t>
  </si>
  <si>
    <t>4299 &amp; 4300 dt.04.05.14</t>
  </si>
  <si>
    <t>Passive Network &amp; Wireless components</t>
  </si>
  <si>
    <t>4328, 4330, 4331 dt.24.05.14</t>
  </si>
  <si>
    <t>4282, 4283, 4285 &amp; 4287 dt.25.04.14</t>
  </si>
  <si>
    <t xml:space="preserve">Supply of Submercible pump set 3 HP 15 stage with control panel </t>
  </si>
  <si>
    <t>Shree/BSP55/13-14 dt.23.05.14</t>
  </si>
  <si>
    <t xml:space="preserve">Supply of VC life size Digital MIC POD with splitter </t>
  </si>
  <si>
    <t>VSPL-SR/010, 015 &amp; 016/14-15 dt.16.04.14</t>
  </si>
  <si>
    <t>8040755565 dt.04.04.14</t>
  </si>
  <si>
    <t>8040755564 &amp; 9020238387 dt.11.04.14</t>
  </si>
  <si>
    <t>Epson LQ 1150 - 24PIN - Dot Matrix Printer</t>
  </si>
  <si>
    <t>Ricoh Multifunctional product Aficio MP2501S Printer</t>
  </si>
  <si>
    <t>Ricoh Multifunctional Product Aficio C242SF Printer</t>
  </si>
  <si>
    <t>HP M136 LJ Printer</t>
  </si>
  <si>
    <t>Canon - LBP7780CX  with front Usb &amp; Micard support  - Printer</t>
  </si>
  <si>
    <t>HP MFP1213NF - Printers</t>
  </si>
  <si>
    <t>Ricoh Multi Functional Product AFICIO MP 2001 SP - Printer</t>
  </si>
  <si>
    <t>Laser  - HP Make - Model 1522 NF - Printer</t>
  </si>
  <si>
    <t>Laser -Printer - Aficio 4100NL</t>
  </si>
  <si>
    <t>Laser - Printer - Aficio MPC 2050</t>
  </si>
  <si>
    <t>Ricoh - Printer</t>
  </si>
  <si>
    <t>Laser - Printer-Hp 1522</t>
  </si>
  <si>
    <t xml:space="preserve">Samsung Make - Printer Model No.SCX-4828 FN </t>
  </si>
  <si>
    <t>Multi Functional - Printer Richo Aficio MP2550B/2510</t>
  </si>
  <si>
    <t>Supply of Ricoh Plotter - Printer  Model Afficio MP W2400, 240W (Qty-01)</t>
  </si>
  <si>
    <t>HP Offset 4500 (W/ADP)  - Printer</t>
  </si>
  <si>
    <t xml:space="preserve">Samsung Make - Printer SCX -3201 </t>
  </si>
  <si>
    <t xml:space="preserve">Ricoh Multi functional product Aficio MP 2851 - Printer </t>
  </si>
  <si>
    <t xml:space="preserve">Ricoh Multi functional product Aficio MP 2550B - Printer </t>
  </si>
  <si>
    <t>Canaon Image Runner iR2525 Monochrome Black and white mutltifunction, with network A3 -Printer scanner inbuilt includes trolly, DADF, Duplex unit &amp; Stabilizer</t>
  </si>
  <si>
    <t>HP Laserjet - Printer</t>
  </si>
  <si>
    <t>HP Laser Jet M1136-All-In-One - Printer</t>
  </si>
  <si>
    <t>HP Laserjet 1213NF MFP - Printer</t>
  </si>
  <si>
    <t>HP - Printer Model HP 1213NF (Sr.No.CNG9C8SB2F)</t>
  </si>
  <si>
    <t xml:space="preserve">HP Laserjet - Printer HP Pro </t>
  </si>
  <si>
    <t xml:space="preserve">HP - Printer M1213NF All-in-one </t>
  </si>
  <si>
    <t>HP - Printer Pro, Model M1213NF</t>
  </si>
  <si>
    <t xml:space="preserve">HP - Printer 1136MFP </t>
  </si>
  <si>
    <t>Multifunctional -Printer model-Ricoh Aficio MP2852SP/MP2851</t>
  </si>
  <si>
    <t>HP Laserjet -Printer</t>
  </si>
  <si>
    <t>HP Lasejet duplex M 1536dnf - Printer</t>
  </si>
  <si>
    <t>AZ</t>
  </si>
  <si>
    <t>New Sewer line from Septic tank to main  at site office</t>
  </si>
  <si>
    <t>well</t>
  </si>
  <si>
    <t>No of days upto 31.03.14</t>
  </si>
  <si>
    <t>Bal No of days</t>
  </si>
  <si>
    <t>Total No of days for Life time</t>
  </si>
  <si>
    <t>Last date of life time</t>
  </si>
  <si>
    <t>Bal depreciable</t>
  </si>
  <si>
    <t xml:space="preserve">Scrap value </t>
  </si>
  <si>
    <t>Bal  depreciable amount</t>
  </si>
  <si>
    <t>Retained earnings</t>
  </si>
  <si>
    <t>Luffering type crane of Kerun Model FZA2400Z - 110 T capacity</t>
  </si>
  <si>
    <t>Hydraulic Crawler Crane of Model Quy-250-1 Fuwa Make of 250 Ton  capacity</t>
  </si>
  <si>
    <t>INR</t>
  </si>
  <si>
    <t>Buildings - Plant</t>
  </si>
  <si>
    <t>NPB - BOUNDARY WALL - 171006 - 30 YEARS</t>
  </si>
  <si>
    <t>NPB - Development of Approach Roads - 171001 - 10 YEARS</t>
  </si>
  <si>
    <t>NPB - Fencing of Plant Area - 171008 - 30 YEARS</t>
  </si>
  <si>
    <t>NPB CONSTRUCTION OF STORM WATER DRAIN - 171009 - 30 YEARS</t>
  </si>
  <si>
    <t>NPB - GREEN BELT DEVELOPMEN - 171013 - 30 YEARS</t>
  </si>
  <si>
    <t>NPB - CONSTRUCTION OF STAFF QUARTERS - 171015 - 60 YEARS</t>
  </si>
  <si>
    <t>Borewell - 171020  - 05 YEARS</t>
  </si>
  <si>
    <t>BUILDINGS - ADMN BLOCK / GUESTHOUSE - 171021 - 30 YEARS</t>
  </si>
  <si>
    <t>BUILDINGS - SECURITY ROOM - 171024 - 03 YEARS</t>
  </si>
  <si>
    <t>OFFICE BUILDING - 171051 - 60 YEARS</t>
  </si>
  <si>
    <t>WARE HOUSE / STORAGE - 171052 - 60 YEARS</t>
  </si>
  <si>
    <t>NPB - TEMPORARY CONSTRUCTIONS - 171054 - 30 YEARS</t>
  </si>
  <si>
    <t>BUILDINGS - CANTEEN - 171022 - 30 YEARS</t>
  </si>
  <si>
    <t>BUILDINGS - INTERNAL ROADS &amp; COMPOUND WALL - 171023 - 10 YEARS</t>
  </si>
  <si>
    <t>WORKSHOP AND STORE - 171056 - 30 YEARS</t>
  </si>
  <si>
    <t>NPB Drinking Water Facility at Plant - 171016 - 30 YEARS</t>
  </si>
  <si>
    <t>Water Sump - 171063 - 30 YEARS</t>
  </si>
  <si>
    <t>NPB - Helipads - 171057 - 30 YEARS</t>
  </si>
  <si>
    <t>NPB - CIVIL WORKS ON PROPERTY NOT OWNED BY COMPANY - 171018 - 03 YEARS</t>
  </si>
  <si>
    <t>N P B Parking Sheds - 171019 - 30 YEARS</t>
  </si>
  <si>
    <t>Bal depreciable amount</t>
  </si>
  <si>
    <t xml:space="preserve">Balance 02 nos High mast lighting </t>
  </si>
  <si>
    <t>Digital Volt Amplifire Meter</t>
  </si>
  <si>
    <t>T(I)C/14-15/118</t>
  </si>
  <si>
    <t xml:space="preserve">I Ball, D Link, AMP key store, IO Box, I Ball cable, Power Cable, Battery SMF, Encloser box </t>
  </si>
  <si>
    <t>4474 dt.14.08.14</t>
  </si>
  <si>
    <t>4472 dt.14.08.14</t>
  </si>
  <si>
    <t xml:space="preserve">Microtech UPS EB2000 SN-14GGNBAAA65751 </t>
  </si>
  <si>
    <t xml:space="preserve">D Link &amp; I Ball Cat Material Networking </t>
  </si>
  <si>
    <t>4498 dt.28.08.14</t>
  </si>
  <si>
    <t>Dahua IPC HF 2100P Camera with IRES Lens-2 Nos (Parameter) &amp; 2 TB USB HDD-1 No (Coal Logistics)</t>
  </si>
  <si>
    <t>4526 dt.06.09.14</t>
  </si>
  <si>
    <t>Siemens Make HG-1500 IP Card for Hipath 3550 EPABX system</t>
  </si>
  <si>
    <t>453 dt.07.08.14</t>
  </si>
  <si>
    <t>Supply of 1 HP Monoblock pump</t>
  </si>
  <si>
    <t>79 dt.02.07.14</t>
  </si>
  <si>
    <t>Submersible pump set 7.5 HP for plantation</t>
  </si>
  <si>
    <t>Shree/Bsp116/13-14</t>
  </si>
  <si>
    <t xml:space="preserve">CCTV Camera and Cat 6 Cable </t>
  </si>
  <si>
    <t>4455 dt.30.07.14</t>
  </si>
  <si>
    <t>Sonic fire wall CISCO SRW 2024-K9 EO-1 No, patch cards D Link 3 Mtrs-20 Nos, I Ball plumbing tool-2 Nos for Fire wall Block-1</t>
  </si>
  <si>
    <t>4527 dt.06.09.14</t>
  </si>
  <si>
    <t>HP Laserjet Pro M1536 DNF MFP (CNG8G4V7BT)</t>
  </si>
  <si>
    <t>Laptops</t>
  </si>
  <si>
    <t xml:space="preserve">Dell Sonic wall NSA 5600 Secure upgrade pulse (3 Year) support from Dell Sonc wall </t>
  </si>
  <si>
    <t>Sonic wall Analyser reporting software for NSA 5600</t>
  </si>
  <si>
    <t>836/Leon/August/2014</t>
  </si>
  <si>
    <t>Dell Sonic wall NSA 5600 with high availability (HA) unit with upgrade pulse (3 Year) and onsite installation charges</t>
  </si>
  <si>
    <t>835/Leon/August/2014 dt.05.08.14 &amp; 873/Leon/Sep/2014 dt.11.09.14</t>
  </si>
  <si>
    <t>Ricoh Multi functional product Aficio MP 2353 SP Printer (SL No.E744H450016)</t>
  </si>
  <si>
    <t>93111946 dt.25.07.14</t>
  </si>
  <si>
    <t>HP Laserjet Pro M1536 DNF MFP (CNG8G734H3)</t>
  </si>
  <si>
    <t>RE/1415/0068 dt.10.09.14</t>
  </si>
  <si>
    <t>HP Laserjet M128FN (SN CNB745SKSD)</t>
  </si>
  <si>
    <t xml:space="preserve">HP Laserjet Pro M1536 DNF MFO Sno.CNG8466MBD </t>
  </si>
  <si>
    <t>4475 dt.14.08.14</t>
  </si>
  <si>
    <t xml:space="preserve">Construction of High Mast Light foundation </t>
  </si>
  <si>
    <t>(a)Supply, Erection and commission Desktop PC with monitor, (b)Cable USB extention, ('c)USB to LAN converter &amp; RJ45 Plug for installation, (d)Supply of Finger print scanner 1 No, Erection &amp; commissioning</t>
  </si>
  <si>
    <t xml:space="preserve">Industrial locker cabinet </t>
  </si>
  <si>
    <t>93112137 dt.07.08.14</t>
  </si>
  <si>
    <t>Ricoh Multifunctional product Aficio MP 2501 SP Printer (E334M650054 &amp; E334M650141)</t>
  </si>
  <si>
    <t>HP Colour Laserjet Pro MFPM128FW All-in-one printer (SL No.CNB9G7MJ1Z)</t>
  </si>
  <si>
    <t>KE/14-15/0723 dt.07.11.14</t>
  </si>
  <si>
    <t>Water dispenser</t>
  </si>
  <si>
    <t>201 dt.04.09.14</t>
  </si>
  <si>
    <t>CCTV Security camera Dahua IP PTZ IR 2M 30xZoom DHSD6C230S</t>
  </si>
  <si>
    <t>4591 dt.16.10.14</t>
  </si>
  <si>
    <t>CCTV Security Camera Dahua IP PTZ IR 2M 30xZoom DHSD6C230S-H N 4 Nos and Dahua IP HFW 2100 SP 4 Nos</t>
  </si>
  <si>
    <t>4592 dt.16.10.14</t>
  </si>
  <si>
    <t>Network cabling for CCTV Camera footage</t>
  </si>
  <si>
    <t>4703 dt.28.10.14</t>
  </si>
  <si>
    <t xml:space="preserve">Monitoring CCTV footage </t>
  </si>
  <si>
    <t>4701 dt.28.10.14</t>
  </si>
  <si>
    <t>SANITORY FITTINGS - 141008</t>
  </si>
  <si>
    <t xml:space="preserve">ROCA Georgia Frees Stand bath &amp; Apron </t>
  </si>
  <si>
    <t>176 dt.07.11.14</t>
  </si>
  <si>
    <t>Supply of Roll up blind size 76x81-6 Nos &amp; 66x80.1/2-2 Nos, 66x70-1 No, 78x82-6 Nos</t>
  </si>
  <si>
    <t>3324 dt.19.09.14</t>
  </si>
  <si>
    <t>168 dt.04.08.14</t>
  </si>
  <si>
    <t>Water tank 1000 Ltr sintex with material and fittings</t>
  </si>
  <si>
    <t xml:space="preserve">Electronic weighing machine with battery Aqua series make Smart Model TAX-30K2 </t>
  </si>
  <si>
    <t>409 dt.18.10.14</t>
  </si>
  <si>
    <t xml:space="preserve">Supply of LED Torch Britlitr 2300 Mtr range (with battery and charger) </t>
  </si>
  <si>
    <t>GE/14-15/96 dt.18.07.14</t>
  </si>
  <si>
    <t>GE/14-15/127 dt.31.07.14</t>
  </si>
  <si>
    <t>OPFC Components &amp; Media converters</t>
  </si>
  <si>
    <t>4743 dt.17.12.14 &amp; 4737 dt.10.12.14</t>
  </si>
  <si>
    <t>Deep freezer 400 Ltr cap double door Hot top Model-CHF400A, Make Blue star</t>
  </si>
  <si>
    <t>173 dt.28.07.14</t>
  </si>
  <si>
    <t xml:space="preserve">20 Ltr cap Model-SDLX 2020 Make Bluestar </t>
  </si>
  <si>
    <t>200 dt.04.09.14</t>
  </si>
  <si>
    <t>APS-107/14-15 dt.08.11.14</t>
  </si>
  <si>
    <t>Computerised Attendance recording system facial model AFA610 (S.No.2640583220007 &amp; 2477413090005)</t>
  </si>
  <si>
    <t>CCTV Security cameras placed at Rogda gate &amp; Cabling, Network accessories</t>
  </si>
  <si>
    <t>4569,4571,4573 &amp; 4572 dt.26.09.14</t>
  </si>
  <si>
    <t>CCTV Security camera (Dahua IP PTZ IR2M 30XZoom DHSD6C230S-H N-30 Nos+Dahua IP HFW 2100 SP-4 Nos)</t>
  </si>
  <si>
    <t>4590 dt.16.10.14</t>
  </si>
  <si>
    <t>CCTV Security camera (Dahua IP PTZ IR2M 30XZoom DHSD6C230S-H N-2 Nos+Dahua IP HFW 2100 SP-2 Nos</t>
  </si>
  <si>
    <t>4589 dt.16.10.14</t>
  </si>
  <si>
    <t xml:space="preserve">Networking accessories for connecting CCTV Cameras </t>
  </si>
  <si>
    <t>4702 dt.28.10.14</t>
  </si>
  <si>
    <t>Supply of CCTV &amp; Network components</t>
  </si>
  <si>
    <t>4716 dt.11.11.14</t>
  </si>
  <si>
    <t>6162 dt.27.10.14</t>
  </si>
  <si>
    <t>Supply of Amplifier set with sound box system</t>
  </si>
  <si>
    <t>Sony Make DVD player for site</t>
  </si>
  <si>
    <t>296 dt.28.10.14</t>
  </si>
  <si>
    <t>Supply of passive network for Gate Access Control (GAC) security system</t>
  </si>
  <si>
    <t>4715 dt.11.11.14</t>
  </si>
  <si>
    <t>Debit Note No.KSKMPCL/Admin,Hyd/Ksk-5/06 dt.30.09.14</t>
  </si>
  <si>
    <t>Debit Note No.Kskmpcl/Admin,Hyd/Ksk-5/06 dt.30.09.14</t>
  </si>
  <si>
    <t>White Boards</t>
  </si>
  <si>
    <t>Ceramic Magnetic White Board - (Purchased from SWPL (KSK-5, Hyd) vide debit note no. 5/06 dt. 30.09.2016)</t>
  </si>
  <si>
    <t>White Board - (Purchased from SWPL (KSK-5, Hyd) vide debit note no. 5/06 dt. 30.09.2016)</t>
  </si>
  <si>
    <t>Work stations purchased from KSK-5 WPCL to Nariyara</t>
  </si>
  <si>
    <t xml:space="preserve">95 PCH CHAIRS </t>
  </si>
  <si>
    <t>Executive chairs</t>
  </si>
  <si>
    <t>Debit Note No.Kskmpcl/Admin,Hyd/Ksk-5/06</t>
  </si>
  <si>
    <t>Debit Note No.Kskmpcl/Admin,Hyd/Ksk-05/06 dt.30.09.14</t>
  </si>
  <si>
    <t>Modular Furniture in Unassembled form CL1 Corner W/S 1350 x 1200 x 550 x 550 for Rs.88371.24 + 8.24% Excise Duty i.e., Rs.7282.00 + VAT @ 12.5% ie. Rs.11956.66 + Freight Rs.2869.60</t>
  </si>
  <si>
    <t>Modular Furniture in Unassembled form CL1 Corner W/S 1350 x 1200 x 550 x 550 for Rs.13004.80 + 8.24% Excise Duty i.e., Rs.1071.00 + VAT @ 12.5% ie. Rs.1759.48 + Freight Rs.422.27</t>
  </si>
  <si>
    <t>Avanti Spiral binder Machine, No.F/052/2007-08</t>
  </si>
  <si>
    <t>Debit Note No.Kskmpcl/Admin,Hyd/ksk-5/06 dt.30.09.14</t>
  </si>
  <si>
    <t>GE Lighting Fixtures</t>
  </si>
  <si>
    <t>Blue Star Split Air Conditioners</t>
  </si>
  <si>
    <t>Ricoh Multifunctional product Aficio MP 2501SP Printer (E334M650009, E334M650017)</t>
  </si>
  <si>
    <t>93112136</t>
  </si>
  <si>
    <t>Exchange Variation - Buildings (31.12.14)</t>
  </si>
  <si>
    <t>Exchange Variation - Non Plant Buildings (31.12.14)</t>
  </si>
  <si>
    <t>Deletions &amp; Retained earnings</t>
  </si>
  <si>
    <t>Adjustment (ERV)</t>
  </si>
  <si>
    <t>TVS XL (AP09BQ5625)</t>
  </si>
  <si>
    <t>Buildings - Security Room</t>
  </si>
  <si>
    <t>Plant Lighting</t>
  </si>
  <si>
    <t>Compressed Air System</t>
  </si>
  <si>
    <t>1 a</t>
  </si>
  <si>
    <t xml:space="preserve">b   </t>
  </si>
  <si>
    <t xml:space="preserve">c   </t>
  </si>
  <si>
    <t xml:space="preserve">d   </t>
  </si>
  <si>
    <t xml:space="preserve">e   </t>
  </si>
  <si>
    <t xml:space="preserve">f    </t>
  </si>
  <si>
    <t xml:space="preserve">g   </t>
  </si>
  <si>
    <t xml:space="preserve">h   </t>
  </si>
  <si>
    <t>Landed Cost Rs.</t>
  </si>
  <si>
    <t>Hospital Semi folder bed with mattress Make Hi-Tech</t>
  </si>
  <si>
    <t>AS/1410 dt.13.01.15</t>
  </si>
  <si>
    <t>Examination table 2 section with mattress (Model Hi-Tech-21B, Make: Hi-Tech)</t>
  </si>
  <si>
    <t>MEDICAL EQUIPMENT - 141020</t>
  </si>
  <si>
    <t>Stretcher trolley with wheel (Model Hi-Tech-18A, Make: Hi-Tech)</t>
  </si>
  <si>
    <t>IV Stand 5 Leg (Model-Hi-tech-77, Make: Hi-Tech)</t>
  </si>
  <si>
    <t xml:space="preserve">Patient Stool AA (Make: Hi-Tech) </t>
  </si>
  <si>
    <t>Samsung SCX-4321 NS Multifunction laser printer (Sl.No.Z8SZB8KF6E0009H)</t>
  </si>
  <si>
    <t>KE/14-15/0954 dt.08.01.15</t>
  </si>
  <si>
    <t>Vaccum Cleaner</t>
  </si>
  <si>
    <t>NPW - Civil Wokrs on Property not owned by Company - 311003</t>
  </si>
  <si>
    <r>
      <t xml:space="preserve">Formation of earthen drains peripheral to plant area &amp; construction of pipe </t>
    </r>
    <r>
      <rPr>
        <b/>
        <sz val="9"/>
        <rFont val="Book Antiqua"/>
        <family val="1"/>
      </rPr>
      <t xml:space="preserve">culverts </t>
    </r>
  </si>
  <si>
    <r>
      <rPr>
        <b/>
        <sz val="9"/>
        <rFont val="Book Antiqua"/>
        <family val="1"/>
      </rPr>
      <t>Borewells</t>
    </r>
    <r>
      <rPr>
        <sz val="9"/>
        <rFont val="Book Antiqua"/>
        <family val="1"/>
      </rPr>
      <t xml:space="preserve"> Wtith 5 Hp Submessible Pump</t>
    </r>
  </si>
  <si>
    <t>Doors-12 mm Tough End Glass Doors</t>
  </si>
  <si>
    <t>Doors-GLAZED SLIDING DOOR</t>
  </si>
  <si>
    <t>Flase ceiling-GRID CEILING</t>
  </si>
  <si>
    <t>Glass partition-TUFF END GLASS PARTITION</t>
  </si>
  <si>
    <t>Glass partition-DECORATIVE FROSTED FILM</t>
  </si>
  <si>
    <t>Glass partition-FLASE FLOORING</t>
  </si>
  <si>
    <t>Glass partition-PROVIND STEPS IN SERVER ROOM</t>
  </si>
  <si>
    <t>CEASEFIRE 4 ZONE MICRO PROCESSOR CONVENTIONAL FIRE ALARM PANEL</t>
  </si>
  <si>
    <t>PHOTOELECTRIC SMOKE DETECTOR</t>
  </si>
  <si>
    <t>CONVENTIONAL MANUAL CALL POINT</t>
  </si>
  <si>
    <t>CONVENTIONAL ELECTRONIC SOUNDER</t>
  </si>
  <si>
    <t>RESPONSE INDICATOR</t>
  </si>
  <si>
    <t>COPPER FLXBLE CABLE</t>
  </si>
  <si>
    <t>PLASTIC BINS</t>
  </si>
  <si>
    <t>CARD BASED ACCESS CONTROL</t>
  </si>
  <si>
    <t xml:space="preserve"> 2.0TR Hiwall</t>
  </si>
  <si>
    <t xml:space="preserve"> 8.50TR Hiwall</t>
  </si>
  <si>
    <t>WATER PUMP SETS - 151103</t>
  </si>
  <si>
    <t>KSKUS/01 dt.10.02.15</t>
  </si>
  <si>
    <t>Electric Coolant Pump incl transportation charges</t>
  </si>
  <si>
    <t>MOTORS - 151116</t>
  </si>
  <si>
    <t>2 hp Motor AC 440V including transportation charges</t>
  </si>
  <si>
    <t>Bench grinder machine including transportation charges</t>
  </si>
  <si>
    <t>Rod Cutting machine 1 inch capacity including transportation charges</t>
  </si>
  <si>
    <t>3 Ton Chain pully block 3 including transportation charges</t>
  </si>
  <si>
    <t>3 Ton Trolley Heavy including transportation charges</t>
  </si>
  <si>
    <t>Center Lathe Machine including transportation charges</t>
  </si>
  <si>
    <t>Angle Grinder including transportation charges</t>
  </si>
  <si>
    <t>Jakson 62.5 KVA Silent DG Set cummins engine &amp; Stamford altemator Eng including transportation charges</t>
  </si>
  <si>
    <t>Supply of Diesel Generator Set 12KVA (Silent Mode) and AMF panel for DG Set 12 KVA and Freight charges for supply of 125KVA DG Set</t>
  </si>
  <si>
    <t>3 HP Motor AC 440V including transportation charges</t>
  </si>
  <si>
    <t>Bench Drilling Machine including transportation charges</t>
  </si>
  <si>
    <t>16 inch Dia 4 jaw Independent Chuck including transportation charges</t>
  </si>
  <si>
    <t>Electrical Weighing machine capacity 200 Kg</t>
  </si>
  <si>
    <t>GE/14-15/295 dt.10.02.15</t>
  </si>
  <si>
    <t>Grass Cutting Machine, Honda-UMK435T (2 Nos) &amp; Cutting blde (4 Nos)</t>
  </si>
  <si>
    <t>394 dt.09.12.14</t>
  </si>
  <si>
    <t xml:space="preserve">LED Torch Britlitr 4000 MTR. Range with Battery and charger </t>
  </si>
  <si>
    <t>GE/14-15/245 dt.16.11.14</t>
  </si>
  <si>
    <t>286</t>
  </si>
  <si>
    <t>Video conference system including transportation charges</t>
  </si>
  <si>
    <t>UPS Battery including transportation charges</t>
  </si>
  <si>
    <t>KSKDIB/Hyd/02 dt.15.03.13</t>
  </si>
  <si>
    <t>Electrical works for light wiring, supply of light fixtures, misc items, installation of light &amp; socket outlet point wiring, voice, data net working DB, cabling &amp; earthing, convertion fire detection &amp; alarm system including transportation charges</t>
  </si>
  <si>
    <t>Air Conditioner including transportation charges</t>
  </si>
  <si>
    <t>Split AC Godrej 1.5 ton including transportation charges</t>
  </si>
  <si>
    <t>Fire Fighting equipment including transportation charges</t>
  </si>
  <si>
    <t>UPS System 6 KVA including transportation charges</t>
  </si>
  <si>
    <t>1+1</t>
  </si>
  <si>
    <t>Sony LCD &amp; Onida LED including transportation charges</t>
  </si>
  <si>
    <t>Software VB 6.0 automatic attendance system Rs.9726/- and Biomatric attendance recording system Rs.22002/- including transportation charges</t>
  </si>
  <si>
    <t>UPS Batteries including transportation charges</t>
  </si>
  <si>
    <t>Refregerator including transportation charges</t>
  </si>
  <si>
    <t>Fire protection equipment</t>
  </si>
  <si>
    <t>1500 Mhd Exide Battery including transportation charges</t>
  </si>
  <si>
    <t>Panasonic speaker phone including transportation charges</t>
  </si>
  <si>
    <t>Pedestal Fan Crompton greaves including transportation charges</t>
  </si>
  <si>
    <t>Oil Filled Radiator including transportation charges</t>
  </si>
  <si>
    <t>Electric hand dryers including transportation charges</t>
  </si>
  <si>
    <t>Ladder including transportation charges</t>
  </si>
  <si>
    <t>UPS Systm 30 KVA including transportation charges</t>
  </si>
  <si>
    <t>Table including transportation charges</t>
  </si>
  <si>
    <t>Work stations including transportation charges</t>
  </si>
  <si>
    <t>Glass materials for work stations including transportation charges</t>
  </si>
  <si>
    <t>Wooden flooring including transportation charges</t>
  </si>
  <si>
    <t>Cup boards including transportation charges</t>
  </si>
  <si>
    <t>Chairs including transportation charges</t>
  </si>
  <si>
    <t>White Boards including transportation charges</t>
  </si>
  <si>
    <t>Wooden flooring (Carpet 1632 sft) incuding transportation charges</t>
  </si>
  <si>
    <t>Executive table including transportation charges</t>
  </si>
  <si>
    <t>Verticle blinds including transportation charges</t>
  </si>
  <si>
    <t>Sofa sets including transportation charges</t>
  </si>
  <si>
    <t>Godrej S Line Compact including transportation charges</t>
  </si>
  <si>
    <t>Godrej plain storewell Almirahs including transportation charges</t>
  </si>
  <si>
    <t>Computer table including trasportation charges</t>
  </si>
  <si>
    <t>Godrej Wardrobe including transportation charges</t>
  </si>
  <si>
    <t>Office tables including transportation charges</t>
  </si>
  <si>
    <t>Net Chairs including transportation charges</t>
  </si>
  <si>
    <t>Dining table including transportation charges</t>
  </si>
  <si>
    <t>Godrej three drawer steel pedestal including transportation charges</t>
  </si>
  <si>
    <t>Filing cabinet including transportation charges</t>
  </si>
  <si>
    <t>Godrej Almirahs including transportation charges</t>
  </si>
  <si>
    <t>Godrej filing cabinet 2 drawer including transportation charges</t>
  </si>
  <si>
    <t>Steel Almirahs including transportation charges</t>
  </si>
  <si>
    <t>Godrej S Line Mirror with locker including transportation charges</t>
  </si>
  <si>
    <t>Godrej option Table including transportation charges</t>
  </si>
  <si>
    <t>Godrej Credenza for VIVA Table including transportation charges</t>
  </si>
  <si>
    <t>Godrej Model 5025 Table including transportation charges</t>
  </si>
  <si>
    <t>Godrej Net chairs including transportation charges</t>
  </si>
  <si>
    <t>Bar Stool including transportation charges</t>
  </si>
  <si>
    <t>Side Tables (Credenza) including transportation charges</t>
  </si>
  <si>
    <t>Godrej Option ERU chair including transportation charges</t>
  </si>
  <si>
    <t>Supreme Ornate Chair with Arms including transportation charges</t>
  </si>
  <si>
    <t>Optiplex 780 Desk Tops including transportation charges</t>
  </si>
  <si>
    <t>Dell Laptop with mouse, carry case including transportation charges</t>
  </si>
  <si>
    <t>Multifunctional system colour scan (Plotter) including transportation charges</t>
  </si>
  <si>
    <t>Optiplex Desktop including transportation charges</t>
  </si>
  <si>
    <t>HP Laserjet Printer including transportation charges</t>
  </si>
  <si>
    <t>Computer tables</t>
  </si>
  <si>
    <t>KSKEVLTD/Used furnitures/001/2012-13 dt.31.03.13</t>
  </si>
  <si>
    <t>KSKEVLTD/Used furnitures/001/2013-13 dt.31.03.13</t>
  </si>
  <si>
    <t>Air Conditioner</t>
  </si>
  <si>
    <t>KSKEVL/Hyd/01 dt.30.03.13</t>
  </si>
  <si>
    <t>Air Conditioners installation, testing &amp; commissioning</t>
  </si>
  <si>
    <t>Fire Extinguisher supply &amp; installation</t>
  </si>
  <si>
    <t>Kskevl/Hyd/01 dt.30.03.13</t>
  </si>
  <si>
    <t>Fire Alarm Syatem</t>
  </si>
  <si>
    <t>Flush door</t>
  </si>
  <si>
    <t>Glazed door</t>
  </si>
  <si>
    <t>Modular furniture</t>
  </si>
  <si>
    <t>MDS Cabin chairs</t>
  </si>
  <si>
    <t>Ply boxing storage</t>
  </si>
  <si>
    <t>Vertical blinds</t>
  </si>
  <si>
    <t>TTS/Ksk/03/27, /06/004, 1012 &amp; 1011</t>
  </si>
  <si>
    <t>3875 &amp; 3878 dt.19.06.13</t>
  </si>
  <si>
    <t>Bosch Outdoor bullet IP Cameras including cables &amp; accessories, Commissioning &amp; testing and Packing, forwarding, insurance &amp; freight</t>
  </si>
  <si>
    <t>Supply of OFC components &amp; computer peripherals accessories for above 4 nos CC Cameras</t>
  </si>
  <si>
    <t>Mahindra Bolero SLE 2WD 7 Seater AC N PS BS3 (Chasis No.MA1PL2GPKE5H46125, Engine No.GPE4H84221) Reg.No.CG10X2281</t>
  </si>
  <si>
    <t>Seat cover &amp; Grass mate green for New Bolero Reg No.CG10X2281</t>
  </si>
  <si>
    <t>INV15B001163 dt.25.02.15</t>
  </si>
  <si>
    <t>12 &amp; 13 dt.08.03.15</t>
  </si>
  <si>
    <t>PRR No.14013175 dt.22.12.14</t>
  </si>
  <si>
    <t>Supply &amp; Fixing of Main Door and Access Control for our E.R.Center, T.Nagar, Chennai Office</t>
  </si>
  <si>
    <t>10 KVA UPS - NUMERIC (Transferred from leasehold properties: 2131-311001)</t>
  </si>
  <si>
    <t>1000 VA 231 INVERTER (Transferred from leasehold properties: 2131-311001)</t>
  </si>
  <si>
    <t>Supply of electrical materials for CCTV camera installation in Unit-3 at CCR building at Nariyara</t>
  </si>
  <si>
    <t>GE220 to GE222 dt.24.08.13</t>
  </si>
  <si>
    <t>Supply of CCTV Camera for CCR#1 &amp; 2, C&amp;I implementation department</t>
  </si>
  <si>
    <t>Inv/TTS/Ksk/1039</t>
  </si>
  <si>
    <t>Supply of CCTV system for Wagon Tippler area at site</t>
  </si>
  <si>
    <t>4218 dt.11.03.14</t>
  </si>
  <si>
    <t>INV/TTS/SI/1057 dt.05.09.14</t>
  </si>
  <si>
    <t xml:space="preserve">Installation, configuration and testing, laying of video cable </t>
  </si>
  <si>
    <t>LED Panel surface mounting 18W Make-Orient</t>
  </si>
  <si>
    <t>GE/14-15/249 dt.18.11.14</t>
  </si>
  <si>
    <t>Supply of Bomb Calorimeter, Mobile 6100</t>
  </si>
  <si>
    <t>13/443</t>
  </si>
  <si>
    <t>595/13</t>
  </si>
  <si>
    <t>660/13, 662/13</t>
  </si>
  <si>
    <t>2 Nos</t>
  </si>
  <si>
    <t>Digital Bomb calorimeter with printer RSB-6A</t>
  </si>
  <si>
    <t>Supply of Digital Turbidty, UV/VIS Spectrophotometer, Voltage stabilizer-2 Nos, Power adapter 1 No</t>
  </si>
  <si>
    <t>Supply of Lab equipments like centrifuge, servo controlled voltage stabilizer, hydrogen purity anallyers etc</t>
  </si>
  <si>
    <t>NPB - CONSTRUCTION OF WATCH TOWER - 171007</t>
  </si>
  <si>
    <t>Fabrication and erection of watch tower for security</t>
  </si>
  <si>
    <t>1st &amp; Final RA dt.01.12.14</t>
  </si>
  <si>
    <t>Paasive network components</t>
  </si>
  <si>
    <t>3953,3955&amp;3956</t>
  </si>
  <si>
    <t>3985 &amp; 3986</t>
  </si>
  <si>
    <t>Supply of cabling &amp; Network components installation charges, (Installation dtd.26.09.13) at Railway panel room &amp; CHP CCR building</t>
  </si>
  <si>
    <t>Passive BOM Network oponents for New building CHP locations</t>
  </si>
  <si>
    <t>4433 &amp; 4434</t>
  </si>
  <si>
    <t>Supply of cable make Finolex 6 core 3 pair Fibre armoured OFC cable 2000 Mtrs, delivered and laying completed on 23.11.13 at Site office</t>
  </si>
  <si>
    <t>Supply of passive network (60 Network rack and OFC media  converter etc., &amp; Optical fiber coponents) delivered at site CCR-2, Time building, Living qtrs and stores on 24.11.13</t>
  </si>
  <si>
    <t>Ceiling fan make surya</t>
  </si>
  <si>
    <t>GE/14-15/345</t>
  </si>
  <si>
    <t>Surya wall mounting fa</t>
  </si>
  <si>
    <t>Exhaust fan make Surya</t>
  </si>
  <si>
    <t>Electrification works in new coal testing analysis laboratory room near 7A/B CHP Area</t>
  </si>
  <si>
    <t>GE/14-15/345 dt.14.03.15</t>
  </si>
  <si>
    <t>Exchange Variation - Plant &amp; Machinery</t>
  </si>
  <si>
    <t>Exchange Variation - Plant &amp; Machinery (30.06.14)</t>
  </si>
  <si>
    <t>Exchange Variation - Plant &amp; Machinery (30.09.14)</t>
  </si>
  <si>
    <t>Exchange Variation - Plant &amp; Machinery (31.12.14)</t>
  </si>
  <si>
    <t>Exchange Variation - Buildings (30.06.14&amp;30.09.14)</t>
  </si>
  <si>
    <t>Exchange Variation - Non Plant Buildings (30.06.14&amp;30.09.14)</t>
  </si>
  <si>
    <t>Exchange Variation - Plant &amp; Machinery (31.03.15)</t>
  </si>
  <si>
    <t>Exchange Variation - Buildings (31.03.15)</t>
  </si>
  <si>
    <t>Exchange Variation - Non Plant Buildings (31.03.15)</t>
  </si>
  <si>
    <t xml:space="preserve">Buildings - Admin Block / Guesthouse </t>
  </si>
  <si>
    <t xml:space="preserve">Buildings - Security Room </t>
  </si>
  <si>
    <t>Hero Honda-Splender (CCR) + Accessories (CG11C0487)</t>
  </si>
  <si>
    <t>Hero Honda-Splender (CCR) + Accessories (CG11C0488)</t>
  </si>
  <si>
    <t>Hero Honda-Splender (Spoke) (CG11C0201, CG11C0482 &amp; CG11C0212)</t>
  </si>
  <si>
    <t xml:space="preserve">Railway Siding - Construction of Railway Siding </t>
  </si>
  <si>
    <t xml:space="preserve">Railway Siding - Fasibility Study </t>
  </si>
  <si>
    <t>Railway siding - Signalling System</t>
  </si>
  <si>
    <t>Insurance for New Vehicle of Mahindra Bolero Engine No.GPE4H84221, Chasis No.MA1PL2GPKEH46125 for the period 24.02.15 to 23.02.16, Reg No.CG10X2281</t>
  </si>
  <si>
    <t>GRASS CUTTER - 271005</t>
  </si>
  <si>
    <t>Supply of Lawnmover, Model-HRJ216K2, Make-Honda</t>
  </si>
  <si>
    <t>092 dt.08.05.15</t>
  </si>
  <si>
    <t>Sony HFD LED TV Set</t>
  </si>
  <si>
    <t>1229014029146 dt.07.05.15</t>
  </si>
  <si>
    <t>Speakers with other supporting material</t>
  </si>
  <si>
    <t>2260 &amp; 2261 dt.02.06.15</t>
  </si>
  <si>
    <t>Power edge Rack Mount SERVER</t>
  </si>
  <si>
    <r>
      <t xml:space="preserve">Supply of Dell </t>
    </r>
    <r>
      <rPr>
        <b/>
        <sz val="9"/>
        <rFont val="Book Antiqua"/>
        <family val="1"/>
      </rPr>
      <t>SERVER</t>
    </r>
    <r>
      <rPr>
        <sz val="9"/>
        <rFont val="Book Antiqua"/>
        <family val="1"/>
      </rPr>
      <t xml:space="preserve"> -AS-PER710/3.5-DELL Poweredge R710 Rack Mount Server (3.5 Inch Chasis)</t>
    </r>
  </si>
  <si>
    <t>Supply of Dell Rack Mount SERVER Power  Edger 710</t>
  </si>
  <si>
    <t>Dell Server Model - Power Edge R710</t>
  </si>
  <si>
    <t>Dell Server Model Power Edge R710</t>
  </si>
  <si>
    <t xml:space="preserve">Dell Server Model: Poweredge R710 Rack mount server </t>
  </si>
  <si>
    <t>Dell Power edge R520/3.5 Rack mount server</t>
  </si>
  <si>
    <t>Dell power vault ™ NX3200 Network attached storage Server (NAS) type Rack mount</t>
  </si>
  <si>
    <t xml:space="preserve">Supply of Dell power edge R520 type Rack mount </t>
  </si>
  <si>
    <t>Supply of Dell Server 9020 Mini tower and power edge T320 type rack mount</t>
  </si>
  <si>
    <t>Samsung Printer 4725</t>
  </si>
  <si>
    <t>816 dt.28.04.15</t>
  </si>
  <si>
    <t>Del/PI/05 dt.11.03.12, 31 dt.27.4.12, 247 dt.25.10.12 &amp;</t>
  </si>
  <si>
    <t>Wireless Communication system (XIPP 8260 Motorola Digital handheld walkie talkie with accessories)</t>
  </si>
  <si>
    <t>Wireless Communication system (Carry case)</t>
  </si>
  <si>
    <t>Wireless Communication system (Remote speaker mike (Part No.PMMN4040))</t>
  </si>
  <si>
    <t>Wireless Communication system (Multi unit charger (Part No.WPLN4213))</t>
  </si>
  <si>
    <t>Wireless Communication system (Spare Battery pack, 2200m Ah Li-ion (Part No.PMNN4077))</t>
  </si>
  <si>
    <t>Wireless Communication system (Site material (Racks, power distribution boards, MDF, IDF, connectors, connecting cables, power cables, 50mm wide perforated cable tray, 50mm dia PVC conduit etc)) for complete installation/testing, commissioning/O&amp;M of Network</t>
  </si>
  <si>
    <t>Wireless Communication system (XIRR 8200 Motorola Digital VHF repeater station with accessories)</t>
  </si>
  <si>
    <t>Supply of reinforcement steel for wagon tippler</t>
  </si>
  <si>
    <t>Sum of bills (CWIP)</t>
  </si>
  <si>
    <t>Supply of wagon tippler and associated conveying system</t>
  </si>
  <si>
    <t>Erection &amp; commissioning of wagon tippler and associated conveying system</t>
  </si>
  <si>
    <t>WAGON TIPPLER HOUSE - 161030</t>
  </si>
  <si>
    <t>BUILDINGS - PLANT - 2116</t>
  </si>
  <si>
    <t>Supply of steel (TMT BAR 32 MM) for wagon trippler</t>
  </si>
  <si>
    <t>Civil works at wagon tippler area for 6*600 MW power plant &amp; transfer tower at village Nariyara</t>
  </si>
  <si>
    <t xml:space="preserve">Earth work excavation at wagon tippler area inconnection with railway with railway siding </t>
  </si>
  <si>
    <t xml:space="preserve">Supplt of 8.89 MT TMT Bar steel to site </t>
  </si>
  <si>
    <t xml:space="preserve">Supply of TMT bar 20 mm for wagon tippler </t>
  </si>
  <si>
    <t xml:space="preserve">Supply of TMT Bar 25 mm for wagon trippler </t>
  </si>
  <si>
    <t>Procurement of steel for wagon tippler</t>
  </si>
  <si>
    <t>7121110480,210,127,135,493 &amp; 494</t>
  </si>
  <si>
    <t>Dr.Note No.:01/2013/PAT</t>
  </si>
  <si>
    <t>Dr.Note No.Sepco-Kmpcl-PR-20131231-001</t>
  </si>
  <si>
    <t xml:space="preserve">Supply of Electroforged grating for using as walkways on coal </t>
  </si>
  <si>
    <t>Reimb of Freight, Debit Note No.1-2013-PAT</t>
  </si>
  <si>
    <t>TMT Rebars and MS Plate</t>
  </si>
  <si>
    <t>Earlier debited to Sepco Retention account now transferred to CWIP based email dtd.01.05.14 confirmation from project</t>
  </si>
  <si>
    <t>Provision for works executed by Sepco as per mail dtd.23.07.15 of Mr.Repala Srinivasa Rao ref Elecon order No.1527</t>
  </si>
  <si>
    <t>LG - Air conidtioner -(1.5 ton 10 nos.)</t>
  </si>
  <si>
    <t>LG - Air conditioner - (2 ton 2 nos)</t>
  </si>
  <si>
    <t>Barrel pump (Make Venus)</t>
  </si>
  <si>
    <t>Supply of 1 HP Monoblock pump with accessories for Green belt &amp; land scaping work (Put to use dt.20.03.15)</t>
  </si>
  <si>
    <t>Supply of submersible pump set 7.5 HP date of use 29.05.14, New time office</t>
  </si>
  <si>
    <t>Shree/Bsp/14-15/357</t>
  </si>
  <si>
    <t>Shree/Bsp/15-16/45</t>
  </si>
  <si>
    <t>Construction of boundary wall (Sample)</t>
  </si>
  <si>
    <t xml:space="preserve">Construction of outer peripheral boundary wall </t>
  </si>
  <si>
    <t xml:space="preserve">Construction of peripheral boundary wall </t>
  </si>
  <si>
    <t xml:space="preserve">Construction of boundary wall </t>
  </si>
  <si>
    <t xml:space="preserve">Construction of outer perpheral boundary wall </t>
  </si>
  <si>
    <t xml:space="preserve">Construction of perpheral boundary wall </t>
  </si>
  <si>
    <t xml:space="preserve">Construction of boundary wall for proposed ITC land </t>
  </si>
  <si>
    <t xml:space="preserve">Construction of outer boundary wall </t>
  </si>
  <si>
    <t>Construction of boundary wall</t>
  </si>
  <si>
    <t>Construction of outer peripheral boundary wall</t>
  </si>
  <si>
    <t>Construction of peripheral boundary wall</t>
  </si>
  <si>
    <t>Provision t/w Construction of peripheral boundary wall</t>
  </si>
  <si>
    <t>Provision t/w Construction of boundary wall</t>
  </si>
  <si>
    <t>Supply of 5 Nos Roller wheel 130mm, outer dia with shaft (L-100mm X dia-20mm), used in chimney#2 gate enter roller wheel at Site (MRN No.12-13/859 dt.19.02.13)</t>
  </si>
  <si>
    <t>Supply of 1 No Roller wheel 130mm, Outer Dia with shaft (L-100mm X Dia-20mm) used in chimney #2 gate enter roller wheel at site (MRN No.12-13/858 dt.19.02.13)</t>
  </si>
  <si>
    <t>Construction of outer peripheral boundary wall (Length 35 Mtr)</t>
  </si>
  <si>
    <t xml:space="preserve">Provision t/w Construction of peripheral boundary wall </t>
  </si>
  <si>
    <t>Provision t/w Construction of outer peripheral boundary wall</t>
  </si>
  <si>
    <t>Fabrication &amp; fixing of MS gate in west side boundary wall near chimney # 1</t>
  </si>
  <si>
    <t xml:space="preserve">Drilling in RCC Rotary hammer drill M/c.7 Bit of hole size &amp; fixing of dowell/Re-bar with fosroc make LOKFIX-S in main gate foundation </t>
  </si>
  <si>
    <t xml:space="preserve">Transportation charges for supply of fully automated sliding gates will all accessories, swing type wicket gates for scooters &amp; pedestrains 2 sets (Entry &amp; Exit) </t>
  </si>
  <si>
    <t>Supply of fully automated sliding gates will all accessories, swing type wicket gates for scooter &amp; accessories , swing type wicket gates for scooters and pedestrains 2 sets (entry &amp; exit)</t>
  </si>
  <si>
    <t>Deployment of 12/14 Ton hydra at site for fabrication &amp; erection work near main gate near time office</t>
  </si>
  <si>
    <t xml:space="preserve">Laying and fabrication work for barrier gate near wagon tippler </t>
  </si>
  <si>
    <t>Hiring of JCB for the movement of Trespassers &amp; other miscellaneous work at site</t>
  </si>
  <si>
    <t>Supply of MS washer use in fencing work for boundary wall area</t>
  </si>
  <si>
    <t>Hiring of JCB &amp; Vibor for levelling &amp; wedenning work of WBM road NH200 to Rogdha village through Taroud boundary wall outer</t>
  </si>
  <si>
    <t>Hiring of excavator road work near NH200</t>
  </si>
  <si>
    <t>Supply of Hume pipe 450MM*2.5*MTR length NP-3 class for boundary wall</t>
  </si>
  <si>
    <t>Hiring machinaries for construction of boundary wall</t>
  </si>
  <si>
    <t>Hiring of water tnker for peripheral boundary wall</t>
  </si>
  <si>
    <t>Hiring of machinaries for construction of boundary wall</t>
  </si>
  <si>
    <t>Laying of approach road for construction of boundary wall</t>
  </si>
  <si>
    <t>Hiring charges of water tanker for peripheral boundary wall</t>
  </si>
  <si>
    <t>Hiring of JCB machinaries for construction of drain line in site</t>
  </si>
  <si>
    <t>Hiring of water tanker for peripheral boundary wall</t>
  </si>
  <si>
    <t>Hiring of water tanker for construction of boundary wall</t>
  </si>
  <si>
    <t xml:space="preserve">Laying of approach road for construction of boundary wall </t>
  </si>
  <si>
    <t>Construction of additional work in our peripheral boundary wall</t>
  </si>
  <si>
    <t>MS Gate foundation work near NH-200 civil work</t>
  </si>
  <si>
    <t>Charges for dismantling of erected wall</t>
  </si>
  <si>
    <t xml:space="preserve">Hiring excavator for earth work in area, north side of RWR-1 &amp; VIP park area </t>
  </si>
  <si>
    <t>RA-2</t>
  </si>
  <si>
    <t>RA-3</t>
  </si>
  <si>
    <t>RA-4</t>
  </si>
  <si>
    <t>RA-02</t>
  </si>
  <si>
    <t>RA-03</t>
  </si>
  <si>
    <t>RA-04</t>
  </si>
  <si>
    <t>RA-05</t>
  </si>
  <si>
    <t>RA-06</t>
  </si>
  <si>
    <t>MP/Ksk/Civil/Work Ra-1</t>
  </si>
  <si>
    <t>RA-5</t>
  </si>
  <si>
    <t>RA-6</t>
  </si>
  <si>
    <t>RA-01</t>
  </si>
  <si>
    <t>03</t>
  </si>
  <si>
    <t>04</t>
  </si>
  <si>
    <t>05</t>
  </si>
  <si>
    <t>RA-05 &amp; Final</t>
  </si>
  <si>
    <t>RA-7 &amp; Final</t>
  </si>
  <si>
    <t>RA-7</t>
  </si>
  <si>
    <t>RA-8</t>
  </si>
  <si>
    <t>RA-10</t>
  </si>
  <si>
    <t>RA-9</t>
  </si>
  <si>
    <t>08</t>
  </si>
  <si>
    <t>06</t>
  </si>
  <si>
    <t>RA-04 &amp; Final</t>
  </si>
  <si>
    <t>RA-06 &amp; Final</t>
  </si>
  <si>
    <t>QRM/AK/I/KSK/JU/022/13 (RA-04)</t>
  </si>
  <si>
    <t>QRM/KSK/12-13-01 (RA-05)</t>
  </si>
  <si>
    <t>RA-4 &amp; Final</t>
  </si>
  <si>
    <t>Kpcl/13-14/24</t>
  </si>
  <si>
    <t>SE/13-14/10983</t>
  </si>
  <si>
    <t>SE/13-14/42</t>
  </si>
  <si>
    <t>165 (RA-1)</t>
  </si>
  <si>
    <t>1st &amp; Final Bill</t>
  </si>
  <si>
    <t>RA-02 &amp; Final</t>
  </si>
  <si>
    <t>2nd &amp; Final Bill</t>
  </si>
  <si>
    <t xml:space="preserve">1st &amp; Final </t>
  </si>
  <si>
    <t>RA-01 &amp; Final</t>
  </si>
  <si>
    <t>Exchange Variation - Buildings (30.06.15)</t>
  </si>
  <si>
    <t>Exchange Variation - Plant &amp; Machinery (30.06.15)</t>
  </si>
  <si>
    <t>Exchange Variation - Non Plant Buildings (30.06.15)</t>
  </si>
  <si>
    <t>Network &amp; OFC Components like Finolex - OFC 3 pair 6 core armoured cable, media convertor etc</t>
  </si>
  <si>
    <t>5037 &amp; 5038 dt.01.08.15</t>
  </si>
  <si>
    <t>Passive Network &amp; CCTV components like Dahaua DH-HRW 2300 IR Camera, Net Access 24 port Fiber-LIU etc.,</t>
  </si>
  <si>
    <t>5036 &amp; 5044 dt.01.08.15</t>
  </si>
  <si>
    <t>WAGON TIPPLER - 151083</t>
  </si>
  <si>
    <t xml:space="preserve">Toughened Glass partition </t>
  </si>
  <si>
    <t>1507 dt.17.07.15</t>
  </si>
  <si>
    <t>Passive network, OFC &amp; CCTV components</t>
  </si>
  <si>
    <t>5029 dt.02.07.15</t>
  </si>
  <si>
    <t>5028 dt.02.07.15</t>
  </si>
  <si>
    <t>LILO 1 &amp; 2 - loi for supply &amp; installation of 400 KV transmission lines</t>
  </si>
  <si>
    <t>sum of invoices</t>
  </si>
  <si>
    <t>LILO 1 &amp; 2 - Loi for Erection &amp; installation of 400 KV Transmission lines</t>
  </si>
  <si>
    <t>PLANT BUILDINGS - 161001</t>
  </si>
  <si>
    <t>Construction of coal sampling room under TT5 in CHP area</t>
  </si>
  <si>
    <t>1st &amp; Final bill No.161 dt.30.05.15</t>
  </si>
  <si>
    <t>Plant Buildings</t>
  </si>
  <si>
    <t>Supply of LVS, Flame &amp; Drum monitoring &amp; Visitor screens for CCR building at Site, Nariyara</t>
  </si>
  <si>
    <t xml:space="preserve">Installation charges of LVS, Flame &amp; drum monitoring &amp; visitor screens for CCR building </t>
  </si>
  <si>
    <t>911/87002644</t>
  </si>
  <si>
    <t>911/87002692</t>
  </si>
  <si>
    <t>911/87002645</t>
  </si>
  <si>
    <t>Fabrication and Erection of rack in ware house, DM plant &amp; platform near turbine building of unit-3</t>
  </si>
  <si>
    <t>RA-1,2&amp;Final</t>
  </si>
  <si>
    <t>Fabrication of Rack in ware house with material at site incl all consumable with tools &amp; tackles</t>
  </si>
  <si>
    <t>Fabrication of rack in ware house with material at site incl all consumable with tools &amp; tackles</t>
  </si>
  <si>
    <t xml:space="preserve">Manpower for Feb'15 t/w rack work in FOPH area </t>
  </si>
  <si>
    <t>RA-27&amp;28</t>
  </si>
  <si>
    <t>Widening of road of plant area at site</t>
  </si>
  <si>
    <t>1st &amp; Final RA Bill dt.22.12.14</t>
  </si>
  <si>
    <t>1st &amp; Final RA Bill</t>
  </si>
  <si>
    <t>1st &amp; Final RA</t>
  </si>
  <si>
    <t>Exchange Variation - Plant &amp; Machinery (30.09.15)</t>
  </si>
  <si>
    <t>Exchange Variation - Buildings (30.09.15)</t>
  </si>
  <si>
    <t>Exchange Variation - Non Plant Buildings (30.09.15)</t>
  </si>
  <si>
    <t>BOILER - 151068</t>
  </si>
  <si>
    <t>Capitalisation of interest on delayed payments to HPCL (on LDO for value related to consumed trial run - #3</t>
  </si>
  <si>
    <t>Capitalisation of interest on delayed payments to HPCL (on HFO) for value related to consumed trial run - #3</t>
  </si>
  <si>
    <t>Capitalisation of interest on delayed payments to HPCL (on LDO) for value related to consumed trial run - # 4</t>
  </si>
  <si>
    <t>Capitalisation of interest on delayed payments to HPCL (HFO) for value related to consumed trial run - # 4</t>
  </si>
  <si>
    <t>Boiler</t>
  </si>
  <si>
    <t>Railway Siding</t>
  </si>
  <si>
    <t>425 dt.20.10.15</t>
  </si>
  <si>
    <t>HP Laserjet Pro MFP226DFN All-in-one printer (Sl.No.CNB6H5C0ZR)</t>
  </si>
  <si>
    <t>RE/1516/0077 dt.03.11.15</t>
  </si>
  <si>
    <t>Camera for Vigilance security</t>
  </si>
  <si>
    <t>34 dt.24.11.15</t>
  </si>
  <si>
    <t>Supply of Polycom Real Presence Group 700-VC equipment (Sl.No.8215304392C2CW)</t>
  </si>
  <si>
    <t>T-546 dt.12.10.15</t>
  </si>
  <si>
    <t>S-806 dt.12.10.15</t>
  </si>
  <si>
    <t>242 dt.24.08.15</t>
  </si>
  <si>
    <t>Exchange Variation - Plant &amp; Machinery (31.12.15)</t>
  </si>
  <si>
    <t>Exchange Variation - Buildings (31.12.15)</t>
  </si>
  <si>
    <t>Exchange Variation - Non Plant Buildings (31.12.15)</t>
  </si>
  <si>
    <t>Locomotives (Rail Engine)</t>
  </si>
  <si>
    <t>Supply of Gross cutting machine Make-Honda, Model:UMK435T</t>
  </si>
  <si>
    <t>531 dt.17.12.15</t>
  </si>
  <si>
    <t>Open Stage 15 IP Phones</t>
  </si>
  <si>
    <t>T-794 &amp; T-800</t>
  </si>
  <si>
    <t>HB660296 dt.01.01.16</t>
  </si>
  <si>
    <t>Transportation charges from Chennai to Site for Weigh Bridge</t>
  </si>
  <si>
    <t>Erection, Supervision, Installation and commissioning</t>
  </si>
  <si>
    <t>AT/CH/15-16/R-36 dt.15.12.15</t>
  </si>
  <si>
    <t>Supply of IF Full draft 120 MT in motion weigh bridge (IMWB) with all accessories</t>
  </si>
  <si>
    <t>AT/CH/15-16/S-15 dt.15.12.15</t>
  </si>
  <si>
    <t>Supply of Master level 200 MM make MITUTOYO</t>
  </si>
  <si>
    <t>0638 dt.09.02.16</t>
  </si>
  <si>
    <t>Fixed assets components of Unit III</t>
  </si>
  <si>
    <t>Asset - Unit III</t>
  </si>
  <si>
    <t>Sub Asset - Unit III</t>
  </si>
  <si>
    <t>Component description</t>
  </si>
  <si>
    <t>balance days</t>
  </si>
  <si>
    <t>Bal depreciable after scrap</t>
  </si>
  <si>
    <t>Life</t>
  </si>
  <si>
    <t>Continuous Emissions Monitoring System (CEMS)</t>
  </si>
  <si>
    <t>CEMS</t>
  </si>
  <si>
    <t>Probes &amp; sensors of CAAQMS &amp; CEMS</t>
  </si>
  <si>
    <t>Environment</t>
  </si>
  <si>
    <t>Smoke Extractor Exhaust Fan Other Small Ventilator</t>
  </si>
  <si>
    <t>Electro Static Presipitator</t>
  </si>
  <si>
    <t>Ash Hopper Maintenance Platform</t>
  </si>
  <si>
    <t>Shell</t>
  </si>
  <si>
    <t xml:space="preserve">Electro Static Presipitator - anode plate  </t>
  </si>
  <si>
    <t xml:space="preserve">anode plate  </t>
  </si>
  <si>
    <t>Electro Static Presipitator - cathode prick (some cathodes may snap off &amp; needs replacements in annual shut down</t>
  </si>
  <si>
    <t>cathode prick (some cathodes may snap off &amp; needs replacements in annual shut down</t>
  </si>
  <si>
    <t>Esp+Bag Filter Anchor Bolt</t>
  </si>
  <si>
    <t>Esp+Bag Filter First Tier Balustrade And Platform</t>
  </si>
  <si>
    <t>Outside The Shield</t>
  </si>
  <si>
    <t>Top Lifting Device</t>
  </si>
  <si>
    <t>Ash Hopper Plate Heater</t>
  </si>
  <si>
    <t>Ashe Hopper Gasification Board</t>
  </si>
  <si>
    <t>Compressed Air Tank</t>
  </si>
  <si>
    <t>Compressed Air Tank For Blowing</t>
  </si>
  <si>
    <t>Compressed Air Tank For Instrument</t>
  </si>
  <si>
    <t>Other Parts</t>
  </si>
  <si>
    <t>Pipe</t>
  </si>
  <si>
    <t>Valve</t>
  </si>
  <si>
    <t>Esp Electric And C&amp;I Equipment</t>
  </si>
  <si>
    <t>Dust Bag</t>
  </si>
  <si>
    <t>Chimney</t>
  </si>
  <si>
    <t>Ambient Air Monitoring System</t>
  </si>
  <si>
    <t>Ash Carrying Control System  - control cables</t>
  </si>
  <si>
    <t>Dry Ash Handling System, Including Hopper, Gates, Metallic Conveyor, Crushers, Silo, Belt Conveyor Etc.,</t>
  </si>
  <si>
    <t>vacuum pumps</t>
  </si>
  <si>
    <t>spiral steel pipes</t>
  </si>
  <si>
    <t>seamless tubes</t>
  </si>
  <si>
    <t>wear resistance elbows</t>
  </si>
  <si>
    <t>angles and beams</t>
  </si>
  <si>
    <t>Fly Ash Handling System</t>
  </si>
  <si>
    <t>cold primary duct supports</t>
  </si>
  <si>
    <t>pulverised coal piping</t>
  </si>
  <si>
    <t>motor operated air dampers</t>
  </si>
  <si>
    <t>supports and hangers</t>
  </si>
  <si>
    <t>Hcsd Pumps</t>
  </si>
  <si>
    <t>Conveyor For Ahp</t>
  </si>
  <si>
    <t>Conveyor For Ahp-spiral steel pipes</t>
  </si>
  <si>
    <t>Conveyor For Ahp-seamless tubes</t>
  </si>
  <si>
    <t>Conveyor For Ahp-wear resistance elbows</t>
  </si>
  <si>
    <t>Conveyor For Ahp-hot dip galvanised structures</t>
  </si>
  <si>
    <t>Positive Pressure Pneumatic Transport System</t>
  </si>
  <si>
    <t>silo unloading system (chutes, vlaves, feeders)</t>
  </si>
  <si>
    <t>bag filters</t>
  </si>
  <si>
    <t>wear resistance bends</t>
  </si>
  <si>
    <t>silo top equipment</t>
  </si>
  <si>
    <t>other misc items</t>
  </si>
  <si>
    <t>Negative Pressure Pneumatic Transport System</t>
  </si>
  <si>
    <t>Electric actuators</t>
  </si>
  <si>
    <t>valves &amp; electric gate valves</t>
  </si>
  <si>
    <t>seamlesss steel piping</t>
  </si>
  <si>
    <t>air compressors</t>
  </si>
  <si>
    <t>motor driven 3 way baffle</t>
  </si>
  <si>
    <t>buffer airlock</t>
  </si>
  <si>
    <t>cylinders</t>
  </si>
  <si>
    <t>hydraulic items</t>
  </si>
  <si>
    <t>pipes (spiral, SS, seamless)</t>
  </si>
  <si>
    <t>Vavles</t>
  </si>
  <si>
    <t>double paddle mixers</t>
  </si>
  <si>
    <t>unloaders, hoppers</t>
  </si>
  <si>
    <t>Roots blowers</t>
  </si>
  <si>
    <t>electric feeders</t>
  </si>
  <si>
    <t>screw conveyors</t>
  </si>
  <si>
    <t>power cables and control cables</t>
  </si>
  <si>
    <t>control cabinets</t>
  </si>
  <si>
    <t>Electric hoist</t>
  </si>
  <si>
    <t>Misc</t>
  </si>
  <si>
    <t>Pneumatic Ash Handling System</t>
  </si>
  <si>
    <t>Pneumatic Ash Handling System -  fluidising system</t>
  </si>
  <si>
    <t>Pneumatic Ash Handling System - piping, valves, accessories</t>
  </si>
  <si>
    <t>Pneumatic Ash Handling System  - filter separators</t>
  </si>
  <si>
    <t>Wet Bottom Ash Handling System</t>
  </si>
  <si>
    <t>Hopper and structures</t>
  </si>
  <si>
    <t>clinker grinders, jet pumps and other equipment</t>
  </si>
  <si>
    <t>refractory and anchors</t>
  </si>
  <si>
    <t>Overflow tank and pumps</t>
  </si>
  <si>
    <t>piping and others</t>
  </si>
  <si>
    <t>Boiler Feed Pump</t>
  </si>
  <si>
    <t>Boiler Feed Water Pump Sets With Hydraulic Oupling - pump</t>
  </si>
  <si>
    <t>Boiler Feed Water Pump Sets With Hydraulic Oupling - Motor</t>
  </si>
  <si>
    <t>Boiler Feed Water Pump Sets With Hydraulic Oupling - Hydraulic coupling</t>
  </si>
  <si>
    <t>Boiler Feed Water Pump Sets With Hydraulic Oupling -Booster pump</t>
  </si>
  <si>
    <t>Boiler Feed Water Pump Sets With Hydraulic Oupling - Booster pump motor</t>
  </si>
  <si>
    <t>Bfp Turbine Including Discharge Pipe And Valves  -  Turbine</t>
  </si>
  <si>
    <t>Bfp Turbine Including Discharge Pipe And Valves  -  Discharge  pipe</t>
  </si>
  <si>
    <t>Bfp Turbine Including Discharge Pipe And Valves  - Discharge Valves</t>
  </si>
  <si>
    <t>Boiler Anchor Bolt</t>
  </si>
  <si>
    <t>First Tier Steel Structure And Base Plate</t>
  </si>
  <si>
    <t>Second Tier Steel Structure</t>
  </si>
  <si>
    <t>First Tier Balustrade And Platform</t>
  </si>
  <si>
    <t>Second Tier Balustrade And Platform</t>
  </si>
  <si>
    <t>Floue Gas Duct</t>
  </si>
  <si>
    <t>Main Windbox &amp; Sofa Wind Box</t>
  </si>
  <si>
    <t>Hotted Second Air Duct</t>
  </si>
  <si>
    <t>Bop Program Control Sets</t>
  </si>
  <si>
    <t xml:space="preserve">Boiler Third Tier Steel Structure </t>
  </si>
  <si>
    <t>Boiler Fourth Tier Steel Structure</t>
  </si>
  <si>
    <t xml:space="preserve">Boiler Third Tier Balustrade And Platform </t>
  </si>
  <si>
    <t>Boiler Fourth Tier Balustrade And Platform</t>
  </si>
  <si>
    <t>Boiler Ljungstrom Air Preheater Seat Frame</t>
  </si>
  <si>
    <t>Ljungstrom Air Preheater Central Tube</t>
  </si>
  <si>
    <t>Ljungstrom Air Preheater Fan-Shaped Ware House</t>
  </si>
  <si>
    <t>Ljungstrom Air Preheater Gear Box</t>
  </si>
  <si>
    <t>Ljungstrom Air Preheater Main Gears</t>
  </si>
  <si>
    <t>Ljungstrom Air Preheater Electrical Motor</t>
  </si>
  <si>
    <t>Ljungstrom Air Preheater Pressure Air Motor</t>
  </si>
  <si>
    <t>Ljungstrom Air Preheater Shell</t>
  </si>
  <si>
    <t>Ljungstrom Air Preheater Control Box</t>
  </si>
  <si>
    <t>Ljungstrom Air Preheater Soot Blower</t>
  </si>
  <si>
    <t>Ljungstrom Air Preheater Firefighting Alarm</t>
  </si>
  <si>
    <t>Ljungstrom Air Preheater Instrumentation And Sensor</t>
  </si>
  <si>
    <t>Ljungstrom Air Preheater Damper</t>
  </si>
  <si>
    <t>Ljungstrom Air Preheater Lubricating Oil Device</t>
  </si>
  <si>
    <t>Boiler Fifth Tier Steel Structure</t>
  </si>
  <si>
    <t>Boiler Sixth Tier Steel Structure</t>
  </si>
  <si>
    <t>Fifth Tier Balustrade And Platform</t>
  </si>
  <si>
    <t>Sixth Tier Balustrade And Platform</t>
  </si>
  <si>
    <t>Seventh Tier Balustrade And Platform</t>
  </si>
  <si>
    <t>Seventh Tier Steel Structure</t>
  </si>
  <si>
    <t>Big Plate Grider</t>
  </si>
  <si>
    <t>Monitor Roof</t>
  </si>
  <si>
    <t xml:space="preserve">Monitor Roof - FIN  TUBE (roof panels) </t>
  </si>
  <si>
    <t>Low Temperatype Superheater</t>
  </si>
  <si>
    <t>Roof Support For Heat Surface</t>
  </si>
  <si>
    <t>Press Parts Hanger</t>
  </si>
  <si>
    <t>Coal Firing Equipment</t>
  </si>
  <si>
    <t>Upside Water Wall Header</t>
  </si>
  <si>
    <t>Upside Furnace Wall</t>
  </si>
  <si>
    <t>Extend Part Furnace Wall</t>
  </si>
  <si>
    <t>Middle Part Furnace Wall</t>
  </si>
  <si>
    <t>Lower Part Furnace Wall</t>
  </si>
  <si>
    <t>Boiler Economizer</t>
  </si>
  <si>
    <t>Economizer Header</t>
  </si>
  <si>
    <t>Boiler Top Steel Structure</t>
  </si>
  <si>
    <t>Doors &amp; Ports</t>
  </si>
  <si>
    <t>Steam Drum Hanger</t>
  </si>
  <si>
    <t>Downcomer</t>
  </si>
  <si>
    <t>Low Temperatype Superheater Header</t>
  </si>
  <si>
    <t>Loof Superheater</t>
  </si>
  <si>
    <t>Loof Superheater Header</t>
  </si>
  <si>
    <t>Upside Back Pass Enclosure Wall</t>
  </si>
  <si>
    <t>Up Side Backpass Enclosure Wall Header</t>
  </si>
  <si>
    <t>Lowe Back Pass Enclosure Wall</t>
  </si>
  <si>
    <t>Lower Backpass Enclosure Wall Header</t>
  </si>
  <si>
    <t>Finished Superheader Header</t>
  </si>
  <si>
    <t>Screen Type Superheater</t>
  </si>
  <si>
    <t>Sreen Type Superheater Header</t>
  </si>
  <si>
    <t>Water Drum And Drum Internal (Lower Water Wall Header)</t>
  </si>
  <si>
    <t>Steam Drum And Drum Internal</t>
  </si>
  <si>
    <t>Finished Superheater</t>
  </si>
  <si>
    <t>DE SUPERHEATER</t>
  </si>
  <si>
    <t>Confluent Header</t>
  </si>
  <si>
    <t>Wall Radiant Reheater</t>
  </si>
  <si>
    <t>Wall Radiant Reheater Heater</t>
  </si>
  <si>
    <t>High Temperature Reheater</t>
  </si>
  <si>
    <t>High Temperature Reheater Heater</t>
  </si>
  <si>
    <t>Safety System For Furnace</t>
  </si>
  <si>
    <t>Skin Casing</t>
  </si>
  <si>
    <t>Silencer</t>
  </si>
  <si>
    <t>Connecting Piping Hanger</t>
  </si>
  <si>
    <t xml:space="preserve">Connecting Piping </t>
  </si>
  <si>
    <t xml:space="preserve">LINK PIPE </t>
  </si>
  <si>
    <t>Riser Tube</t>
  </si>
  <si>
    <t>Boiler External Piping</t>
  </si>
  <si>
    <t>Soot Blower Piping</t>
  </si>
  <si>
    <t>Discharging Pipe For Safety Valves</t>
  </si>
  <si>
    <t>Valves Of Water &amp; Steam System</t>
  </si>
  <si>
    <t>Soot Blower Control Equipment</t>
  </si>
  <si>
    <t>Flue Gas Temperature Probe</t>
  </si>
  <si>
    <t>Ignitor Control Equipment</t>
  </si>
  <si>
    <t>Other Instrument</t>
  </si>
  <si>
    <t>Ignitor Device &amp; Fitting</t>
  </si>
  <si>
    <t>Furnace Bottom Seal Shield</t>
  </si>
  <si>
    <t>Soot Blower</t>
  </si>
  <si>
    <t>Pressure Vessels</t>
  </si>
  <si>
    <t>Roof Sealing</t>
  </si>
  <si>
    <t>Roof Enclosure Supporting Beam</t>
  </si>
  <si>
    <t>Flame Tv &amp; Camera System</t>
  </si>
  <si>
    <t>Tube Leak Detection System</t>
  </si>
  <si>
    <t>Monitor Tv Of Boiler Drum Water Level</t>
  </si>
  <si>
    <t>Circulating Pump &amp; Valves</t>
  </si>
  <si>
    <t>Miscellaneous</t>
  </si>
  <si>
    <t>Oil System &amp; Valves For Boiler</t>
  </si>
  <si>
    <t>Condesor 5, 6, 7, 8 Class Extraction Pipe</t>
  </si>
  <si>
    <t>Flame Detection System And Cooling Fan</t>
  </si>
  <si>
    <t>Gravimetric Coal Feeder</t>
  </si>
  <si>
    <t>BOILER FOUNDATION</t>
  </si>
  <si>
    <t>Boiler Elevator</t>
  </si>
  <si>
    <t>Refractory for Boiler</t>
  </si>
  <si>
    <t xml:space="preserve">Washer copper 25mm </t>
  </si>
  <si>
    <t>Forced Draft Fan</t>
  </si>
  <si>
    <t>FD Fan</t>
  </si>
  <si>
    <t>Induced Draft Fan</t>
  </si>
  <si>
    <t>ID Fan</t>
  </si>
  <si>
    <t>Primary Air Fan</t>
  </si>
  <si>
    <t>PA Fan</t>
  </si>
  <si>
    <t>Coal Sampling Device</t>
  </si>
  <si>
    <t>conveyor belt</t>
  </si>
  <si>
    <t>Idlers and other rotating parts, chutes</t>
  </si>
  <si>
    <t>Pulleys bearings, rubber lagging, scarappers</t>
  </si>
  <si>
    <t>Drives, misc</t>
  </si>
  <si>
    <t>structures</t>
  </si>
  <si>
    <t>Electrometic Separator And Metal Detector-  Electro-magnet</t>
  </si>
  <si>
    <t>Electrometic Separator And Metal Detector - Metal Detector</t>
  </si>
  <si>
    <t>Electronic Belt Scale</t>
  </si>
  <si>
    <t>load cells, control system</t>
  </si>
  <si>
    <t>test chain calibrator</t>
  </si>
  <si>
    <t>Roller Screen And Buffer Cylinder</t>
  </si>
  <si>
    <t>screen body and buffer cylinder casing</t>
  </si>
  <si>
    <t>rollers, cylinder drum</t>
  </si>
  <si>
    <t>Bag Type Dust Collector Of Chp</t>
  </si>
  <si>
    <t>structures, bag filter casing &amp; blowers</t>
  </si>
  <si>
    <t>bags and cages</t>
  </si>
  <si>
    <t>Tdm (Turbine Diaganosis Management)</t>
  </si>
  <si>
    <t>Paddle Feeder</t>
  </si>
  <si>
    <t>paddle feeder casing, drive and accessories</t>
  </si>
  <si>
    <t>impeller</t>
  </si>
  <si>
    <t>Bucket Wheel Stacker Reclaimer</t>
  </si>
  <si>
    <t>Hydraulic System, field instruments</t>
  </si>
  <si>
    <t>Slew bearings and other important rotating parts</t>
  </si>
  <si>
    <t>Structures and balance items</t>
  </si>
  <si>
    <t>CONDENSATE WATER POLISHING TREATMENT SYSTEM</t>
  </si>
  <si>
    <t>CONDENSATE WATER POLISHING TREATMENT SYSTEM  - Resins</t>
  </si>
  <si>
    <t>CONDENSATE WATER POLISHING TREATMENT SYSTEM  -Mixed Bed Units</t>
  </si>
  <si>
    <t>CONDENSATE WATER POLISHING TREATMENT SYSTEM - Regeneration Units</t>
  </si>
  <si>
    <t>Expansion Joints For Pulverised Coal Pipe</t>
  </si>
  <si>
    <t>Bulldozer, Fork Lifts</t>
  </si>
  <si>
    <t>Feed Water Equipment Of Chp Water Flushing System</t>
  </si>
  <si>
    <t>Coal Crusher And Vibration Isolation System-  Coal Crushers</t>
  </si>
  <si>
    <t>Coal Crusher And Vibration Isolation System - Vibration Isolation system</t>
  </si>
  <si>
    <t>Steel Plate for Coal Bunker</t>
  </si>
  <si>
    <t xml:space="preserve">Supply of Reciprocation feeder related to coal handling equipment </t>
  </si>
  <si>
    <t xml:space="preserve">Construction of temporary coal crusher for our plant </t>
  </si>
  <si>
    <t>Mill</t>
  </si>
  <si>
    <t>Mill Embeded Parts</t>
  </si>
  <si>
    <t>Base Plate</t>
  </si>
  <si>
    <t>Roller Center Parts/Roller Support/Roller Cover</t>
  </si>
  <si>
    <t>Grinding Bowls</t>
  </si>
  <si>
    <t>Drives, Impeller and other equipments</t>
  </si>
  <si>
    <t>Loading Equipment</t>
  </si>
  <si>
    <t>Main Separator</t>
  </si>
  <si>
    <t>Rotary Separator</t>
  </si>
  <si>
    <t>Main Reducer</t>
  </si>
  <si>
    <t>Coupling</t>
  </si>
  <si>
    <t>Sealing Fan Pipe</t>
  </si>
  <si>
    <t>Main Motor</t>
  </si>
  <si>
    <t>Lubrication Oil Station</t>
  </si>
  <si>
    <t>Hp Loading Oil Station</t>
  </si>
  <si>
    <t>Control Panel</t>
  </si>
  <si>
    <t>Mill Base Plate</t>
  </si>
  <si>
    <t>Mill Reject Handling System</t>
  </si>
  <si>
    <t xml:space="preserve">Jet Pumps </t>
  </si>
  <si>
    <t xml:space="preserve">Piping </t>
  </si>
  <si>
    <t>Scrapper Conveyor</t>
  </si>
  <si>
    <t>Pulverized System</t>
  </si>
  <si>
    <t>Supports And Hangers For Air, Flue Gas And Coal Pulverized System</t>
  </si>
  <si>
    <t>Wearable Elbow</t>
  </si>
  <si>
    <t>Cables for Control and Instrumentation</t>
  </si>
  <si>
    <t>Cable Trays For C&amp;I</t>
  </si>
  <si>
    <t>Control And Instrumentation Cables</t>
  </si>
  <si>
    <t>Distributed control system</t>
  </si>
  <si>
    <t>220V Dc System</t>
  </si>
  <si>
    <t>Dcs</t>
  </si>
  <si>
    <t>HSCD Design and Mixer, Slury PLC Control Supply</t>
  </si>
  <si>
    <t>Hardware - Others</t>
  </si>
  <si>
    <t>Combined Glass-Ceramic Pipe</t>
  </si>
  <si>
    <t>Erection Hardware Others</t>
  </si>
  <si>
    <t>Steel Of Cw Piping</t>
  </si>
  <si>
    <t>Metal Expansion Joints</t>
  </si>
  <si>
    <t>Non-Metal Expansion Joints</t>
  </si>
  <si>
    <t>Coal Dropping Pipe And Resistance Inner Plate</t>
  </si>
  <si>
    <t>Clip Flexible Joint</t>
  </si>
  <si>
    <t>Big Size Flexible Joints</t>
  </si>
  <si>
    <t>Adustable Shrinkage Hole</t>
  </si>
  <si>
    <t>Expansion - Proof Doors</t>
  </si>
  <si>
    <t>Field Instruments</t>
  </si>
  <si>
    <t>Walkie - Talkie</t>
  </si>
  <si>
    <t>Call System</t>
  </si>
  <si>
    <t>Digital Programme-Controlled Telephone Exchange</t>
  </si>
  <si>
    <t>Chp C &amp; I Program Control Sets</t>
  </si>
  <si>
    <t>Instruments And Valves</t>
  </si>
  <si>
    <t>Electric Auxiliary Monitoring And Management System</t>
  </si>
  <si>
    <t>MIS</t>
  </si>
  <si>
    <t>Protection Of Mill</t>
  </si>
  <si>
    <t>C&amp;I Instrumentation System</t>
  </si>
  <si>
    <t>Axilliary Equipment Vibration Monitor System</t>
  </si>
  <si>
    <t>Network Control Computer Monitoring System</t>
  </si>
  <si>
    <t>Rail Weigh Bridge</t>
  </si>
  <si>
    <t>Air Conditioning System</t>
  </si>
  <si>
    <t>Evaporative Cooling Units</t>
  </si>
  <si>
    <t>Cooling Stations</t>
  </si>
  <si>
    <t>Centralised Air Conditioning Unit</t>
  </si>
  <si>
    <t>Water Treatment Equipment Of Hvac</t>
  </si>
  <si>
    <t>Warm Wind Equipment</t>
  </si>
  <si>
    <t>Roof Ventilator</t>
  </si>
  <si>
    <t>Fllor Standing Split Air Conditioner</t>
  </si>
  <si>
    <t>Ventilation &amp; AC Material</t>
  </si>
  <si>
    <t>Bus Duct</t>
  </si>
  <si>
    <t>Ipbd &amp; Spbd</t>
  </si>
  <si>
    <t>Cables For Electric Works</t>
  </si>
  <si>
    <t>Control Cable For Electric</t>
  </si>
  <si>
    <t>Cable Trays For Electric</t>
  </si>
  <si>
    <t>Electrical Cable For Electric Works</t>
  </si>
  <si>
    <t>Cable Tray</t>
  </si>
  <si>
    <t>Steel Support for Cable Tray</t>
  </si>
  <si>
    <t>Earthing Material</t>
  </si>
  <si>
    <t>Switch Yard</t>
  </si>
  <si>
    <t>Scada For Switch Yard</t>
  </si>
  <si>
    <t>Control &amp; Protection Equipment For Switch Yard</t>
  </si>
  <si>
    <t>400 Kv Switch Support</t>
  </si>
  <si>
    <t>400 Kv Columniate Breaker</t>
  </si>
  <si>
    <t>400 Kv Ct</t>
  </si>
  <si>
    <t>400 Kv Pt</t>
  </si>
  <si>
    <t>400 Kv Isolating Switch</t>
  </si>
  <si>
    <t>400 Kv Arrester</t>
  </si>
  <si>
    <t>Low Voltage Switchgear</t>
  </si>
  <si>
    <t>SWITCHYARD</t>
  </si>
  <si>
    <t>Switch Gear</t>
  </si>
  <si>
    <t>11 Kv High Voltage Switch Gear</t>
  </si>
  <si>
    <t>11 Kv High Voltage Switchgear</t>
  </si>
  <si>
    <t>Transformer</t>
  </si>
  <si>
    <t>Oil &amp; Oil Purified Plant For Gt, St, Ut</t>
  </si>
  <si>
    <t>Fault Recorder Panels For Generator And Transformers</t>
  </si>
  <si>
    <t>11 Kv Dry Type Transformer</t>
  </si>
  <si>
    <t>Gt, St, Ut</t>
  </si>
  <si>
    <t>Cabling Groundingresistance</t>
  </si>
  <si>
    <t>Gtunit Protection Devices</t>
  </si>
  <si>
    <t>COMPLETION OF ALL UAT &amp; GT AND STATION TRANSFORMER FOUNDATION - GT Foundation</t>
  </si>
  <si>
    <t>COMPLETION OF ALL UAT &amp; GT AND STATION TRANSFORMER FOUNDATION - UAT Foundation</t>
  </si>
  <si>
    <t>COMPLETION OF ALL UAT &amp; GT AND STATION TRANSFORMER FOUNDATION-  ST Foundation</t>
  </si>
  <si>
    <t>Electrical Installation</t>
  </si>
  <si>
    <t>UPS</t>
  </si>
  <si>
    <t>Ups</t>
  </si>
  <si>
    <t>Plant lighting</t>
  </si>
  <si>
    <t>Lighting equipment &amp; material - Structure</t>
  </si>
  <si>
    <t>Lighting equipment &amp; material - fixtures</t>
  </si>
  <si>
    <t>Miscellaneous Electrical System</t>
  </si>
  <si>
    <t>Electrical Distribution system</t>
  </si>
  <si>
    <t>Oil Pumps</t>
  </si>
  <si>
    <t>Fuel Oil System (Tank And Pipe)</t>
  </si>
  <si>
    <t>EOT Crane</t>
  </si>
  <si>
    <t>Eot For Power House 1 - Main Girder</t>
  </si>
  <si>
    <t>Eot For Power House 1 - Trolley Mechanism</t>
  </si>
  <si>
    <t>Eot For Power House 1- Lifting Mechanism</t>
  </si>
  <si>
    <t>Eot For Power House 2 - Main Girder</t>
  </si>
  <si>
    <t>Eot For Power House 2 - Trolley Mechanism</t>
  </si>
  <si>
    <t>Eot For Power House 2- Lifting Mechanism</t>
  </si>
  <si>
    <t>Eot For Power House 3 - Main Girder</t>
  </si>
  <si>
    <t>Eot For Power House 3 - Trolley Mechanism</t>
  </si>
  <si>
    <t>Eot For Power House 3- Lifting Mechanism</t>
  </si>
  <si>
    <t>Crane Of Mill</t>
  </si>
  <si>
    <t>Hoits And Hydraulic Platform</t>
  </si>
  <si>
    <t>Elevators</t>
  </si>
  <si>
    <t>Crane Of Cw Pump House - EOT crane</t>
  </si>
  <si>
    <t>Crane Of Cw Pump House - Gantry Crane</t>
  </si>
  <si>
    <t>Plant Buildings - Others</t>
  </si>
  <si>
    <t>Steel Structure Of Other House</t>
  </si>
  <si>
    <t>Steel Structure For Other Buildings</t>
  </si>
  <si>
    <t>Power House Building</t>
  </si>
  <si>
    <t>Steel Structure Of Main Power House</t>
  </si>
  <si>
    <t>Service Elevator</t>
  </si>
  <si>
    <t>CW Steel Plate and Channel</t>
  </si>
  <si>
    <t>Steel plate and angle for tanks</t>
  </si>
  <si>
    <t>Insulation Materials including cladding</t>
  </si>
  <si>
    <t>Enclosed sheet for MPH / CHP etc.</t>
  </si>
  <si>
    <t>Transformer Oil</t>
  </si>
  <si>
    <t>Rolling Machinery Oil</t>
  </si>
  <si>
    <t>Painting and antisepsis material</t>
  </si>
  <si>
    <t>Steam and Water Analysis System -SWAS</t>
  </si>
  <si>
    <t>Swas- Sensors</t>
  </si>
  <si>
    <t>Swas- Mechanical</t>
  </si>
  <si>
    <t>Valves</t>
  </si>
  <si>
    <t>High Temp And High Pressure Valve - Actuator</t>
  </si>
  <si>
    <t>High Temp And High Pressure Valve- Valves</t>
  </si>
  <si>
    <t>Level Floating Valve</t>
  </si>
  <si>
    <t>Motor Driven Butterfly Valves For Auxiliary Equipment Cooling System - Actuator</t>
  </si>
  <si>
    <t>Motor Driven Butterfly Valves For Auxiliary Equipment Cooling System - Valves</t>
  </si>
  <si>
    <t>Quick Shut Valve For Steam Extraction System - Actuator</t>
  </si>
  <si>
    <t>Quick Shut Valve For Steam Extraction System - Valves</t>
  </si>
  <si>
    <t xml:space="preserve"> Hp, Mp And Lp Valves-  Actuator</t>
  </si>
  <si>
    <t xml:space="preserve"> Hp, Mp And Lp Valves- Valves</t>
  </si>
  <si>
    <t>Control Valves For Steam And Water Pipe- Actuator</t>
  </si>
  <si>
    <t>Control Valves For Steam And Water Pipe- Valves</t>
  </si>
  <si>
    <t>Control Valves- Actuator</t>
  </si>
  <si>
    <t>Control Valves- Valves</t>
  </si>
  <si>
    <t>Hydraulic And Electric Control Butterfly Valve- Actuator</t>
  </si>
  <si>
    <t>Hydraulic And Electric Control Butterfly Valve - Valves</t>
  </si>
  <si>
    <t>Hydraulic And Electric Control Butterfly Valve-  Valves</t>
  </si>
  <si>
    <t>Lab Equipment</t>
  </si>
  <si>
    <t>Environmental Protection Lab, Equipment</t>
  </si>
  <si>
    <t>Meteorological Station</t>
  </si>
  <si>
    <t>C&amp;I LABORATORY EQUIPMENTS</t>
  </si>
  <si>
    <t>Chemical Laboratory Equipment</t>
  </si>
  <si>
    <t>Electric Laboratory Equipment</t>
  </si>
  <si>
    <t>Miscellaneous fixed assets</t>
  </si>
  <si>
    <t>Tariff Meter</t>
  </si>
  <si>
    <t>Fork Lift</t>
  </si>
  <si>
    <t>Hydra</t>
  </si>
  <si>
    <t>Automatic Bottom Open for Wagon</t>
  </si>
  <si>
    <t>Plant Machinary</t>
  </si>
  <si>
    <t>Fire Fighting equipment</t>
  </si>
  <si>
    <t>Pumping System</t>
  </si>
  <si>
    <t>Hydrant &amp; Spray Piping including Valves</t>
  </si>
  <si>
    <t>Detection System</t>
  </si>
  <si>
    <t>Inert Gas System</t>
  </si>
  <si>
    <t>Fire Resistant &amp; Lubricating Oil</t>
  </si>
  <si>
    <t>Fire Tender</t>
  </si>
  <si>
    <t>Work Shop Equipment</t>
  </si>
  <si>
    <t>Open access System Studies</t>
  </si>
  <si>
    <t>Condensate Extraction Pump</t>
  </si>
  <si>
    <t>Condensor</t>
  </si>
  <si>
    <t>Tube Plate/Clap Board</t>
  </si>
  <si>
    <t>Water Chamber</t>
  </si>
  <si>
    <t>Laryngeal</t>
  </si>
  <si>
    <t>Proper Flash Tank</t>
  </si>
  <si>
    <t>Condenser Hp Critical Flash Tank</t>
  </si>
  <si>
    <t>Condenser Pipe</t>
  </si>
  <si>
    <t>Condenser 5,6,7,8 Class Extractiion Pipe</t>
  </si>
  <si>
    <t>Stainless Steel Tube</t>
  </si>
  <si>
    <t>C&amp;I Components</t>
  </si>
  <si>
    <t>De-arator</t>
  </si>
  <si>
    <t>Dearator</t>
  </si>
  <si>
    <t>Generator</t>
  </si>
  <si>
    <t>Embeded Parts And Foundation Base Plate</t>
  </si>
  <si>
    <t>Stator</t>
  </si>
  <si>
    <t>Generator Rotor</t>
  </si>
  <si>
    <t>End Cover</t>
  </si>
  <si>
    <t>C&amp;I Element</t>
  </si>
  <si>
    <t>Hydrogen Cooler</t>
  </si>
  <si>
    <t>Hydrogen Dryer</t>
  </si>
  <si>
    <t>Hydrogen Leak Detection Device</t>
  </si>
  <si>
    <t>Line Measurement Of Hydrogen Pressure</t>
  </si>
  <si>
    <t>Automatic Temperature Regulation System Of Hydrogen</t>
  </si>
  <si>
    <t>Seal Oil Control Pump</t>
  </si>
  <si>
    <t>Exhaust Fan</t>
  </si>
  <si>
    <t>Oil Tank</t>
  </si>
  <si>
    <t>Stator Cooling Water Control Pump</t>
  </si>
  <si>
    <t>Stator Cooling Water Tank</t>
  </si>
  <si>
    <t>Deexcitation</t>
  </si>
  <si>
    <t>Other Accessories</t>
  </si>
  <si>
    <t>HP Heater</t>
  </si>
  <si>
    <t>Number 1 Hp Heater - Shell</t>
  </si>
  <si>
    <t>Number 1 Hp Heater-  Tubes</t>
  </si>
  <si>
    <t>Number 2 Hp Heater - Shell</t>
  </si>
  <si>
    <t>Number 2 Hp Heater -  Tubes</t>
  </si>
  <si>
    <t>Number 3 Hp Heater-  Shell</t>
  </si>
  <si>
    <t>Number 3 Hp Heater - Tubes</t>
  </si>
  <si>
    <t>Support</t>
  </si>
  <si>
    <t>LP Heater</t>
  </si>
  <si>
    <t># 5 L.P. Heater  - Shell</t>
  </si>
  <si>
    <t># 5 L.P. Heater - Tubes</t>
  </si>
  <si>
    <t>#6 Lp Heater  - Shell</t>
  </si>
  <si>
    <t>#6 Lp Heater - Tubes</t>
  </si>
  <si>
    <t>#7A/#8A Lp Heater  - Shell</t>
  </si>
  <si>
    <t>#7A/#8A Lp Heater - Tubes</t>
  </si>
  <si>
    <t>#7B/#8B Lp Heater  - Shell</t>
  </si>
  <si>
    <t>#7B/#8B Lp Heater - Tubes</t>
  </si>
  <si>
    <t>Power Cycle Piping</t>
  </si>
  <si>
    <t>Supports And Hangers For Low Pressure Piping System</t>
  </si>
  <si>
    <t>Supports And Hungers For Hp And Mp Piping System</t>
  </si>
  <si>
    <t>Main Pipe Bend</t>
  </si>
  <si>
    <t>Main Steam Pipe</t>
  </si>
  <si>
    <t>Feed Water Pipe</t>
  </si>
  <si>
    <t>Discharge Pipe Of Bfp Turbine</t>
  </si>
  <si>
    <t>Repair And Lighting Control Box</t>
  </si>
  <si>
    <t>Turbine</t>
  </si>
  <si>
    <t>Oil Purification For Turbine &amp; Bfp-Turbine (Centrifuge / Oil Conditioner)</t>
  </si>
  <si>
    <t>LUBRICATION OIL SYSTEM</t>
  </si>
  <si>
    <t>Condenser Vaccum Pump</t>
  </si>
  <si>
    <t>Turbine By Pass System - HP By Pass</t>
  </si>
  <si>
    <t>Turbine By Pass System - LP By pass</t>
  </si>
  <si>
    <t>Foundation Base Plate And Anchor Bolt And Filling Piece</t>
  </si>
  <si>
    <t>Nozzle</t>
  </si>
  <si>
    <t>Flow-Guiding Ring</t>
  </si>
  <si>
    <t>Hp Inlet Steam Pipe</t>
  </si>
  <si>
    <t>Connecting Pipe</t>
  </si>
  <si>
    <t>Ip Main Steam Pipe</t>
  </si>
  <si>
    <t>Hip Main Steam Valve</t>
  </si>
  <si>
    <t>Steam Control Valve</t>
  </si>
  <si>
    <t>Reheater Steam Valve</t>
  </si>
  <si>
    <t>Reheater Steam Control Valve</t>
  </si>
  <si>
    <t>Valve Oil Motive</t>
  </si>
  <si>
    <t>Steam Valve Support</t>
  </si>
  <si>
    <t>Turbine Barring Gear</t>
  </si>
  <si>
    <t>Main Oil Tank</t>
  </si>
  <si>
    <t>Lubricating Oil Pump</t>
  </si>
  <si>
    <t>Plate Oil Cooler</t>
  </si>
  <si>
    <t>Jacking Oil Pump (2Ac+1Dc)</t>
  </si>
  <si>
    <t>Jacking Oil Pipe</t>
  </si>
  <si>
    <t>Steam Seals Cooler</t>
  </si>
  <si>
    <t>Steam Axes Seals Fans</t>
  </si>
  <si>
    <t>Axis Seals Steam Desuperheater</t>
  </si>
  <si>
    <t>Turbine Drain Pipe</t>
  </si>
  <si>
    <t>Special Tools</t>
  </si>
  <si>
    <t>Hip Outside Cylinder</t>
  </si>
  <si>
    <t>Hp Inside Cylinder</t>
  </si>
  <si>
    <t>Ip Inside Cylinder</t>
  </si>
  <si>
    <t>High Tem Bolts</t>
  </si>
  <si>
    <t>A Lp Inside Cylinder</t>
  </si>
  <si>
    <t>A Lp Outside Cylinder</t>
  </si>
  <si>
    <t>B Lp Inside Cylender</t>
  </si>
  <si>
    <t>B Lp Outside Cylinder</t>
  </si>
  <si>
    <t>A-B Lp Inside Cylinder Chamber</t>
  </si>
  <si>
    <t>Hip Baffle Plate</t>
  </si>
  <si>
    <t>Lp Baffle Plate A</t>
  </si>
  <si>
    <t>Lp Baffle Plate B</t>
  </si>
  <si>
    <t>Hip Rotator</t>
  </si>
  <si>
    <t>Lp Rotator A</t>
  </si>
  <si>
    <t>Lp Rotator B</t>
  </si>
  <si>
    <t>Intermediate Shaft</t>
  </si>
  <si>
    <t>Rotating Equipment</t>
  </si>
  <si>
    <t>Hip Cylinder Axis Seals And Baffle Plate Steam Seals</t>
  </si>
  <si>
    <t>Lp A Cylinder Axis Seals</t>
  </si>
  <si>
    <t>Lp B Cylinder Axis Seals</t>
  </si>
  <si>
    <t>Baffle Plate Steam Seals</t>
  </si>
  <si>
    <t>Ahead Bearing Box</t>
  </si>
  <si>
    <t>Intermediate Bearing Box</t>
  </si>
  <si>
    <t>Back Bearing Box</t>
  </si>
  <si>
    <t>Coupling Between Hip-A Lp Cylinder</t>
  </si>
  <si>
    <t>Coupling Between A-B Lp Cylinder</t>
  </si>
  <si>
    <t>Coupling Between B Lp Cylinder-Generator</t>
  </si>
  <si>
    <t>Coupling Cover</t>
  </si>
  <si>
    <t>Valve Purchase</t>
  </si>
  <si>
    <t>Turbine Cover Shell</t>
  </si>
  <si>
    <t>Other</t>
  </si>
  <si>
    <t>Tsi</t>
  </si>
  <si>
    <t>Deh And Instrument</t>
  </si>
  <si>
    <t>Ets</t>
  </si>
  <si>
    <t>Automatic Barring Gear</t>
  </si>
  <si>
    <t>Lp Cylinder Water Injection System</t>
  </si>
  <si>
    <t>COMPLETION OF TURBINE PEDESTALS</t>
  </si>
  <si>
    <t>Turbine Elevator</t>
  </si>
  <si>
    <t>Turbine Oil</t>
  </si>
  <si>
    <t>Welding of condensor tube unit-3</t>
  </si>
  <si>
    <t>Hydrogen Power Generating System</t>
  </si>
  <si>
    <t>Auxiliary Cooling Water System</t>
  </si>
  <si>
    <t>Closed Cycle Circulating Water Pumps + Acw Pumps - CCCW pumps</t>
  </si>
  <si>
    <t>Closed Cycle Circulating Water Pumps + Acw Pumps - OCCW Pumps</t>
  </si>
  <si>
    <t>Cooling Water System</t>
  </si>
  <si>
    <t>Circulating Water Pump</t>
  </si>
  <si>
    <t>Cw &amp; Pt Plant Chlorination System - CW Chlorination System</t>
  </si>
  <si>
    <t>Cw &amp; Pt Plant Chlorination System - PT chlorination System</t>
  </si>
  <si>
    <t>Other Water Pump For Water Supply System</t>
  </si>
  <si>
    <t>Electric Tailgate And Material Flow Regulator</t>
  </si>
  <si>
    <t xml:space="preserve">Steel Gate And Clean Machine- Steel Gate </t>
  </si>
  <si>
    <t>Steel Gate And Clean Machine - Screen</t>
  </si>
  <si>
    <t>Steel Gate And Clean Machine - Cleaning Machine for screen</t>
  </si>
  <si>
    <t>Plate Heat Exchangers</t>
  </si>
  <si>
    <t>Condensor Online Cleaning System</t>
  </si>
  <si>
    <t>Other Water Pump</t>
  </si>
  <si>
    <t>Cw Water Dosing System - Tanks</t>
  </si>
  <si>
    <t>Cw Water Dosing System- Equipments &amp; piping</t>
  </si>
  <si>
    <t>Supply of Cast Iron Valve double ball with in build isolation valve, size 200 mm (as per IS 14845 FIG DS1 PN10)</t>
  </si>
  <si>
    <t>Cooling Tower</t>
  </si>
  <si>
    <t>Idct Including Fans - Gearbox</t>
  </si>
  <si>
    <t>Idct Including Fans - Motors</t>
  </si>
  <si>
    <t>Idct Including Fans- Hub &amp; Blades</t>
  </si>
  <si>
    <t>Cooling Water Chemical Treatment plant</t>
  </si>
  <si>
    <t>Cw Water Ultrafiltration Reverse Osmosis System - Ultrfilteration system - Membrance</t>
  </si>
  <si>
    <t>Cw Water Ultrafiltration Reverse Osmosis System - Ultrfilteration system - Balance parts including cell</t>
  </si>
  <si>
    <t>Cw Water Ultrafiltration Reverse Osmosis System - Reverse Osmosis System  - Membrance</t>
  </si>
  <si>
    <t>Cw Water Ultrafiltration Reverse Osmosis System - Reverse Osmosis System  - Balance parts including cell</t>
  </si>
  <si>
    <t>Cw Water Ultrafiltration Reverse Osmosis System  - Pumps</t>
  </si>
  <si>
    <t>Chemical Dosing System</t>
  </si>
  <si>
    <t>Condensate Water Polishing treatment system</t>
  </si>
  <si>
    <t>Condensate Water Polishing Treatment System - CPU tanks</t>
  </si>
  <si>
    <t>Condensate Water Polishing Treatment System - Resins</t>
  </si>
  <si>
    <t>Condensate Water Polishing Treatment System - Regeneration system</t>
  </si>
  <si>
    <t>De- Mineralised Plant</t>
  </si>
  <si>
    <t>Chemical Pump And Roots Blower</t>
  </si>
  <si>
    <t>Effluent Treatment Plant (Waste Water treatment system)</t>
  </si>
  <si>
    <t>Effluent Monitoring System</t>
  </si>
  <si>
    <t>Waste Water Treatment System</t>
  </si>
  <si>
    <t>Water Treatment Plant</t>
  </si>
  <si>
    <t>Raw Water Traeatment System (Living Water Treatment System)</t>
  </si>
  <si>
    <t>Boiler Feed Water Treatment Equipment - Resin</t>
  </si>
  <si>
    <t>Boiler Feed Water Treatment Equipment - Tanks</t>
  </si>
  <si>
    <t>Boiler Feed Water Treatment Equipment - Pumps &amp; piping</t>
  </si>
  <si>
    <t>Water Tank (Condensate Tanks/Chemical Water Tanks/Expansion Tank)</t>
  </si>
  <si>
    <t>Electric Water Filter</t>
  </si>
  <si>
    <t>Raw Water System</t>
  </si>
  <si>
    <t xml:space="preserve">Construction Water Pipe Line &amp; Equipment </t>
  </si>
  <si>
    <t xml:space="preserve">Network For Water Intake </t>
  </si>
  <si>
    <t>ABCD Row Columns</t>
  </si>
  <si>
    <t>COMPLETION OF ALL ABCD ROW MAIN COLUMN FOUNDATIONS (PRORATED FOR EACH UNIT)</t>
  </si>
  <si>
    <t>AB Bay Operating Floor</t>
  </si>
  <si>
    <t>COMPLETION OF AB BAY-OPERATING FLOOR (0.82%) - Mezanine Floor @ 6.lvl</t>
  </si>
  <si>
    <t>COMPLETION OF AB BAY-OPERATING FLOOR (0.82%) - Operatign Floor  @ 13.7 lvl</t>
  </si>
  <si>
    <t>Cooling Towers</t>
  </si>
  <si>
    <t>COMPLETION OF COOLING TOWERS - Basin Level</t>
  </si>
  <si>
    <t>COMPLETION OF COOLING TOWERS - Eliminator Level</t>
  </si>
  <si>
    <t>COMPLETION OF COOLING TOWERS- Deck Level</t>
  </si>
  <si>
    <t>Track Hoppers</t>
  </si>
  <si>
    <t>COMPLETION OF SIDE CONCRETE WALL OF TRACK HOPPERS</t>
  </si>
  <si>
    <t>COMPLETION OF TRACK HOPPERS</t>
  </si>
  <si>
    <t>Crusher House Building</t>
  </si>
  <si>
    <t>COMPLETION OF CRUSHER HOUSE BUILDINGS - Works from -16 to -10 lvl</t>
  </si>
  <si>
    <t>COMPLETION OF CRUSHER HOUSE BUILDINGS - Works from -10 to 0 Lvl</t>
  </si>
  <si>
    <t>COMPLETION OF CRUSHER HOUSE BUILDINGS - Work from 0 to 10 lvl</t>
  </si>
  <si>
    <t>Control Rooms</t>
  </si>
  <si>
    <t>COMPLETION OF CONTROL ROOMS - Works upto 1.4 lvl</t>
  </si>
  <si>
    <t>COMPLETION OF CONTROL ROOMS - Works upto 10.4 Lvl</t>
  </si>
  <si>
    <t>COMPLETION OF CONTROL ROOMS - Works upto 10.4 to 21 Lvl</t>
  </si>
  <si>
    <t>COMPLETION OF CONTROL ROOMS- Works upto 21 to 27 Lvl</t>
  </si>
  <si>
    <t xml:space="preserve">Cwip - Building - Plant </t>
  </si>
  <si>
    <t xml:space="preserve">Pb Construction Material Steel </t>
  </si>
  <si>
    <t>Coal Handling System</t>
  </si>
  <si>
    <t>Switchyard</t>
  </si>
  <si>
    <t>Non plant buildings</t>
  </si>
  <si>
    <t>Fabrication, erection &amp; Sheeting of watch tower &amp; other Miscellaneous work</t>
  </si>
  <si>
    <t xml:space="preserve">M.S. ANGLE 90 X 90 X 8  , Fabrication &amp; Erection of structure, fencing work at site </t>
  </si>
  <si>
    <t xml:space="preserve">NPB : Green Belt Development </t>
  </si>
  <si>
    <t xml:space="preserve">NPB : Construction Of Staff Quarters </t>
  </si>
  <si>
    <t>NPB - Civil Works On Property Not Owned By Company</t>
  </si>
  <si>
    <t>NPB - Parking Sheds</t>
  </si>
  <si>
    <t>NPB - Construction of Pulverizer Room MS ANGLE 70X70X6 &amp;  HR SHEET 12MM</t>
  </si>
  <si>
    <t>NPB - Drains, Culverts and Crossovers - Construction of surface drain, supply, laying &amp; jointing of RCC pipes construction of bridge, fabrication &amp; construction of shed etc.,</t>
  </si>
  <si>
    <t xml:space="preserve">Construction of block office civil works </t>
  </si>
  <si>
    <t>NPB - Temporary Constructions</t>
  </si>
  <si>
    <t>Road</t>
  </si>
  <si>
    <t xml:space="preserve">NPB-Development of Approach Roads </t>
  </si>
  <si>
    <t>Cw Water Ultrafiltration Reverse Osmosis System - Ultrfilteration system</t>
  </si>
  <si>
    <t>Cw Water Ultrafiltration Reverse Osmosis System - Reverse Osmosis System</t>
  </si>
  <si>
    <t>WORKSHOP TOOLS &amp; TACKLES</t>
  </si>
  <si>
    <t>Fixed assets components of Unit IV</t>
  </si>
  <si>
    <t>Asset - Unit IV</t>
  </si>
  <si>
    <t>Sub Asset - Unit IV</t>
  </si>
  <si>
    <t xml:space="preserve">Environment </t>
  </si>
  <si>
    <t>Air Monitoring System</t>
  </si>
  <si>
    <t>Dry Ash Handling System, Including Hopper, Gates, Metallic Conveyor, Crushers, Soil, Belt Conveyor Etc.,</t>
  </si>
  <si>
    <t>Ash Carrying Control System</t>
  </si>
  <si>
    <t>C&amp;I cables</t>
  </si>
  <si>
    <t>PLCs</t>
  </si>
  <si>
    <t>control desks</t>
  </si>
  <si>
    <t xml:space="preserve">flue gas duct </t>
  </si>
  <si>
    <t>motor operated dampers</t>
  </si>
  <si>
    <t>cast basalt steel pipe</t>
  </si>
  <si>
    <t>valves &amp; clamps</t>
  </si>
  <si>
    <t>seamless steel piping</t>
  </si>
  <si>
    <t>slurry pumps and accessories</t>
  </si>
  <si>
    <t>Ash Disposal Area</t>
  </si>
  <si>
    <t>Auxiliary Boiler</t>
  </si>
  <si>
    <t xml:space="preserve">First Tier Steel Structure </t>
  </si>
  <si>
    <t>Second Tier Structure</t>
  </si>
  <si>
    <t>Flue Gas Duct</t>
  </si>
  <si>
    <t>Ljungstrom Air Preheater Seat Frame</t>
  </si>
  <si>
    <t>Ljungstrom Air Preheater Fan-Shaped Warehouse</t>
  </si>
  <si>
    <t>Third Tier Steel Structure</t>
  </si>
  <si>
    <t>Fourth Tier Steel Structure</t>
  </si>
  <si>
    <t>Fifth Tier Steel Structure</t>
  </si>
  <si>
    <t>Sixth Tier Steel Structure</t>
  </si>
  <si>
    <t>Fifth Tier Balustrade And Platerm</t>
  </si>
  <si>
    <t>Sixth Tier Balustrade And Platerm</t>
  </si>
  <si>
    <t>Seventh Tier Balustrade And Platern</t>
  </si>
  <si>
    <t>Upside Backpass Enclosure Wall</t>
  </si>
  <si>
    <t>Lower Backupass Enclosure Wall</t>
  </si>
  <si>
    <t>Finished Superheater Header</t>
  </si>
  <si>
    <t>Sreen Type Superheater</t>
  </si>
  <si>
    <t>Dischargeing Pipe For Safety Valves</t>
  </si>
  <si>
    <t>Auxillary Steam Desuperheating Regulator</t>
  </si>
  <si>
    <t>Locator Of Safety Valve Arrangement</t>
  </si>
  <si>
    <t>Pcv Control Equipment</t>
  </si>
  <si>
    <t>Connecting Piping</t>
  </si>
  <si>
    <t>Fd Fan</t>
  </si>
  <si>
    <t>Id Fan</t>
  </si>
  <si>
    <t xml:space="preserve">Electromagnetic Separator </t>
  </si>
  <si>
    <t>Metal Detector</t>
  </si>
  <si>
    <t>Roller Screen And Buffer Cylinder - screen body and buffer cylinder casing</t>
  </si>
  <si>
    <t>Roller Screen And Buffer Cylinder - rollers, cylinder drum</t>
  </si>
  <si>
    <t>BAG TYPE DUST COLLECTOR OF CHP - structures, bag filter casing &amp; blowers</t>
  </si>
  <si>
    <t>BAG TYPE DUST COLLECTOR OF CHP - bags and cages</t>
  </si>
  <si>
    <t>Paddle Feeder - paddle feeder casing, drive and accessories</t>
  </si>
  <si>
    <t>Paddle Feeder - impeller</t>
  </si>
  <si>
    <t>COAL SAMPLING DEVICE</t>
  </si>
  <si>
    <t>Coal Crushers</t>
  </si>
  <si>
    <t>Vibration Isolation system</t>
  </si>
  <si>
    <t>COAL HANDLING EQUIPMENT - 151022</t>
  </si>
  <si>
    <t xml:space="preserve">Grinding Bowls </t>
  </si>
  <si>
    <t>Dives,  Impeller and other equipment</t>
  </si>
  <si>
    <t>Main Raducer</t>
  </si>
  <si>
    <t>Base plate</t>
  </si>
  <si>
    <t>Supports And Hangers For Air, Flue Gas And Coal Pulverised System</t>
  </si>
  <si>
    <t>220V DC Cabinet</t>
  </si>
  <si>
    <t>Adjustable Shrinkage Hole</t>
  </si>
  <si>
    <t>C &amp; I Instrumentation System</t>
  </si>
  <si>
    <t>Auxiliary Equipment Vibration Monitor System</t>
  </si>
  <si>
    <t>Load cells and control system</t>
  </si>
  <si>
    <t>Platforms, Structures etc</t>
  </si>
  <si>
    <t>Cables for Electric Works</t>
  </si>
  <si>
    <t>Electrical Cable For Electric</t>
  </si>
  <si>
    <t>Electrical works - cables</t>
  </si>
  <si>
    <t>11Kv Dry Type Transformer</t>
  </si>
  <si>
    <t>Cabinet Grounding Resistance</t>
  </si>
  <si>
    <t>Gt Unit Protection Devices</t>
  </si>
  <si>
    <t>GT Foundation</t>
  </si>
  <si>
    <t>UAT Foundation</t>
  </si>
  <si>
    <t>ST Foundation</t>
  </si>
  <si>
    <t>Electrical Works - External</t>
  </si>
  <si>
    <t xml:space="preserve">Electrical Installation - Transformer </t>
  </si>
  <si>
    <t>Lighting equipment &amp; material</t>
  </si>
  <si>
    <t>Structure</t>
  </si>
  <si>
    <t>fixtures</t>
  </si>
  <si>
    <t xml:space="preserve">Oil Pump House And Fuel Oil Tank Yad </t>
  </si>
  <si>
    <t>EOT for Cranes</t>
  </si>
  <si>
    <t>Eot crane For Power House 1 - Main Girder</t>
  </si>
  <si>
    <t>Eot crane For Power House 1 - Trolley Mechanism</t>
  </si>
  <si>
    <t>Eot crane For Power House 1 - Lifting Mechanism</t>
  </si>
  <si>
    <t>Eot crane For Power House 2 - Main Girder</t>
  </si>
  <si>
    <t>Eot crane For Power House 2 - Trolley Mechanism</t>
  </si>
  <si>
    <t>Eot crane For Power House 2 - Lifting Mechanism</t>
  </si>
  <si>
    <t>Eot crane For Power House 3 - Main Girder</t>
  </si>
  <si>
    <t>Eot crane For Power House 3 - Trolley Mechanism</t>
  </si>
  <si>
    <t>Eot crane For Power House 3 - Lifting Mechanism</t>
  </si>
  <si>
    <t>Lifting Facilities</t>
  </si>
  <si>
    <t>High Temp And High Pressure Valve</t>
  </si>
  <si>
    <t>Motor Driven Butterfly Valves For Auxillary Equipment Cooling System - Actuator</t>
  </si>
  <si>
    <t>Motor Driven Butterfly Valves For Auxillary Equipment Cooling System - Valves</t>
  </si>
  <si>
    <t>Control Valves For Steam And Water Pipe - Actuator</t>
  </si>
  <si>
    <t>Control Valves For Steam And Water Pipe - Valves</t>
  </si>
  <si>
    <t>Control Valves - Actuator</t>
  </si>
  <si>
    <t>Control Valves - Valves</t>
  </si>
  <si>
    <t>Hydraulic And Electric Control Butterfly Valve - Actuator</t>
  </si>
  <si>
    <t>Condensate Extraction Pump- Pump</t>
  </si>
  <si>
    <t>Condensate Extraction Pump - Motor</t>
  </si>
  <si>
    <t>Tubeplate / Clapboard</t>
  </si>
  <si>
    <t>Condenser 5, 6, 7, 8 Class Extraction Pipe</t>
  </si>
  <si>
    <t>CONTROL &amp; INSTRUMENTATION SYSTEM - 151095</t>
  </si>
  <si>
    <t>Embedded Parts And Foundation Base Plate</t>
  </si>
  <si>
    <t>Damper</t>
  </si>
  <si>
    <t>Number 1 Hp Heater - Tubes</t>
  </si>
  <si>
    <t>Number 2 Hp Heater - Tubes</t>
  </si>
  <si>
    <t>Number 3 Hp Heater - Shell</t>
  </si>
  <si>
    <t xml:space="preserve">Support </t>
  </si>
  <si>
    <t>#5 Lp Herater - Shell</t>
  </si>
  <si>
    <t>#5 Lp Herater - Tubes</t>
  </si>
  <si>
    <t>#6 Lp Herater - Shell</t>
  </si>
  <si>
    <t>#6 Lp Herater - Tubes</t>
  </si>
  <si>
    <t>#7A/#8A Lp Heater- Shell</t>
  </si>
  <si>
    <t>#7A/#8A Lp Heater -Tubes</t>
  </si>
  <si>
    <t>#7B/#8B Lp Heater - Shell</t>
  </si>
  <si>
    <t>Main Steam And Feed Water Pipe - Main Steam Pipe</t>
  </si>
  <si>
    <t>Main Steam And Feed Water Pipe - Feed Water Pipe</t>
  </si>
  <si>
    <t>High Temp Bolts</t>
  </si>
  <si>
    <t>B Lp Inside Cylinder</t>
  </si>
  <si>
    <t>Coupling Between B Lp Cylinder - Generator</t>
  </si>
  <si>
    <t>Volve Oil Motive</t>
  </si>
  <si>
    <t>Jacking Oil Pump(2Ac+Idc)</t>
  </si>
  <si>
    <t>Tdm</t>
  </si>
  <si>
    <t>Hydrogen Generating Station</t>
  </si>
  <si>
    <t xml:space="preserve">Hydrogen Tank </t>
  </si>
  <si>
    <t>Closed Cycle Circulating Water Pumps</t>
  </si>
  <si>
    <t>OCCW Pumps</t>
  </si>
  <si>
    <t>CW Chlorination System</t>
  </si>
  <si>
    <t>PT chlorination System</t>
  </si>
  <si>
    <t xml:space="preserve">Steel Gate </t>
  </si>
  <si>
    <t>Screen</t>
  </si>
  <si>
    <t>Cleaning Machine for screen</t>
  </si>
  <si>
    <t>Condenser Online Cleaning System</t>
  </si>
  <si>
    <t>Circulating Water Pump - Pump</t>
  </si>
  <si>
    <t>Circulating Water Pump - Motor</t>
  </si>
  <si>
    <t>Cw Water Dosing System  - Tanks</t>
  </si>
  <si>
    <t>Cw Water Dosing System - Equipments &amp; piping</t>
  </si>
  <si>
    <t>Idct Including Fans - Hub &amp; Blades</t>
  </si>
  <si>
    <t>CPU tanks</t>
  </si>
  <si>
    <t>Resins</t>
  </si>
  <si>
    <t>Regeneration system</t>
  </si>
  <si>
    <t>De-Mineralised Plant</t>
  </si>
  <si>
    <t>Effluent Water Monitoring System</t>
  </si>
  <si>
    <t xml:space="preserve">Connecting of pipe line for third compartment </t>
  </si>
  <si>
    <t>Civil and strengthening work of Raw water reservoir compartment-3</t>
  </si>
  <si>
    <t>NETWORK FOR WATER INTAKE - 151058</t>
  </si>
  <si>
    <t>CONSTRUCTION WATER PIPE LINE &amp; EQUIPMENT - 151024</t>
  </si>
  <si>
    <t xml:space="preserve">Exchange Variation - Plant &amp; Machinery </t>
  </si>
  <si>
    <t>COMPLETION OF OPERATING FLOOR SLAB OF AB BAY - Mezzanine Floor @ 6.lvl</t>
  </si>
  <si>
    <t>COMPLETION OF OPERATING FLOOR SLAB OF AB BAY  - Operatign Floor  @ 13.7 lvl</t>
  </si>
  <si>
    <t>COMPLETION OF SIDE CONCRETE WALL OF TRACK HOPPERS - Works upto Paddel Feeder Lvl</t>
  </si>
  <si>
    <t>COMPLETION OF SIDE CONCRETE WALL OF TRACK HOPPERS - Works upto Rail Lvl</t>
  </si>
  <si>
    <t>COMPLETION OF TRACK HOPPER</t>
  </si>
  <si>
    <t>COMPLETION OF CONTROL ROOMS  Works upto 10.4 to 21 Lvl</t>
  </si>
  <si>
    <t>COMPLETION OF CONTROL ROOMS - Works upto 21 to 27 Lvl</t>
  </si>
  <si>
    <t xml:space="preserve">NPB : Fencing of Plant Area </t>
  </si>
  <si>
    <t xml:space="preserve">Miscellaneous Civil Works </t>
  </si>
  <si>
    <t>INTERMEDIATE RESERVOIR FOR WATER INTAKE SYSTEM - 171058</t>
  </si>
  <si>
    <t xml:space="preserve">Approach Roads </t>
  </si>
  <si>
    <t>Earth work and bridges-Earth Work</t>
  </si>
  <si>
    <t>Earth work and bridges-Bridges</t>
  </si>
  <si>
    <t>Earth work and bridges-Buildings</t>
  </si>
  <si>
    <t>Laying of Rails and linking-60 Kg Rails</t>
  </si>
  <si>
    <t>Laying of Rails and linking-Rails (Rail Transportation(</t>
  </si>
  <si>
    <t>Laying of Rails and linking-Rails - Maintanance</t>
  </si>
  <si>
    <t xml:space="preserve">Laying of Rails and linking-Stone Ballast </t>
  </si>
  <si>
    <t>Laying of Rails and linking-Welding</t>
  </si>
  <si>
    <t>Laying of Rails and linking-PSC Sleepers(Concrete)</t>
  </si>
  <si>
    <t>Laying of Rails and linking-Check Rails(used rails)</t>
  </si>
  <si>
    <t>Laying of Rails and linking-Fish Plate, Glude joints</t>
  </si>
  <si>
    <t>Laying of Rails and linking-ERC, J-Clips, RP</t>
  </si>
  <si>
    <t>Laying of Rails and linking-Points &amp; Crossings</t>
  </si>
  <si>
    <t>Laying of Rails and linking-Bolt and Nuts</t>
  </si>
  <si>
    <t>Laying of Rails and linking-Switches, Strecher Bar</t>
  </si>
  <si>
    <t>Laying of Rails and linking-GFN Liner(rubber base) under ERC</t>
  </si>
  <si>
    <t>Overhead electrical system-Foundations &amp; Galvanized steel structure for OHE</t>
  </si>
  <si>
    <t>Overhead electrical system-Conventional OHE  &amp; 25 KV Feeder wire.(elect line)</t>
  </si>
  <si>
    <t>Overhead electrical system-Cantilever assembly.</t>
  </si>
  <si>
    <t>Overhead electrical system-Protection gears.</t>
  </si>
  <si>
    <t>Overhead electrical system-Bonds made of 40X6 mm M.S Flat.</t>
  </si>
  <si>
    <t>Signalling and telecom-Filter unit, Relay Ac &amp; Non-AC immune, Digital axle counter, DC-DC Converter 24v, LED ECRs, Quad &amp; Signaling cables etc.</t>
  </si>
  <si>
    <t>Signalling and telecom-Diodo type block instrument, Block bell equipment, Block counters, Block filter units, VF Transfomers, conventional earths, universal point machines, termination box, location boxes EIS etc.</t>
  </si>
  <si>
    <t>Signalling and telecom-Wiring &amp; termination material, C compound, cable joint kits, battery charger 230v ac/24v, step douwn transformer, Track feed battery, Electric key transmitter, GI pipe etc.</t>
  </si>
  <si>
    <t>Signalling and telecom-IB Talk bak system, remote terminal units, wire rope, LED Lamp signals, Plasma/LCD TV, VHF Sets etc.</t>
  </si>
  <si>
    <t>Signalling and telecom-Acid cells, RCC pipes, VRLA Batterys etc.</t>
  </si>
  <si>
    <t>Signalling and telecom-Splice enclosure, Thermo shink jointing kit etc.</t>
  </si>
  <si>
    <t>Signalling and telecom-EW</t>
  </si>
  <si>
    <t>Signalling and telecom-Buildings</t>
  </si>
  <si>
    <t>Exchange Variation - Railway Siding</t>
  </si>
  <si>
    <t>Fire Fighting Syste</t>
  </si>
  <si>
    <t>8040129948 dt.15.12.10</t>
  </si>
  <si>
    <t>Electrical works at Vivarea Mahalaxmi, Mumbai</t>
  </si>
  <si>
    <t>Electricial items for Mumbai guest house</t>
  </si>
  <si>
    <t xml:space="preserve">Supply of various items for mumbai guesthouse </t>
  </si>
  <si>
    <t>08/April/2013-14, Dt:15-04.2013</t>
  </si>
  <si>
    <t xml:space="preserve">Demoliting all existing sipores/brick wall, lintels etc  as directed and carting away from site and the debris truck </t>
  </si>
  <si>
    <t xml:space="preserve">Interior civil &amp; plumbing worka at Vivarea, Mahalaxmi, Mumbai </t>
  </si>
  <si>
    <t>RA-01 Dt:25.07.2012</t>
  </si>
  <si>
    <t>RA-02 Dt:22.04.2013</t>
  </si>
  <si>
    <t>Interior works at Mahalaxmi guesthouse (Carpentary work)</t>
  </si>
  <si>
    <t>Interior works at Mahalaxmi guesthouse</t>
  </si>
  <si>
    <t>RA-1 Dt:16.04.2013</t>
  </si>
  <si>
    <t>RA-2 Dt:15.10.2013</t>
  </si>
  <si>
    <t xml:space="preserve">Supply of bath room material against guesthouse establishment </t>
  </si>
  <si>
    <t>Supply of VRV Units with R410 Refrigirent with DC inverter Scroll compressor HVAC BOQ with VRV air conditioners &amp; AC system compressing of Mahalaxmi guesthouse</t>
  </si>
  <si>
    <t>Printing &amp; polishing work labour with material for guesthouse establishment</t>
  </si>
  <si>
    <t>Supply of Kitchen furniture</t>
  </si>
  <si>
    <t xml:space="preserve">Supply of Providing &amp; fixing of alluminium openable windows </t>
  </si>
  <si>
    <t>SI-400836 to SI-400839 Dt: 20.06.2013</t>
  </si>
  <si>
    <t>CC/0331/Mum/2014-15, Dt:07.01.2016</t>
  </si>
  <si>
    <t>254 Dt:14.02.2015</t>
  </si>
  <si>
    <t>123/15-16, Dt 10.03.2016</t>
  </si>
  <si>
    <t>005/15-16, Dt:29.06.2015</t>
  </si>
  <si>
    <t>Provision for Morble slabs</t>
  </si>
  <si>
    <t>Marble sealent charges and lifting &amp; shifting charges (Invoice No.919,933 &amp; 975)</t>
  </si>
  <si>
    <t xml:space="preserve">Supply of tiles for guesthouse establishment </t>
  </si>
  <si>
    <t>ND/SLR/919, 934&amp;933, 975, Dt:1.09.2012, 03.09.2012,08.09.2012</t>
  </si>
  <si>
    <t>Debite Note No.1317210126, 03.07.2013</t>
  </si>
  <si>
    <t>Debite Note No.1317210127, Dt.03.07.2013</t>
  </si>
  <si>
    <t>14-15/1666, 26.02.2015</t>
  </si>
  <si>
    <t>1877, 1937&amp;1992, Dt:16.12.2013</t>
  </si>
  <si>
    <t xml:space="preserve">Complete Earth work, laying of PCC  etc . in Drains </t>
  </si>
  <si>
    <t>Bill 01 to 04</t>
  </si>
  <si>
    <t>Office and Guest house furniture</t>
  </si>
  <si>
    <t>02/11 dt.03.02.16</t>
  </si>
  <si>
    <t>02/17 dt.19.02.16</t>
  </si>
  <si>
    <t>03/08 dt.08.03.16</t>
  </si>
  <si>
    <t>Balance days</t>
  </si>
  <si>
    <t>Ex fluctuation on Forward cover 2015-16</t>
  </si>
  <si>
    <t>Exchange Variation - Plant &amp; Machinery (31.03.16)</t>
  </si>
  <si>
    <t>Depr - Cumulative</t>
  </si>
  <si>
    <t>Visitor chairs</t>
  </si>
  <si>
    <t>113 dt.10.06.16</t>
  </si>
  <si>
    <t>Split Air Conditioner 1.5 Ton Make Lloyd</t>
  </si>
  <si>
    <t>Pedastal Fan Make Farrata Model summer cool</t>
  </si>
  <si>
    <t>Ceiling fan make Oric 1200 MM</t>
  </si>
  <si>
    <t>Water Dispenser Make Voltas</t>
  </si>
  <si>
    <t>Open Well Submersible pump</t>
  </si>
  <si>
    <t>AGRI/036 dt.29.04.16</t>
  </si>
  <si>
    <t>Exhaust Fan 450MM (18 Inch)</t>
  </si>
  <si>
    <t>41 dt.30.04.16</t>
  </si>
  <si>
    <t xml:space="preserve">Verticle Submersible pump model VEP-40H 7.5 HP/5.5 KW 2900 RPM 415 VAC </t>
  </si>
  <si>
    <t>115/003/HPPL/15-16 dt.31.03.16</t>
  </si>
  <si>
    <t>Exchange Variation - Plant &amp; Machinery (30.06.16)</t>
  </si>
  <si>
    <t>Exchange Variation - Buildings (30.06.16)</t>
  </si>
  <si>
    <t>Exchange Variation - Buildings (31.03.16)</t>
  </si>
  <si>
    <t>Exchange Variation - Non Plant Buildings (30.06.16)</t>
  </si>
  <si>
    <t>Total Depr for the period</t>
  </si>
  <si>
    <t>Usha Water Dispencer</t>
  </si>
  <si>
    <t>1472 &amp; 1473</t>
  </si>
  <si>
    <t>Dot Matrix Printer</t>
  </si>
  <si>
    <t>01 dt.28.05.16</t>
  </si>
  <si>
    <t>Accessories for New Scorpio Vehicle(CG10FA1176)</t>
  </si>
  <si>
    <t>Ranger Cycle (Galaxy Double Shoker &amp; Dick break make-Atlas)</t>
  </si>
  <si>
    <t>1918 dt.25.07.16</t>
  </si>
  <si>
    <t>Project &amp; Operation</t>
  </si>
  <si>
    <t>BIONOCULARS - 271008</t>
  </si>
  <si>
    <t>Binocular</t>
  </si>
  <si>
    <t>2390 dt.03.11.16</t>
  </si>
  <si>
    <t>Exchange Variation - Plant &amp; Machinery (30.09.16)</t>
  </si>
  <si>
    <t>Exchange Variation - Buildings (30.09.16)</t>
  </si>
  <si>
    <t>Exchange Variation - Non Plant Buildings (30.09.16)</t>
  </si>
  <si>
    <t>Exchange Variation - Plant &amp; Machinery (31.12.16)</t>
  </si>
  <si>
    <t>Exchange Variation - Buildings (31.12.16)</t>
  </si>
  <si>
    <t>Exchange Variation - Non Plant Buildings (31.12.16)</t>
  </si>
  <si>
    <t>Ready made document Storage unit</t>
  </si>
  <si>
    <t>NS/Ksk/01/14-15 dt.28.11.14</t>
  </si>
  <si>
    <t>Siemens Make Hipath 3550 system HG-1500 IP Card for telephone system with digital extension</t>
  </si>
  <si>
    <t>T-909 dt.18.01.17</t>
  </si>
  <si>
    <t xml:space="preserve">Dell Latitude 7000 series E7250 laptop with I5 process 6th Gen, 12.5 inch </t>
  </si>
  <si>
    <t>NCPL/0128/16-17 dt.06.02.17</t>
  </si>
  <si>
    <t>Oil Filteration Machine Make-Vats Trolly mounted fluent Pro 400 H with built in set</t>
  </si>
  <si>
    <t>EX/342/16-17 dt.25.01.17</t>
  </si>
  <si>
    <t>Freight charges for Oil Filteration Machine Make-Vats Trolly mounted fluent Pro 400 H with built in set</t>
  </si>
  <si>
    <t>RA-15 (F&amp;F) CWIP</t>
  </si>
  <si>
    <t>AIR AND FLUE GAS SYSTEM - 151091</t>
  </si>
  <si>
    <t>Fabrication and erection of SS Flue Can for chimney</t>
  </si>
  <si>
    <t>1st &amp; Final (CWIP)</t>
  </si>
  <si>
    <t>Supply &amp; installation of wooden &amp; glass partitions for documentation room in block#4</t>
  </si>
  <si>
    <t>Partitions at ware house building</t>
  </si>
  <si>
    <t>Contractors office room with partition wall in central control building # 1</t>
  </si>
  <si>
    <t>1st &amp; Final dt.07.04.16</t>
  </si>
  <si>
    <t xml:space="preserve">Construction of New Inmotion Weigh Bridge </t>
  </si>
  <si>
    <t>Civil work in Inmotion Bridge (New)</t>
  </si>
  <si>
    <t>1st &amp; final dt.04.04.16</t>
  </si>
  <si>
    <t>1st &amp; final dt.03.05.16</t>
  </si>
  <si>
    <t xml:space="preserve">Supply and erection of demarkation post in boundary </t>
  </si>
  <si>
    <t xml:space="preserve">Cladding work of boundary wall near main gate </t>
  </si>
  <si>
    <t>RA-6 dt.17.09.16</t>
  </si>
  <si>
    <t>RA-7 dt.31.05.16</t>
  </si>
  <si>
    <t>RA-6 &amp; Final</t>
  </si>
  <si>
    <t>RA-6 &amp; Final dt.4-11-15</t>
  </si>
  <si>
    <t>RA-02 dt.18.03.17</t>
  </si>
  <si>
    <t>RA-4 &amp; Final dt.31.05.15</t>
  </si>
  <si>
    <t>RA-5 dt.08.09.15</t>
  </si>
  <si>
    <t>RA-3,4&amp;final</t>
  </si>
  <si>
    <t>1st &amp; final</t>
  </si>
  <si>
    <t>RA-1&amp;final</t>
  </si>
  <si>
    <t>1st bill</t>
  </si>
  <si>
    <t>RA-07 &amp; Final</t>
  </si>
  <si>
    <t>Supply of MS Square bar (Req. for island fencing work near NH)</t>
  </si>
  <si>
    <t>Fabrication &amp; Erection of angle chain fencing work</t>
  </si>
  <si>
    <t>Erection of chain link fencing at Rly bridge No.07 &amp; 10</t>
  </si>
  <si>
    <t>Development of two island fencing civil work near NH200 main gate area</t>
  </si>
  <si>
    <t xml:space="preserve">Berbed wire fencing fixed on Rcc fencing </t>
  </si>
  <si>
    <t>RA-2 &amp; Final</t>
  </si>
  <si>
    <t>TMT REBAR 10MM,16MM &amp; 20MM</t>
  </si>
  <si>
    <t>SAI/101/0212,224,217,213,222,215,220&amp;219</t>
  </si>
  <si>
    <t>Peripheral road work for 1 kilometer, outer peripheral road work root no.2 (1 KM)</t>
  </si>
  <si>
    <t>RA-1 dt.13.7.11&amp;RA-2 dt.2.1.12</t>
  </si>
  <si>
    <t>Construction of internal roads inside project / site office complex</t>
  </si>
  <si>
    <t>NSPL/KSK 1st &amp; Final Bill</t>
  </si>
  <si>
    <t>Construction of temporary Kaccha road at various places Qty:467.2 @ 428/-</t>
  </si>
  <si>
    <t xml:space="preserve">Peripheral road works 1 kilo meter (Section No.7) </t>
  </si>
  <si>
    <t>RCC Hume Pipe NP3 Class 600 MM 24 Nos (MRN No.GE/11-12/244 dt.16.08.11)</t>
  </si>
  <si>
    <t>RCC Hume pipe 900mm dia NP3, 24 nos (MRN No.GE/11-12/263 dt.03.09.11)</t>
  </si>
  <si>
    <t>Permanent road near weigh bridge &amp; control room</t>
  </si>
  <si>
    <t>RA-1/22.12.14 RA-2&amp;final/5.10.15</t>
  </si>
  <si>
    <t>Construction of WBM road at outer peripheral of plant</t>
  </si>
  <si>
    <t>Widening of plant artea road</t>
  </si>
  <si>
    <t xml:space="preserve">Construction of outer peripheral road </t>
  </si>
  <si>
    <t>Additional work in our peripheral road</t>
  </si>
  <si>
    <t>Construction of temporary road near fly ash silo</t>
  </si>
  <si>
    <t>Widening of plant area roads</t>
  </si>
  <si>
    <t>WBM road at wagon tippler area</t>
  </si>
  <si>
    <t>Widening of plant area road</t>
  </si>
  <si>
    <t xml:space="preserve">Supply of fixing glass door, structural glazing &amp; other work near main gate area, security room at time office permanent structure </t>
  </si>
  <si>
    <t xml:space="preserve">Balance civil work in security post room near main gate </t>
  </si>
  <si>
    <t xml:space="preserve">Electrical &amp; painting work for security post near time office </t>
  </si>
  <si>
    <t>003</t>
  </si>
  <si>
    <t>1st &amp; Final 006</t>
  </si>
  <si>
    <t>Fabrication &amp; Erection of coal checking platform at main gate &amp; post barricating at out side road for coal and ash vehicle movement at site</t>
  </si>
  <si>
    <t>Temporary two (2) sheed flooring work near security checking point</t>
  </si>
  <si>
    <t xml:space="preserve">Construction of Raw water reservoir </t>
  </si>
  <si>
    <t>Supply and installation of cupboards for time office building</t>
  </si>
  <si>
    <t>PNS/Ksk/01/15-16</t>
  </si>
  <si>
    <t>Supply of TMT Bar 20 MM</t>
  </si>
  <si>
    <t>64.07 MT</t>
  </si>
  <si>
    <t>AR/1900,1839,1832&amp;1805</t>
  </si>
  <si>
    <t>Construction of storm water drain work incl civil works</t>
  </si>
  <si>
    <t xml:space="preserve">RA-1 to 10 </t>
  </si>
  <si>
    <t>Supply of TMT Bar 10 MM, 8MM, 16MM</t>
  </si>
  <si>
    <t>115.56 MT</t>
  </si>
  <si>
    <t>01 to 04</t>
  </si>
  <si>
    <t>SB12Y-05951,SB12Y-05729/12&amp;SB12Y-05189</t>
  </si>
  <si>
    <t xml:space="preserve">Supply of TMT Bar for storm water drain (external), MSP Gold rebar for storm water drain </t>
  </si>
  <si>
    <t>Supply of 16&amp;10 MM TMT Bar 15.83 MT purchased and issued to Mayura Krishna for Storm water drain construction</t>
  </si>
  <si>
    <t>54 &amp; 55</t>
  </si>
  <si>
    <t>Supply of TMT bar size 16mm (FE-500)</t>
  </si>
  <si>
    <t>KS/2310,2333,2334,2331&amp;2331</t>
  </si>
  <si>
    <t>Supply of TMT bar 16 MM 24.44 for diversion storm water drain</t>
  </si>
  <si>
    <t>10,11&amp;12</t>
  </si>
  <si>
    <t>Construction &amp; Consultancy of 400 KV DV transmission lines for completion of approval of type of foundation for each location of quad lines to Taga village</t>
  </si>
  <si>
    <t>Carrying out system study for 1*135 MW, Preliminary survey report, Submission of draft report</t>
  </si>
  <si>
    <t>Completion of detailed survey as per clause-3.0 of wo for conducting preliminary &amp; detailed survey for re-routed 400 KV transmission line</t>
  </si>
  <si>
    <t>Consultancy service for execution of 4 Nos 400KV bays at champa pooling station</t>
  </si>
  <si>
    <t>Consultancy services for establishing OPGW based communication system  (related to Champa pooling statation), Supply of SEM (ABT BASED)MODEL.ER300P &amp; installation charges for SEM METERS</t>
  </si>
  <si>
    <t>Supply of PLCC package,  75 OHMS HF CO-AXIAL Cable &amp; Erection</t>
  </si>
  <si>
    <t xml:space="preserve">Shifting, erection and commissioning of plcc panels and matering panels </t>
  </si>
  <si>
    <t>Deputation of service engineers for PLCC panels shifting reinstallation and commission for existing 400KV circuit</t>
  </si>
  <si>
    <t>TTG/Pkd/1415047</t>
  </si>
  <si>
    <t>Service charges for engineers for testing and commissioning of PLCC panels</t>
  </si>
  <si>
    <t>Supply of material &amp; Extension for 400 KV Champa pooling station, ROW expenses</t>
  </si>
  <si>
    <t xml:space="preserve">Erection &amp; Construction works at 765/400 KV PGCIL Champa PS </t>
  </si>
  <si>
    <t>Service, Erection of 400 KV transmission lin (Stringing), ROW expenses</t>
  </si>
  <si>
    <t>Consultancy services and technical support for construction of New Quad-1 and New Quad-II 400 KV DC Transmission lines to taga SS 25% on contract value</t>
  </si>
  <si>
    <t>Snehal/Kmpcl/08&amp;11/13-14</t>
  </si>
  <si>
    <t>Remove wiring connected to 2 No.of BPL Panel installed in circuit -4, dismantling 2 BPL panels</t>
  </si>
  <si>
    <t>AE&amp;P/Ksk/Hyd/610/14-15</t>
  </si>
  <si>
    <t>Service engineers for relay configuration test and commissioning of relay</t>
  </si>
  <si>
    <t>3269582492-C&amp;3269581297-C</t>
  </si>
  <si>
    <t>Technical services for 400KV lines, Deputation of service engineers for relay configuration</t>
  </si>
  <si>
    <t xml:space="preserve">Transmission lines material (Cabinets) </t>
  </si>
  <si>
    <t>1513308779  1513308771</t>
  </si>
  <si>
    <t>Supply of Paneitor mounting phasor measurement - for 400KVA &amp; Commissioning charges</t>
  </si>
  <si>
    <t>06092592 &amp; '06092593</t>
  </si>
  <si>
    <t>Control panel</t>
  </si>
  <si>
    <t xml:space="preserve">032 </t>
  </si>
  <si>
    <t>Installation of PLCC panels and meetering panels work plant end, Extra works for PLCC panels and matering panels end Taga SS side</t>
  </si>
  <si>
    <t>AE&amp;P/Ksk/Hyd/1024,1046&amp;1055/16-17</t>
  </si>
  <si>
    <t>Supply of LAN Cables</t>
  </si>
  <si>
    <t>Inv/Hyd/16-17/00268</t>
  </si>
  <si>
    <t>Supply of cables</t>
  </si>
  <si>
    <t>Polycab cooper cable Arm 2.5 MM x 4 core for supply of 4C x 2.5 SQ MM cable</t>
  </si>
  <si>
    <t>GE/16-17/229</t>
  </si>
  <si>
    <t>D Link Material</t>
  </si>
  <si>
    <t>11420, 11378 &amp; 11432</t>
  </si>
  <si>
    <t>Stringing 400 KV transmission line</t>
  </si>
  <si>
    <t>L&amp;T/Kskmpcl/Taga TL/DL Stringing/RB-1</t>
  </si>
  <si>
    <t>Supply of 2 wire telephones &amp; standard usic module</t>
  </si>
  <si>
    <t>Exchange Variation - Plant &amp; Machinery (31.03.17)</t>
  </si>
  <si>
    <t>Exchange Variation - Buildings (31.03.17)</t>
  </si>
  <si>
    <t>Exchange Variation - Non Plant Buildings (31.03.17)</t>
  </si>
  <si>
    <t>Toyota Innova (GX-BP) (CG04HB0931), Engine No.2KD6272196</t>
  </si>
  <si>
    <t>Asset Value after net off accum depr 31.3.15</t>
  </si>
  <si>
    <t>Panasonic LED TV</t>
  </si>
  <si>
    <t>1039 dt.11.01.17</t>
  </si>
  <si>
    <t>Slotted Angle Racks</t>
  </si>
  <si>
    <t>005 dt.22.04.17</t>
  </si>
  <si>
    <t>007 dt.28.04.17</t>
  </si>
  <si>
    <t>Slotted MS Angle Racks</t>
  </si>
  <si>
    <t>011 dt.16.05.17</t>
  </si>
  <si>
    <t>Dell Latitude 7000 series E7270 Laptop with intel core 15 6300 U processor</t>
  </si>
  <si>
    <t>NCPL/0024/17-18 dt.17.05.17</t>
  </si>
  <si>
    <r>
      <t>Supply &amp; Erection of 75MM Aerocon Pre-Fabricated Panels &amp; Its related works for Canteen &amp; Meditation hall shed for our new office premises at</t>
    </r>
    <r>
      <rPr>
        <b/>
        <sz val="9"/>
        <rFont val="Book Antiqua"/>
        <family val="1"/>
      </rPr>
      <t xml:space="preserve"> KSK-11</t>
    </r>
  </si>
  <si>
    <r>
      <t xml:space="preserve">Carrying out the civil, interior, providing and fixing of aerocon panels with necessary frames, gupsum boards, furniture &amp; M.S.Stair case etc at our New office </t>
    </r>
    <r>
      <rPr>
        <b/>
        <sz val="9"/>
        <rFont val="Book Antiqua"/>
        <family val="1"/>
      </rPr>
      <t>(KSK-11)</t>
    </r>
    <r>
      <rPr>
        <sz val="9"/>
        <rFont val="Book Antiqua"/>
        <family val="1"/>
      </rPr>
      <t xml:space="preserve"> </t>
    </r>
  </si>
  <si>
    <r>
      <t>Interior &amp; Electrical work-</t>
    </r>
    <r>
      <rPr>
        <b/>
        <sz val="9"/>
        <rFont val="Book Antiqua"/>
        <family val="1"/>
      </rPr>
      <t>CMD Office</t>
    </r>
  </si>
  <si>
    <r>
      <t>WorkStation - Cabins-</t>
    </r>
    <r>
      <rPr>
        <b/>
        <sz val="9"/>
        <rFont val="Book Antiqua"/>
        <family val="1"/>
      </rPr>
      <t>CMD Office</t>
    </r>
  </si>
  <si>
    <r>
      <t>WorkStation - Cabin- Secretary-</t>
    </r>
    <r>
      <rPr>
        <b/>
        <sz val="9"/>
        <rFont val="Book Antiqua"/>
        <family val="1"/>
      </rPr>
      <t>CMD Office</t>
    </r>
  </si>
  <si>
    <r>
      <t>WorkStation - Cain - Project Head -</t>
    </r>
    <r>
      <rPr>
        <b/>
        <sz val="9"/>
        <rFont val="Book Antiqua"/>
        <family val="1"/>
      </rPr>
      <t>CMD Office</t>
    </r>
  </si>
  <si>
    <r>
      <t>WorkStation - for staff(10 persons cluster)-</t>
    </r>
    <r>
      <rPr>
        <b/>
        <sz val="9"/>
        <rFont val="Book Antiqua"/>
        <family val="1"/>
      </rPr>
      <t>CMD Office</t>
    </r>
  </si>
  <si>
    <r>
      <t>WorkStation - for staff(9 persons cluster)-</t>
    </r>
    <r>
      <rPr>
        <b/>
        <sz val="9"/>
        <rFont val="Book Antiqua"/>
        <family val="1"/>
      </rPr>
      <t>CMD Office</t>
    </r>
  </si>
  <si>
    <r>
      <t xml:space="preserve">WorkStation - </t>
    </r>
    <r>
      <rPr>
        <b/>
        <sz val="9"/>
        <rFont val="Book Antiqua"/>
        <family val="1"/>
      </rPr>
      <t>KSK10</t>
    </r>
  </si>
  <si>
    <r>
      <t>WorkStation-CABINS ETC-</t>
    </r>
    <r>
      <rPr>
        <b/>
        <sz val="9"/>
        <rFont val="Book Antiqua"/>
        <family val="1"/>
      </rPr>
      <t>CMD Office</t>
    </r>
  </si>
  <si>
    <r>
      <t xml:space="preserve">Supply and Installation of 1.2 MM Thickness Alluminium Fixed Partition with Door closer with 5 MM Plain glass at </t>
    </r>
    <r>
      <rPr>
        <b/>
        <sz val="9"/>
        <rFont val="Book Antiqua"/>
        <family val="1"/>
      </rPr>
      <t xml:space="preserve">Raipur guest house </t>
    </r>
  </si>
  <si>
    <t>Exchange Variation - Plant &amp; Machinery (30.06.17)</t>
  </si>
  <si>
    <t>Exchange Variation - Buildings (30.06.17)</t>
  </si>
  <si>
    <t>Exchange Variation - Non Plant Buildings (30.06.17)</t>
  </si>
  <si>
    <t>Tata Winger Ambulance-CG10FA0138-at Plant</t>
  </si>
  <si>
    <t>Tata Winger high roof Ambulance -CG10FA4910-CSR</t>
  </si>
  <si>
    <t>TATA - Winger : 6+1 seater (Reg No.CG10D4588)-CSR</t>
  </si>
  <si>
    <t>Insurance charges-CG10FA4910-CSR</t>
  </si>
  <si>
    <t>Exchange Variation - Plant &amp; Machinery (30.09.17)</t>
  </si>
  <si>
    <t>Exchange Variation - Buildings (30.09.17)</t>
  </si>
  <si>
    <t>Exchange Variation - Non Plant Buildings (30.09.17)</t>
  </si>
  <si>
    <t>Insurance for Yamaha Crux (CG10EN8579, 8578, 8576 &amp; 8575)</t>
  </si>
  <si>
    <t>Splender Plus (CCR) CG11BC3359</t>
  </si>
  <si>
    <t>4 Wheel Drive Cars Make mahindra Model Scorpio (CG10FA1176)</t>
  </si>
  <si>
    <t>INV170000938</t>
  </si>
  <si>
    <t>LG Washing Machine</t>
  </si>
  <si>
    <t>INDUCTION PLATE/HEATER - 131059</t>
  </si>
  <si>
    <t>Induction Stove</t>
  </si>
  <si>
    <t>Teak wood Sofa</t>
  </si>
  <si>
    <t>Teak wood centre table</t>
  </si>
  <si>
    <t>Toaster</t>
  </si>
  <si>
    <t>INV170000939</t>
  </si>
  <si>
    <t>Maruti Wagon R VXI AMT-WMA4AV3 (Engine No.K10BN 4869759, Chasis No.MA3EWDE1S00C39394, TS09EV3677)</t>
  </si>
  <si>
    <t>045/VSL 17000539</t>
  </si>
  <si>
    <t>Innova Crysta incl accessories &amp; other misc expenses (Chasis No.MBJJB8EM1015173830317, Engine No.2GDA086339) (TS09EV0266)</t>
  </si>
  <si>
    <t>Innova Crysta incl accessories &amp; other misc expenses (Engine No.2GDA080564, Chasis No.MBJJB8EM1015157320317) (TS09EV0248)</t>
  </si>
  <si>
    <t>46 dt.25.12.17</t>
  </si>
  <si>
    <t>Maruti Ciaz Delta-CIR4AV2 (Chasis No.MA3EXMG1S00316166, Engine No.K14BN 7187341) Reg No.CG04M0239)</t>
  </si>
  <si>
    <t>041/VSL/17000543 dt.30.11.17</t>
  </si>
  <si>
    <t>3CG0712173162917,6CG1412174803539 dt.14.12.17</t>
  </si>
  <si>
    <t>Fixed assets components of Unit II</t>
  </si>
  <si>
    <t>Asset - Unit II</t>
  </si>
  <si>
    <t>Sub Asset - Unit II</t>
  </si>
  <si>
    <t>Mandatory Spares</t>
  </si>
  <si>
    <t>Cems</t>
  </si>
  <si>
    <t>Roof Ventilator/Fan</t>
  </si>
  <si>
    <t>Floor Standing Split Air Conditioner</t>
  </si>
  <si>
    <t>Dry Ash Handling System (Including Hopper, Gates, Metallic Conveyor, Crushers, Silo, Belt Conveyor, 1St Batch Of Quadruple Acting Diaphrame Pump Etc)</t>
  </si>
  <si>
    <t>Fly Ash Extraction Vacum Pumps, Freeze Drier Of Air Compressor, Air Compressor</t>
  </si>
  <si>
    <t>Third Tier Balustrade And Platform</t>
  </si>
  <si>
    <t>Fourth Tier Balustrade And Platform</t>
  </si>
  <si>
    <t>Ljungstorm Air Preheater Fan-Shaped Warehouse</t>
  </si>
  <si>
    <t>Seventh Tier Balustrated And Platform</t>
  </si>
  <si>
    <t>Seventh Tier Structure</t>
  </si>
  <si>
    <t>Pressure Part Hangers</t>
  </si>
  <si>
    <t>Doors, Ports &amp; Manholes</t>
  </si>
  <si>
    <t>Low Temperature Superheater Header</t>
  </si>
  <si>
    <t>Platen Superheater</t>
  </si>
  <si>
    <t>Up Side Backpass Enclosure Wall</t>
  </si>
  <si>
    <t>Lower Backpass Enclosure Wall</t>
  </si>
  <si>
    <t>Finish Superheater Header</t>
  </si>
  <si>
    <t>Wall Radiant Reheater Reader</t>
  </si>
  <si>
    <t>Finish Reheater Header</t>
  </si>
  <si>
    <t>Silencer And Scaph</t>
  </si>
  <si>
    <t>Pressure Vessels, Clarified Water Tank And Buffer Water Tank</t>
  </si>
  <si>
    <t>Air Compressors Including Air Driers</t>
  </si>
  <si>
    <t>Coal Crusher And Vibration Isolation System</t>
  </si>
  <si>
    <t>Chemical Dosing And Chlorination System</t>
  </si>
  <si>
    <t>Steel Gate And Clean Machine Includes Electric Drive Water Strainer</t>
  </si>
  <si>
    <t>Cw Water Dosing System</t>
  </si>
  <si>
    <t>Condensor Hp Critical Flash Tank</t>
  </si>
  <si>
    <t>Condesor Pipe</t>
  </si>
  <si>
    <t>Cooling Tower For Hvac System</t>
  </si>
  <si>
    <t>Deaerator</t>
  </si>
  <si>
    <t>Diesel Generator Sets</t>
  </si>
  <si>
    <t>Esp Shell</t>
  </si>
  <si>
    <t>Mill Embedded Parts</t>
  </si>
  <si>
    <t>Mandatory Spares For Bop Package</t>
  </si>
  <si>
    <t>Mandatory Spares For Btg Package</t>
  </si>
  <si>
    <t>Condensor Vaccum Pump</t>
  </si>
  <si>
    <t>Embedded Parts</t>
  </si>
  <si>
    <t>Valve Purchase, Small Turbine Exhaust Steam Vaccum Butterfly Valve</t>
  </si>
  <si>
    <t>Level Floating Valves</t>
  </si>
  <si>
    <t>Butterfly Valves</t>
  </si>
  <si>
    <t>Water Tank (Condensate Tanks/Chemical Water Tanks/Expansion Tank) And Boiler Make Up Water Treatment System</t>
  </si>
  <si>
    <t>Ecems</t>
  </si>
  <si>
    <t>Superheater Divisional Panel Header</t>
  </si>
  <si>
    <t>Finish Reheater</t>
  </si>
  <si>
    <t>Economizer</t>
  </si>
  <si>
    <t>Low Temperature Superheater</t>
  </si>
  <si>
    <t>Platen Superheater Header</t>
  </si>
  <si>
    <t>Finish Superheater</t>
  </si>
  <si>
    <t>Superheater Divisional Panel</t>
  </si>
  <si>
    <t>Location Of Safety Valve Arrangement</t>
  </si>
  <si>
    <t>L Jungstrom Air Preheater Instrumentation And</t>
  </si>
  <si>
    <t>Discharge Piping For Safety Valves</t>
  </si>
  <si>
    <t>Auxilliary Steam Desuperheating Regulator</t>
  </si>
  <si>
    <t>Boiler Feed Water Pump Sets With Hydraulic Coupling</t>
  </si>
  <si>
    <t>Air Compressor And Vaccum Pumps Including Dryer (Ia/Sa/Ca)</t>
  </si>
  <si>
    <t>Vale</t>
  </si>
  <si>
    <t>Tubeplate/Clapboard</t>
  </si>
  <si>
    <t>De-Aerator</t>
  </si>
  <si>
    <t>Other Water Pumps And Chemical Pumps And Roots Blowers</t>
  </si>
  <si>
    <t>D.G.Sets</t>
  </si>
  <si>
    <t>Eot Crane</t>
  </si>
  <si>
    <t>Anode Plate/Cathode Plate</t>
  </si>
  <si>
    <t>Ash Hopper Gasification Board</t>
  </si>
  <si>
    <t>Other Parts Of Esp</t>
  </si>
  <si>
    <t>Pipes</t>
  </si>
  <si>
    <t>Dust Bags</t>
  </si>
  <si>
    <t>Hydrogen Drier</t>
  </si>
  <si>
    <t>C&amp;I Elements</t>
  </si>
  <si>
    <t>Hp Heater</t>
  </si>
  <si>
    <t>Lp Heater</t>
  </si>
  <si>
    <t>Grinding Bowls And Bull Ring Segments</t>
  </si>
  <si>
    <t>Lubricating Oil Station</t>
  </si>
  <si>
    <t>Turbine By Pass System</t>
  </si>
  <si>
    <t>Connecting Pipes</t>
  </si>
  <si>
    <t>Steam Valve Supports</t>
  </si>
  <si>
    <t>Exhaust Fans</t>
  </si>
  <si>
    <t>Steam Axis Seals Fans</t>
  </si>
  <si>
    <t>Other Items &amp; Equipment Of Turbine</t>
  </si>
  <si>
    <t>Tsi (Turbine Supervisory Instrumentation)</t>
  </si>
  <si>
    <t>Deh (Digital Electro Hydraulic) And Instrument</t>
  </si>
  <si>
    <t>Foundation Baseplate And Anchor Bolt And Filling Piece</t>
  </si>
  <si>
    <t>Hip Rotor</t>
  </si>
  <si>
    <t>Lp Turbine Rotor A</t>
  </si>
  <si>
    <t>Lp Turbine Rotor B</t>
  </si>
  <si>
    <t>Hip Turbine Outside Cylinder</t>
  </si>
  <si>
    <t>Lp Turbine-B Outside Cylinder</t>
  </si>
  <si>
    <t>Coupling Between Hip &amp; Lp-A Turbine Rotor</t>
  </si>
  <si>
    <t>Coupling Between Hip &amp; Lp-A &amp; B Turbine Rotor</t>
  </si>
  <si>
    <t>Coupling Between Lp-B Turbine And Generator Rotor</t>
  </si>
  <si>
    <t>Ip Turbine Inside Cylinder</t>
  </si>
  <si>
    <t>Lp Turbine-A Inside Cylinder</t>
  </si>
  <si>
    <t>Lp Turbine-B Insside Cylinder</t>
  </si>
  <si>
    <t>Hip Turbine Baffle Plate</t>
  </si>
  <si>
    <t>Lp Turbine Baffle Plate A</t>
  </si>
  <si>
    <t>Lp Turbine Baffle Plate B</t>
  </si>
  <si>
    <t>Lp Turbine A Cylinder Axis Seats</t>
  </si>
  <si>
    <t>Lp Turbine B Cylinder Axis Seats</t>
  </si>
  <si>
    <t>Check Valves</t>
  </si>
  <si>
    <t>Ip Main Steam Pipes</t>
  </si>
  <si>
    <t>Hp Turbine Combined Stop And Control Valves</t>
  </si>
  <si>
    <t>Ip Turbine Combined Stop And Control Valves</t>
  </si>
  <si>
    <t>Ets (Emergency Trip System)</t>
  </si>
  <si>
    <t>Plate Oil Coller</t>
  </si>
  <si>
    <t>Motor Driven Butterfly Valves For Auxilliary Equipment Cooling System</t>
  </si>
  <si>
    <t>Quick Shut Valve For Steam Extraction System</t>
  </si>
  <si>
    <t>Control Valves</t>
  </si>
  <si>
    <t>Pa Fan</t>
  </si>
  <si>
    <t>Closed Cycle Circulating Water Pumps, Accw Pumps And Occw Pumps</t>
  </si>
  <si>
    <t>Control and Instrumentation system</t>
  </si>
  <si>
    <t>Stores and Spares</t>
  </si>
  <si>
    <t xml:space="preserve">Capital spares, Stores, Consumables - Mech. Dept </t>
  </si>
  <si>
    <t xml:space="preserve">Capital Spares, Stores, Consumables - Ele. Dept </t>
  </si>
  <si>
    <t>Stock Of Capital Stores, Consumables &amp; Spares</t>
  </si>
  <si>
    <t xml:space="preserve">Capital Spares, Stores, Consumables - Civil Dept </t>
  </si>
  <si>
    <t xml:space="preserve">Moving Equipments Common use </t>
  </si>
  <si>
    <t xml:space="preserve">Capital Spares, Stores, Consumables - Admin Dept </t>
  </si>
  <si>
    <t>Capital Spares, Stores, Consumables - Railways</t>
  </si>
  <si>
    <t>Dell Inspiron 14-7460 Laptop (Rmb 5,020 @ Rs.9.80677)</t>
  </si>
  <si>
    <t>THE SITE GRADING /DEVELOPMENT WORK FOR ADDITIONAL TEMPORARY TRUCK PARKING FACILITIES .</t>
  </si>
  <si>
    <t>ADDITIONAL TEMPORARY TRUCK PARKING WORK</t>
  </si>
  <si>
    <t>Materials and Components for Boiler House</t>
  </si>
  <si>
    <t>Condenser</t>
  </si>
  <si>
    <t>Other parts</t>
  </si>
  <si>
    <t>C&amp;I　Components</t>
  </si>
  <si>
    <t>Line measurement of hydrogen pressure</t>
  </si>
  <si>
    <t>Baffle plate steam seals</t>
  </si>
  <si>
    <t>Axis seals steam Desuperheater</t>
  </si>
  <si>
    <t xml:space="preserve">Automatic barring gear </t>
  </si>
  <si>
    <t>Erection Hardware</t>
  </si>
  <si>
    <t>Non-metal expansion joints</t>
  </si>
  <si>
    <t xml:space="preserve">Coal dropping pipe and resistance inner plate </t>
  </si>
  <si>
    <t>Big size flexible joints</t>
  </si>
  <si>
    <t>Control valves for steam and water pipe</t>
  </si>
  <si>
    <t>CHP</t>
  </si>
  <si>
    <t xml:space="preserve">Wearable elbows </t>
  </si>
  <si>
    <t>Expansion joints for pulverised coal pipe</t>
  </si>
  <si>
    <t>Cooling water system</t>
  </si>
  <si>
    <t>Electric tailgate and material flow regulator</t>
  </si>
  <si>
    <t>DC System</t>
  </si>
  <si>
    <t>220V DC system</t>
  </si>
  <si>
    <t>Completion Of Turbine Pedestals (1.68%)</t>
  </si>
  <si>
    <t>Completion Of All Abcd Row Main Column Foundations</t>
  </si>
  <si>
    <t>Completion Of Operating Floor Slab Of Ab Bay (0.82%)</t>
  </si>
  <si>
    <t>Completion Of Cooling Towers (1.63%)</t>
  </si>
  <si>
    <t>Air Conditioning Sytem</t>
  </si>
  <si>
    <t>Completion of all UAT &amp; GT and Station Transformer</t>
  </si>
  <si>
    <t>Chimney Elevator</t>
  </si>
  <si>
    <t>Steel Plate for Chimney</t>
  </si>
  <si>
    <t>Fire Fighting</t>
  </si>
  <si>
    <t>Lighting</t>
  </si>
  <si>
    <t>Repair and lighting control Box</t>
  </si>
  <si>
    <t xml:space="preserve">PB Construction Material Steel </t>
  </si>
  <si>
    <t>Exchange Variation - Plant &amp; Machinery (31.12.17)</t>
  </si>
  <si>
    <t>Exchange Variation - Buildings (31.12.17)</t>
  </si>
  <si>
    <t>Exchange Variation - Non Plant Buildings (31.12.17)</t>
  </si>
  <si>
    <t>Supply of passive components &amp; Network cabling for voice, Data &amp; Racks, Accessories</t>
  </si>
  <si>
    <t>GST/17-18/210&amp;212 dt.13.2.18</t>
  </si>
  <si>
    <t>Supply of extra passive components &amp; Network cabling for voice, data &amp; accessories</t>
  </si>
  <si>
    <t>GST/17-18/211&amp;213 dt.13.2.18</t>
  </si>
  <si>
    <t>anode plate</t>
  </si>
  <si>
    <t>Macbook Air 13 Inch 1.8 Ghz duak core Intel (MQD42HN/A)</t>
  </si>
  <si>
    <t>A13CAS17/6768</t>
  </si>
  <si>
    <t>Office Mac Home Student 2016 english APAC (GZA-00980)</t>
  </si>
  <si>
    <t>A13CAS17/6769</t>
  </si>
  <si>
    <t>DCS</t>
  </si>
  <si>
    <t>Electro Static Precipitator</t>
  </si>
  <si>
    <t>Fire Fighting Equipment</t>
  </si>
  <si>
    <t>Non Plant Buildings</t>
  </si>
  <si>
    <t>Internal Roads &amp; Compound Wall</t>
  </si>
  <si>
    <t xml:space="preserve">Network for Water Intake </t>
  </si>
  <si>
    <t>Supply of rails</t>
  </si>
  <si>
    <t>Exchange Variation - Buildings (31.03.18)</t>
  </si>
  <si>
    <t>Exchange Variation - Plant &amp; Machinery (31.03.18)</t>
  </si>
  <si>
    <t>Exchange Variation - Non Plant Buildings (31.03.18)</t>
  </si>
  <si>
    <t>Exchange variation - Plant &amp; Machinary</t>
  </si>
  <si>
    <t>Exchange variation - Plant Buildings</t>
  </si>
  <si>
    <t>Exchange variation - Non Plant Buildings</t>
  </si>
  <si>
    <t>Exchange variation - Railway Siding</t>
  </si>
  <si>
    <t>Exchange Variation - Buildings (30.06.18)</t>
  </si>
  <si>
    <t>Exchange Variation - Non Plant Buildings (30.06.18)</t>
  </si>
  <si>
    <t>Exchange Variation - Plant &amp; Machinery (30.06.18)</t>
  </si>
  <si>
    <t xml:space="preserve">Canon A4, A3 Printer Model IR-ADVANCE-C3520, Sl.No.XYS01249 with 2 KVA Stabilizer </t>
  </si>
  <si>
    <t xml:space="preserve">Canon A4, A3 Printer Model IR-ADVANCE-C3520, Sl.No.XYS01248 with 2 KVA Stabilizer </t>
  </si>
  <si>
    <t xml:space="preserve">TLF181900001575 </t>
  </si>
  <si>
    <t>TLF181900001587</t>
  </si>
  <si>
    <t>Ltr No.1449/Tech/CGRRDA/2018</t>
  </si>
  <si>
    <t>LG Refrigerator 1292 RPOY PO</t>
  </si>
  <si>
    <t>1903/17G/S-6408</t>
  </si>
  <si>
    <t xml:space="preserve">Fly Ash Brick Making Machine (Used) </t>
  </si>
  <si>
    <t>DCCLS/KMPCL/01/2018</t>
  </si>
  <si>
    <t>Supply of 1650 ECO watt Luminous UPS Sr.No.1041539</t>
  </si>
  <si>
    <t xml:space="preserve"> 135 AH/12V Luminous Tez T51-16/8 batteries Sr. No.1035973&amp;1035963</t>
  </si>
  <si>
    <t>706 dt.8.8.18</t>
  </si>
  <si>
    <t>Sony LED 32 inch Television</t>
  </si>
  <si>
    <t>Voltas 4080 Water coolers</t>
  </si>
  <si>
    <t>1054 dt.23.07.18</t>
  </si>
  <si>
    <t xml:space="preserve">Dot Matrix Printer - MSP450 </t>
  </si>
  <si>
    <t>MA/18-19/006</t>
  </si>
  <si>
    <t>17-18/856</t>
  </si>
  <si>
    <t>HP 1136 Laser Printer colour scan black</t>
  </si>
  <si>
    <t>356 dt.14.06.18</t>
  </si>
  <si>
    <t>Exchange Variation - Plant &amp; Machinery (30.09.18)</t>
  </si>
  <si>
    <t>Exchange Variation - Buildings (30.09.18)</t>
  </si>
  <si>
    <t>Exchange Variation - Non Plant Buildings (30.09.18)</t>
  </si>
  <si>
    <t>Computerised Attendance Recording System Biometric Model AFA310 (IN02-A+ID) Sl.No.1.BYEL182360258</t>
  </si>
  <si>
    <t>APS-/135/18-19</t>
  </si>
  <si>
    <t>Computerised Attendance Recording System Biometric Model AFA310 (IN02-A+ID) Sl.No.1.BYEL182360127</t>
  </si>
  <si>
    <t>APS-/130/18-19</t>
  </si>
  <si>
    <t xml:space="preserve">10 LPH Unit for Drinking water </t>
  </si>
  <si>
    <t>AA013</t>
  </si>
  <si>
    <t>MA/18-19/053</t>
  </si>
  <si>
    <t>Dot Matric Printer TVS Model-MSP450 Star</t>
  </si>
  <si>
    <t>Exchange Variation - Plant &amp; Machinery (31.12.18)</t>
  </si>
  <si>
    <t>BOSCH Washing Machine WAK24169IN</t>
  </si>
  <si>
    <t>1212/1BE/S-19389</t>
  </si>
  <si>
    <t>Slica Vetroglass top 4 burner gas stove (594C) Vetro BLK) B07CG95JV3 (594 CT VETRO BLK)</t>
  </si>
  <si>
    <t>QWHO-40436</t>
  </si>
  <si>
    <t>Center Table</t>
  </si>
  <si>
    <t>1160A</t>
  </si>
  <si>
    <t xml:space="preserve">HP Make Printer Model M126 NW </t>
  </si>
  <si>
    <t>17-18/2234</t>
  </si>
  <si>
    <t>Home Theatre (Audio System)</t>
  </si>
  <si>
    <t>FABRVG1900011509</t>
  </si>
  <si>
    <t>Guesthouse, Banahil</t>
  </si>
  <si>
    <t>Store</t>
  </si>
  <si>
    <t xml:space="preserve">Grass Cutter Machine, make Honda </t>
  </si>
  <si>
    <t>ME/18-19/0000381 dt.23.12.18</t>
  </si>
  <si>
    <t>Exchange Variation - Plant &amp; Machinery (31.03.19)</t>
  </si>
  <si>
    <t>Exchange Variation - Buildings (31.03.19)</t>
  </si>
  <si>
    <t>Exchange Variation - Non Plant Buildings (31.03.19)</t>
  </si>
  <si>
    <t>Hero Honda Pleasure - DRS (PLN) (CG10EE9916)</t>
  </si>
  <si>
    <t>Motor bike (Yamaha Crux (106CC) Reg Nos.(CG10EN8579, 8578, 8576 &amp; 8575)</t>
  </si>
  <si>
    <t>Splender Plus (CG11 BC5382)</t>
  </si>
  <si>
    <t>Hero Honda Splender Plus (CG11BC5383)</t>
  </si>
  <si>
    <t>Hero Honds-Splendor Plus-Cw+Accessories (CG10EH5897)</t>
  </si>
  <si>
    <t>Hero Honds-Splendor Plus-Ccr+Accessories (CG11C7802)</t>
  </si>
  <si>
    <t>Hero Honds-Splendor Plus-Ccr+Accessories (CG11C7803)</t>
  </si>
  <si>
    <t>Hero Honds-Splendor Plus-Ccr+Accessories (CG11C7805)</t>
  </si>
  <si>
    <t>Voltas 4080 Water cooler</t>
  </si>
  <si>
    <t>SLU-7026/2019-20 dt.16.4.19</t>
  </si>
  <si>
    <t>Structural steel work new indoor batminton court-1 (Trfd from CWIP 2317-171021)</t>
  </si>
  <si>
    <t>VKS/2017-18/03</t>
  </si>
  <si>
    <t>Supply &amp; Installation of glazed aluminium door &amp; window for badminton court shed (Trfd from CWIP 2317-171021)</t>
  </si>
  <si>
    <t>SKC-2017-18/KSK</t>
  </si>
  <si>
    <t>Construction of new indoor badminton court at our kmpcl camp office accommodation area (Trfd from CWIP 2317-171021)</t>
  </si>
  <si>
    <t>DCCLS-2017-18/02/KSK</t>
  </si>
  <si>
    <t>Supply of Lighting Materials for camp office badminton court, Village Banahil,Akaltara (Trfd from CWIP 2317-171021)</t>
  </si>
  <si>
    <t>GE/GST/18-19/9</t>
  </si>
  <si>
    <t>Banahil, Akaltara</t>
  </si>
  <si>
    <t>2.0 MP Bullate along with 12V 5AMP Power adaptor &amp; Cat 6 cable for IT Dept</t>
  </si>
  <si>
    <t>GST35 dt.22.7.19</t>
  </si>
  <si>
    <t>10 Litre RO unit</t>
  </si>
  <si>
    <t>BB018</t>
  </si>
  <si>
    <t>Dot Matrix Printer TVS Model-MSP450 Star</t>
  </si>
  <si>
    <t xml:space="preserve">Dot Matrix Printer Model No.MSP star </t>
  </si>
  <si>
    <t>19-20/807</t>
  </si>
  <si>
    <t xml:space="preserve">Dot Matrix Printer (TVS Make) Model MSP 450 star </t>
  </si>
  <si>
    <t>910/2019-20</t>
  </si>
  <si>
    <t>42 dt.20.03.19</t>
  </si>
  <si>
    <t>45 dt.25.04.19</t>
  </si>
  <si>
    <t>Blue star-Cost of 3 star-Model 3HW121YB - 1.0 TR</t>
  </si>
  <si>
    <t>Site  - Akaltara</t>
  </si>
  <si>
    <t>Site - Akaltara</t>
  </si>
  <si>
    <t xml:space="preserve">100 MBPS Single Mode media converter with one RJ-45 Port &amp; 2 SC Fober ports </t>
  </si>
  <si>
    <t>GST/19-20/185</t>
  </si>
  <si>
    <t>"Simplex" Make verticalTuret Late Machine for Job Dia 224</t>
  </si>
  <si>
    <t>1 Pc</t>
  </si>
  <si>
    <t>"Simplex" Make work benches with vias 1800*1200*900 MM</t>
  </si>
  <si>
    <t>6 Pcs</t>
  </si>
  <si>
    <t>Steel locker 1200*500*1800</t>
  </si>
  <si>
    <t>Steel almirah 1200*500*1800</t>
  </si>
  <si>
    <t>"Simplex" Make general purpose Lathe machine</t>
  </si>
  <si>
    <t>"Simplex" Make heavy duty Lathe Machne</t>
  </si>
  <si>
    <t>CCTV Syatem Dahua Make-(NVR 64 CH 4 MP Support doul Lan port &amp; 4 HDD support</t>
  </si>
  <si>
    <t>TSOP/199/19</t>
  </si>
  <si>
    <t>Mitsubhishi 3.0 Ton Air Conditioner</t>
  </si>
  <si>
    <t>SB/160</t>
  </si>
  <si>
    <t>Exchange Variation - Plant &amp; Machinery (30.09.19)</t>
  </si>
  <si>
    <t>Reservoir For Water Intake System</t>
  </si>
  <si>
    <t>Construction of Kesla  road</t>
  </si>
  <si>
    <t>MI LED TV 4A Pro 108 cm 43 (SN:21829/106100215687)</t>
  </si>
  <si>
    <t>SMN0062012001061</t>
  </si>
  <si>
    <t xml:space="preserve">Computerised Attendance Recording System Biometric </t>
  </si>
  <si>
    <t>APS-095/19-20</t>
  </si>
  <si>
    <t>3 Cots</t>
  </si>
  <si>
    <t>Exchange Variation - Plant &amp; Machinery (31.12.19)</t>
  </si>
  <si>
    <t>A B T METERS - 151062</t>
  </si>
  <si>
    <t>Supply, Installation and commissioning of ABT Meters along with CMS make Gridlogik ABT DSM software for real time monitoring and DSM calculation</t>
  </si>
  <si>
    <t>1901000694 &amp; 190100074</t>
  </si>
  <si>
    <t>CCTV Camera &amp; Accessories</t>
  </si>
  <si>
    <t>VTS/KRB/20/015</t>
  </si>
  <si>
    <t xml:space="preserve">Water Cooler 40x40 with Glass Rubber </t>
  </si>
  <si>
    <t>SLU-7071/2019-20</t>
  </si>
  <si>
    <t>CC TV CAMERA - 151121</t>
  </si>
  <si>
    <t>Cots 3 x 6</t>
  </si>
  <si>
    <t>Storage Shelves</t>
  </si>
  <si>
    <t>Side Tables</t>
  </si>
  <si>
    <t>Mattresses - 75" L x 36 W x 6" M with pillows</t>
  </si>
  <si>
    <t>75/03/2019-20</t>
  </si>
  <si>
    <t>Developmenmt/interior works</t>
  </si>
  <si>
    <t>ENVIRONMENTAL ONLINE MONITORING SYSTEM - 151014</t>
  </si>
  <si>
    <t>Supply of Modbus and commissioning of equipment and uplinking of data to CECB and CPCB servers</t>
  </si>
  <si>
    <t>Supply of display board, Central monitoring system, Data logging software and Hardware</t>
  </si>
  <si>
    <t>217/18-19</t>
  </si>
  <si>
    <t>254/18-19</t>
  </si>
  <si>
    <t>Supply of Neutral grounding resistor for water division plant</t>
  </si>
  <si>
    <t>GST-01</t>
  </si>
  <si>
    <t>Plant &amp; Machinery</t>
  </si>
  <si>
    <t>Exchange Variation - Non Plant Buildings (31.03.20)</t>
  </si>
  <si>
    <t>Exchange Variation - Buildings (31.03.20)</t>
  </si>
  <si>
    <t>Exchange Variation - Plant &amp; Machinery (31.03.20)</t>
  </si>
  <si>
    <t>Cost  rails and infrastructure</t>
  </si>
  <si>
    <t>Exchange Variation - Plant &amp; Machinery (30.06.20)</t>
  </si>
  <si>
    <t>INTERNET PROTOCAL CAMERA - 131047</t>
  </si>
  <si>
    <t>Supply of CAT 6 cable for IP CCTV Camera</t>
  </si>
  <si>
    <t>VTS/KRB/20/020</t>
  </si>
  <si>
    <t xml:space="preserve">Supply of IP CCTV Camera with 12 volts power adapter </t>
  </si>
  <si>
    <t>VTS/KRB/20/021</t>
  </si>
  <si>
    <t>Attendance Machines (Model Nos AF A360(MB-360) S No.SEWD194560053, 369, 404, 488, 428, 460, 107</t>
  </si>
  <si>
    <t>APS-013/20-21</t>
  </si>
  <si>
    <t>RNPL/20-21/028</t>
  </si>
  <si>
    <t>1X EPSON L 3150 (IRP Team)</t>
  </si>
  <si>
    <t>1X HP 240 Laptop (IRP Team)</t>
  </si>
  <si>
    <t xml:space="preserve">2X Ricoh IM C2000 Model Multi-Function colour printer </t>
  </si>
  <si>
    <t>JS-001-19-20</t>
  </si>
  <si>
    <t>Exchange Variation - Buildings (30.06.20)</t>
  </si>
  <si>
    <t>Exchange Variation - Non Plant Buildings (30.06.20)</t>
  </si>
  <si>
    <t>Dell Latitude 3301 BTX Laptops</t>
  </si>
  <si>
    <t>1410487260</t>
  </si>
  <si>
    <t>Delhi</t>
  </si>
  <si>
    <t xml:space="preserve">HP 250 GT Laptop and bag </t>
  </si>
  <si>
    <t>AB/20-21/000885</t>
  </si>
  <si>
    <t>Kolkata</t>
  </si>
  <si>
    <t>Canon Printer E470 (Sl No.911365C01892AH21KLY25622)</t>
  </si>
  <si>
    <t>LIPL/H14062021</t>
  </si>
  <si>
    <t xml:space="preserve">472 &amp; 473 </t>
  </si>
  <si>
    <t>LG Washing Machine Model No.P8035SPMZREF</t>
  </si>
  <si>
    <t>054</t>
  </si>
  <si>
    <t>Simplex make tool cutter grinder machine</t>
  </si>
  <si>
    <t>Simplex make flexible shaft grinder machine</t>
  </si>
  <si>
    <t>Simplex make hydraulic pipe bends machine</t>
  </si>
  <si>
    <t>Simplex make hand operated shear</t>
  </si>
  <si>
    <t>Simplex make universal milling machine</t>
  </si>
  <si>
    <t>Bosch make portable drilling machine</t>
  </si>
  <si>
    <t>Bosch make portable grindding machine</t>
  </si>
  <si>
    <t>Bosch make AG 5 &amp;AG type grinding machine</t>
  </si>
  <si>
    <t>Surface plates</t>
  </si>
  <si>
    <t>Precision micrometer up to 500 mm</t>
  </si>
  <si>
    <t xml:space="preserve">Soldering iron </t>
  </si>
  <si>
    <t>Crimping tools</t>
  </si>
  <si>
    <t>Bosch make hot air blowers</t>
  </si>
  <si>
    <t>Simplex make hydraulic puller</t>
  </si>
  <si>
    <t>2 Pc</t>
  </si>
  <si>
    <t>5 Pc</t>
  </si>
  <si>
    <t>67 dt.19.3.20 &amp; LR No.141252204 dt.19.3.20</t>
  </si>
  <si>
    <t xml:space="preserve">Supply of Voltas make Forklift Diesel capacity 3MT </t>
  </si>
  <si>
    <t>Exchange Variation - Plant &amp; Machinery (30.09.20)</t>
  </si>
  <si>
    <t>Exchange Variation - Buildings (30.09.20)</t>
  </si>
  <si>
    <t>Exchange Variation - Non Plant Buildings (30.09.20)</t>
  </si>
  <si>
    <t>Camera 4 MP bullate make-daha, Power adaptor 12v 5amp, UPS 600v make Zebronic, Power spike, Cat6 cable stp make-digisol, Media converter 2 port 1 gbps D link, Ofc patch cord Sc to Sc make-jrs, Joint closer bamboo type, Cat 6 cable 305 mtr digisol, Rj 45 connector 1 box</t>
  </si>
  <si>
    <t>VTS/KRB/20/032</t>
  </si>
  <si>
    <t xml:space="preserve">2X Polycom studio audio/video USB soundbar with auto track 120-DEG FOV 4K Camera </t>
  </si>
  <si>
    <t>G-1367 dt.30.10.20</t>
  </si>
  <si>
    <t>GST/585 dt.05.10.20</t>
  </si>
  <si>
    <t>Eureka Forbes Trendt steel (3 Nos) and Forbes super light (3 Nos)</t>
  </si>
  <si>
    <t>Usha Aquerra 25 LT</t>
  </si>
  <si>
    <t>SBA/2432/20-21</t>
  </si>
  <si>
    <t>Laptop - NB PC HP 14s-dr2006TU-HP (HSN / SAC code:84713010 Serial No: 5CD044GPG)</t>
  </si>
  <si>
    <t>SER1/2021105095</t>
  </si>
  <si>
    <t>Total Cost</t>
  </si>
  <si>
    <t>Intermediate Reservoir For Water Intake System</t>
  </si>
  <si>
    <t>131 dt.25.11.20</t>
  </si>
  <si>
    <t>VTS/KRB/20/040 dt.10.11.20</t>
  </si>
  <si>
    <t>Supply of CCTV and Network material (Dahua make)</t>
  </si>
  <si>
    <t>COOLING WATER SYSTEM - 151075</t>
  </si>
  <si>
    <t>2 + 38</t>
  </si>
  <si>
    <t>Monitor TV of Boiler Drum Water Level</t>
  </si>
  <si>
    <t>Valves of Water &amp; Steam System</t>
  </si>
  <si>
    <t>Flame TV  &amp; Camera System</t>
  </si>
  <si>
    <t>BFP Turbine Including Dischage Pipe and Valve</t>
  </si>
  <si>
    <t>Completion of Boiler Foundation (Prorated for each Unit)</t>
  </si>
  <si>
    <t>Control Cable for Electric</t>
  </si>
  <si>
    <t>Cable Trays for C&amp;I</t>
  </si>
  <si>
    <t>Electrical Cable for Electric</t>
  </si>
  <si>
    <t>Control and Instrumentation Cables</t>
  </si>
  <si>
    <t>Cable Trays for Electric</t>
  </si>
  <si>
    <t>Electric Auxiliary Monitoring and Management System</t>
  </si>
  <si>
    <t>Auxiliary Equipment Vibration Monitor System and Tdm</t>
  </si>
  <si>
    <t>C&amp;I Instrumentation System Includes EPABX, PA System, PLCC, BOP Program Control Sets and Ash Carrying Control System</t>
  </si>
  <si>
    <t>Instruments and Valves</t>
  </si>
  <si>
    <t>Protection of Mill</t>
  </si>
  <si>
    <t>Grounding Resistor Panel, 400KV CVT &amp; EMVT, High-Frequency Wave Trap and Combined Filter</t>
  </si>
  <si>
    <t>11 KV High Voltage Switchgear</t>
  </si>
  <si>
    <t>Fault Recorder Panels for Generator and Transformers</t>
  </si>
  <si>
    <t>11KV Dry Type Transformers</t>
  </si>
  <si>
    <t>GT, ST, UT</t>
  </si>
  <si>
    <t>Station Transformer (ST)</t>
  </si>
  <si>
    <t>GT Unit Protection Devices</t>
  </si>
  <si>
    <t>IPBD &amp; SPBD, Component For Electrical and Illumination System</t>
  </si>
  <si>
    <t>Crane of Mill</t>
  </si>
  <si>
    <t>Steel Structure of Main Power House, Steel Structure For Other Auxillary Buildings &amp; Materials / Components for Turbine House</t>
  </si>
  <si>
    <t>Steel Structure of Main Power House for Other Auxiliary Buildings &amp; Matrials/Components for Turbine House</t>
  </si>
  <si>
    <t>HP, MP and LP Valves</t>
  </si>
  <si>
    <t>1St Batch of Elelctric HTHP Gate Valve</t>
  </si>
  <si>
    <t>2Nd Batch of Electric Hthp Gate Valves</t>
  </si>
  <si>
    <t>SWAS</t>
  </si>
  <si>
    <t>Embeded Parts and Foundation Base Plate</t>
  </si>
  <si>
    <t>Automatic Temperature Regulation System of Hydrogen</t>
  </si>
  <si>
    <t>Stator Cooling Water Control Pump, Water Tank and System</t>
  </si>
  <si>
    <t>HP Heater No-1</t>
  </si>
  <si>
    <t>HP Heater No-2</t>
  </si>
  <si>
    <t>HP Heater No-3</t>
  </si>
  <si>
    <t>HP Heaters Supports</t>
  </si>
  <si>
    <t>Three-Way and Electric Gate Valve &amp; Its Auxiliaries</t>
  </si>
  <si>
    <t>LP Heater No.5</t>
  </si>
  <si>
    <t>LP Heater No-6</t>
  </si>
  <si>
    <t>LP Heater No-7A &amp; 7B</t>
  </si>
  <si>
    <t>LP Heater No-8A &amp; 8B</t>
  </si>
  <si>
    <t>Main Steam and Feed Water Pipes and 2Nd Batch of Quadruple Acting Diaphragm Pump, Fire Fighting Anf Fire Alarm System And Material / Components for Main Equipments of Power Station</t>
  </si>
  <si>
    <t>Discharge Pipe of Bfp Turbine</t>
  </si>
  <si>
    <t>Support and Hangers for Low Pressure Piping System</t>
  </si>
  <si>
    <t>Supports and Hangers for HP and MP Piping System</t>
  </si>
  <si>
    <t>Repair and Lighting Control Box</t>
  </si>
  <si>
    <t>Foundation Baseplate and Anchor Bolt and Filling Piese</t>
  </si>
  <si>
    <t>HP Turbine Inside Cylinder</t>
  </si>
  <si>
    <t>High Temperature Bolts for Turbine</t>
  </si>
  <si>
    <t>LP Turbine-A Outside Cylinder</t>
  </si>
  <si>
    <t>LP Turbine A&amp;B Inside Cylinder Chamber</t>
  </si>
  <si>
    <t>TATA Mobile 207 DI EX Crew cab fitted with load body, bucket seat, power steering, colour-arctic white (CG10C5431)</t>
  </si>
  <si>
    <t>Accessories (Toyota Innova-CG04HB0931) against Innova Bill No.RAI/08-09/280 (Vehicle capitalised in DL Code:181000 of Rs.10,38,477/-)</t>
  </si>
  <si>
    <t>Excise duty refund received agnst ambulance purchased in Mar'10 (CG10FA0138)</t>
  </si>
  <si>
    <t>Motor bike (TVS XL) for Kharsia office (CG13P6927)</t>
  </si>
  <si>
    <t>Exchange Variation - Plant &amp; Machinery (31.12.20)</t>
  </si>
  <si>
    <t>Exchange Variation - Buildings (31.12.20)</t>
  </si>
  <si>
    <t>Exchange Variation - Non Plant Buildings (31.12.20)</t>
  </si>
  <si>
    <t>STIHL Brand Chain Saw Machine Model-MS230</t>
  </si>
  <si>
    <t>STIHL Brand Chain Saw Machine Model-MS361</t>
  </si>
  <si>
    <t>JHE/20/21-415</t>
  </si>
  <si>
    <t>As at 31st Mar, 2021</t>
  </si>
  <si>
    <t>Slotted angle iron rack (10 Nos) and Shelves (5 Nos)</t>
  </si>
  <si>
    <t>GST/20-21/125</t>
  </si>
  <si>
    <t>Brush Cutter Make Honda, Model - UMK450U2NT</t>
  </si>
  <si>
    <t>RK/20-21/149</t>
  </si>
  <si>
    <t>PAPER SHREDDERS - 131040</t>
  </si>
  <si>
    <t>Antiva Paper Shredder 1530</t>
  </si>
  <si>
    <t>315 dt.26.02.21</t>
  </si>
  <si>
    <t>Sony Cyber Shot (DSC-W830) Sl No.8257499</t>
  </si>
  <si>
    <t>FD/BSP/767</t>
  </si>
  <si>
    <t xml:space="preserve">HP LJ Printer MFP M126NW </t>
  </si>
  <si>
    <t>VTS/KRB/21/045</t>
  </si>
  <si>
    <t>RK/20-21/123</t>
  </si>
  <si>
    <t>Supply of LAWN Mover Make Honda for grass cutting Machine</t>
  </si>
  <si>
    <t>ISMMBL2021000626</t>
  </si>
  <si>
    <t>Tata PORCLN White Winger FL AMB-B 3488 including Registration and Insurance (Reg No.CG11AY9454, Chasis No.MAT557014LUN02615, Engine No.VARICOR11NZXJ09882)</t>
  </si>
  <si>
    <t>Liebert Make GXT MT+ LB 6KVA UPS System (8362L1912100074,L2001100126 &amp; 238)</t>
  </si>
  <si>
    <t>212 dt.25.02.21</t>
  </si>
  <si>
    <t>Wall Mount Fans</t>
  </si>
  <si>
    <t>943 dt.04.03.21 &amp; 979 dt.20.03.21</t>
  </si>
  <si>
    <t>WCHYD-2021-1804</t>
  </si>
  <si>
    <t>Supply t/w Laying of 300 DN HDPE backwater line from DM Plant to fore bay 1&amp;2</t>
  </si>
  <si>
    <t>Service t/w Laying of 300 DN HDPE backwater line from DM Plant to fore bay 1&amp;2</t>
  </si>
  <si>
    <t>Exchange Variation - Plant &amp; Machinery (31.03.21)</t>
  </si>
  <si>
    <t>Exchange Variation - Buildings (31.03.21)</t>
  </si>
  <si>
    <t>Exchange Variation - Non Plant Buildings (31.03.21)</t>
  </si>
  <si>
    <t>Supply of 6 KVA UPS Online (Make Emersion-2 Nos) and Battery (Make-Amarraja-32 Nos) for chlorination plant control room (CW &amp; Chlorination) system</t>
  </si>
  <si>
    <t>For the year 2021-22</t>
  </si>
  <si>
    <t>for the year 2021-22</t>
  </si>
  <si>
    <t>As at 1st Apr, 2021</t>
  </si>
  <si>
    <t>Supply of Brush/Grass Cutter Make Honda for grass cutting Machine</t>
  </si>
  <si>
    <t>RKN/21-22/4</t>
  </si>
  <si>
    <t>Air cooler</t>
  </si>
  <si>
    <t>Sprint trapper 26T DS Bicycle</t>
  </si>
  <si>
    <t>CA/19/Jun-21</t>
  </si>
  <si>
    <t>Lenovo Think PadE14 Laptops with backpacks</t>
  </si>
  <si>
    <t>21-22/2664 dt.09.04.21</t>
  </si>
  <si>
    <t>HP Pavillion X 360 Laptop with 2 Years extended warranty</t>
  </si>
  <si>
    <t>CH1R/2122101533 dt.08.05.21</t>
  </si>
  <si>
    <t>Chennai</t>
  </si>
  <si>
    <t>Plastic chairs</t>
  </si>
  <si>
    <t>Work station / office desk</t>
  </si>
  <si>
    <t>Single beds</t>
  </si>
  <si>
    <t>Double deck beds</t>
  </si>
  <si>
    <t>Big size office tables</t>
  </si>
  <si>
    <t>Office tables</t>
  </si>
  <si>
    <t>Air conditioners</t>
  </si>
  <si>
    <t>Euroclean WD X2 (GFCDEWDX200000)</t>
  </si>
  <si>
    <t>I22360009799 dt.17.06.21</t>
  </si>
  <si>
    <t>Realtime T61H Hande Deld Attendance Device alongwith software installation</t>
  </si>
  <si>
    <t>SIS/20-21/185 dt.26.03.21</t>
  </si>
  <si>
    <t xml:space="preserve">DCP-L2541DW Mono MFP Printer </t>
  </si>
  <si>
    <t>JS-094-21-22 dt.22.06.21</t>
  </si>
  <si>
    <t>Exchange Variation - Plant &amp; Machinery (30.06.21)</t>
  </si>
  <si>
    <t>Exchange Variation - Buildings (30.06.21)</t>
  </si>
  <si>
    <t>Exchange Variation - Non Plant Buildings (30.06.21)</t>
  </si>
  <si>
    <t>Openstage 15T Digital Phones</t>
  </si>
  <si>
    <t>G-1014 dt.14.08.21</t>
  </si>
  <si>
    <t>Pedestal Fans</t>
  </si>
  <si>
    <t>23 dt.12.08.21</t>
  </si>
  <si>
    <t>Dell Latitude 3420 CTO Base</t>
  </si>
  <si>
    <t>21-22/2856 dt.23.08.21</t>
  </si>
  <si>
    <t>Supply of Erection, Testing &amp; Commissioning of 11 KV Transmission line from KMPCL plant to Camp office</t>
  </si>
  <si>
    <t>SD/Aug/05 dt.9.11.20, SD/Bill/157 dt.31.7.21 &amp; SD/KSK/43 dt.25.8.21</t>
  </si>
  <si>
    <t>Printer Epson L3110, 84433100</t>
  </si>
  <si>
    <t>RNPL/21-22/290 dt.21.07.21</t>
  </si>
  <si>
    <t>Dell Vostro 5410 Laptops</t>
  </si>
  <si>
    <t>21-22/2870 dt.07.09.21</t>
  </si>
  <si>
    <t>Supply of tree cutting machine make STIHL</t>
  </si>
  <si>
    <t>JHE/21/22-243 dt.12.08.21</t>
  </si>
  <si>
    <t>Computerised Attendance Recording System Biometric Model AFA360 (MB360) SL.No.CEZU204260708</t>
  </si>
  <si>
    <t>APS-/49/21-22 dt.20.09.21</t>
  </si>
  <si>
    <t>Supply of Grass cutting machines (Brush cutter) make-Honda</t>
  </si>
  <si>
    <t>RKN/21-22/84 dt.26.08.21</t>
  </si>
  <si>
    <t>Nebula Mars 2 (500 Im / 2 Speaker / Wireless / Remote Controller) Portable Projector</t>
  </si>
  <si>
    <t>FAETLP2205632571 dt.03.10.21</t>
  </si>
  <si>
    <t>Oneplus 65 UHD Smart LED TV 65U1S</t>
  </si>
  <si>
    <t>913610621900064 dt.07.10.21</t>
  </si>
  <si>
    <t>Exchange Variation - Plant &amp; Machinery (30.09.21)</t>
  </si>
  <si>
    <t>Exchange Variation - Buildings (30.09.21)</t>
  </si>
  <si>
    <t>Exchange Variation - Non Plant Buildings (30.09.21)</t>
  </si>
  <si>
    <t>The above asset decommissioned, not usable</t>
  </si>
  <si>
    <t>The asset damaged</t>
  </si>
  <si>
    <t>The above asset damaged condition</t>
  </si>
  <si>
    <t>The above asset Premises Vacated and left in the property to avoid restoration charges.</t>
  </si>
  <si>
    <t>GST/2021-22/303 dt.15.09.21</t>
  </si>
  <si>
    <t>CDS make Old &amp; Used Dewatering pump set &amp; Accessories</t>
  </si>
  <si>
    <t>Lab instruments (Lab oven, Muffle furnace, Humidity control oven, Balance CAP220GM &amp; Citizen Cap3KG)</t>
  </si>
  <si>
    <t>21-22/2986</t>
  </si>
  <si>
    <t>Office chair</t>
  </si>
  <si>
    <t>016</t>
  </si>
  <si>
    <t>Exchange Variation - Plant &amp; Machinery (31.12.21)</t>
  </si>
  <si>
    <t>Exchange Variation - Buildings (31.12.21)</t>
  </si>
  <si>
    <t>Exchange Variation - Non Plant Buildings (31.12.21)</t>
  </si>
  <si>
    <t>Usha Gey Aquerra DG 25 LT</t>
  </si>
  <si>
    <t>3338 dt.06.01.22</t>
  </si>
  <si>
    <t>Mahindra Marazzo M8 (TS09FR1127)</t>
  </si>
  <si>
    <t>RTO Charges and Choice number charges (CG04M0239)</t>
  </si>
  <si>
    <t>"PATHAK" Heavy duty, Cone Pulley Type, SHAPING MACHINE, duly fitted with tilting type table, complete with all std. access. Such as: Swivel base shaping vice, motor pulley, motor base &amp; handle. Machine having length of stoke 30", Model: SS-30 5HP motor AC/440V.1440RPM with push button starter &amp; V-belts. (Havells)</t>
  </si>
  <si>
    <t>PMT/0340/Jan22 dt.18.01.22</t>
  </si>
  <si>
    <t>2080006007 &amp; 06 dt.9.09.20</t>
  </si>
  <si>
    <t>SPSK-07 dt.19.04.21</t>
  </si>
  <si>
    <t xml:space="preserve">Supply of view sonic projector </t>
  </si>
  <si>
    <t>21-22/3070 dt.08.02.22</t>
  </si>
  <si>
    <t>Lenovo Think Pad E14 Laptops AMD RYZEN R5-5600U (Serial No.:PF2RBJ72, PF2RB5VT, PF2RA2TT7, PF2RBF27 &amp; PF2RB5QS), Lenovo Backpack and WIN 10 PRO OEM</t>
  </si>
  <si>
    <t>21-22/3126</t>
  </si>
  <si>
    <t>FIXED ASSET REGISTER AS AT 31.03.22</t>
  </si>
  <si>
    <t>Summary of Fixed Assets as on 31st March, 2022</t>
  </si>
  <si>
    <t>As at 31st Mar, 2022</t>
  </si>
  <si>
    <t>WDV as on 31st Mar, 2022</t>
  </si>
  <si>
    <t>Exchange Variation - Non Plant Buildings (31.03.22)</t>
  </si>
  <si>
    <t>Exchange Variation - Buildings (31.03.22)</t>
  </si>
  <si>
    <t>Exchange Variation - Plant &amp; Machinery (31.03.22)</t>
  </si>
  <si>
    <t>Property, plant and development</t>
  </si>
  <si>
    <t xml:space="preserve">  Land - Free Hold</t>
  </si>
  <si>
    <t xml:space="preserve">  Buildings</t>
  </si>
  <si>
    <t xml:space="preserve">  Leasehold improvements</t>
  </si>
  <si>
    <t xml:space="preserve">  Plant and Machinery</t>
  </si>
  <si>
    <t xml:space="preserve">  Railway Sinding</t>
  </si>
  <si>
    <t>Office Equipment &amp; Computers</t>
  </si>
  <si>
    <t xml:space="preserve">  Office Equipment</t>
  </si>
  <si>
    <t xml:space="preserve">  Computers</t>
  </si>
  <si>
    <t>Intangible assets</t>
  </si>
  <si>
    <t xml:space="preserve">  Computer Software</t>
  </si>
  <si>
    <t>0001</t>
  </si>
  <si>
    <t>plant</t>
  </si>
  <si>
    <t>non-plant</t>
  </si>
  <si>
    <t>non plant</t>
  </si>
  <si>
    <t>Unit</t>
  </si>
  <si>
    <t>Landed Cost</t>
  </si>
  <si>
    <t>Net Block</t>
  </si>
  <si>
    <t>Leasehold improvements</t>
  </si>
  <si>
    <t>Initial</t>
  </si>
  <si>
    <t>GCRC</t>
  </si>
  <si>
    <t>Life Consumed</t>
  </si>
  <si>
    <t>Total Economic Life</t>
  </si>
  <si>
    <t>DRC</t>
  </si>
  <si>
    <t xml:space="preserve">Dep. Factor </t>
  </si>
  <si>
    <t>Depreciation</t>
  </si>
  <si>
    <t>FV</t>
  </si>
  <si>
    <t>Inflation</t>
  </si>
  <si>
    <t>Unit 3</t>
  </si>
  <si>
    <t>Soft Gross</t>
  </si>
  <si>
    <t>Hard Gross</t>
  </si>
  <si>
    <t>Hard FV</t>
  </si>
  <si>
    <t>Soft fv</t>
  </si>
  <si>
    <t>CTC</t>
  </si>
  <si>
    <t>1&amp;6</t>
  </si>
  <si>
    <t>1&amp; 6</t>
  </si>
  <si>
    <t>p&amp;m total</t>
  </si>
  <si>
    <t>p&amp;m</t>
  </si>
  <si>
    <t>civil</t>
  </si>
  <si>
    <t>environment</t>
  </si>
  <si>
    <t>incurred</t>
  </si>
  <si>
    <t>total</t>
  </si>
  <si>
    <t>Land (Freehold and Leasehold)</t>
  </si>
  <si>
    <t>Unit 2, 3 and 4</t>
  </si>
  <si>
    <t>Unit 1, 5 and 6</t>
  </si>
  <si>
    <t>EPC Cost*</t>
  </si>
  <si>
    <t>Non EPC Cost</t>
  </si>
  <si>
    <t>IDC, ERV and Preoperative Cost</t>
  </si>
  <si>
    <t>Cost Capitalized (in ₹ Cr.)</t>
  </si>
  <si>
    <t>P&amp;M</t>
  </si>
  <si>
    <t>Unit-2</t>
  </si>
  <si>
    <t>Unit-1&amp;6</t>
  </si>
  <si>
    <t>Unit-5</t>
  </si>
  <si>
    <t>Building and Civil Works</t>
  </si>
  <si>
    <t>A</t>
  </si>
  <si>
    <t>B</t>
  </si>
  <si>
    <t>Total - A</t>
  </si>
  <si>
    <t>Total - B</t>
  </si>
  <si>
    <t>Additional Cost towards meeting the Environment Norms</t>
  </si>
  <si>
    <t>FGD</t>
  </si>
  <si>
    <t>ESP Modification</t>
  </si>
  <si>
    <t>Total - C</t>
  </si>
  <si>
    <t>C</t>
  </si>
  <si>
    <t>Grand Total (A+B+C)</t>
  </si>
  <si>
    <t>Particular</t>
  </si>
  <si>
    <t>Amount
(in Cr.)</t>
  </si>
  <si>
    <t>Sr. No.</t>
  </si>
  <si>
    <t xml:space="preserve">Unit
No. </t>
  </si>
  <si>
    <t xml:space="preserve">Status </t>
  </si>
  <si>
    <t>Remarks</t>
  </si>
  <si>
    <t xml:space="preserve">Unit#1 </t>
  </si>
  <si>
    <t xml:space="preserve">Construction stage </t>
  </si>
  <si>
    <t>The construction activities were
stopped since Apri’2018</t>
  </si>
  <si>
    <t>Unit#2</t>
  </si>
  <si>
    <t>Unit Synchronized on 27.12.2017
Commercial operation commenced on
28.02.2018
Final PG test balance</t>
  </si>
  <si>
    <t>Unit is in operation</t>
  </si>
  <si>
    <t>Unit#3</t>
  </si>
  <si>
    <t>Commercial Operation Commenced on
14.08.2013
Performance Guarantee Test completed on
14.04.2015</t>
  </si>
  <si>
    <t>Unit#4</t>
  </si>
  <si>
    <t>Commercial Operation Commenced on
26.08.2014
Performance Guarantee Test completed on
24.01.2016</t>
  </si>
  <si>
    <t xml:space="preserve">Unit#5 </t>
  </si>
  <si>
    <t xml:space="preserve">Unit#6 </t>
  </si>
  <si>
    <t>Unit No.</t>
  </si>
  <si>
    <t>Unit 2</t>
  </si>
  <si>
    <t>Unit 4</t>
  </si>
  <si>
    <t>Gross Block as 
on 31-03-2022</t>
  </si>
  <si>
    <t>Fair Value as 
on 12-10-2022</t>
  </si>
  <si>
    <t>Net Block as 
on 31-03-2022</t>
  </si>
  <si>
    <t>GCRC as 
on 12-10-2022</t>
  </si>
  <si>
    <t>NB</t>
  </si>
  <si>
    <t>Other Buildings</t>
  </si>
  <si>
    <t>Leasehold Improvements</t>
  </si>
  <si>
    <t>Total Main Units</t>
  </si>
  <si>
    <t>Total Others</t>
  </si>
  <si>
    <t xml:space="preserve">Sr. No. </t>
  </si>
  <si>
    <t>Milestones</t>
  </si>
  <si>
    <t>Timeline (Months)</t>
  </si>
  <si>
    <t>Unit#6</t>
  </si>
  <si>
    <t xml:space="preserve">A </t>
  </si>
  <si>
    <t xml:space="preserve">Pre NTP Activities </t>
  </si>
  <si>
    <t xml:space="preserve">Release of LOI / WO to OEM /
Contractors </t>
  </si>
  <si>
    <t xml:space="preserve">Statutory Approval </t>
  </si>
  <si>
    <t xml:space="preserve">Site Mobilization </t>
  </si>
  <si>
    <t xml:space="preserve">Reconciliation of Material </t>
  </si>
  <si>
    <t xml:space="preserve">B </t>
  </si>
  <si>
    <t xml:space="preserve">NTP (Notice to Proceed) </t>
  </si>
  <si>
    <t xml:space="preserve">Engineering work </t>
  </si>
  <si>
    <t xml:space="preserve">Start of erection of Boiler, Turbine &amp; it's
Auxiliaries </t>
  </si>
  <si>
    <t xml:space="preserve">Supply of balance items at site </t>
  </si>
  <si>
    <t xml:space="preserve">Boiler Hydro test </t>
  </si>
  <si>
    <t xml:space="preserve">TG &amp; Auxiliaries readiness </t>
  </si>
  <si>
    <t xml:space="preserve">Oil Flushing </t>
  </si>
  <si>
    <t xml:space="preserve">TG ready for Barring Gear </t>
  </si>
  <si>
    <t xml:space="preserve">Boiler Light up </t>
  </si>
  <si>
    <t xml:space="preserve">Steam Blowing and restoration </t>
  </si>
  <si>
    <t xml:space="preserve">Synchronization </t>
  </si>
  <si>
    <t xml:space="preserve">COD </t>
  </si>
  <si>
    <t xml:space="preserve">PG Test </t>
  </si>
  <si>
    <t>Unit#5</t>
  </si>
  <si>
    <t>Unit#1</t>
  </si>
  <si>
    <t>Estimated % Completion of BTG</t>
  </si>
  <si>
    <t>Remarks for estimated %
Completion</t>
  </si>
  <si>
    <t xml:space="preserve">*Weightage 
(%) </t>
  </si>
  <si>
    <t xml:space="preserve">Engineering </t>
  </si>
  <si>
    <t>Balance infrastructure,
Township, non-plant
buildings, As-built drawings,
O&amp;M manuals, Balance
vendor engineering etc.</t>
  </si>
  <si>
    <t xml:space="preserve">Supply </t>
  </si>
  <si>
    <t>Based on site assessment
and judgment</t>
  </si>
  <si>
    <t xml:space="preserve">Erection </t>
  </si>
  <si>
    <t xml:space="preserve">Commissioning </t>
  </si>
  <si>
    <t>No pre-commissioning
activities were performed due
to non-availability of back
charging power</t>
  </si>
  <si>
    <t xml:space="preserve">Overall </t>
  </si>
  <si>
    <t>(Weightage X Unit progress)</t>
  </si>
  <si>
    <t>Time to complete</t>
  </si>
  <si>
    <t>Progress of the project</t>
  </si>
  <si>
    <t xml:space="preserve">Package Description </t>
  </si>
  <si>
    <t xml:space="preserve">Status of Supply </t>
  </si>
  <si>
    <t xml:space="preserve">Status of Erection </t>
  </si>
  <si>
    <t xml:space="preserve">Remarks </t>
  </si>
  <si>
    <t xml:space="preserve">% Progress supply </t>
  </si>
  <si>
    <t>Construction % Progress</t>
  </si>
  <si>
    <t xml:space="preserve">#I </t>
  </si>
  <si>
    <t>BTG:</t>
  </si>
  <si>
    <t xml:space="preserve">Steam Turbine and Auxiliaries </t>
  </si>
  <si>
    <t xml:space="preserve">Not received </t>
  </si>
  <si>
    <t xml:space="preserve">- </t>
  </si>
  <si>
    <t xml:space="preserve">Generator and auxiliaries </t>
  </si>
  <si>
    <t>Condenser, CEP, BFP, De-aerator, Critical
piping, LP piping, Vacuum pump, CPU,
HP/IP/LP heaters, PHE</t>
  </si>
  <si>
    <t>Boiler and auxiliaries</t>
  </si>
  <si>
    <t>Not received except
few structure
materials</t>
  </si>
  <si>
    <t>Structures up-to 2
Tier erected</t>
  </si>
  <si>
    <t>Partial boiler
structures
received</t>
  </si>
  <si>
    <t xml:space="preserve">ESP </t>
  </si>
  <si>
    <t>E&amp;I Package:</t>
  </si>
  <si>
    <t>Electrical panels, DCS panels, operating
stations, Engineering stations, TSI, Relay
panels, Cables, cable trays, ESP control
panels, Battery, Battery charger, UPS etc.</t>
  </si>
  <si>
    <t xml:space="preserve">Transformers – Generator Transformer,
UAT, Auxiliary TRF, Bus-duct </t>
  </si>
  <si>
    <t xml:space="preserve">#5 </t>
  </si>
  <si>
    <t xml:space="preserve">LP casings
received </t>
  </si>
  <si>
    <t>Condenser, CEP, BFP, De-aerator, Critical
piping, LP piping, Vacuum pump, CPU,
HP/IP/LP heaters,</t>
  </si>
  <si>
    <t>Partial materials
received</t>
  </si>
  <si>
    <t>Condenser shells
erected partially</t>
  </si>
  <si>
    <t>Partial materials received</t>
  </si>
  <si>
    <t>Few parts of
condenser, de
aerator, 3 HP
heaters, 4 nos. LP heater received</t>
  </si>
  <si>
    <t xml:space="preserve">Boiler and auxiliaries </t>
  </si>
  <si>
    <t>Boiler Drum is
placed in its
position</t>
  </si>
  <si>
    <t>Some parts of
Boiler structures,
Boiler drum,
pressure parts,
APH</t>
  </si>
  <si>
    <t>Majority of
materials received</t>
  </si>
  <si>
    <t>All the four pass
major structures
including
electrodes etc.
erected</t>
  </si>
  <si>
    <t xml:space="preserve">Insulation, Panels
etc. not received </t>
  </si>
  <si>
    <t>Electrical panels, DCS panels, operating
stations, Engineering stations, TSI, Relay
panels, Cables, cable trays, ESP control
panels etc.</t>
  </si>
  <si>
    <t>Partial materials
received- DCS
panels, Turbine
panels, cables
received</t>
  </si>
  <si>
    <t>DCS panels
placed in location
only (Modules
used in
operational units)</t>
  </si>
  <si>
    <t xml:space="preserve">#6 </t>
  </si>
  <si>
    <t>Land</t>
  </si>
  <si>
    <t>CWIP</t>
  </si>
  <si>
    <t>Building</t>
  </si>
  <si>
    <t>S. No.</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</si>
</sst>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41" formatCode="_ * #,##0_ ;_ * \-#,##0_ ;_ * &quot;-&quot;_ ;_ @_ "/>
    <numFmt numFmtId="44" formatCode="_ &quot;₹&quot;\ * #,##0.00_ ;_ &quot;₹&quot;\ * \-#,##0.00_ ;_ &quot;₹&quot;\ * &quot;-&quot;??_ ;_ @_ "/>
    <numFmt numFmtId="43" formatCode="_ * #,##0.00_ ;_ * \-#,##0.00_ ;_ * &quot;-&quot;??_ ;_ @_ "/>
    <numFmt numFmtId="164" formatCode="&quot;$&quot;#,##0_);\(&quot;$&quot;#,##0\)"/>
    <numFmt numFmtId="165" formatCode="_(* #,##0.00_);_(* \(#,##0.00\);_(* &quot;-&quot;??_);_(@_)"/>
    <numFmt numFmtId="166" formatCode="_-* #,##0_-;\-* #,##0_-;_-* &quot;-&quot;_-;_-@_-"/>
    <numFmt numFmtId="167" formatCode="_-* #,##0.00_-;\-* #,##0.00_-;_-* &quot;-&quot;??_-;_-@_-"/>
    <numFmt numFmtId="168" formatCode="_(* #,##0_);_(* \(#,##0\);_(* &quot;-&quot;??_);_(@_)"/>
    <numFmt numFmtId="169" formatCode="0.000"/>
    <numFmt numFmtId="170" formatCode="[$-409]d\-mmm\-yy;@"/>
    <numFmt numFmtId="171" formatCode="_ &quot;\&quot;* #,##0_ ;_ &quot;\&quot;* \-#,##0_ ;_ &quot;\&quot;* &quot;-&quot;_ ;_ @_ "/>
    <numFmt numFmtId="172" formatCode="_ &quot;\&quot;* #,##0.00_ ;_ &quot;\&quot;* \-#,##0.00_ ;_ &quot;\&quot;* &quot;-&quot;??_ ;_ @_ "/>
    <numFmt numFmtId="173" formatCode="&quot;\&quot;#,##0.00;[Red]\-&quot;\&quot;#,##0.00"/>
    <numFmt numFmtId="174" formatCode="#,##0.0"/>
    <numFmt numFmtId="175" formatCode="#,##0.000"/>
    <numFmt numFmtId="176" formatCode="&quot;$&quot;#,##0.000000_);\(&quot;$&quot;#,##0.00\)"/>
    <numFmt numFmtId="177" formatCode="&quot;$&quot;#,##0.0000000_);\(&quot;$&quot;#,##0.00\)"/>
    <numFmt numFmtId="178" formatCode="_([$€]* #,##0.00_);_([$€]* \(#,##0.00\);_([$€]* &quot;-&quot;??_);_(@_)"/>
    <numFmt numFmtId="179" formatCode="_-&quot;$&quot;* #,##0_-;\-&quot;$&quot;* #,##0_-;_-&quot;$&quot;* &quot;-&quot;_-;_-@_-"/>
    <numFmt numFmtId="180" formatCode="_-&quot;$&quot;* #,##0.00_-;\-&quot;$&quot;* #,##0.00_-;_-&quot;$&quot;* &quot;-&quot;??_-;_-@_-"/>
    <numFmt numFmtId="181" formatCode="d/m/yy"/>
    <numFmt numFmtId="182" formatCode="mm/dd/yy"/>
    <numFmt numFmtId="183" formatCode="_-* #,##0.0_-;\-* #,##0.0_-;_-* &quot;-&quot;??_-;_-@_-"/>
    <numFmt numFmtId="184" formatCode="d/m/yy\ h:mm"/>
    <numFmt numFmtId="185" formatCode="#,##0&quot; F&quot;_);\(#,##0&quot; F&quot;\)"/>
    <numFmt numFmtId="186" formatCode="#,##0&quot; F&quot;_);[Red]\(#,##0&quot; F&quot;\)"/>
    <numFmt numFmtId="187" formatCode="#,##0.00&quot; F&quot;_);\(#,##0.00&quot; F&quot;\)"/>
    <numFmt numFmtId="188" formatCode="0;[Red]0"/>
    <numFmt numFmtId="189" formatCode="_(* #,##0.0000_);_(* \(#,##0.0000\);_(* &quot;-&quot;??_);_(@_)"/>
    <numFmt numFmtId="190" formatCode="_ * #,##0_ ;_ * \-#,##0_ ;_ * &quot;-&quot;??_ ;_ @_ "/>
    <numFmt numFmtId="191" formatCode="_ * #,##0.000_ ;_ * \-#,##0.000_ ;_ * &quot;-&quot;??_ ;_ @_ "/>
    <numFmt numFmtId="192" formatCode="_(* #,##0.0000_);_(* \(#,##0.0000\);_(* &quot;-&quot;????_);_(@_)"/>
    <numFmt numFmtId="193" formatCode="_(* #,##0.0_);_(* \(#,##0.0\);_(* &quot;-&quot;??_);_(@_)"/>
    <numFmt numFmtId="194" formatCode="0.0%"/>
  </numFmts>
  <fonts count="62">
    <font>
      <sz val="10"/>
      <name val="Courier"/>
    </font>
    <font>
      <sz val="11"/>
      <color theme="1"/>
      <name val="Calibri"/>
      <family val="2"/>
      <scheme val="minor"/>
    </font>
    <font>
      <sz val="10"/>
      <name val="Arial"/>
      <family val="2"/>
    </font>
    <font>
      <sz val="10"/>
      <name val="Arial"/>
      <family val="2"/>
    </font>
    <font>
      <b/>
      <sz val="12"/>
      <name val="Arial"/>
      <family val="2"/>
    </font>
    <font>
      <sz val="8"/>
      <name val="Arial"/>
      <family val="2"/>
    </font>
    <font>
      <sz val="14"/>
      <name val="AngsanaUPC"/>
      <family val="1"/>
    </font>
    <font>
      <sz val="12"/>
      <name val="¹ÙÅÁÃ¼"/>
      <family val="1"/>
      <charset val="129"/>
    </font>
    <font>
      <sz val="12"/>
      <name val="¹ÙÅÁÃ¼"/>
      <charset val="129"/>
    </font>
    <font>
      <sz val="10"/>
      <name val="Century Schoolbook"/>
      <family val="1"/>
    </font>
    <font>
      <sz val="10"/>
      <color indexed="10"/>
      <name val="Arial"/>
      <family val="2"/>
    </font>
    <font>
      <sz val="18"/>
      <name val="Arial"/>
      <family val="2"/>
    </font>
    <font>
      <sz val="12"/>
      <name val="Arial"/>
      <family val="2"/>
    </font>
    <font>
      <u/>
      <sz val="9"/>
      <color indexed="12"/>
      <name val="Arial"/>
      <family val="2"/>
    </font>
    <font>
      <sz val="10"/>
      <name val="Arial"/>
      <family val="2"/>
    </font>
    <font>
      <sz val="7"/>
      <name val="Small Fonts"/>
      <family val="2"/>
    </font>
    <font>
      <b/>
      <sz val="10"/>
      <name val="Arial CE"/>
      <family val="2"/>
      <charset val="238"/>
    </font>
    <font>
      <u/>
      <sz val="9"/>
      <color indexed="36"/>
      <name val="Arial"/>
      <family val="2"/>
    </font>
    <font>
      <b/>
      <sz val="8"/>
      <name val="Arial"/>
      <family val="2"/>
    </font>
    <font>
      <sz val="10"/>
      <name val="Helv"/>
    </font>
    <font>
      <sz val="6"/>
      <name val="Helv"/>
    </font>
    <font>
      <sz val="8"/>
      <name val="Arial"/>
      <family val="2"/>
    </font>
    <font>
      <b/>
      <i/>
      <sz val="8"/>
      <name val="Arial"/>
      <family val="2"/>
    </font>
    <font>
      <sz val="10"/>
      <name val="Courier"/>
      <family val="3"/>
    </font>
    <font>
      <sz val="10"/>
      <name val="Verdana"/>
      <family val="2"/>
    </font>
    <font>
      <sz val="8"/>
      <name val="Times New Roman"/>
      <family val="1"/>
    </font>
    <font>
      <sz val="12"/>
      <name val="Tms Rmn"/>
    </font>
    <font>
      <sz val="10"/>
      <name val="MS Serif"/>
      <family val="1"/>
    </font>
    <font>
      <sz val="12"/>
      <name val="¹ÙÅÁÃ¼"/>
    </font>
    <font>
      <sz val="10"/>
      <color indexed="8"/>
      <name val="Arial"/>
      <family val="2"/>
    </font>
    <font>
      <sz val="10"/>
      <name val="MS Sans Serif"/>
      <family val="2"/>
    </font>
    <font>
      <sz val="10"/>
      <color indexed="16"/>
      <name val="MS Serif"/>
      <family val="1"/>
    </font>
    <font>
      <b/>
      <sz val="8"/>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name val="Verdana"/>
      <family val="2"/>
    </font>
    <font>
      <sz val="11"/>
      <color indexed="8"/>
      <name val="Calibri"/>
      <family val="2"/>
    </font>
    <font>
      <sz val="10"/>
      <color indexed="8"/>
      <name val="MS Sans Serif"/>
      <family val="2"/>
    </font>
    <font>
      <sz val="9.85"/>
      <color indexed="8"/>
      <name val="Times New Roman"/>
      <family val="1"/>
    </font>
    <font>
      <sz val="11"/>
      <color indexed="8"/>
      <name val="Calibri"/>
      <family val="2"/>
    </font>
    <font>
      <sz val="8"/>
      <name val="Courier"/>
      <family val="3"/>
    </font>
    <font>
      <sz val="10"/>
      <name val="Verdana"/>
      <family val="2"/>
    </font>
    <font>
      <sz val="11"/>
      <color theme="1"/>
      <name val="Calibri"/>
      <family val="2"/>
      <scheme val="minor"/>
    </font>
    <font>
      <b/>
      <sz val="9"/>
      <name val="Book Antiqua"/>
      <family val="1"/>
    </font>
    <font>
      <sz val="9"/>
      <name val="Book Antiqua"/>
      <family val="1"/>
    </font>
    <font>
      <b/>
      <sz val="8"/>
      <name val="Book Antiqua"/>
      <family val="1"/>
    </font>
    <font>
      <sz val="8"/>
      <name val="Book Antiqua"/>
      <family val="1"/>
    </font>
    <font>
      <sz val="11"/>
      <name val="Arial"/>
      <family val="2"/>
    </font>
    <font>
      <b/>
      <sz val="11"/>
      <name val="Arial"/>
      <family val="2"/>
    </font>
    <font>
      <sz val="11"/>
      <color theme="1"/>
      <name val="Arial"/>
      <family val="2"/>
    </font>
    <font>
      <i/>
      <sz val="11"/>
      <color rgb="FF000000"/>
      <name val="Arial"/>
      <family val="2"/>
    </font>
    <font>
      <b/>
      <sz val="11"/>
      <color theme="1"/>
      <name val="Arial"/>
      <family val="2"/>
    </font>
    <font>
      <b/>
      <sz val="11"/>
      <color rgb="FF000000"/>
      <name val="Arial-BoldMT"/>
    </font>
    <font>
      <b/>
      <sz val="11"/>
      <color rgb="FF000000"/>
      <name val="Arial"/>
      <family val="2"/>
    </font>
    <font>
      <sz val="11"/>
      <color rgb="FF000000"/>
      <name val="Arial"/>
      <family val="2"/>
    </font>
    <font>
      <sz val="10"/>
      <name val="Courier"/>
    </font>
    <font>
      <b/>
      <sz val="10"/>
      <color rgb="FF000000"/>
      <name val="Arial-BoldMT"/>
    </font>
    <font>
      <sz val="10"/>
      <color rgb="FF000000"/>
      <name val="ArialMT"/>
    </font>
    <font>
      <b/>
      <sz val="11"/>
      <color theme="0"/>
      <name val="Arial"/>
      <family val="2"/>
    </font>
  </fonts>
  <fills count="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15"/>
        <bgColor indexed="64"/>
      </patternFill>
    </fill>
    <fill>
      <patternFill patternType="solid">
        <fgColor indexed="42"/>
        <bgColor indexed="64"/>
      </patternFill>
    </fill>
    <fill>
      <patternFill patternType="darkVertical"/>
    </fill>
    <fill>
      <patternFill patternType="solid">
        <fgColor rgb="FF002060"/>
        <bgColor indexed="64"/>
      </patternFill>
    </fill>
  </fills>
  <borders count="60">
    <border>
      <left/>
      <right/>
      <top/>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double">
        <color indexed="24"/>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bottom style="hair">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bottom/>
      <diagonal/>
    </border>
    <border>
      <left style="thin">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medium">
        <color indexed="55"/>
      </left>
      <right style="medium">
        <color indexed="55"/>
      </right>
      <top style="thin">
        <color indexed="55"/>
      </top>
      <bottom style="thin">
        <color indexed="55"/>
      </bottom>
      <diagonal/>
    </border>
    <border>
      <left style="double">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55"/>
      </left>
      <right style="medium">
        <color indexed="55"/>
      </right>
      <top style="thin">
        <color indexed="55"/>
      </top>
      <bottom style="thin">
        <color indexed="55"/>
      </bottom>
      <diagonal/>
    </border>
    <border>
      <left style="medium">
        <color indexed="55"/>
      </left>
      <right style="double">
        <color indexed="64"/>
      </right>
      <top style="thin">
        <color indexed="55"/>
      </top>
      <bottom style="thin">
        <color indexed="55"/>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thin">
        <color indexed="64"/>
      </right>
      <top/>
      <bottom style="double">
        <color indexed="64"/>
      </bottom>
      <diagonal/>
    </border>
    <border>
      <left style="thin">
        <color auto="1"/>
      </left>
      <right style="double">
        <color auto="1"/>
      </right>
      <top style="thin">
        <color indexed="64"/>
      </top>
      <bottom style="thin">
        <color indexed="64"/>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thin">
        <color indexed="64"/>
      </top>
      <bottom style="thin">
        <color indexed="64"/>
      </bottom>
      <diagonal/>
    </border>
    <border>
      <left style="thin">
        <color indexed="64"/>
      </left>
      <right/>
      <top/>
      <bottom style="hair">
        <color indexed="64"/>
      </bottom>
      <diagonal/>
    </border>
    <border>
      <left style="thin">
        <color indexed="64"/>
      </left>
      <right style="double">
        <color indexed="64"/>
      </right>
      <top style="thin">
        <color indexed="64"/>
      </top>
      <bottom/>
      <diagonal/>
    </border>
    <border>
      <left style="thin">
        <color auto="1"/>
      </left>
      <right style="double">
        <color auto="1"/>
      </right>
      <top/>
      <bottom style="thin">
        <color indexed="64"/>
      </bottom>
      <diagonal/>
    </border>
    <border>
      <left style="medium">
        <color rgb="FF000000"/>
      </left>
      <right style="medium">
        <color rgb="FF000000"/>
      </right>
      <top style="medium">
        <color rgb="FF000000"/>
      </top>
      <bottom style="medium">
        <color rgb="FF000000"/>
      </bottom>
      <diagonal/>
    </border>
  </borders>
  <cellStyleXfs count="133">
    <xf numFmtId="0" fontId="0" fillId="0" borderId="0"/>
    <xf numFmtId="9" fontId="6" fillId="0" borderId="0"/>
    <xf numFmtId="171" fontId="7" fillId="0" borderId="0" applyFont="0" applyFill="0" applyBorder="0" applyAlignment="0" applyProtection="0"/>
    <xf numFmtId="172" fontId="7" fillId="0" borderId="0" applyFont="0" applyFill="0" applyBorder="0" applyAlignment="0" applyProtection="0"/>
    <xf numFmtId="0" fontId="25" fillId="0" borderId="0">
      <alignment horizontal="center" wrapText="1"/>
      <protection locked="0"/>
    </xf>
    <xf numFmtId="41" fontId="7" fillId="0" borderId="0" applyFont="0" applyFill="0" applyBorder="0" applyAlignment="0" applyProtection="0"/>
    <xf numFmtId="43" fontId="7" fillId="0" borderId="0" applyFont="0" applyFill="0" applyBorder="0" applyAlignment="0" applyProtection="0"/>
    <xf numFmtId="0" fontId="26" fillId="0" borderId="0" applyNumberFormat="0" applyFill="0" applyBorder="0" applyAlignment="0" applyProtection="0"/>
    <xf numFmtId="0" fontId="8" fillId="0" borderId="0"/>
    <xf numFmtId="184" fontId="2" fillId="0" borderId="0" applyFill="0" applyBorder="0" applyAlignment="0"/>
    <xf numFmtId="185" fontId="2" fillId="0" borderId="0" applyFill="0" applyBorder="0" applyAlignment="0"/>
    <xf numFmtId="186" fontId="2" fillId="0" borderId="0" applyFill="0" applyBorder="0" applyAlignment="0"/>
    <xf numFmtId="187" fontId="2" fillId="0" borderId="0" applyFill="0" applyBorder="0" applyAlignment="0"/>
    <xf numFmtId="184" fontId="2" fillId="0" borderId="0" applyFill="0" applyBorder="0" applyAlignment="0"/>
    <xf numFmtId="184" fontId="2" fillId="0" borderId="0" applyFill="0" applyBorder="0" applyAlignment="0"/>
    <xf numFmtId="185" fontId="2" fillId="0" borderId="0" applyFill="0" applyBorder="0" applyAlignment="0"/>
    <xf numFmtId="185" fontId="2" fillId="0" borderId="0" applyFill="0" applyBorder="0" applyAlignment="0"/>
    <xf numFmtId="165" fontId="3" fillId="0" borderId="0" applyFont="0" applyFill="0" applyBorder="0" applyAlignment="0" applyProtection="0"/>
    <xf numFmtId="173" fontId="2" fillId="0" borderId="0"/>
    <xf numFmtId="173" fontId="2" fillId="0" borderId="0"/>
    <xf numFmtId="173" fontId="2" fillId="0" borderId="0"/>
    <xf numFmtId="173" fontId="2" fillId="0" borderId="0"/>
    <xf numFmtId="173" fontId="2" fillId="0" borderId="0"/>
    <xf numFmtId="173" fontId="2" fillId="0" borderId="0"/>
    <xf numFmtId="173" fontId="2" fillId="0" borderId="0"/>
    <xf numFmtId="173" fontId="2" fillId="0" borderId="0"/>
    <xf numFmtId="184" fontId="2"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39" fillId="0" borderId="0" applyFont="0" applyFill="0" applyBorder="0" applyAlignment="0" applyProtection="0"/>
    <xf numFmtId="165" fontId="42" fillId="0" borderId="0" applyFont="0" applyFill="0" applyBorder="0" applyAlignment="0" applyProtection="0"/>
    <xf numFmtId="165" fontId="41" fillId="0" borderId="0" applyFont="0" applyFill="0" applyBorder="0" applyAlignment="0" applyProtection="0"/>
    <xf numFmtId="3" fontId="9" fillId="0" borderId="0" applyFont="0" applyFill="0" applyBorder="0" applyAlignment="0" applyProtection="0">
      <alignment vertical="top"/>
    </xf>
    <xf numFmtId="0" fontId="19" fillId="0" borderId="0"/>
    <xf numFmtId="0" fontId="19" fillId="0" borderId="0"/>
    <xf numFmtId="0" fontId="20" fillId="0" borderId="0"/>
    <xf numFmtId="0" fontId="27" fillId="0" borderId="0" applyNumberFormat="0" applyAlignment="0">
      <alignment horizontal="left"/>
    </xf>
    <xf numFmtId="0" fontId="19" fillId="0" borderId="0"/>
    <xf numFmtId="0" fontId="19" fillId="0" borderId="0"/>
    <xf numFmtId="0" fontId="19" fillId="0" borderId="0"/>
    <xf numFmtId="185" fontId="2" fillId="0" borderId="0" applyFont="0" applyFill="0" applyBorder="0" applyAlignment="0" applyProtection="0"/>
    <xf numFmtId="164" fontId="9" fillId="0" borderId="0" applyFont="0" applyFill="0" applyBorder="0" applyAlignment="0" applyProtection="0">
      <alignment vertical="top"/>
    </xf>
    <xf numFmtId="0" fontId="28" fillId="0" borderId="0" applyFont="0" applyFill="0" applyBorder="0" applyAlignment="0" applyProtection="0"/>
    <xf numFmtId="0" fontId="9" fillId="0" borderId="0" applyFont="0" applyFill="0" applyBorder="0" applyAlignment="0" applyProtection="0">
      <alignment vertical="top"/>
    </xf>
    <xf numFmtId="0" fontId="19" fillId="0" borderId="0"/>
    <xf numFmtId="0" fontId="19" fillId="0" borderId="0"/>
    <xf numFmtId="14" fontId="29" fillId="0" borderId="0" applyFill="0" applyBorder="0" applyAlignment="0"/>
    <xf numFmtId="15" fontId="30" fillId="0" borderId="0"/>
    <xf numFmtId="38" fontId="30" fillId="0" borderId="2">
      <alignment vertical="center"/>
    </xf>
    <xf numFmtId="184" fontId="2" fillId="0" borderId="0" applyFill="0" applyBorder="0" applyAlignment="0"/>
    <xf numFmtId="185" fontId="2" fillId="0" borderId="0" applyFill="0" applyBorder="0" applyAlignment="0"/>
    <xf numFmtId="184" fontId="2" fillId="0" borderId="0" applyFill="0" applyBorder="0" applyAlignment="0"/>
    <xf numFmtId="185" fontId="2" fillId="0" borderId="0" applyFill="0" applyBorder="0" applyAlignment="0"/>
    <xf numFmtId="185" fontId="2" fillId="0" borderId="0" applyFill="0" applyBorder="0" applyAlignment="0"/>
    <xf numFmtId="0" fontId="31" fillId="0" borderId="0" applyNumberFormat="0" applyAlignment="0">
      <alignment horizontal="left"/>
    </xf>
    <xf numFmtId="178" fontId="2" fillId="0" borderId="0" applyFont="0" applyFill="0" applyBorder="0" applyAlignment="0" applyProtection="0"/>
    <xf numFmtId="2" fontId="9" fillId="0" borderId="0" applyFont="0" applyFill="0" applyBorder="0" applyAlignment="0" applyProtection="0">
      <alignment vertical="top"/>
    </xf>
    <xf numFmtId="0" fontId="19" fillId="0" borderId="0"/>
    <xf numFmtId="174" fontId="10" fillId="0" borderId="3">
      <alignment horizontal="right"/>
    </xf>
    <xf numFmtId="38" fontId="5" fillId="2" borderId="0" applyNumberFormat="0" applyBorder="0" applyAlignment="0" applyProtection="0"/>
    <xf numFmtId="0" fontId="4" fillId="0" borderId="4" applyNumberFormat="0" applyAlignment="0" applyProtection="0">
      <alignment horizontal="left" vertical="center"/>
    </xf>
    <xf numFmtId="0" fontId="4" fillId="0" borderId="5">
      <alignment horizontal="left" vertical="center"/>
    </xf>
    <xf numFmtId="0" fontId="11" fillId="0" borderId="0" applyNumberFormat="0" applyFill="0" applyBorder="0" applyAlignment="0" applyProtection="0">
      <alignment vertical="top"/>
    </xf>
    <xf numFmtId="0" fontId="12" fillId="0" borderId="0" applyNumberFormat="0" applyFill="0" applyBorder="0" applyAlignment="0" applyProtection="0">
      <alignment vertical="top"/>
    </xf>
    <xf numFmtId="0" fontId="32" fillId="0" borderId="6">
      <alignment horizontal="center"/>
    </xf>
    <xf numFmtId="0" fontId="32" fillId="0" borderId="0">
      <alignment horizontal="center"/>
    </xf>
    <xf numFmtId="0" fontId="13" fillId="0" borderId="0" applyNumberFormat="0" applyFill="0" applyBorder="0" applyAlignment="0" applyProtection="0">
      <alignment vertical="top"/>
      <protection locked="0"/>
    </xf>
    <xf numFmtId="10" fontId="5" fillId="3" borderId="7" applyNumberFormat="0" applyBorder="0" applyAlignment="0" applyProtection="0"/>
    <xf numFmtId="184" fontId="2" fillId="0" borderId="0" applyFill="0" applyBorder="0" applyAlignment="0"/>
    <xf numFmtId="185" fontId="2" fillId="0" borderId="0" applyFill="0" applyBorder="0" applyAlignment="0"/>
    <xf numFmtId="184" fontId="2" fillId="0" borderId="0" applyFill="0" applyBorder="0" applyAlignment="0"/>
    <xf numFmtId="185" fontId="2" fillId="0" borderId="0" applyFill="0" applyBorder="0" applyAlignment="0"/>
    <xf numFmtId="185" fontId="2" fillId="0" borderId="0" applyFill="0" applyBorder="0" applyAlignment="0"/>
    <xf numFmtId="0" fontId="21" fillId="4" borderId="0" applyNumberFormat="0" applyFont="0" applyAlignment="0" applyProtection="0"/>
    <xf numFmtId="0" fontId="22" fillId="5" borderId="0" applyNumberFormat="0" applyFont="0" applyAlignment="0">
      <alignment horizontal="right"/>
    </xf>
    <xf numFmtId="0" fontId="21" fillId="0" borderId="0" applyNumberFormat="0" applyFont="0" applyAlignment="0" applyProtection="0"/>
    <xf numFmtId="177" fontId="2" fillId="0" borderId="0" applyFont="0" applyFill="0" applyBorder="0" applyAlignment="0" applyProtection="0"/>
    <xf numFmtId="0" fontId="14" fillId="0" borderId="0" applyFont="0" applyFill="0" applyBorder="0" applyAlignment="0" applyProtection="0"/>
    <xf numFmtId="176" fontId="2" fillId="0" borderId="0" applyFont="0" applyFill="0" applyBorder="0" applyAlignment="0" applyProtection="0"/>
    <xf numFmtId="175" fontId="2" fillId="0" borderId="0" applyFont="0" applyFill="0" applyBorder="0" applyAlignment="0" applyProtection="0"/>
    <xf numFmtId="0" fontId="33" fillId="0" borderId="0"/>
    <xf numFmtId="37" fontId="15" fillId="0" borderId="0"/>
    <xf numFmtId="169" fontId="2" fillId="0" borderId="0"/>
    <xf numFmtId="0" fontId="3" fillId="0" borderId="0"/>
    <xf numFmtId="0" fontId="2" fillId="0" borderId="0"/>
    <xf numFmtId="0" fontId="3" fillId="0" borderId="0"/>
    <xf numFmtId="0" fontId="38" fillId="0" borderId="0"/>
    <xf numFmtId="0" fontId="24" fillId="0" borderId="0"/>
    <xf numFmtId="0" fontId="24" fillId="0" borderId="0"/>
    <xf numFmtId="0" fontId="45" fillId="0" borderId="0"/>
    <xf numFmtId="0" fontId="23" fillId="0" borderId="0"/>
    <xf numFmtId="0" fontId="40" fillId="0" borderId="0"/>
    <xf numFmtId="0" fontId="44" fillId="0" borderId="0"/>
    <xf numFmtId="167" fontId="14" fillId="0" borderId="0" applyFont="0" applyFill="0" applyBorder="0" applyAlignment="0" applyProtection="0"/>
    <xf numFmtId="166" fontId="14" fillId="0" borderId="0" applyFont="0" applyFill="0" applyBorder="0" applyAlignment="0" applyProtection="0"/>
    <xf numFmtId="14" fontId="25" fillId="0" borderId="0">
      <alignment horizontal="center" wrapText="1"/>
      <protection locked="0"/>
    </xf>
    <xf numFmtId="0" fontId="19" fillId="0" borderId="0"/>
    <xf numFmtId="184" fontId="2" fillId="0" borderId="0" applyFont="0" applyFill="0" applyBorder="0" applyAlignment="0" applyProtection="0"/>
    <xf numFmtId="183" fontId="2" fillId="0" borderId="0" applyFont="0" applyFill="0" applyBorder="0" applyAlignment="0" applyProtection="0"/>
    <xf numFmtId="10" fontId="2" fillId="0" borderId="0" applyFont="0" applyFill="0" applyBorder="0" applyAlignment="0" applyProtection="0"/>
    <xf numFmtId="9" fontId="3" fillId="0" borderId="0" applyFont="0" applyFill="0" applyBorder="0" applyAlignment="0" applyProtection="0"/>
    <xf numFmtId="0" fontId="16" fillId="0" borderId="0" applyFont="0"/>
    <xf numFmtId="184" fontId="2" fillId="0" borderId="0" applyFill="0" applyBorder="0" applyAlignment="0"/>
    <xf numFmtId="185" fontId="2" fillId="0" borderId="0" applyFill="0" applyBorder="0" applyAlignment="0"/>
    <xf numFmtId="184" fontId="2" fillId="0" borderId="0" applyFill="0" applyBorder="0" applyAlignment="0"/>
    <xf numFmtId="185" fontId="2" fillId="0" borderId="0" applyFill="0" applyBorder="0" applyAlignment="0"/>
    <xf numFmtId="185" fontId="2" fillId="0" borderId="0" applyFill="0" applyBorder="0" applyAlignment="0"/>
    <xf numFmtId="0" fontId="34" fillId="6" borderId="0" applyNumberFormat="0" applyFont="0" applyBorder="0" applyAlignment="0">
      <alignment horizontal="center"/>
    </xf>
    <xf numFmtId="182" fontId="35" fillId="0" borderId="0" applyNumberFormat="0" applyFill="0" applyBorder="0" applyAlignment="0" applyProtection="0">
      <alignment horizontal="left"/>
    </xf>
    <xf numFmtId="0" fontId="3" fillId="0" borderId="0"/>
    <xf numFmtId="0" fontId="34" fillId="1" borderId="5" applyNumberFormat="0" applyFont="0" applyAlignment="0">
      <alignment horizontal="center"/>
    </xf>
    <xf numFmtId="0" fontId="17" fillId="0" borderId="0" applyNumberFormat="0" applyFill="0" applyBorder="0" applyAlignment="0" applyProtection="0">
      <alignment vertical="top"/>
      <protection locked="0"/>
    </xf>
    <xf numFmtId="0" fontId="36" fillId="0" borderId="0" applyNumberFormat="0" applyFill="0" applyBorder="0" applyAlignment="0">
      <alignment horizontal="center"/>
    </xf>
    <xf numFmtId="0" fontId="2" fillId="0" borderId="0"/>
    <xf numFmtId="0" fontId="2" fillId="0" borderId="0" applyNumberFormat="0" applyFill="0" applyBorder="0" applyAlignment="0" applyProtection="0"/>
    <xf numFmtId="40" fontId="37" fillId="0" borderId="0" applyBorder="0">
      <alignment horizontal="right"/>
    </xf>
    <xf numFmtId="0" fontId="18" fillId="0" borderId="0" applyNumberFormat="0" applyFont="0" applyFill="0" applyBorder="0" applyAlignment="0"/>
    <xf numFmtId="49" fontId="29" fillId="0" borderId="0" applyFill="0" applyBorder="0" applyAlignment="0"/>
    <xf numFmtId="181" fontId="2" fillId="0" borderId="0" applyFill="0" applyBorder="0" applyAlignment="0"/>
    <xf numFmtId="184" fontId="2" fillId="0" borderId="0" applyFill="0" applyBorder="0" applyAlignment="0"/>
    <xf numFmtId="0" fontId="9" fillId="0" borderId="8" applyNumberFormat="0" applyFont="0" applyFill="0" applyAlignment="0" applyProtection="0">
      <alignment vertical="top"/>
    </xf>
    <xf numFmtId="0" fontId="2" fillId="0" borderId="0" applyFont="0" applyFill="0" applyBorder="0" applyAlignment="0" applyProtection="0"/>
    <xf numFmtId="0" fontId="2" fillId="0" borderId="0" applyFont="0" applyFill="0" applyBorder="0" applyAlignment="0" applyProtection="0"/>
    <xf numFmtId="0" fontId="2" fillId="0" borderId="0"/>
    <xf numFmtId="180" fontId="2" fillId="0" borderId="0" applyFont="0" applyFill="0" applyBorder="0" applyAlignment="0" applyProtection="0"/>
    <xf numFmtId="179" fontId="2" fillId="0" borderId="0" applyFon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9" fontId="58" fillId="0" borderId="0" applyFont="0" applyFill="0" applyBorder="0" applyAlignment="0" applyProtection="0"/>
  </cellStyleXfs>
  <cellXfs count="624">
    <xf numFmtId="0" fontId="0" fillId="0" borderId="0" xfId="0"/>
    <xf numFmtId="0" fontId="47" fillId="0" borderId="0" xfId="0" applyFont="1" applyFill="1"/>
    <xf numFmtId="168" fontId="47" fillId="0" borderId="0" xfId="17" applyNumberFormat="1" applyFont="1" applyFill="1"/>
    <xf numFmtId="168" fontId="47" fillId="0" borderId="0" xfId="17" applyNumberFormat="1" applyFont="1" applyFill="1" applyBorder="1"/>
    <xf numFmtId="168" fontId="47" fillId="0" borderId="0" xfId="0" applyNumberFormat="1" applyFont="1" applyFill="1" applyBorder="1"/>
    <xf numFmtId="0" fontId="47" fillId="0" borderId="0" xfId="0" applyFont="1" applyFill="1" applyBorder="1"/>
    <xf numFmtId="0" fontId="46" fillId="0" borderId="15" xfId="0" applyFont="1" applyFill="1" applyBorder="1" applyAlignment="1">
      <alignment horizontal="left"/>
    </xf>
    <xf numFmtId="170" fontId="47" fillId="0" borderId="15" xfId="0" applyNumberFormat="1" applyFont="1" applyFill="1" applyBorder="1" applyAlignment="1">
      <alignment horizontal="center"/>
    </xf>
    <xf numFmtId="0" fontId="47" fillId="0" borderId="18" xfId="0" applyFont="1" applyFill="1" applyBorder="1" applyAlignment="1">
      <alignment horizontal="center"/>
    </xf>
    <xf numFmtId="0" fontId="47" fillId="0" borderId="0" xfId="0" applyFont="1" applyFill="1" applyBorder="1" applyAlignment="1">
      <alignment horizontal="center"/>
    </xf>
    <xf numFmtId="168" fontId="46" fillId="0" borderId="0" xfId="17" applyNumberFormat="1" applyFont="1" applyFill="1" applyBorder="1"/>
    <xf numFmtId="168" fontId="47" fillId="0" borderId="0" xfId="17" applyNumberFormat="1" applyFont="1" applyFill="1" applyBorder="1" applyAlignment="1"/>
    <xf numFmtId="165" fontId="47" fillId="0" borderId="0" xfId="17" applyFont="1" applyFill="1" applyBorder="1"/>
    <xf numFmtId="0" fontId="47" fillId="0" borderId="17" xfId="0" applyFont="1" applyFill="1" applyBorder="1" applyAlignment="1">
      <alignment horizontal="center"/>
    </xf>
    <xf numFmtId="168" fontId="46" fillId="0" borderId="17" xfId="17" applyNumberFormat="1" applyFont="1" applyFill="1" applyBorder="1" applyAlignment="1">
      <alignment horizontal="right"/>
    </xf>
    <xf numFmtId="0" fontId="47" fillId="0" borderId="15" xfId="0" applyFont="1" applyFill="1" applyBorder="1" applyAlignment="1">
      <alignment horizontal="center"/>
    </xf>
    <xf numFmtId="165" fontId="47" fillId="0" borderId="0" xfId="0" applyNumberFormat="1" applyFont="1" applyFill="1" applyBorder="1"/>
    <xf numFmtId="170" fontId="47" fillId="0" borderId="18" xfId="0" applyNumberFormat="1" applyFont="1" applyFill="1" applyBorder="1" applyAlignment="1">
      <alignment horizontal="center"/>
    </xf>
    <xf numFmtId="0" fontId="47" fillId="0" borderId="13" xfId="0" applyFont="1" applyFill="1" applyBorder="1" applyAlignment="1">
      <alignment horizontal="center"/>
    </xf>
    <xf numFmtId="0" fontId="46" fillId="0" borderId="0" xfId="0" applyFont="1" applyFill="1" applyBorder="1"/>
    <xf numFmtId="0" fontId="47" fillId="0" borderId="0" xfId="0" applyFont="1" applyFill="1" applyBorder="1" applyAlignment="1">
      <alignment wrapText="1"/>
    </xf>
    <xf numFmtId="165" fontId="47" fillId="0" borderId="15" xfId="0" applyNumberFormat="1" applyFont="1" applyFill="1" applyBorder="1" applyAlignment="1">
      <alignment horizontal="center"/>
    </xf>
    <xf numFmtId="0" fontId="47" fillId="0" borderId="0" xfId="0" applyFont="1" applyFill="1" applyBorder="1" applyAlignment="1"/>
    <xf numFmtId="0" fontId="47" fillId="0" borderId="15" xfId="0" applyFont="1" applyFill="1" applyBorder="1" applyAlignment="1">
      <alignment vertical="center"/>
    </xf>
    <xf numFmtId="168" fontId="47" fillId="0" borderId="15" xfId="17" applyNumberFormat="1" applyFont="1" applyFill="1" applyBorder="1" applyAlignment="1"/>
    <xf numFmtId="0" fontId="47" fillId="0" borderId="15" xfId="0" applyFont="1" applyFill="1" applyBorder="1" applyAlignment="1"/>
    <xf numFmtId="165" fontId="47" fillId="0" borderId="15" xfId="17" applyFont="1" applyFill="1" applyBorder="1" applyAlignment="1">
      <alignment horizontal="center"/>
    </xf>
    <xf numFmtId="165" fontId="47" fillId="0" borderId="15" xfId="17" applyFont="1" applyFill="1" applyBorder="1" applyAlignment="1"/>
    <xf numFmtId="170" fontId="47" fillId="0" borderId="15" xfId="0" applyNumberFormat="1" applyFont="1" applyFill="1" applyBorder="1" applyAlignment="1">
      <alignment horizontal="left"/>
    </xf>
    <xf numFmtId="0" fontId="47" fillId="0" borderId="0" xfId="0" applyFont="1" applyFill="1" applyBorder="1" applyAlignment="1">
      <alignment horizontal="center" wrapText="1"/>
    </xf>
    <xf numFmtId="168" fontId="47" fillId="0" borderId="0" xfId="17" applyNumberFormat="1" applyFont="1" applyFill="1" applyBorder="1" applyAlignment="1">
      <alignment horizontal="right"/>
    </xf>
    <xf numFmtId="0" fontId="47" fillId="0" borderId="0" xfId="0" applyFont="1" applyFill="1" applyBorder="1" applyAlignment="1">
      <alignment horizontal="left"/>
    </xf>
    <xf numFmtId="0" fontId="46" fillId="0" borderId="15" xfId="0" applyFont="1" applyFill="1" applyBorder="1" applyAlignment="1"/>
    <xf numFmtId="168" fontId="46" fillId="0" borderId="15" xfId="17" applyNumberFormat="1" applyFont="1" applyFill="1" applyBorder="1" applyAlignment="1">
      <alignment horizontal="center"/>
    </xf>
    <xf numFmtId="168" fontId="47" fillId="0" borderId="0" xfId="0" applyNumberFormat="1" applyFont="1" applyFill="1" applyBorder="1" applyAlignment="1"/>
    <xf numFmtId="168" fontId="46" fillId="0" borderId="15" xfId="17" applyNumberFormat="1" applyFont="1" applyFill="1" applyBorder="1" applyAlignment="1"/>
    <xf numFmtId="168" fontId="47" fillId="0" borderId="15" xfId="17" applyNumberFormat="1" applyFont="1" applyFill="1" applyBorder="1" applyAlignment="1">
      <alignment horizontal="center"/>
    </xf>
    <xf numFmtId="0" fontId="47" fillId="0" borderId="15" xfId="0" applyFont="1" applyFill="1" applyBorder="1" applyAlignment="1">
      <alignment horizontal="center" vertical="center"/>
    </xf>
    <xf numFmtId="165" fontId="46" fillId="0" borderId="15" xfId="17" applyFont="1" applyFill="1" applyBorder="1" applyAlignment="1"/>
    <xf numFmtId="0" fontId="47" fillId="0" borderId="15" xfId="17" applyNumberFormat="1" applyFont="1" applyFill="1" applyBorder="1" applyAlignment="1">
      <alignment horizontal="center"/>
    </xf>
    <xf numFmtId="170" fontId="47" fillId="0" borderId="15" xfId="0" applyNumberFormat="1" applyFont="1" applyFill="1" applyBorder="1" applyAlignment="1"/>
    <xf numFmtId="168" fontId="47" fillId="0" borderId="15" xfId="0" applyNumberFormat="1" applyFont="1" applyFill="1" applyBorder="1" applyAlignment="1">
      <alignment horizontal="center"/>
    </xf>
    <xf numFmtId="165" fontId="47" fillId="0" borderId="0" xfId="17" applyFont="1" applyFill="1" applyBorder="1" applyAlignment="1"/>
    <xf numFmtId="0" fontId="46" fillId="0" borderId="15" xfId="0" applyFont="1" applyFill="1" applyBorder="1" applyAlignment="1">
      <alignment horizontal="center" vertical="center"/>
    </xf>
    <xf numFmtId="0" fontId="46" fillId="0" borderId="18" xfId="0" applyFont="1" applyFill="1" applyBorder="1" applyAlignment="1"/>
    <xf numFmtId="0" fontId="47" fillId="0" borderId="18" xfId="0" applyFont="1" applyFill="1" applyBorder="1" applyAlignment="1"/>
    <xf numFmtId="168" fontId="47" fillId="0" borderId="18" xfId="17" applyNumberFormat="1" applyFont="1" applyFill="1" applyBorder="1" applyAlignment="1"/>
    <xf numFmtId="0" fontId="47" fillId="0" borderId="18" xfId="0" applyFont="1" applyFill="1" applyBorder="1" applyAlignment="1">
      <alignment horizontal="center" vertical="center"/>
    </xf>
    <xf numFmtId="0" fontId="47" fillId="0" borderId="18" xfId="0" applyFont="1" applyFill="1" applyBorder="1" applyAlignment="1">
      <alignment horizontal="left" vertical="center"/>
    </xf>
    <xf numFmtId="0" fontId="47" fillId="0" borderId="15" xfId="0" applyFont="1" applyFill="1" applyBorder="1" applyAlignment="1">
      <alignment horizontal="left"/>
    </xf>
    <xf numFmtId="0" fontId="47" fillId="0" borderId="18" xfId="0" applyFont="1" applyFill="1" applyBorder="1" applyAlignment="1">
      <alignment vertical="center"/>
    </xf>
    <xf numFmtId="0" fontId="46" fillId="0" borderId="18" xfId="0" applyFont="1" applyFill="1" applyBorder="1" applyAlignment="1">
      <alignment horizontal="left"/>
    </xf>
    <xf numFmtId="168" fontId="46" fillId="0" borderId="0" xfId="0" applyNumberFormat="1" applyFont="1" applyFill="1" applyBorder="1"/>
    <xf numFmtId="0" fontId="47" fillId="0" borderId="3" xfId="0" applyFont="1" applyFill="1" applyBorder="1" applyAlignment="1">
      <alignment horizontal="center"/>
    </xf>
    <xf numFmtId="168" fontId="46" fillId="0" borderId="3" xfId="17" applyNumberFormat="1" applyFont="1" applyFill="1" applyBorder="1" applyAlignment="1">
      <alignment horizontal="right"/>
    </xf>
    <xf numFmtId="168" fontId="47" fillId="0" borderId="0" xfId="28" applyNumberFormat="1" applyFont="1" applyFill="1" applyBorder="1"/>
    <xf numFmtId="168" fontId="46" fillId="0" borderId="0" xfId="28" applyNumberFormat="1" applyFont="1" applyFill="1" applyBorder="1"/>
    <xf numFmtId="0" fontId="47" fillId="0" borderId="3" xfId="0" applyFont="1" applyFill="1" applyBorder="1" applyAlignment="1"/>
    <xf numFmtId="0" fontId="47" fillId="0" borderId="15" xfId="0" quotePrefix="1" applyFont="1" applyFill="1" applyBorder="1" applyAlignment="1">
      <alignment horizontal="center"/>
    </xf>
    <xf numFmtId="0" fontId="47" fillId="0" borderId="13" xfId="0" applyFont="1" applyFill="1" applyBorder="1" applyAlignment="1"/>
    <xf numFmtId="0" fontId="46" fillId="0" borderId="0" xfId="0" applyFont="1" applyFill="1" applyBorder="1" applyAlignment="1">
      <alignment horizontal="center" wrapText="1"/>
    </xf>
    <xf numFmtId="165" fontId="47" fillId="0" borderId="0" xfId="0" applyNumberFormat="1" applyFont="1" applyFill="1" applyBorder="1" applyAlignment="1">
      <alignment horizontal="center" wrapText="1"/>
    </xf>
    <xf numFmtId="165" fontId="46" fillId="0" borderId="0" xfId="28" applyFont="1" applyFill="1" applyBorder="1"/>
    <xf numFmtId="168" fontId="47" fillId="0" borderId="0" xfId="0" applyNumberFormat="1" applyFont="1" applyFill="1" applyBorder="1" applyAlignment="1">
      <alignment horizontal="center" wrapText="1"/>
    </xf>
    <xf numFmtId="0" fontId="46" fillId="0" borderId="17" xfId="0" applyFont="1" applyFill="1" applyBorder="1" applyAlignment="1"/>
    <xf numFmtId="0" fontId="47" fillId="0" borderId="17" xfId="0" applyFont="1" applyFill="1" applyBorder="1" applyAlignment="1"/>
    <xf numFmtId="168" fontId="46" fillId="0" borderId="17" xfId="28" applyNumberFormat="1" applyFont="1" applyFill="1" applyBorder="1" applyAlignment="1"/>
    <xf numFmtId="168" fontId="46" fillId="0" borderId="15" xfId="28" applyNumberFormat="1" applyFont="1" applyFill="1" applyBorder="1" applyAlignment="1"/>
    <xf numFmtId="168" fontId="47" fillId="0" borderId="15" xfId="28" applyNumberFormat="1" applyFont="1" applyFill="1" applyBorder="1" applyAlignment="1"/>
    <xf numFmtId="165" fontId="46" fillId="0" borderId="15" xfId="0" applyNumberFormat="1" applyFont="1" applyFill="1" applyBorder="1" applyAlignment="1"/>
    <xf numFmtId="165" fontId="47" fillId="0" borderId="15" xfId="0" applyNumberFormat="1" applyFont="1" applyFill="1" applyBorder="1" applyAlignment="1"/>
    <xf numFmtId="168" fontId="47" fillId="0" borderId="3" xfId="28" applyNumberFormat="1" applyFont="1" applyFill="1" applyBorder="1" applyAlignment="1"/>
    <xf numFmtId="168" fontId="47" fillId="0" borderId="15" xfId="0" applyNumberFormat="1" applyFont="1" applyFill="1" applyBorder="1" applyAlignment="1"/>
    <xf numFmtId="0" fontId="46" fillId="0" borderId="13" xfId="0" applyFont="1" applyFill="1" applyBorder="1" applyAlignment="1"/>
    <xf numFmtId="168" fontId="46" fillId="0" borderId="13" xfId="28" applyNumberFormat="1" applyFont="1" applyFill="1" applyBorder="1" applyAlignment="1"/>
    <xf numFmtId="168" fontId="47" fillId="0" borderId="13" xfId="17" applyNumberFormat="1" applyFont="1" applyFill="1" applyBorder="1" applyAlignment="1"/>
    <xf numFmtId="0" fontId="46" fillId="0" borderId="17" xfId="0" applyFont="1" applyFill="1" applyBorder="1" applyAlignment="1">
      <alignment horizontal="right"/>
    </xf>
    <xf numFmtId="0" fontId="46" fillId="0" borderId="3" xfId="0" applyFont="1" applyFill="1" applyBorder="1" applyAlignment="1">
      <alignment horizontal="right"/>
    </xf>
    <xf numFmtId="165" fontId="47" fillId="0" borderId="3" xfId="0" applyNumberFormat="1" applyFont="1" applyFill="1" applyBorder="1" applyAlignment="1">
      <alignment horizontal="center"/>
    </xf>
    <xf numFmtId="0" fontId="47" fillId="0" borderId="15" xfId="0" applyFont="1" applyFill="1" applyBorder="1" applyAlignment="1">
      <alignment horizontal="right"/>
    </xf>
    <xf numFmtId="0" fontId="46" fillId="0" borderId="3" xfId="0" applyFont="1" applyFill="1" applyBorder="1" applyAlignment="1"/>
    <xf numFmtId="0" fontId="47" fillId="0" borderId="9" xfId="0" applyFont="1" applyFill="1" applyBorder="1"/>
    <xf numFmtId="0" fontId="46" fillId="0" borderId="7" xfId="0" applyFont="1" applyFill="1" applyBorder="1" applyAlignment="1">
      <alignment horizontal="center" vertical="center" wrapText="1"/>
    </xf>
    <xf numFmtId="0" fontId="46" fillId="0" borderId="35" xfId="0" applyFont="1" applyFill="1" applyBorder="1" applyAlignment="1">
      <alignment horizontal="center" vertical="center" wrapText="1"/>
    </xf>
    <xf numFmtId="168" fontId="46" fillId="0" borderId="7" xfId="0" applyNumberFormat="1" applyFont="1" applyFill="1" applyBorder="1" applyAlignment="1">
      <alignment horizontal="center" vertical="center" wrapText="1"/>
    </xf>
    <xf numFmtId="168" fontId="46" fillId="0" borderId="7" xfId="17" applyNumberFormat="1" applyFont="1" applyFill="1" applyBorder="1" applyAlignment="1">
      <alignment horizontal="center" vertical="center" wrapText="1"/>
    </xf>
    <xf numFmtId="189" fontId="47" fillId="0" borderId="32" xfId="17" applyNumberFormat="1" applyFont="1" applyFill="1" applyBorder="1" applyAlignment="1">
      <alignment horizontal="center" vertical="center" wrapText="1"/>
    </xf>
    <xf numFmtId="189" fontId="47" fillId="0" borderId="33" xfId="17" applyNumberFormat="1" applyFont="1" applyFill="1" applyBorder="1" applyAlignment="1">
      <alignment horizontal="center" vertical="center" wrapText="1"/>
    </xf>
    <xf numFmtId="168" fontId="46" fillId="0" borderId="7" xfId="28" applyNumberFormat="1" applyFont="1" applyFill="1" applyBorder="1" applyAlignment="1">
      <alignment horizontal="center" vertical="center" wrapText="1"/>
    </xf>
    <xf numFmtId="168" fontId="47" fillId="0" borderId="3" xfId="17" applyNumberFormat="1" applyFont="1" applyFill="1" applyBorder="1" applyAlignment="1"/>
    <xf numFmtId="165" fontId="47" fillId="0" borderId="0" xfId="0" applyNumberFormat="1" applyFont="1" applyFill="1" applyBorder="1" applyAlignment="1"/>
    <xf numFmtId="168" fontId="47" fillId="0" borderId="18" xfId="0" applyNumberFormat="1" applyFont="1" applyFill="1" applyBorder="1" applyAlignment="1"/>
    <xf numFmtId="165" fontId="47" fillId="0" borderId="18" xfId="0" applyNumberFormat="1" applyFont="1" applyFill="1" applyBorder="1" applyAlignment="1">
      <alignment horizontal="center"/>
    </xf>
    <xf numFmtId="0" fontId="47" fillId="0" borderId="16" xfId="0" applyFont="1" applyFill="1" applyBorder="1" applyAlignment="1"/>
    <xf numFmtId="168" fontId="47" fillId="0" borderId="16" xfId="17" applyNumberFormat="1" applyFont="1" applyFill="1" applyBorder="1" applyAlignment="1"/>
    <xf numFmtId="0" fontId="48" fillId="0" borderId="7" xfId="0" applyFont="1" applyFill="1" applyBorder="1" applyAlignment="1">
      <alignment horizontal="center" vertical="center" wrapText="1"/>
    </xf>
    <xf numFmtId="0" fontId="46" fillId="0" borderId="15" xfId="0" applyFont="1" applyFill="1" applyBorder="1" applyAlignment="1">
      <alignment horizontal="center"/>
    </xf>
    <xf numFmtId="165" fontId="47" fillId="0" borderId="15" xfId="17" applyFont="1" applyFill="1" applyBorder="1" applyAlignment="1">
      <alignment horizontal="center" vertical="center"/>
    </xf>
    <xf numFmtId="0" fontId="46" fillId="0" borderId="15" xfId="17" applyNumberFormat="1" applyFont="1" applyFill="1" applyBorder="1" applyAlignment="1">
      <alignment horizontal="left"/>
    </xf>
    <xf numFmtId="0" fontId="47" fillId="0" borderId="18" xfId="17" applyNumberFormat="1" applyFont="1" applyFill="1" applyBorder="1" applyAlignment="1">
      <alignment horizontal="center"/>
    </xf>
    <xf numFmtId="0" fontId="46" fillId="0" borderId="19" xfId="17" applyNumberFormat="1" applyFont="1" applyFill="1" applyBorder="1" applyAlignment="1">
      <alignment vertical="top"/>
    </xf>
    <xf numFmtId="168" fontId="46" fillId="0" borderId="3" xfId="17" applyNumberFormat="1" applyFont="1" applyFill="1" applyBorder="1" applyAlignment="1"/>
    <xf numFmtId="168" fontId="47" fillId="0" borderId="17" xfId="17" applyNumberFormat="1" applyFont="1" applyFill="1" applyBorder="1" applyAlignment="1"/>
    <xf numFmtId="165" fontId="47" fillId="0" borderId="17" xfId="0" applyNumberFormat="1" applyFont="1" applyFill="1" applyBorder="1" applyAlignment="1">
      <alignment horizontal="center"/>
    </xf>
    <xf numFmtId="165" fontId="46" fillId="0" borderId="19" xfId="17" applyFont="1" applyFill="1" applyBorder="1" applyAlignment="1">
      <alignment horizontal="left" vertical="top"/>
    </xf>
    <xf numFmtId="188" fontId="47" fillId="0" borderId="15" xfId="0" applyNumberFormat="1" applyFont="1" applyFill="1" applyBorder="1" applyAlignment="1">
      <alignment horizontal="center"/>
    </xf>
    <xf numFmtId="170" fontId="47" fillId="0" borderId="18" xfId="0" applyNumberFormat="1" applyFont="1" applyFill="1" applyBorder="1" applyAlignment="1"/>
    <xf numFmtId="0" fontId="46" fillId="0" borderId="19" xfId="0" applyFont="1" applyFill="1" applyBorder="1" applyAlignment="1"/>
    <xf numFmtId="0" fontId="46" fillId="0" borderId="19" xfId="0" applyFont="1" applyFill="1" applyBorder="1" applyAlignment="1">
      <alignment vertical="top"/>
    </xf>
    <xf numFmtId="165" fontId="46" fillId="0" borderId="19" xfId="17" applyFont="1" applyFill="1" applyBorder="1" applyAlignment="1">
      <alignment vertical="top"/>
    </xf>
    <xf numFmtId="0" fontId="46" fillId="0" borderId="19" xfId="0" applyFont="1" applyFill="1" applyBorder="1" applyAlignment="1">
      <alignment horizontal="left" vertical="top"/>
    </xf>
    <xf numFmtId="14" fontId="47" fillId="0" borderId="0" xfId="0" applyNumberFormat="1" applyFont="1" applyFill="1" applyBorder="1" applyAlignment="1">
      <alignment horizontal="left" vertical="center"/>
    </xf>
    <xf numFmtId="9" fontId="47" fillId="0" borderId="0" xfId="0" applyNumberFormat="1" applyFont="1" applyFill="1" applyBorder="1" applyAlignment="1">
      <alignment horizontal="center" vertical="center"/>
    </xf>
    <xf numFmtId="14" fontId="47" fillId="0" borderId="0" xfId="0" applyNumberFormat="1" applyFont="1" applyFill="1" applyBorder="1"/>
    <xf numFmtId="0" fontId="47" fillId="0" borderId="36" xfId="0" applyFont="1" applyFill="1" applyBorder="1" applyAlignment="1">
      <alignment wrapText="1"/>
    </xf>
    <xf numFmtId="0" fontId="49" fillId="0" borderId="0" xfId="0" applyFont="1" applyFill="1" applyBorder="1"/>
    <xf numFmtId="168" fontId="48" fillId="0" borderId="7" xfId="0" applyNumberFormat="1" applyFont="1" applyFill="1" applyBorder="1" applyAlignment="1">
      <alignment horizontal="center" vertical="center" wrapText="1"/>
    </xf>
    <xf numFmtId="168" fontId="48" fillId="0" borderId="7" xfId="17" applyNumberFormat="1" applyFont="1" applyFill="1" applyBorder="1" applyAlignment="1">
      <alignment horizontal="center" vertical="center" wrapText="1"/>
    </xf>
    <xf numFmtId="190" fontId="47" fillId="0" borderId="35" xfId="17" applyNumberFormat="1" applyFont="1" applyFill="1" applyBorder="1"/>
    <xf numFmtId="0" fontId="47" fillId="0" borderId="35" xfId="0" applyFont="1" applyFill="1" applyBorder="1"/>
    <xf numFmtId="190" fontId="46" fillId="0" borderId="35" xfId="17" applyNumberFormat="1" applyFont="1" applyFill="1" applyBorder="1"/>
    <xf numFmtId="190" fontId="47" fillId="0" borderId="34" xfId="17" applyNumberFormat="1" applyFont="1" applyFill="1" applyBorder="1"/>
    <xf numFmtId="190" fontId="46" fillId="0" borderId="34" xfId="17" applyNumberFormat="1" applyFont="1" applyFill="1" applyBorder="1"/>
    <xf numFmtId="190" fontId="47" fillId="0" borderId="12" xfId="17" applyNumberFormat="1" applyFont="1" applyFill="1" applyBorder="1"/>
    <xf numFmtId="190" fontId="47" fillId="0" borderId="1" xfId="17" applyNumberFormat="1" applyFont="1" applyFill="1" applyBorder="1"/>
    <xf numFmtId="190" fontId="46" fillId="0" borderId="1" xfId="17" applyNumberFormat="1" applyFont="1" applyFill="1" applyBorder="1"/>
    <xf numFmtId="168" fontId="47" fillId="0" borderId="35" xfId="17" applyNumberFormat="1" applyFont="1" applyFill="1" applyBorder="1"/>
    <xf numFmtId="0" fontId="46" fillId="0" borderId="0" xfId="0" applyFont="1" applyFill="1"/>
    <xf numFmtId="168" fontId="46" fillId="0" borderId="0" xfId="0" applyNumberFormat="1" applyFont="1" applyFill="1"/>
    <xf numFmtId="0" fontId="47" fillId="0" borderId="0" xfId="0" applyFont="1" applyFill="1" applyAlignment="1">
      <alignment horizontal="center" vertical="center"/>
    </xf>
    <xf numFmtId="168" fontId="47" fillId="0" borderId="15" xfId="0" applyNumberFormat="1" applyFont="1" applyFill="1" applyBorder="1"/>
    <xf numFmtId="168" fontId="46" fillId="0" borderId="13" xfId="17" applyNumberFormat="1" applyFont="1" applyFill="1" applyBorder="1"/>
    <xf numFmtId="168" fontId="47" fillId="0" borderId="0" xfId="0" applyNumberFormat="1" applyFont="1" applyFill="1"/>
    <xf numFmtId="0" fontId="47" fillId="0" borderId="16" xfId="0" applyFont="1" applyFill="1" applyBorder="1"/>
    <xf numFmtId="168" fontId="47" fillId="0" borderId="16" xfId="17" applyNumberFormat="1" applyFont="1" applyFill="1" applyBorder="1"/>
    <xf numFmtId="168" fontId="46" fillId="0" borderId="35" xfId="17" applyNumberFormat="1" applyFont="1" applyFill="1" applyBorder="1"/>
    <xf numFmtId="168" fontId="47" fillId="0" borderId="12" xfId="17" applyNumberFormat="1" applyFont="1" applyFill="1" applyBorder="1"/>
    <xf numFmtId="168" fontId="46" fillId="0" borderId="34" xfId="17" applyNumberFormat="1" applyFont="1" applyFill="1" applyBorder="1"/>
    <xf numFmtId="43" fontId="47" fillId="0" borderId="0" xfId="0" applyNumberFormat="1" applyFont="1" applyFill="1" applyBorder="1" applyAlignment="1"/>
    <xf numFmtId="0" fontId="47" fillId="0" borderId="0" xfId="0" applyFont="1" applyFill="1" applyBorder="1" applyAlignment="1">
      <alignment horizontal="center" vertical="center"/>
    </xf>
    <xf numFmtId="168" fontId="46" fillId="0" borderId="1" xfId="17" applyNumberFormat="1" applyFont="1" applyFill="1" applyBorder="1"/>
    <xf numFmtId="0" fontId="46" fillId="0" borderId="16" xfId="0" applyFont="1" applyFill="1" applyBorder="1"/>
    <xf numFmtId="168" fontId="46" fillId="0" borderId="12" xfId="0" applyNumberFormat="1" applyFont="1" applyFill="1" applyBorder="1"/>
    <xf numFmtId="0" fontId="47" fillId="0" borderId="19" xfId="0" applyFont="1" applyFill="1" applyBorder="1" applyAlignment="1">
      <alignment horizontal="center"/>
    </xf>
    <xf numFmtId="0" fontId="49" fillId="0" borderId="32" xfId="0" applyFont="1" applyFill="1" applyBorder="1" applyAlignment="1">
      <alignment horizontal="center" wrapText="1"/>
    </xf>
    <xf numFmtId="168" fontId="46" fillId="0" borderId="17" xfId="17" applyNumberFormat="1" applyFont="1" applyFill="1" applyBorder="1" applyAlignment="1"/>
    <xf numFmtId="0" fontId="46" fillId="0" borderId="34" xfId="0" applyFont="1" applyFill="1" applyBorder="1"/>
    <xf numFmtId="0" fontId="47" fillId="0" borderId="34" xfId="0" applyFont="1" applyFill="1" applyBorder="1"/>
    <xf numFmtId="0" fontId="47" fillId="0" borderId="13" xfId="0" applyFont="1" applyFill="1" applyBorder="1"/>
    <xf numFmtId="168" fontId="47" fillId="0" borderId="13" xfId="0" applyNumberFormat="1" applyFont="1" applyFill="1" applyBorder="1"/>
    <xf numFmtId="168" fontId="47" fillId="0" borderId="13" xfId="17" applyNumberFormat="1" applyFont="1" applyFill="1" applyBorder="1" applyAlignment="1">
      <alignment horizontal="center"/>
    </xf>
    <xf numFmtId="0" fontId="46" fillId="0" borderId="0" xfId="0" applyFont="1" applyFill="1" applyBorder="1" applyAlignment="1"/>
    <xf numFmtId="190" fontId="47" fillId="0" borderId="0" xfId="0" applyNumberFormat="1" applyFont="1" applyFill="1"/>
    <xf numFmtId="0" fontId="47" fillId="0" borderId="0" xfId="0" applyFont="1" applyFill="1" applyAlignment="1"/>
    <xf numFmtId="190" fontId="47" fillId="0" borderId="0" xfId="17" applyNumberFormat="1" applyFont="1" applyFill="1"/>
    <xf numFmtId="190" fontId="47" fillId="0" borderId="0" xfId="17" applyNumberFormat="1" applyFont="1" applyFill="1" applyBorder="1"/>
    <xf numFmtId="0" fontId="46" fillId="0" borderId="35" xfId="0" applyFont="1" applyFill="1" applyBorder="1"/>
    <xf numFmtId="43" fontId="47" fillId="0" borderId="0" xfId="17" applyNumberFormat="1" applyFont="1" applyFill="1"/>
    <xf numFmtId="190" fontId="46" fillId="0" borderId="0" xfId="17" applyNumberFormat="1" applyFont="1" applyFill="1"/>
    <xf numFmtId="190" fontId="47" fillId="0" borderId="0" xfId="17" applyNumberFormat="1" applyFont="1" applyFill="1" applyAlignment="1"/>
    <xf numFmtId="14" fontId="47" fillId="0" borderId="0" xfId="0" applyNumberFormat="1" applyFont="1" applyFill="1"/>
    <xf numFmtId="0" fontId="46" fillId="0" borderId="10" xfId="0" applyFont="1" applyFill="1" applyBorder="1"/>
    <xf numFmtId="190" fontId="46" fillId="0" borderId="10" xfId="0" applyNumberFormat="1" applyFont="1" applyFill="1" applyBorder="1"/>
    <xf numFmtId="168" fontId="47" fillId="0" borderId="9" xfId="17" applyNumberFormat="1" applyFont="1" applyFill="1" applyBorder="1"/>
    <xf numFmtId="190" fontId="47" fillId="0" borderId="35" xfId="0" applyNumberFormat="1" applyFont="1" applyFill="1" applyBorder="1"/>
    <xf numFmtId="0" fontId="47" fillId="0" borderId="35" xfId="0" applyFont="1" applyFill="1" applyBorder="1" applyAlignment="1">
      <alignment wrapText="1"/>
    </xf>
    <xf numFmtId="168" fontId="46" fillId="0" borderId="32" xfId="17" applyNumberFormat="1" applyFont="1" applyFill="1" applyBorder="1" applyAlignment="1">
      <alignment vertical="center"/>
    </xf>
    <xf numFmtId="0" fontId="46" fillId="0" borderId="13" xfId="0" applyFont="1" applyFill="1" applyBorder="1"/>
    <xf numFmtId="0" fontId="47" fillId="0" borderId="1" xfId="0" applyFont="1" applyFill="1" applyBorder="1"/>
    <xf numFmtId="0" fontId="46" fillId="0" borderId="1" xfId="0" applyFont="1" applyFill="1" applyBorder="1"/>
    <xf numFmtId="168" fontId="46" fillId="0" borderId="10" xfId="17" applyNumberFormat="1" applyFont="1" applyFill="1" applyBorder="1" applyAlignment="1">
      <alignment vertical="center"/>
    </xf>
    <xf numFmtId="0" fontId="47" fillId="0" borderId="12" xfId="0" applyFont="1" applyFill="1" applyBorder="1"/>
    <xf numFmtId="0" fontId="47" fillId="0" borderId="42" xfId="0" applyFont="1" applyFill="1" applyBorder="1"/>
    <xf numFmtId="15" fontId="47" fillId="0" borderId="42" xfId="0" applyNumberFormat="1" applyFont="1" applyFill="1" applyBorder="1"/>
    <xf numFmtId="190" fontId="47" fillId="0" borderId="42" xfId="17" applyNumberFormat="1" applyFont="1" applyFill="1" applyBorder="1"/>
    <xf numFmtId="168" fontId="47" fillId="0" borderId="42" xfId="17" applyNumberFormat="1" applyFont="1" applyFill="1" applyBorder="1"/>
    <xf numFmtId="190" fontId="47" fillId="0" borderId="42" xfId="17" applyNumberFormat="1" applyFont="1" applyFill="1" applyBorder="1" applyAlignment="1"/>
    <xf numFmtId="0" fontId="46" fillId="0" borderId="17" xfId="0" applyFont="1" applyFill="1" applyBorder="1" applyAlignment="1">
      <alignment horizontal="center" vertical="center" wrapText="1"/>
    </xf>
    <xf numFmtId="168" fontId="46" fillId="0" borderId="17" xfId="17" applyNumberFormat="1" applyFont="1" applyFill="1" applyBorder="1" applyAlignment="1">
      <alignment horizontal="center" vertical="center" wrapText="1"/>
    </xf>
    <xf numFmtId="0" fontId="46" fillId="0" borderId="42" xfId="0" applyFont="1" applyFill="1" applyBorder="1" applyAlignment="1">
      <alignment horizontal="center" vertical="center" wrapText="1"/>
    </xf>
    <xf numFmtId="168" fontId="46" fillId="0" borderId="42" xfId="17" applyNumberFormat="1" applyFont="1" applyFill="1" applyBorder="1" applyAlignment="1">
      <alignment horizontal="center" vertical="center" wrapText="1"/>
    </xf>
    <xf numFmtId="165" fontId="47" fillId="0" borderId="0" xfId="17" applyFont="1" applyFill="1" applyBorder="1" applyAlignment="1">
      <alignment horizontal="center" wrapText="1"/>
    </xf>
    <xf numFmtId="168" fontId="47" fillId="0" borderId="16" xfId="0" applyNumberFormat="1" applyFont="1" applyFill="1" applyBorder="1" applyAlignment="1"/>
    <xf numFmtId="0" fontId="48" fillId="0" borderId="41" xfId="0" applyNumberFormat="1" applyFont="1" applyFill="1" applyBorder="1" applyAlignment="1">
      <alignment horizontal="center" vertical="center" wrapText="1"/>
    </xf>
    <xf numFmtId="168" fontId="46" fillId="0" borderId="41" xfId="17" applyNumberFormat="1" applyFont="1" applyFill="1" applyBorder="1" applyAlignment="1">
      <alignment horizontal="center" vertical="center" wrapText="1"/>
    </xf>
    <xf numFmtId="0" fontId="46" fillId="0" borderId="41" xfId="0" applyFont="1" applyFill="1" applyBorder="1" applyAlignment="1">
      <alignment horizontal="center" vertical="center" wrapText="1"/>
    </xf>
    <xf numFmtId="168" fontId="48" fillId="0" borderId="42" xfId="28" applyNumberFormat="1" applyFont="1" applyFill="1" applyBorder="1" applyAlignment="1">
      <alignment horizontal="center" vertical="center" wrapText="1"/>
    </xf>
    <xf numFmtId="168" fontId="46" fillId="0" borderId="42" xfId="28" applyNumberFormat="1" applyFont="1" applyFill="1" applyBorder="1" applyAlignment="1">
      <alignment horizontal="center" vertical="center" wrapText="1"/>
    </xf>
    <xf numFmtId="168" fontId="47" fillId="0" borderId="0" xfId="28" applyNumberFormat="1" applyFont="1" applyFill="1"/>
    <xf numFmtId="0" fontId="49" fillId="0" borderId="17" xfId="0" applyFont="1" applyFill="1" applyBorder="1" applyAlignment="1">
      <alignment horizontal="center" wrapText="1"/>
    </xf>
    <xf numFmtId="189" fontId="47" fillId="0" borderId="42" xfId="17" applyNumberFormat="1" applyFont="1" applyFill="1" applyBorder="1" applyAlignment="1">
      <alignment horizontal="center" vertical="center" wrapText="1"/>
    </xf>
    <xf numFmtId="0" fontId="49" fillId="0" borderId="42" xfId="0" applyFont="1" applyFill="1" applyBorder="1" applyAlignment="1">
      <alignment horizontal="center" wrapText="1"/>
    </xf>
    <xf numFmtId="0" fontId="47" fillId="0" borderId="42" xfId="0" applyFont="1" applyFill="1" applyBorder="1" applyAlignment="1">
      <alignment horizontal="center" vertical="center" wrapText="1"/>
    </xf>
    <xf numFmtId="15" fontId="47" fillId="0" borderId="15" xfId="0" applyNumberFormat="1" applyFont="1" applyFill="1" applyBorder="1" applyAlignment="1"/>
    <xf numFmtId="165" fontId="47" fillId="0" borderId="16" xfId="0" applyNumberFormat="1" applyFont="1" applyFill="1" applyBorder="1" applyAlignment="1"/>
    <xf numFmtId="15" fontId="47" fillId="0" borderId="18" xfId="0" applyNumberFormat="1" applyFont="1" applyFill="1" applyBorder="1" applyAlignment="1"/>
    <xf numFmtId="15" fontId="47" fillId="0" borderId="13" xfId="0" applyNumberFormat="1" applyFont="1" applyFill="1" applyBorder="1" applyAlignment="1"/>
    <xf numFmtId="0" fontId="47" fillId="0" borderId="0" xfId="93" applyFont="1" applyFill="1"/>
    <xf numFmtId="0" fontId="47" fillId="0" borderId="14" xfId="93" applyFont="1" applyFill="1" applyBorder="1"/>
    <xf numFmtId="0" fontId="47" fillId="0" borderId="48" xfId="93" applyFont="1" applyFill="1" applyBorder="1"/>
    <xf numFmtId="0" fontId="47" fillId="0" borderId="13" xfId="0" applyFont="1" applyFill="1" applyBorder="1" applyAlignment="1">
      <alignment horizontal="center" vertical="center" wrapText="1"/>
    </xf>
    <xf numFmtId="168" fontId="47" fillId="0" borderId="13" xfId="0" applyNumberFormat="1" applyFont="1" applyFill="1" applyBorder="1" applyAlignment="1"/>
    <xf numFmtId="168" fontId="47" fillId="0" borderId="22" xfId="0" applyNumberFormat="1" applyFont="1" applyFill="1" applyBorder="1"/>
    <xf numFmtId="168" fontId="46" fillId="0" borderId="13" xfId="28" applyNumberFormat="1" applyFont="1" applyFill="1" applyBorder="1"/>
    <xf numFmtId="168" fontId="46" fillId="0" borderId="46" xfId="28" applyNumberFormat="1" applyFont="1" applyFill="1" applyBorder="1"/>
    <xf numFmtId="189" fontId="47" fillId="0" borderId="17" xfId="17" applyNumberFormat="1" applyFont="1" applyFill="1" applyBorder="1" applyAlignment="1">
      <alignment horizontal="center" vertical="center" wrapText="1"/>
    </xf>
    <xf numFmtId="189" fontId="49" fillId="0" borderId="42" xfId="17" applyNumberFormat="1" applyFont="1" applyFill="1" applyBorder="1" applyAlignment="1">
      <alignment horizontal="center" vertical="center" wrapText="1"/>
    </xf>
    <xf numFmtId="168" fontId="49" fillId="0" borderId="42" xfId="17" applyNumberFormat="1" applyFont="1" applyFill="1" applyBorder="1" applyAlignment="1">
      <alignment horizontal="center" vertical="center" wrapText="1"/>
    </xf>
    <xf numFmtId="0" fontId="49" fillId="0" borderId="41" xfId="0" applyFont="1" applyFill="1" applyBorder="1" applyAlignment="1">
      <alignment horizontal="center" wrapText="1"/>
    </xf>
    <xf numFmtId="189" fontId="47" fillId="0" borderId="13" xfId="17" applyNumberFormat="1" applyFont="1" applyFill="1" applyBorder="1" applyAlignment="1"/>
    <xf numFmtId="0" fontId="47" fillId="0" borderId="13" xfId="0" applyFont="1" applyFill="1" applyBorder="1" applyAlignment="1">
      <alignment horizontal="left"/>
    </xf>
    <xf numFmtId="165" fontId="47" fillId="0" borderId="13" xfId="0" applyNumberFormat="1" applyFont="1" applyFill="1" applyBorder="1" applyAlignment="1"/>
    <xf numFmtId="168" fontId="47" fillId="0" borderId="13" xfId="0" applyNumberFormat="1" applyFont="1" applyFill="1" applyBorder="1" applyAlignment="1">
      <alignment horizontal="center"/>
    </xf>
    <xf numFmtId="0" fontId="47" fillId="0" borderId="41" xfId="0" applyFont="1" applyFill="1" applyBorder="1" applyAlignment="1">
      <alignment horizontal="center" vertical="center" wrapText="1"/>
    </xf>
    <xf numFmtId="165" fontId="47" fillId="0" borderId="17" xfId="17" applyFont="1" applyFill="1" applyBorder="1" applyAlignment="1">
      <alignment horizontal="center" vertical="center" wrapText="1"/>
    </xf>
    <xf numFmtId="0" fontId="47" fillId="0" borderId="17" xfId="0" applyFont="1" applyFill="1" applyBorder="1" applyAlignment="1">
      <alignment horizontal="center" vertical="center" wrapText="1"/>
    </xf>
    <xf numFmtId="168" fontId="47" fillId="0" borderId="18" xfId="17" applyNumberFormat="1" applyFont="1" applyFill="1" applyBorder="1" applyAlignment="1">
      <alignment horizontal="center"/>
    </xf>
    <xf numFmtId="168" fontId="47" fillId="0" borderId="9" xfId="0" applyNumberFormat="1" applyFont="1" applyFill="1" applyBorder="1" applyAlignment="1"/>
    <xf numFmtId="0" fontId="46" fillId="0" borderId="0" xfId="0" applyFont="1" applyFill="1" applyBorder="1" applyAlignment="1">
      <alignment horizontal="center"/>
    </xf>
    <xf numFmtId="165" fontId="47" fillId="0" borderId="0" xfId="17" applyFont="1" applyFill="1" applyBorder="1" applyAlignment="1">
      <alignment wrapText="1"/>
    </xf>
    <xf numFmtId="165" fontId="47" fillId="0" borderId="0" xfId="17" applyFont="1" applyFill="1" applyBorder="1" applyAlignment="1">
      <alignment horizontal="center"/>
    </xf>
    <xf numFmtId="0" fontId="47" fillId="0" borderId="1" xfId="0" applyFont="1" applyFill="1" applyBorder="1" applyAlignment="1">
      <alignment wrapText="1"/>
    </xf>
    <xf numFmtId="0" fontId="46" fillId="0" borderId="1" xfId="0" applyFont="1" applyFill="1" applyBorder="1" applyAlignment="1">
      <alignment horizontal="center" wrapText="1"/>
    </xf>
    <xf numFmtId="0" fontId="47" fillId="0" borderId="1" xfId="0" applyFont="1" applyFill="1" applyBorder="1" applyAlignment="1">
      <alignment horizontal="center"/>
    </xf>
    <xf numFmtId="165" fontId="47" fillId="0" borderId="1" xfId="0" applyNumberFormat="1" applyFont="1" applyFill="1" applyBorder="1" applyAlignment="1">
      <alignment horizontal="center" wrapText="1"/>
    </xf>
    <xf numFmtId="168" fontId="46" fillId="0" borderId="22" xfId="17" applyNumberFormat="1" applyFont="1" applyFill="1" applyBorder="1"/>
    <xf numFmtId="165" fontId="46" fillId="0" borderId="22" xfId="17" applyFont="1" applyFill="1" applyBorder="1"/>
    <xf numFmtId="168" fontId="47" fillId="0" borderId="0" xfId="17" applyNumberFormat="1" applyFont="1" applyFill="1" applyBorder="1" applyAlignment="1">
      <alignment wrapText="1"/>
    </xf>
    <xf numFmtId="0" fontId="47" fillId="0" borderId="15" xfId="0" applyFont="1" applyFill="1" applyBorder="1" applyAlignment="1">
      <alignment wrapText="1"/>
    </xf>
    <xf numFmtId="0" fontId="46" fillId="0" borderId="15" xfId="0" applyFont="1" applyFill="1" applyBorder="1" applyAlignment="1">
      <alignment wrapText="1"/>
    </xf>
    <xf numFmtId="0" fontId="47" fillId="0" borderId="15" xfId="0" applyFont="1" applyFill="1" applyBorder="1" applyAlignment="1">
      <alignment horizontal="center" wrapText="1"/>
    </xf>
    <xf numFmtId="168" fontId="47" fillId="0" borderId="18" xfId="17" applyNumberFormat="1" applyFont="1" applyFill="1" applyBorder="1" applyAlignment="1">
      <alignment wrapText="1"/>
    </xf>
    <xf numFmtId="170" fontId="47" fillId="0" borderId="15" xfId="0" applyNumberFormat="1" applyFont="1" applyFill="1" applyBorder="1" applyAlignment="1">
      <alignment wrapText="1"/>
    </xf>
    <xf numFmtId="170" fontId="47" fillId="0" borderId="15" xfId="0" applyNumberFormat="1" applyFont="1" applyFill="1" applyBorder="1" applyAlignment="1">
      <alignment horizontal="center" wrapText="1"/>
    </xf>
    <xf numFmtId="0" fontId="47" fillId="0" borderId="18" xfId="0" applyFont="1" applyFill="1" applyBorder="1" applyAlignment="1">
      <alignment horizontal="center" wrapText="1"/>
    </xf>
    <xf numFmtId="170" fontId="47" fillId="0" borderId="18" xfId="0" applyNumberFormat="1" applyFont="1" applyFill="1" applyBorder="1" applyAlignment="1">
      <alignment wrapText="1"/>
    </xf>
    <xf numFmtId="188" fontId="47" fillId="0" borderId="15" xfId="0" applyNumberFormat="1" applyFont="1" applyFill="1" applyBorder="1" applyAlignment="1">
      <alignment horizontal="center" wrapText="1"/>
    </xf>
    <xf numFmtId="0" fontId="47" fillId="0" borderId="18" xfId="0" applyFont="1" applyFill="1" applyBorder="1" applyAlignment="1">
      <alignment horizontal="center" vertical="center" wrapText="1"/>
    </xf>
    <xf numFmtId="170" fontId="47" fillId="0" borderId="18" xfId="0" applyNumberFormat="1" applyFont="1" applyFill="1" applyBorder="1" applyAlignment="1">
      <alignment horizontal="center" wrapText="1"/>
    </xf>
    <xf numFmtId="0" fontId="47" fillId="0" borderId="18" xfId="0" applyFont="1" applyFill="1" applyBorder="1" applyAlignment="1">
      <alignment wrapText="1"/>
    </xf>
    <xf numFmtId="168" fontId="47" fillId="0" borderId="0" xfId="0" applyNumberFormat="1" applyFont="1" applyFill="1" applyBorder="1" applyAlignment="1">
      <alignment wrapText="1"/>
    </xf>
    <xf numFmtId="165" fontId="47" fillId="0" borderId="15" xfId="17" applyFont="1" applyFill="1" applyBorder="1" applyAlignment="1">
      <alignment wrapText="1"/>
    </xf>
    <xf numFmtId="168" fontId="47" fillId="0" borderId="15" xfId="0" applyNumberFormat="1" applyFont="1" applyFill="1" applyBorder="1" applyAlignment="1">
      <alignment wrapText="1"/>
    </xf>
    <xf numFmtId="0" fontId="47" fillId="0" borderId="36" xfId="0" quotePrefix="1" applyFont="1" applyFill="1" applyBorder="1" applyAlignment="1">
      <alignment wrapText="1"/>
    </xf>
    <xf numFmtId="0" fontId="46" fillId="0" borderId="18" xfId="0" applyFont="1" applyFill="1" applyBorder="1" applyAlignment="1">
      <alignment wrapText="1"/>
    </xf>
    <xf numFmtId="0" fontId="47" fillId="0" borderId="18" xfId="0" applyFont="1" applyFill="1" applyBorder="1" applyAlignment="1">
      <alignment vertical="center" wrapText="1"/>
    </xf>
    <xf numFmtId="165" fontId="47" fillId="0" borderId="18" xfId="17" applyFont="1" applyFill="1" applyBorder="1" applyAlignment="1">
      <alignment horizontal="center" wrapText="1"/>
    </xf>
    <xf numFmtId="0" fontId="47" fillId="0" borderId="18" xfId="0" quotePrefix="1" applyFont="1" applyFill="1" applyBorder="1" applyAlignment="1">
      <alignment horizontal="center" vertical="center" wrapText="1"/>
    </xf>
    <xf numFmtId="168" fontId="46" fillId="0" borderId="18" xfId="17" applyNumberFormat="1" applyFont="1" applyFill="1" applyBorder="1" applyAlignment="1">
      <alignment wrapText="1"/>
    </xf>
    <xf numFmtId="0" fontId="47" fillId="0" borderId="15" xfId="0" applyFont="1" applyFill="1" applyBorder="1" applyAlignment="1">
      <alignment vertical="center" wrapText="1"/>
    </xf>
    <xf numFmtId="168" fontId="47" fillId="0" borderId="15" xfId="17" applyNumberFormat="1" applyFont="1" applyFill="1" applyBorder="1" applyAlignment="1">
      <alignment wrapText="1"/>
    </xf>
    <xf numFmtId="168" fontId="47" fillId="0" borderId="15" xfId="0" applyNumberFormat="1" applyFont="1" applyFill="1" applyBorder="1" applyAlignment="1">
      <alignment horizontal="center" wrapText="1"/>
    </xf>
    <xf numFmtId="168" fontId="46" fillId="0" borderId="15" xfId="17" applyNumberFormat="1" applyFont="1" applyFill="1" applyBorder="1" applyAlignment="1">
      <alignment wrapText="1"/>
    </xf>
    <xf numFmtId="165" fontId="47" fillId="0" borderId="15" xfId="0" applyNumberFormat="1" applyFont="1" applyFill="1" applyBorder="1" applyAlignment="1">
      <alignment horizontal="center" wrapText="1"/>
    </xf>
    <xf numFmtId="0" fontId="47" fillId="0" borderId="15" xfId="0" applyFont="1" applyFill="1" applyBorder="1" applyAlignment="1">
      <alignment horizontal="center" vertical="center" wrapText="1"/>
    </xf>
    <xf numFmtId="168" fontId="47" fillId="0" borderId="37" xfId="28" applyNumberFormat="1" applyFont="1" applyFill="1" applyBorder="1" applyAlignment="1">
      <alignment wrapText="1"/>
    </xf>
    <xf numFmtId="0" fontId="47" fillId="0" borderId="16" xfId="0" applyFont="1" applyFill="1" applyBorder="1" applyAlignment="1">
      <alignment wrapText="1"/>
    </xf>
    <xf numFmtId="0" fontId="47" fillId="0" borderId="1" xfId="0" applyFont="1" applyFill="1" applyBorder="1" applyAlignment="1">
      <alignment horizontal="center" wrapText="1"/>
    </xf>
    <xf numFmtId="165" fontId="47" fillId="0" borderId="0" xfId="28" applyFont="1" applyFill="1" applyBorder="1"/>
    <xf numFmtId="165" fontId="47" fillId="0" borderId="0" xfId="28" applyFont="1" applyFill="1" applyBorder="1" applyAlignment="1">
      <alignment wrapText="1"/>
    </xf>
    <xf numFmtId="165" fontId="47" fillId="0" borderId="0" xfId="28" applyFont="1" applyFill="1" applyBorder="1" applyAlignment="1">
      <alignment horizontal="center"/>
    </xf>
    <xf numFmtId="165" fontId="47" fillId="0" borderId="0" xfId="28" applyFont="1" applyFill="1" applyBorder="1" applyAlignment="1">
      <alignment horizontal="center" wrapText="1"/>
    </xf>
    <xf numFmtId="0" fontId="46" fillId="0" borderId="0" xfId="0" applyFont="1" applyFill="1" applyBorder="1" applyAlignment="1">
      <alignment vertical="center"/>
    </xf>
    <xf numFmtId="14" fontId="47" fillId="0" borderId="0" xfId="0" applyNumberFormat="1" applyFont="1" applyFill="1" applyBorder="1" applyAlignment="1">
      <alignment horizontal="center" vertical="center"/>
    </xf>
    <xf numFmtId="168" fontId="46" fillId="0" borderId="1" xfId="28" applyNumberFormat="1" applyFont="1" applyFill="1" applyBorder="1"/>
    <xf numFmtId="165" fontId="46" fillId="0" borderId="46" xfId="28" applyFont="1" applyFill="1" applyBorder="1"/>
    <xf numFmtId="168" fontId="47" fillId="0" borderId="15" xfId="28" applyNumberFormat="1" applyFont="1" applyFill="1" applyBorder="1" applyAlignment="1">
      <alignment wrapText="1"/>
    </xf>
    <xf numFmtId="165" fontId="47" fillId="0" borderId="15" xfId="0" quotePrefix="1" applyNumberFormat="1" applyFont="1" applyFill="1" applyBorder="1" applyAlignment="1">
      <alignment horizontal="center" vertical="center" wrapText="1"/>
    </xf>
    <xf numFmtId="170" fontId="47" fillId="0" borderId="15" xfId="0" applyNumberFormat="1" applyFont="1" applyFill="1" applyBorder="1" applyAlignment="1">
      <alignment horizontal="center" vertical="center" wrapText="1"/>
    </xf>
    <xf numFmtId="0" fontId="47" fillId="0" borderId="15" xfId="117" applyFont="1" applyFill="1" applyBorder="1" applyAlignment="1">
      <alignment horizontal="center" vertical="center" wrapText="1"/>
    </xf>
    <xf numFmtId="15" fontId="47" fillId="0" borderId="15" xfId="0" applyNumberFormat="1" applyFont="1" applyFill="1" applyBorder="1" applyAlignment="1">
      <alignment wrapText="1"/>
    </xf>
    <xf numFmtId="168" fontId="46" fillId="0" borderId="15" xfId="28" applyNumberFormat="1" applyFont="1" applyFill="1" applyBorder="1" applyAlignment="1">
      <alignment wrapText="1"/>
    </xf>
    <xf numFmtId="165" fontId="47" fillId="0" borderId="15" xfId="0" applyNumberFormat="1" applyFont="1" applyFill="1" applyBorder="1" applyAlignment="1">
      <alignment wrapText="1"/>
    </xf>
    <xf numFmtId="0" fontId="47" fillId="0" borderId="15" xfId="117" applyFont="1" applyFill="1" applyBorder="1" applyAlignment="1">
      <alignment horizontal="left" vertical="center" wrapText="1"/>
    </xf>
    <xf numFmtId="0" fontId="46" fillId="0" borderId="15" xfId="0" applyFont="1" applyFill="1" applyBorder="1" applyAlignment="1">
      <alignment horizontal="left" wrapText="1"/>
    </xf>
    <xf numFmtId="0" fontId="47" fillId="0" borderId="15" xfId="0" quotePrefix="1" applyFont="1" applyFill="1" applyBorder="1" applyAlignment="1">
      <alignment horizontal="center" vertical="center" wrapText="1"/>
    </xf>
    <xf numFmtId="0" fontId="47" fillId="0" borderId="15" xfId="0" applyFont="1" applyFill="1" applyBorder="1" applyAlignment="1">
      <alignment horizontal="left" wrapText="1"/>
    </xf>
    <xf numFmtId="43" fontId="47" fillId="0" borderId="15" xfId="0" applyNumberFormat="1" applyFont="1" applyFill="1" applyBorder="1" applyAlignment="1">
      <alignment wrapText="1"/>
    </xf>
    <xf numFmtId="0" fontId="47" fillId="0" borderId="15" xfId="0" applyFont="1" applyFill="1" applyBorder="1" applyAlignment="1">
      <alignment horizontal="left" vertical="center" wrapText="1"/>
    </xf>
    <xf numFmtId="0" fontId="47" fillId="0" borderId="3" xfId="0" applyFont="1" applyFill="1" applyBorder="1" applyAlignment="1">
      <alignment wrapText="1"/>
    </xf>
    <xf numFmtId="168" fontId="47" fillId="0" borderId="3" xfId="28" applyNumberFormat="1" applyFont="1" applyFill="1" applyBorder="1" applyAlignment="1">
      <alignment wrapText="1"/>
    </xf>
    <xf numFmtId="0" fontId="47" fillId="0" borderId="3" xfId="117" applyFont="1" applyFill="1" applyBorder="1" applyAlignment="1">
      <alignment horizontal="left" vertical="center" wrapText="1"/>
    </xf>
    <xf numFmtId="168" fontId="47" fillId="0" borderId="18" xfId="28" applyNumberFormat="1" applyFont="1" applyFill="1" applyBorder="1" applyAlignment="1">
      <alignment wrapText="1"/>
    </xf>
    <xf numFmtId="0" fontId="47" fillId="0" borderId="15" xfId="0" quotePrefix="1" applyFont="1" applyFill="1" applyBorder="1" applyAlignment="1">
      <alignment horizontal="center" wrapText="1"/>
    </xf>
    <xf numFmtId="0" fontId="47" fillId="0" borderId="3" xfId="117" applyFont="1" applyFill="1" applyBorder="1" applyAlignment="1">
      <alignment vertical="center" wrapText="1"/>
    </xf>
    <xf numFmtId="0" fontId="47" fillId="0" borderId="15" xfId="0" quotePrefix="1" applyFont="1" applyFill="1" applyBorder="1" applyAlignment="1">
      <alignment vertical="center" wrapText="1"/>
    </xf>
    <xf numFmtId="168" fontId="46" fillId="0" borderId="18" xfId="28" applyNumberFormat="1" applyFont="1" applyFill="1" applyBorder="1" applyAlignment="1">
      <alignment wrapText="1"/>
    </xf>
    <xf numFmtId="0" fontId="47" fillId="0" borderId="13" xfId="0" applyFont="1" applyFill="1" applyBorder="1" applyAlignment="1">
      <alignment horizontal="center" wrapText="1"/>
    </xf>
    <xf numFmtId="0" fontId="47" fillId="0" borderId="13" xfId="0" applyFont="1" applyFill="1" applyBorder="1" applyAlignment="1">
      <alignment wrapText="1"/>
    </xf>
    <xf numFmtId="168" fontId="47" fillId="0" borderId="13" xfId="28" applyNumberFormat="1" applyFont="1" applyFill="1" applyBorder="1" applyAlignment="1">
      <alignment wrapText="1"/>
    </xf>
    <xf numFmtId="0" fontId="46" fillId="0" borderId="13" xfId="0" applyFont="1" applyFill="1" applyBorder="1" applyAlignment="1">
      <alignment wrapText="1"/>
    </xf>
    <xf numFmtId="168" fontId="46" fillId="0" borderId="13" xfId="17" applyNumberFormat="1" applyFont="1" applyFill="1" applyBorder="1" applyAlignment="1">
      <alignment wrapText="1"/>
    </xf>
    <xf numFmtId="168" fontId="47" fillId="0" borderId="13" xfId="17" applyNumberFormat="1" applyFont="1" applyFill="1" applyBorder="1" applyAlignment="1">
      <alignment wrapText="1"/>
    </xf>
    <xf numFmtId="14" fontId="46" fillId="0" borderId="9" xfId="0" applyNumberFormat="1" applyFont="1" applyFill="1" applyBorder="1" applyAlignment="1"/>
    <xf numFmtId="15" fontId="47" fillId="0" borderId="0" xfId="0" applyNumberFormat="1" applyFont="1" applyFill="1" applyBorder="1" applyAlignment="1"/>
    <xf numFmtId="0" fontId="46" fillId="0" borderId="9" xfId="0" applyFont="1" applyFill="1" applyBorder="1" applyAlignment="1"/>
    <xf numFmtId="165" fontId="47" fillId="0" borderId="13" xfId="0" applyNumberFormat="1" applyFont="1" applyFill="1" applyBorder="1" applyAlignment="1">
      <alignment horizontal="center"/>
    </xf>
    <xf numFmtId="0" fontId="47" fillId="0" borderId="46" xfId="0" applyFont="1" applyFill="1" applyBorder="1"/>
    <xf numFmtId="165" fontId="46" fillId="0" borderId="22" xfId="0" applyNumberFormat="1" applyFont="1" applyFill="1" applyBorder="1"/>
    <xf numFmtId="0" fontId="47" fillId="0" borderId="18" xfId="0" quotePrefix="1" applyFont="1" applyFill="1" applyBorder="1" applyAlignment="1">
      <alignment horizontal="center" wrapText="1"/>
    </xf>
    <xf numFmtId="15" fontId="47" fillId="0" borderId="13" xfId="0" applyNumberFormat="1" applyFont="1" applyFill="1" applyBorder="1" applyAlignment="1">
      <alignment wrapText="1"/>
    </xf>
    <xf numFmtId="168" fontId="47" fillId="0" borderId="13" xfId="0" applyNumberFormat="1" applyFont="1" applyFill="1" applyBorder="1" applyAlignment="1">
      <alignment wrapText="1"/>
    </xf>
    <xf numFmtId="165" fontId="47" fillId="0" borderId="0" xfId="17" applyNumberFormat="1" applyFont="1" applyFill="1" applyBorder="1" applyAlignment="1"/>
    <xf numFmtId="0" fontId="46" fillId="0" borderId="1" xfId="0" applyFont="1" applyFill="1" applyBorder="1" applyAlignment="1">
      <alignment horizontal="center"/>
    </xf>
    <xf numFmtId="168" fontId="46" fillId="0" borderId="1" xfId="0" applyNumberFormat="1" applyFont="1" applyFill="1" applyBorder="1"/>
    <xf numFmtId="168" fontId="47" fillId="0" borderId="1" xfId="17" applyNumberFormat="1" applyFont="1" applyFill="1" applyBorder="1"/>
    <xf numFmtId="165" fontId="46" fillId="0" borderId="46" xfId="0" applyNumberFormat="1" applyFont="1" applyFill="1" applyBorder="1"/>
    <xf numFmtId="168" fontId="46" fillId="0" borderId="46" xfId="0" applyNumberFormat="1" applyFont="1" applyFill="1" applyBorder="1"/>
    <xf numFmtId="0" fontId="47" fillId="0" borderId="3" xfId="0" applyFont="1" applyFill="1" applyBorder="1" applyAlignment="1">
      <alignment horizontal="center" wrapText="1"/>
    </xf>
    <xf numFmtId="168" fontId="47" fillId="0" borderId="3" xfId="17" applyNumberFormat="1" applyFont="1" applyFill="1" applyBorder="1" applyAlignment="1">
      <alignment horizontal="right" wrapText="1"/>
    </xf>
    <xf numFmtId="165" fontId="47" fillId="0" borderId="3" xfId="0" applyNumberFormat="1" applyFont="1" applyFill="1" applyBorder="1" applyAlignment="1">
      <alignment horizontal="center" wrapText="1"/>
    </xf>
    <xf numFmtId="0" fontId="47" fillId="0" borderId="18" xfId="0" applyFont="1" applyFill="1" applyBorder="1" applyAlignment="1">
      <alignment horizontal="left" wrapText="1"/>
    </xf>
    <xf numFmtId="165" fontId="47" fillId="0" borderId="3" xfId="0" applyNumberFormat="1" applyFont="1" applyFill="1" applyBorder="1" applyAlignment="1">
      <alignment horizontal="center" vertical="center" wrapText="1"/>
    </xf>
    <xf numFmtId="165" fontId="47" fillId="0" borderId="15" xfId="17" applyFont="1" applyFill="1" applyBorder="1" applyAlignment="1">
      <alignment horizontal="center" wrapText="1"/>
    </xf>
    <xf numFmtId="0" fontId="47" fillId="0" borderId="15" xfId="17" applyNumberFormat="1" applyFont="1" applyFill="1" applyBorder="1" applyAlignment="1">
      <alignment horizontal="center" wrapText="1"/>
    </xf>
    <xf numFmtId="165" fontId="47" fillId="0" borderId="3" xfId="0" quotePrefix="1" applyNumberFormat="1" applyFont="1" applyFill="1" applyBorder="1" applyAlignment="1">
      <alignment horizontal="center" vertical="center" wrapText="1"/>
    </xf>
    <xf numFmtId="0" fontId="46" fillId="0" borderId="15" xfId="0" applyFont="1" applyFill="1" applyBorder="1" applyAlignment="1">
      <alignment horizontal="right" wrapText="1"/>
    </xf>
    <xf numFmtId="168" fontId="46" fillId="0" borderId="15" xfId="17" applyNumberFormat="1" applyFont="1" applyFill="1" applyBorder="1" applyAlignment="1">
      <alignment horizontal="right" wrapText="1"/>
    </xf>
    <xf numFmtId="165" fontId="47" fillId="0" borderId="15" xfId="17" applyNumberFormat="1" applyFont="1" applyFill="1" applyBorder="1" applyAlignment="1">
      <alignment wrapText="1"/>
    </xf>
    <xf numFmtId="168" fontId="47" fillId="0" borderId="15" xfId="17" applyNumberFormat="1" applyFont="1" applyFill="1" applyBorder="1" applyAlignment="1">
      <alignment horizontal="right" wrapText="1"/>
    </xf>
    <xf numFmtId="168" fontId="47" fillId="0" borderId="15" xfId="17" applyNumberFormat="1" applyFont="1" applyFill="1" applyBorder="1" applyAlignment="1">
      <alignment horizontal="center" wrapText="1"/>
    </xf>
    <xf numFmtId="15" fontId="47" fillId="0" borderId="18" xfId="0" applyNumberFormat="1" applyFont="1" applyFill="1" applyBorder="1" applyAlignment="1">
      <alignment wrapText="1"/>
    </xf>
    <xf numFmtId="168" fontId="47" fillId="0" borderId="18" xfId="0" applyNumberFormat="1" applyFont="1" applyFill="1" applyBorder="1" applyAlignment="1">
      <alignment wrapText="1"/>
    </xf>
    <xf numFmtId="15" fontId="47" fillId="0" borderId="12" xfId="0" applyNumberFormat="1" applyFont="1" applyFill="1" applyBorder="1" applyAlignment="1"/>
    <xf numFmtId="168" fontId="47" fillId="0" borderId="12" xfId="0" applyNumberFormat="1" applyFont="1" applyFill="1" applyBorder="1" applyAlignment="1"/>
    <xf numFmtId="168" fontId="46" fillId="0" borderId="43" xfId="17" applyNumberFormat="1" applyFont="1" applyFill="1" applyBorder="1"/>
    <xf numFmtId="165" fontId="47" fillId="0" borderId="43" xfId="0" applyNumberFormat="1" applyFont="1" applyFill="1" applyBorder="1"/>
    <xf numFmtId="15" fontId="47" fillId="0" borderId="16" xfId="0" applyNumberFormat="1" applyFont="1" applyFill="1" applyBorder="1" applyAlignment="1"/>
    <xf numFmtId="168" fontId="46" fillId="0" borderId="46" xfId="17" applyNumberFormat="1" applyFont="1" applyFill="1" applyBorder="1"/>
    <xf numFmtId="0" fontId="47" fillId="0" borderId="27" xfId="0" applyFont="1" applyFill="1" applyBorder="1" applyAlignment="1">
      <alignment vertical="top" wrapText="1"/>
    </xf>
    <xf numFmtId="0" fontId="47" fillId="0" borderId="0" xfId="0" applyFont="1" applyFill="1" applyBorder="1" applyAlignment="1">
      <alignment vertical="top" wrapText="1"/>
    </xf>
    <xf numFmtId="168" fontId="47" fillId="0" borderId="18" xfId="0" applyNumberFormat="1" applyFont="1" applyFill="1" applyBorder="1" applyAlignment="1">
      <alignment horizontal="center" wrapText="1"/>
    </xf>
    <xf numFmtId="0" fontId="47" fillId="0" borderId="21" xfId="117" applyFont="1" applyFill="1" applyBorder="1" applyAlignment="1">
      <alignment vertical="center" wrapText="1"/>
    </xf>
    <xf numFmtId="11" fontId="47" fillId="0" borderId="15" xfId="0" applyNumberFormat="1" applyFont="1" applyFill="1" applyBorder="1" applyAlignment="1">
      <alignment horizontal="center" vertical="center" wrapText="1"/>
    </xf>
    <xf numFmtId="11" fontId="47" fillId="0" borderId="15" xfId="0" quotePrefix="1" applyNumberFormat="1" applyFont="1" applyFill="1" applyBorder="1" applyAlignment="1">
      <alignment horizontal="center" vertical="center" wrapText="1"/>
    </xf>
    <xf numFmtId="15" fontId="47" fillId="0" borderId="3" xfId="0" applyNumberFormat="1" applyFont="1" applyFill="1" applyBorder="1" applyAlignment="1">
      <alignment wrapText="1"/>
    </xf>
    <xf numFmtId="168" fontId="47" fillId="0" borderId="3" xfId="0" applyNumberFormat="1" applyFont="1" applyFill="1" applyBorder="1" applyAlignment="1">
      <alignment wrapText="1"/>
    </xf>
    <xf numFmtId="168" fontId="47" fillId="0" borderId="3" xfId="17" applyNumberFormat="1" applyFont="1" applyFill="1" applyBorder="1" applyAlignment="1">
      <alignment wrapText="1"/>
    </xf>
    <xf numFmtId="165" fontId="47" fillId="0" borderId="18" xfId="0" applyNumberFormat="1" applyFont="1" applyFill="1" applyBorder="1" applyAlignment="1">
      <alignment wrapText="1"/>
    </xf>
    <xf numFmtId="165" fontId="47" fillId="0" borderId="18" xfId="17" applyNumberFormat="1" applyFont="1" applyFill="1" applyBorder="1" applyAlignment="1">
      <alignment wrapText="1"/>
    </xf>
    <xf numFmtId="0" fontId="47" fillId="0" borderId="15" xfId="0" quotePrefix="1" applyFont="1" applyFill="1" applyBorder="1" applyAlignment="1">
      <alignment horizontal="left" vertical="center" wrapText="1"/>
    </xf>
    <xf numFmtId="0" fontId="47" fillId="0" borderId="15" xfId="0" applyNumberFormat="1" applyFont="1" applyFill="1" applyBorder="1" applyAlignment="1">
      <alignment horizontal="center" vertical="center" wrapText="1"/>
    </xf>
    <xf numFmtId="15" fontId="47" fillId="0" borderId="15" xfId="0" applyNumberFormat="1" applyFont="1" applyFill="1" applyBorder="1" applyAlignment="1">
      <alignment horizontal="center" wrapText="1"/>
    </xf>
    <xf numFmtId="0" fontId="47" fillId="0" borderId="15" xfId="0" quotePrefix="1" applyNumberFormat="1" applyFont="1" applyFill="1" applyBorder="1" applyAlignment="1">
      <alignment horizontal="center" vertical="center" wrapText="1"/>
    </xf>
    <xf numFmtId="168" fontId="46" fillId="0" borderId="15" xfId="0" applyNumberFormat="1" applyFont="1" applyFill="1" applyBorder="1" applyAlignment="1">
      <alignment wrapText="1"/>
    </xf>
    <xf numFmtId="168" fontId="47" fillId="0" borderId="15" xfId="17" quotePrefix="1" applyNumberFormat="1" applyFont="1" applyFill="1" applyBorder="1" applyAlignment="1">
      <alignment horizontal="right" wrapText="1"/>
    </xf>
    <xf numFmtId="168" fontId="47" fillId="0" borderId="15" xfId="0" quotePrefix="1" applyNumberFormat="1" applyFont="1" applyFill="1" applyBorder="1" applyAlignment="1">
      <alignment wrapText="1"/>
    </xf>
    <xf numFmtId="165" fontId="47" fillId="0" borderId="15" xfId="17" applyFont="1" applyFill="1" applyBorder="1" applyAlignment="1">
      <alignment horizontal="left" vertical="center" wrapText="1"/>
    </xf>
    <xf numFmtId="165" fontId="46" fillId="0" borderId="15" xfId="17" applyFont="1" applyFill="1" applyBorder="1" applyAlignment="1">
      <alignment wrapText="1"/>
    </xf>
    <xf numFmtId="0" fontId="47" fillId="0" borderId="18" xfId="0" applyFont="1" applyFill="1" applyBorder="1" applyAlignment="1">
      <alignment horizontal="left" vertical="center" wrapText="1"/>
    </xf>
    <xf numFmtId="15" fontId="47" fillId="0" borderId="18" xfId="0" applyNumberFormat="1" applyFont="1" applyFill="1" applyBorder="1" applyAlignment="1">
      <alignment horizontal="center" wrapText="1"/>
    </xf>
    <xf numFmtId="165" fontId="46" fillId="0" borderId="1" xfId="0" applyNumberFormat="1" applyFont="1" applyFill="1" applyBorder="1" applyAlignment="1">
      <alignment horizontal="center" wrapText="1"/>
    </xf>
    <xf numFmtId="0" fontId="46" fillId="0" borderId="1" xfId="0" applyFont="1" applyFill="1" applyBorder="1" applyAlignment="1">
      <alignment wrapText="1"/>
    </xf>
    <xf numFmtId="0" fontId="46" fillId="0" borderId="12" xfId="17" applyNumberFormat="1" applyFont="1" applyFill="1" applyBorder="1" applyAlignment="1">
      <alignment horizontal="center"/>
    </xf>
    <xf numFmtId="165" fontId="47" fillId="0" borderId="0" xfId="17" applyFont="1" applyFill="1" applyBorder="1" applyAlignment="1">
      <alignment horizontal="center" vertical="center"/>
    </xf>
    <xf numFmtId="170" fontId="47" fillId="0" borderId="0" xfId="17" applyNumberFormat="1" applyFont="1" applyFill="1" applyBorder="1" applyAlignment="1"/>
    <xf numFmtId="0" fontId="47" fillId="0" borderId="20" xfId="0" applyFont="1" applyFill="1" applyBorder="1" applyAlignment="1"/>
    <xf numFmtId="165" fontId="46" fillId="0" borderId="1" xfId="0" applyNumberFormat="1" applyFont="1" applyFill="1" applyBorder="1" applyAlignment="1">
      <alignment horizontal="center"/>
    </xf>
    <xf numFmtId="168" fontId="46" fillId="0" borderId="1" xfId="17" applyNumberFormat="1" applyFont="1" applyFill="1" applyBorder="1" applyAlignment="1">
      <alignment horizontal="center"/>
    </xf>
    <xf numFmtId="165" fontId="47" fillId="0" borderId="1" xfId="0" applyNumberFormat="1" applyFont="1" applyFill="1" applyBorder="1" applyAlignment="1">
      <alignment horizontal="center" vertical="center"/>
    </xf>
    <xf numFmtId="0" fontId="47" fillId="0" borderId="1" xfId="0" applyFont="1" applyFill="1" applyBorder="1" applyAlignment="1"/>
    <xf numFmtId="0" fontId="47" fillId="0" borderId="46" xfId="0" applyFont="1" applyFill="1" applyBorder="1" applyAlignment="1"/>
    <xf numFmtId="168" fontId="46" fillId="0" borderId="46" xfId="17" applyNumberFormat="1" applyFont="1" applyFill="1" applyBorder="1" applyAlignment="1">
      <alignment horizontal="center"/>
    </xf>
    <xf numFmtId="190" fontId="47" fillId="0" borderId="0" xfId="17" applyNumberFormat="1" applyFont="1" applyFill="1" applyBorder="1" applyAlignment="1"/>
    <xf numFmtId="165" fontId="47" fillId="0" borderId="15" xfId="17" applyFont="1" applyFill="1" applyBorder="1" applyAlignment="1">
      <alignment horizontal="center" vertical="center" wrapText="1"/>
    </xf>
    <xf numFmtId="0" fontId="47" fillId="0" borderId="15" xfId="17" applyNumberFormat="1" applyFont="1" applyFill="1" applyBorder="1" applyAlignment="1">
      <alignment horizontal="center" vertical="center" wrapText="1"/>
    </xf>
    <xf numFmtId="165" fontId="47" fillId="0" borderId="15" xfId="0" applyNumberFormat="1" applyFont="1" applyFill="1" applyBorder="1" applyAlignment="1">
      <alignment horizontal="center" vertical="center" wrapText="1"/>
    </xf>
    <xf numFmtId="188" fontId="47" fillId="0" borderId="15" xfId="17" applyNumberFormat="1" applyFont="1" applyFill="1" applyBorder="1" applyAlignment="1">
      <alignment vertical="center" wrapText="1"/>
    </xf>
    <xf numFmtId="188" fontId="47" fillId="0" borderId="15" xfId="28" applyNumberFormat="1" applyFont="1" applyFill="1" applyBorder="1" applyAlignment="1">
      <alignment vertical="center" wrapText="1"/>
    </xf>
    <xf numFmtId="3" fontId="47" fillId="0" borderId="15" xfId="0" applyNumberFormat="1" applyFont="1" applyFill="1" applyBorder="1" applyAlignment="1">
      <alignment horizontal="center" vertical="center" wrapText="1"/>
    </xf>
    <xf numFmtId="0" fontId="47" fillId="0" borderId="13" xfId="0" applyFont="1" applyFill="1" applyBorder="1" applyAlignment="1">
      <alignment horizontal="left" vertical="center" wrapText="1"/>
    </xf>
    <xf numFmtId="170" fontId="47" fillId="0" borderId="13" xfId="0" applyNumberFormat="1" applyFont="1" applyFill="1" applyBorder="1" applyAlignment="1">
      <alignment horizontal="center" wrapText="1"/>
    </xf>
    <xf numFmtId="0" fontId="46" fillId="0" borderId="15" xfId="0" applyFont="1" applyFill="1" applyBorder="1" applyAlignment="1">
      <alignment horizontal="center" wrapText="1"/>
    </xf>
    <xf numFmtId="0" fontId="47" fillId="0" borderId="18" xfId="0" quotePrefix="1" applyFont="1" applyFill="1" applyBorder="1" applyAlignment="1">
      <alignment horizontal="left" vertical="center" wrapText="1"/>
    </xf>
    <xf numFmtId="165" fontId="46" fillId="0" borderId="46" xfId="0" applyNumberFormat="1" applyFont="1" applyFill="1" applyBorder="1" applyAlignment="1">
      <alignment horizontal="center"/>
    </xf>
    <xf numFmtId="170" fontId="47" fillId="0" borderId="15" xfId="0" applyNumberFormat="1" applyFont="1" applyFill="1" applyBorder="1" applyAlignment="1">
      <alignment horizontal="left" wrapText="1"/>
    </xf>
    <xf numFmtId="1" fontId="47" fillId="0" borderId="15" xfId="0" applyNumberFormat="1" applyFont="1" applyFill="1" applyBorder="1" applyAlignment="1">
      <alignment horizontal="center" wrapText="1"/>
    </xf>
    <xf numFmtId="43" fontId="47" fillId="0" borderId="15" xfId="17" applyNumberFormat="1" applyFont="1" applyFill="1" applyBorder="1" applyAlignment="1">
      <alignment wrapText="1"/>
    </xf>
    <xf numFmtId="189" fontId="47" fillId="0" borderId="13" xfId="17" applyNumberFormat="1" applyFont="1" applyFill="1" applyBorder="1" applyAlignment="1">
      <alignment wrapText="1"/>
    </xf>
    <xf numFmtId="49" fontId="47" fillId="0" borderId="15" xfId="17" applyNumberFormat="1" applyFont="1" applyFill="1" applyBorder="1" applyAlignment="1">
      <alignment horizontal="center" wrapText="1"/>
    </xf>
    <xf numFmtId="49" fontId="47" fillId="0" borderId="15" xfId="17" quotePrefix="1" applyNumberFormat="1" applyFont="1" applyFill="1" applyBorder="1" applyAlignment="1">
      <alignment horizontal="center" wrapText="1"/>
    </xf>
    <xf numFmtId="170" fontId="47" fillId="0" borderId="0" xfId="17" applyNumberFormat="1" applyFont="1" applyFill="1" applyBorder="1"/>
    <xf numFmtId="168" fontId="46" fillId="0" borderId="47" xfId="17" applyNumberFormat="1" applyFont="1" applyFill="1" applyBorder="1"/>
    <xf numFmtId="165" fontId="46" fillId="0" borderId="1" xfId="0" applyNumberFormat="1" applyFont="1" applyFill="1" applyBorder="1"/>
    <xf numFmtId="0" fontId="47" fillId="0" borderId="29" xfId="0" applyFont="1" applyFill="1" applyBorder="1" applyAlignment="1">
      <alignment horizontal="center"/>
    </xf>
    <xf numFmtId="0" fontId="46" fillId="0" borderId="29" xfId="0" applyFont="1" applyFill="1" applyBorder="1" applyAlignment="1">
      <alignment horizontal="left"/>
    </xf>
    <xf numFmtId="0" fontId="46" fillId="0" borderId="56" xfId="0" applyFont="1" applyFill="1" applyBorder="1" applyAlignment="1">
      <alignment horizontal="left"/>
    </xf>
    <xf numFmtId="0" fontId="47" fillId="0" borderId="56" xfId="0" applyFont="1" applyFill="1" applyBorder="1" applyAlignment="1">
      <alignment horizontal="center"/>
    </xf>
    <xf numFmtId="0" fontId="47" fillId="0" borderId="21" xfId="0" applyFont="1" applyFill="1" applyBorder="1" applyAlignment="1">
      <alignment wrapText="1"/>
    </xf>
    <xf numFmtId="168" fontId="47" fillId="0" borderId="21" xfId="17" applyNumberFormat="1" applyFont="1" applyFill="1" applyBorder="1" applyAlignment="1">
      <alignment wrapText="1"/>
    </xf>
    <xf numFmtId="15" fontId="47" fillId="0" borderId="21" xfId="0" applyNumberFormat="1" applyFont="1" applyFill="1" applyBorder="1" applyAlignment="1">
      <alignment wrapText="1"/>
    </xf>
    <xf numFmtId="1" fontId="47" fillId="0" borderId="21" xfId="0" applyNumberFormat="1" applyFont="1" applyFill="1" applyBorder="1" applyAlignment="1">
      <alignment horizontal="center" wrapText="1"/>
    </xf>
    <xf numFmtId="168" fontId="47" fillId="0" borderId="30" xfId="17" applyNumberFormat="1" applyFont="1" applyFill="1" applyBorder="1" applyAlignment="1">
      <alignment wrapText="1"/>
    </xf>
    <xf numFmtId="165" fontId="47" fillId="0" borderId="21" xfId="17" applyFont="1" applyFill="1" applyBorder="1" applyAlignment="1">
      <alignment horizontal="center" wrapText="1"/>
    </xf>
    <xf numFmtId="0" fontId="47" fillId="0" borderId="19" xfId="0" applyFont="1" applyFill="1" applyBorder="1" applyAlignment="1">
      <alignment wrapText="1"/>
    </xf>
    <xf numFmtId="0" fontId="47" fillId="0" borderId="54" xfId="0" applyFont="1" applyFill="1" applyBorder="1" applyAlignment="1">
      <alignment wrapText="1"/>
    </xf>
    <xf numFmtId="0" fontId="47" fillId="0" borderId="50" xfId="0" applyFont="1" applyFill="1" applyBorder="1" applyAlignment="1">
      <alignment wrapText="1"/>
    </xf>
    <xf numFmtId="168" fontId="47" fillId="0" borderId="15" xfId="17" quotePrefix="1" applyNumberFormat="1" applyFont="1" applyFill="1" applyBorder="1" applyAlignment="1">
      <alignment wrapText="1"/>
    </xf>
    <xf numFmtId="15" fontId="47" fillId="0" borderId="19" xfId="0" applyNumberFormat="1" applyFont="1" applyFill="1" applyBorder="1" applyAlignment="1">
      <alignment wrapText="1"/>
    </xf>
    <xf numFmtId="168" fontId="47" fillId="0" borderId="19" xfId="0" applyNumberFormat="1" applyFont="1" applyFill="1" applyBorder="1" applyAlignment="1">
      <alignment wrapText="1"/>
    </xf>
    <xf numFmtId="190" fontId="47" fillId="0" borderId="15" xfId="17" applyNumberFormat="1" applyFont="1" applyFill="1" applyBorder="1" applyAlignment="1">
      <alignment wrapText="1"/>
    </xf>
    <xf numFmtId="168" fontId="46" fillId="0" borderId="35" xfId="17" applyNumberFormat="1" applyFont="1" applyFill="1" applyBorder="1" applyAlignment="1">
      <alignment horizontal="center" vertical="center"/>
    </xf>
    <xf numFmtId="0" fontId="46" fillId="0" borderId="35" xfId="0" applyFont="1" applyFill="1" applyBorder="1" applyAlignment="1">
      <alignment horizontal="center" vertical="center"/>
    </xf>
    <xf numFmtId="168" fontId="47" fillId="0" borderId="35" xfId="17" applyNumberFormat="1" applyFont="1" applyFill="1" applyBorder="1" applyAlignment="1">
      <alignment wrapText="1"/>
    </xf>
    <xf numFmtId="190" fontId="47" fillId="0" borderId="35" xfId="17" applyNumberFormat="1" applyFont="1" applyFill="1" applyBorder="1" applyAlignment="1">
      <alignment wrapText="1"/>
    </xf>
    <xf numFmtId="15" fontId="47" fillId="0" borderId="35" xfId="0" applyNumberFormat="1" applyFont="1" applyFill="1" applyBorder="1" applyAlignment="1">
      <alignment wrapText="1"/>
    </xf>
    <xf numFmtId="3" fontId="47" fillId="0" borderId="35" xfId="17" applyNumberFormat="1" applyFont="1" applyFill="1" applyBorder="1" applyAlignment="1">
      <alignment wrapText="1"/>
    </xf>
    <xf numFmtId="190" fontId="47" fillId="0" borderId="34" xfId="17" applyNumberFormat="1" applyFont="1" applyFill="1" applyBorder="1" applyAlignment="1">
      <alignment wrapText="1"/>
    </xf>
    <xf numFmtId="15" fontId="47" fillId="0" borderId="34" xfId="0" applyNumberFormat="1" applyFont="1" applyFill="1" applyBorder="1" applyAlignment="1">
      <alignment wrapText="1"/>
    </xf>
    <xf numFmtId="3" fontId="47" fillId="0" borderId="0" xfId="17" applyNumberFormat="1" applyFont="1" applyFill="1" applyBorder="1" applyAlignment="1">
      <alignment wrapText="1"/>
    </xf>
    <xf numFmtId="190" fontId="47" fillId="0" borderId="0" xfId="17" applyNumberFormat="1" applyFont="1" applyFill="1" applyBorder="1" applyAlignment="1">
      <alignment wrapText="1"/>
    </xf>
    <xf numFmtId="0" fontId="46" fillId="0" borderId="35" xfId="0" applyFont="1" applyFill="1" applyBorder="1" applyAlignment="1">
      <alignment wrapText="1"/>
    </xf>
    <xf numFmtId="168" fontId="46" fillId="0" borderId="35" xfId="17" applyNumberFormat="1" applyFont="1" applyFill="1" applyBorder="1" applyAlignment="1">
      <alignment wrapText="1"/>
    </xf>
    <xf numFmtId="190" fontId="46" fillId="0" borderId="35" xfId="17" applyNumberFormat="1" applyFont="1" applyFill="1" applyBorder="1" applyAlignment="1">
      <alignment wrapText="1"/>
    </xf>
    <xf numFmtId="43" fontId="46" fillId="0" borderId="35" xfId="0" applyNumberFormat="1" applyFont="1" applyFill="1" applyBorder="1" applyAlignment="1">
      <alignment wrapText="1"/>
    </xf>
    <xf numFmtId="15" fontId="46" fillId="0" borderId="35" xfId="0" applyNumberFormat="1" applyFont="1" applyFill="1" applyBorder="1" applyAlignment="1">
      <alignment wrapText="1"/>
    </xf>
    <xf numFmtId="43" fontId="47" fillId="0" borderId="35" xfId="0" applyNumberFormat="1" applyFont="1" applyFill="1" applyBorder="1" applyAlignment="1">
      <alignment wrapText="1"/>
    </xf>
    <xf numFmtId="0" fontId="47" fillId="0" borderId="35" xfId="0" applyFont="1" applyFill="1" applyBorder="1" applyAlignment="1">
      <alignment horizontal="left" wrapText="1"/>
    </xf>
    <xf numFmtId="191" fontId="47" fillId="0" borderId="35" xfId="17" applyNumberFormat="1" applyFont="1" applyFill="1" applyBorder="1" applyAlignment="1">
      <alignment wrapText="1"/>
    </xf>
    <xf numFmtId="0" fontId="47" fillId="0" borderId="40" xfId="0" applyFont="1" applyFill="1" applyBorder="1" applyAlignment="1">
      <alignment wrapText="1"/>
    </xf>
    <xf numFmtId="191" fontId="47" fillId="0" borderId="40" xfId="17" applyNumberFormat="1" applyFont="1" applyFill="1" applyBorder="1" applyAlignment="1">
      <alignment wrapText="1"/>
    </xf>
    <xf numFmtId="168" fontId="47" fillId="0" borderId="40" xfId="28" applyNumberFormat="1" applyFont="1" applyFill="1" applyBorder="1" applyAlignment="1">
      <alignment wrapText="1"/>
    </xf>
    <xf numFmtId="0" fontId="47" fillId="0" borderId="42" xfId="0" applyFont="1" applyFill="1" applyBorder="1" applyAlignment="1">
      <alignment wrapText="1"/>
    </xf>
    <xf numFmtId="191" fontId="47" fillId="0" borderId="42" xfId="17" applyNumberFormat="1" applyFont="1" applyFill="1" applyBorder="1" applyAlignment="1">
      <alignment wrapText="1"/>
    </xf>
    <xf numFmtId="168" fontId="47" fillId="0" borderId="42" xfId="28" applyNumberFormat="1" applyFont="1" applyFill="1" applyBorder="1" applyAlignment="1">
      <alignment wrapText="1"/>
    </xf>
    <xf numFmtId="190" fontId="47" fillId="0" borderId="42" xfId="17" applyNumberFormat="1" applyFont="1" applyFill="1" applyBorder="1" applyAlignment="1">
      <alignment wrapText="1"/>
    </xf>
    <xf numFmtId="15" fontId="47" fillId="0" borderId="42" xfId="0" applyNumberFormat="1" applyFont="1" applyFill="1" applyBorder="1" applyAlignment="1">
      <alignment wrapText="1"/>
    </xf>
    <xf numFmtId="168" fontId="47" fillId="0" borderId="42" xfId="17" applyNumberFormat="1" applyFont="1" applyFill="1" applyBorder="1" applyAlignment="1">
      <alignment wrapText="1"/>
    </xf>
    <xf numFmtId="43" fontId="47" fillId="0" borderId="35" xfId="17" applyNumberFormat="1" applyFont="1" applyFill="1" applyBorder="1" applyAlignment="1">
      <alignment wrapText="1"/>
    </xf>
    <xf numFmtId="168" fontId="47" fillId="0" borderId="40" xfId="17" applyNumberFormat="1" applyFont="1" applyFill="1" applyBorder="1" applyAlignment="1">
      <alignment wrapText="1"/>
    </xf>
    <xf numFmtId="0" fontId="47" fillId="0" borderId="42" xfId="0" applyFont="1" applyFill="1" applyBorder="1" applyAlignment="1">
      <alignment vertical="center"/>
    </xf>
    <xf numFmtId="168" fontId="47" fillId="0" borderId="42" xfId="17" applyNumberFormat="1" applyFont="1" applyFill="1" applyBorder="1" applyAlignment="1">
      <alignment vertical="center" wrapText="1"/>
    </xf>
    <xf numFmtId="0" fontId="47" fillId="0" borderId="42" xfId="0" applyFont="1" applyFill="1" applyBorder="1" applyAlignment="1">
      <alignment vertical="center" wrapText="1"/>
    </xf>
    <xf numFmtId="168" fontId="46" fillId="0" borderId="42" xfId="17" applyNumberFormat="1" applyFont="1" applyFill="1" applyBorder="1" applyAlignment="1">
      <alignment vertical="center" wrapText="1"/>
    </xf>
    <xf numFmtId="190" fontId="47" fillId="0" borderId="42" xfId="0" applyNumberFormat="1" applyFont="1" applyFill="1" applyBorder="1" applyAlignment="1">
      <alignment vertical="center" wrapText="1"/>
    </xf>
    <xf numFmtId="43" fontId="47" fillId="0" borderId="42" xfId="0" applyNumberFormat="1" applyFont="1" applyFill="1" applyBorder="1" applyAlignment="1">
      <alignment vertical="center" wrapText="1"/>
    </xf>
    <xf numFmtId="168" fontId="47" fillId="0" borderId="42" xfId="17" applyNumberFormat="1" applyFont="1" applyFill="1" applyBorder="1" applyAlignment="1">
      <alignment vertical="center"/>
    </xf>
    <xf numFmtId="168" fontId="46" fillId="0" borderId="42" xfId="17" applyNumberFormat="1" applyFont="1" applyFill="1" applyBorder="1" applyAlignment="1">
      <alignment vertical="center"/>
    </xf>
    <xf numFmtId="9" fontId="47" fillId="0" borderId="0" xfId="0" applyNumberFormat="1" applyFont="1" applyFill="1"/>
    <xf numFmtId="190" fontId="46" fillId="0" borderId="35" xfId="17" applyNumberFormat="1" applyFont="1" applyFill="1" applyBorder="1" applyAlignment="1">
      <alignment horizontal="center" vertical="center" wrapText="1"/>
    </xf>
    <xf numFmtId="192" fontId="47" fillId="0" borderId="0" xfId="0" applyNumberFormat="1" applyFont="1" applyFill="1"/>
    <xf numFmtId="165" fontId="47" fillId="0" borderId="35" xfId="17" applyFont="1" applyFill="1" applyBorder="1" applyAlignment="1">
      <alignment wrapText="1"/>
    </xf>
    <xf numFmtId="0" fontId="46" fillId="0" borderId="0" xfId="93" applyFont="1" applyFill="1"/>
    <xf numFmtId="15" fontId="47" fillId="0" borderId="0" xfId="93" applyNumberFormat="1" applyFont="1" applyFill="1" applyAlignment="1">
      <alignment horizontal="center"/>
    </xf>
    <xf numFmtId="15" fontId="47" fillId="0" borderId="0" xfId="0" applyNumberFormat="1" applyFont="1" applyFill="1" applyAlignment="1">
      <alignment horizontal="center"/>
    </xf>
    <xf numFmtId="0" fontId="46" fillId="0" borderId="28" xfId="93" applyFont="1" applyFill="1" applyBorder="1"/>
    <xf numFmtId="0" fontId="47" fillId="0" borderId="13" xfId="93" applyFont="1" applyFill="1" applyBorder="1"/>
    <xf numFmtId="0" fontId="47" fillId="0" borderId="24" xfId="93" applyFont="1" applyFill="1" applyBorder="1"/>
    <xf numFmtId="43" fontId="47" fillId="0" borderId="13" xfId="93" applyNumberFormat="1" applyFont="1" applyFill="1" applyBorder="1"/>
    <xf numFmtId="0" fontId="46" fillId="0" borderId="13" xfId="93" applyFont="1" applyFill="1" applyBorder="1"/>
    <xf numFmtId="168" fontId="46" fillId="0" borderId="24" xfId="28" applyNumberFormat="1" applyFont="1" applyFill="1" applyBorder="1"/>
    <xf numFmtId="0" fontId="47" fillId="0" borderId="22" xfId="93" applyFont="1" applyFill="1" applyBorder="1"/>
    <xf numFmtId="168" fontId="47" fillId="0" borderId="22" xfId="28" applyNumberFormat="1" applyFont="1" applyFill="1" applyBorder="1"/>
    <xf numFmtId="168" fontId="47" fillId="0" borderId="23" xfId="28" applyNumberFormat="1" applyFont="1" applyFill="1" applyBorder="1"/>
    <xf numFmtId="0" fontId="46" fillId="0" borderId="22" xfId="93" applyFont="1" applyFill="1" applyBorder="1"/>
    <xf numFmtId="168" fontId="46" fillId="0" borderId="22" xfId="28" applyNumberFormat="1" applyFont="1" applyFill="1" applyBorder="1"/>
    <xf numFmtId="168" fontId="46" fillId="0" borderId="23" xfId="28" applyNumberFormat="1" applyFont="1" applyFill="1" applyBorder="1"/>
    <xf numFmtId="168" fontId="47" fillId="0" borderId="0" xfId="93" applyNumberFormat="1" applyFont="1" applyFill="1"/>
    <xf numFmtId="165" fontId="47" fillId="0" borderId="0" xfId="93" applyNumberFormat="1" applyFont="1" applyFill="1"/>
    <xf numFmtId="165" fontId="46" fillId="0" borderId="42" xfId="28" applyFont="1" applyFill="1" applyBorder="1" applyAlignment="1">
      <alignment horizontal="center" vertical="center" wrapText="1"/>
    </xf>
    <xf numFmtId="165" fontId="48" fillId="0" borderId="42" xfId="28" applyFont="1" applyFill="1" applyBorder="1" applyAlignment="1">
      <alignment horizontal="center" vertical="center" wrapText="1"/>
    </xf>
    <xf numFmtId="0" fontId="46" fillId="0" borderId="42" xfId="0" applyFont="1" applyFill="1" applyBorder="1"/>
    <xf numFmtId="168" fontId="46" fillId="0" borderId="42" xfId="0" applyNumberFormat="1" applyFont="1" applyFill="1" applyBorder="1"/>
    <xf numFmtId="0" fontId="47" fillId="0" borderId="13" xfId="93" applyFont="1" applyFill="1" applyBorder="1" applyAlignment="1">
      <alignment wrapText="1"/>
    </xf>
    <xf numFmtId="168" fontId="47" fillId="0" borderId="13" xfId="93" applyNumberFormat="1" applyFont="1" applyFill="1" applyBorder="1" applyAlignment="1">
      <alignment wrapText="1"/>
    </xf>
    <xf numFmtId="0" fontId="47" fillId="0" borderId="14" xfId="93" applyFont="1" applyFill="1" applyBorder="1" applyAlignment="1">
      <alignment wrapText="1"/>
    </xf>
    <xf numFmtId="15" fontId="47" fillId="0" borderId="13" xfId="93" applyNumberFormat="1" applyFont="1" applyFill="1" applyBorder="1" applyAlignment="1">
      <alignment horizontal="center" wrapText="1"/>
    </xf>
    <xf numFmtId="168" fontId="47" fillId="0" borderId="13" xfId="28" applyNumberFormat="1" applyFont="1" applyFill="1" applyBorder="1" applyAlignment="1">
      <alignment horizontal="center" wrapText="1"/>
    </xf>
    <xf numFmtId="0" fontId="47" fillId="0" borderId="13" xfId="93" applyFont="1" applyFill="1" applyBorder="1" applyAlignment="1">
      <alignment horizontal="center" wrapText="1"/>
    </xf>
    <xf numFmtId="168" fontId="47" fillId="0" borderId="24" xfId="93" applyNumberFormat="1" applyFont="1" applyFill="1" applyBorder="1" applyAlignment="1">
      <alignment wrapText="1"/>
    </xf>
    <xf numFmtId="0" fontId="47" fillId="0" borderId="24" xfId="93" applyFont="1" applyFill="1" applyBorder="1" applyAlignment="1">
      <alignment wrapText="1"/>
    </xf>
    <xf numFmtId="165" fontId="47" fillId="0" borderId="13" xfId="17" applyFont="1" applyFill="1" applyBorder="1" applyAlignment="1">
      <alignment horizontal="center" wrapText="1"/>
    </xf>
    <xf numFmtId="0" fontId="46" fillId="0" borderId="41" xfId="93" applyFont="1" applyFill="1" applyBorder="1" applyAlignment="1">
      <alignment wrapText="1"/>
    </xf>
    <xf numFmtId="0" fontId="47" fillId="0" borderId="41" xfId="93" applyFont="1" applyFill="1" applyBorder="1" applyAlignment="1">
      <alignment wrapText="1"/>
    </xf>
    <xf numFmtId="168" fontId="46" fillId="0" borderId="42" xfId="28" applyNumberFormat="1" applyFont="1" applyFill="1" applyBorder="1" applyAlignment="1">
      <alignment wrapText="1"/>
    </xf>
    <xf numFmtId="168" fontId="46" fillId="0" borderId="41" xfId="28" applyNumberFormat="1" applyFont="1" applyFill="1" applyBorder="1" applyAlignment="1">
      <alignment wrapText="1"/>
    </xf>
    <xf numFmtId="168" fontId="46" fillId="0" borderId="49" xfId="28" applyNumberFormat="1" applyFont="1" applyFill="1" applyBorder="1" applyAlignment="1">
      <alignment wrapText="1"/>
    </xf>
    <xf numFmtId="0" fontId="46" fillId="0" borderId="28" xfId="93" applyFont="1" applyFill="1" applyBorder="1" applyAlignment="1">
      <alignment wrapText="1"/>
    </xf>
    <xf numFmtId="168" fontId="47" fillId="0" borderId="57" xfId="93" applyNumberFormat="1" applyFont="1" applyFill="1" applyBorder="1" applyAlignment="1">
      <alignment wrapText="1"/>
    </xf>
    <xf numFmtId="43" fontId="47" fillId="0" borderId="13" xfId="93" applyNumberFormat="1" applyFont="1" applyFill="1" applyBorder="1" applyAlignment="1">
      <alignment wrapText="1"/>
    </xf>
    <xf numFmtId="0" fontId="46" fillId="0" borderId="13" xfId="93" applyFont="1" applyFill="1" applyBorder="1" applyAlignment="1">
      <alignment wrapText="1"/>
    </xf>
    <xf numFmtId="168" fontId="46" fillId="0" borderId="13" xfId="28" applyNumberFormat="1" applyFont="1" applyFill="1" applyBorder="1" applyAlignment="1">
      <alignment wrapText="1"/>
    </xf>
    <xf numFmtId="168" fontId="46" fillId="0" borderId="57" xfId="28" applyNumberFormat="1" applyFont="1" applyFill="1" applyBorder="1" applyAlignment="1">
      <alignment wrapText="1"/>
    </xf>
    <xf numFmtId="168" fontId="46" fillId="0" borderId="24" xfId="28" applyNumberFormat="1" applyFont="1" applyFill="1" applyBorder="1" applyAlignment="1">
      <alignment wrapText="1"/>
    </xf>
    <xf numFmtId="168" fontId="46" fillId="0" borderId="58" xfId="28" applyNumberFormat="1" applyFont="1" applyFill="1" applyBorder="1" applyAlignment="1">
      <alignment wrapText="1"/>
    </xf>
    <xf numFmtId="0" fontId="47" fillId="0" borderId="28" xfId="93" applyFont="1" applyFill="1" applyBorder="1" applyAlignment="1">
      <alignment wrapText="1"/>
    </xf>
    <xf numFmtId="0" fontId="47" fillId="0" borderId="28" xfId="0" applyFont="1" applyFill="1" applyBorder="1" applyAlignment="1">
      <alignment wrapText="1"/>
    </xf>
    <xf numFmtId="0" fontId="47" fillId="0" borderId="28" xfId="93" applyFont="1" applyFill="1" applyBorder="1"/>
    <xf numFmtId="0" fontId="47" fillId="0" borderId="26" xfId="93" applyFont="1" applyFill="1" applyBorder="1"/>
    <xf numFmtId="0" fontId="46" fillId="0" borderId="46" xfId="0" applyFont="1" applyFill="1" applyBorder="1" applyAlignment="1">
      <alignment horizontal="center" wrapText="1"/>
    </xf>
    <xf numFmtId="168" fontId="47" fillId="0" borderId="15" xfId="0" quotePrefix="1" applyNumberFormat="1" applyFont="1" applyFill="1" applyBorder="1" applyAlignment="1">
      <alignment horizontal="center" wrapText="1"/>
    </xf>
    <xf numFmtId="15" fontId="46" fillId="0" borderId="38" xfId="93" applyNumberFormat="1" applyFont="1" applyFill="1" applyBorder="1" applyAlignment="1">
      <alignment horizontal="center"/>
    </xf>
    <xf numFmtId="15" fontId="46" fillId="0" borderId="39" xfId="93" applyNumberFormat="1" applyFont="1" applyFill="1" applyBorder="1" applyAlignment="1">
      <alignment horizontal="center"/>
    </xf>
    <xf numFmtId="0" fontId="46" fillId="0" borderId="45" xfId="93" applyFont="1" applyFill="1" applyBorder="1" applyAlignment="1">
      <alignment horizontal="center" vertical="center"/>
    </xf>
    <xf numFmtId="0" fontId="46" fillId="0" borderId="38" xfId="93" applyFont="1" applyFill="1" applyBorder="1" applyAlignment="1">
      <alignment horizontal="center" vertical="center" wrapText="1"/>
    </xf>
    <xf numFmtId="190" fontId="46" fillId="0" borderId="38" xfId="28" applyNumberFormat="1" applyFont="1" applyFill="1" applyBorder="1" applyAlignment="1">
      <alignment horizontal="center" vertical="center" wrapText="1"/>
    </xf>
    <xf numFmtId="168" fontId="47" fillId="0" borderId="0" xfId="17" applyNumberFormat="1" applyFont="1" applyFill="1" applyAlignment="1"/>
    <xf numFmtId="43" fontId="47" fillId="0" borderId="0" xfId="93" applyNumberFormat="1" applyFont="1" applyFill="1"/>
    <xf numFmtId="168" fontId="47" fillId="0" borderId="0" xfId="0" applyNumberFormat="1" applyFont="1" applyFill="1" applyAlignment="1"/>
    <xf numFmtId="168" fontId="47" fillId="0" borderId="35" xfId="0" applyNumberFormat="1" applyFont="1" applyFill="1" applyBorder="1" applyAlignment="1">
      <alignment wrapText="1"/>
    </xf>
    <xf numFmtId="168" fontId="2" fillId="0" borderId="0" xfId="17" applyNumberFormat="1" applyFont="1"/>
    <xf numFmtId="0" fontId="50" fillId="0" borderId="0" xfId="0" applyFont="1"/>
    <xf numFmtId="168" fontId="50" fillId="0" borderId="0" xfId="17" applyNumberFormat="1" applyFont="1"/>
    <xf numFmtId="165" fontId="50" fillId="0" borderId="0" xfId="17" applyFont="1"/>
    <xf numFmtId="168" fontId="50" fillId="0" borderId="0" xfId="0" applyNumberFormat="1" applyFont="1"/>
    <xf numFmtId="168" fontId="51" fillId="0" borderId="0" xfId="17" applyNumberFormat="1" applyFont="1"/>
    <xf numFmtId="43" fontId="46" fillId="0" borderId="0" xfId="0" applyNumberFormat="1" applyFont="1" applyFill="1" applyBorder="1"/>
    <xf numFmtId="43" fontId="50" fillId="0" borderId="0" xfId="0" applyNumberFormat="1" applyFont="1"/>
    <xf numFmtId="168" fontId="51" fillId="0" borderId="0" xfId="0" applyNumberFormat="1" applyFont="1"/>
    <xf numFmtId="43" fontId="51" fillId="0" borderId="0" xfId="0" applyNumberFormat="1" applyFont="1"/>
    <xf numFmtId="0" fontId="52" fillId="0" borderId="0" xfId="130" applyFont="1"/>
    <xf numFmtId="2" fontId="52" fillId="0" borderId="0" xfId="130" applyNumberFormat="1" applyFont="1"/>
    <xf numFmtId="9" fontId="50" fillId="0" borderId="0" xfId="131" applyFont="1"/>
    <xf numFmtId="10" fontId="50" fillId="0" borderId="0" xfId="131" applyNumberFormat="1" applyFont="1"/>
    <xf numFmtId="9" fontId="50" fillId="0" borderId="0" xfId="0" applyNumberFormat="1" applyFont="1"/>
    <xf numFmtId="169" fontId="50" fillId="0" borderId="0" xfId="0" applyNumberFormat="1" applyFont="1"/>
    <xf numFmtId="0" fontId="51" fillId="0" borderId="0" xfId="0" applyFont="1" applyAlignment="1">
      <alignment horizontal="center" vertical="center" wrapText="1"/>
    </xf>
    <xf numFmtId="168" fontId="51" fillId="0" borderId="0" xfId="17" applyNumberFormat="1" applyFont="1" applyAlignment="1">
      <alignment horizontal="center" vertical="center" wrapText="1"/>
    </xf>
    <xf numFmtId="168" fontId="53" fillId="0" borderId="0" xfId="17" applyNumberFormat="1" applyFont="1"/>
    <xf numFmtId="3" fontId="50" fillId="0" borderId="0" xfId="0" applyNumberFormat="1" applyFont="1"/>
    <xf numFmtId="0" fontId="46" fillId="0" borderId="25" xfId="93" applyFont="1" applyFill="1" applyBorder="1" applyAlignment="1">
      <alignment vertical="center"/>
    </xf>
    <xf numFmtId="0" fontId="46" fillId="0" borderId="25" xfId="93" applyFont="1" applyFill="1" applyBorder="1" applyAlignment="1">
      <alignment vertical="center" wrapText="1"/>
    </xf>
    <xf numFmtId="168" fontId="46" fillId="0" borderId="0" xfId="0" applyNumberFormat="1" applyFont="1" applyFill="1" applyAlignment="1">
      <alignment vertical="center"/>
    </xf>
    <xf numFmtId="190" fontId="46" fillId="0" borderId="13" xfId="17" applyNumberFormat="1" applyFont="1" applyFill="1" applyBorder="1"/>
    <xf numFmtId="0" fontId="46" fillId="0" borderId="42" xfId="0" applyFont="1" applyFill="1" applyBorder="1" applyAlignment="1"/>
    <xf numFmtId="0" fontId="47" fillId="0" borderId="42" xfId="0" applyFont="1" applyFill="1" applyBorder="1" applyAlignment="1">
      <alignment horizontal="center"/>
    </xf>
    <xf numFmtId="0" fontId="46" fillId="0" borderId="42" xfId="0" applyFont="1" applyFill="1" applyBorder="1" applyAlignment="1">
      <alignment horizontal="left"/>
    </xf>
    <xf numFmtId="0" fontId="46" fillId="0" borderId="42" xfId="0" applyFont="1" applyFill="1" applyBorder="1" applyAlignment="1">
      <alignment wrapText="1"/>
    </xf>
    <xf numFmtId="0" fontId="47" fillId="0" borderId="42" xfId="0" applyFont="1" applyFill="1" applyBorder="1" applyAlignment="1"/>
    <xf numFmtId="0" fontId="46" fillId="0" borderId="42" xfId="0" applyFont="1" applyFill="1" applyBorder="1" applyAlignment="1">
      <alignment horizontal="center" wrapText="1"/>
    </xf>
    <xf numFmtId="168" fontId="46" fillId="0" borderId="42" xfId="17" applyNumberFormat="1" applyFont="1" applyFill="1" applyBorder="1" applyAlignment="1">
      <alignment horizontal="right"/>
    </xf>
    <xf numFmtId="168" fontId="47" fillId="0" borderId="42" xfId="17" applyNumberFormat="1" applyFont="1" applyFill="1" applyBorder="1" applyAlignment="1"/>
    <xf numFmtId="168" fontId="46" fillId="0" borderId="42" xfId="17" applyNumberFormat="1" applyFont="1" applyFill="1" applyBorder="1"/>
    <xf numFmtId="168" fontId="47" fillId="0" borderId="42" xfId="0" applyNumberFormat="1" applyFont="1" applyFill="1" applyBorder="1" applyAlignment="1">
      <alignment wrapText="1"/>
    </xf>
    <xf numFmtId="165" fontId="52" fillId="0" borderId="0" xfId="17" applyFont="1"/>
    <xf numFmtId="193" fontId="52" fillId="0" borderId="0" xfId="17" applyNumberFormat="1" applyFont="1"/>
    <xf numFmtId="193" fontId="52" fillId="0" borderId="0" xfId="130" applyNumberFormat="1" applyFont="1"/>
    <xf numFmtId="0" fontId="54" fillId="0" borderId="0" xfId="130" applyFont="1"/>
    <xf numFmtId="165" fontId="54" fillId="0" borderId="0" xfId="17" applyFont="1"/>
    <xf numFmtId="168" fontId="52" fillId="0" borderId="0" xfId="17" applyNumberFormat="1" applyFont="1"/>
    <xf numFmtId="168" fontId="54" fillId="0" borderId="0" xfId="17" applyNumberFormat="1" applyFont="1"/>
    <xf numFmtId="0" fontId="52" fillId="0" borderId="0" xfId="130" applyFont="1" applyAlignment="1">
      <alignment horizontal="center"/>
    </xf>
    <xf numFmtId="0" fontId="51" fillId="0" borderId="42" xfId="0" applyFont="1" applyBorder="1" applyAlignment="1">
      <alignment vertical="center"/>
    </xf>
    <xf numFmtId="168" fontId="51" fillId="0" borderId="42" xfId="17" applyNumberFormat="1" applyFont="1" applyBorder="1" applyAlignment="1">
      <alignment vertical="center"/>
    </xf>
    <xf numFmtId="0" fontId="50" fillId="0" borderId="0" xfId="0" applyFont="1" applyAlignment="1">
      <alignment vertical="center"/>
    </xf>
    <xf numFmtId="0" fontId="50" fillId="0" borderId="42" xfId="0" applyFont="1" applyBorder="1" applyAlignment="1">
      <alignment vertical="center"/>
    </xf>
    <xf numFmtId="168" fontId="50" fillId="0" borderId="42" xfId="17" applyNumberFormat="1" applyFont="1" applyBorder="1" applyAlignment="1">
      <alignment vertical="center"/>
    </xf>
    <xf numFmtId="168" fontId="50" fillId="0" borderId="0" xfId="17" applyNumberFormat="1" applyFont="1" applyAlignment="1">
      <alignment vertical="center"/>
    </xf>
    <xf numFmtId="0" fontId="51" fillId="0" borderId="42" xfId="0" applyFont="1" applyBorder="1" applyAlignment="1">
      <alignment horizontal="center" vertical="center"/>
    </xf>
    <xf numFmtId="168" fontId="51" fillId="0" borderId="42" xfId="17" applyNumberFormat="1" applyFont="1" applyBorder="1" applyAlignment="1">
      <alignment horizontal="center" vertical="center"/>
    </xf>
    <xf numFmtId="0" fontId="50" fillId="0" borderId="42" xfId="0" applyFont="1" applyBorder="1"/>
    <xf numFmtId="0" fontId="51" fillId="0" borderId="42" xfId="0" applyFont="1" applyBorder="1"/>
    <xf numFmtId="165" fontId="50" fillId="0" borderId="42" xfId="17" applyFont="1" applyBorder="1"/>
    <xf numFmtId="165" fontId="51" fillId="0" borderId="42" xfId="17" applyFont="1" applyBorder="1"/>
    <xf numFmtId="0" fontId="55" fillId="0" borderId="42" xfId="0" applyFont="1" applyBorder="1" applyAlignment="1">
      <alignment wrapText="1"/>
    </xf>
    <xf numFmtId="0" fontId="51" fillId="0" borderId="42" xfId="0" applyFont="1" applyBorder="1" applyAlignment="1">
      <alignment vertical="center" wrapText="1"/>
    </xf>
    <xf numFmtId="43" fontId="46" fillId="0" borderId="0" xfId="0" applyNumberFormat="1" applyFont="1" applyFill="1"/>
    <xf numFmtId="165" fontId="46" fillId="0" borderId="0" xfId="17" applyFont="1" applyFill="1"/>
    <xf numFmtId="165" fontId="46" fillId="0" borderId="0" xfId="0" applyNumberFormat="1" applyFont="1" applyFill="1"/>
    <xf numFmtId="165" fontId="46" fillId="0" borderId="51" xfId="28" applyFont="1" applyFill="1" applyBorder="1" applyAlignment="1">
      <alignment vertical="center" wrapText="1"/>
    </xf>
    <xf numFmtId="0" fontId="46" fillId="0" borderId="53" xfId="0" applyFont="1" applyFill="1" applyBorder="1" applyAlignment="1">
      <alignment vertical="center" wrapText="1"/>
    </xf>
    <xf numFmtId="0" fontId="46" fillId="0" borderId="55" xfId="0" applyFont="1" applyFill="1" applyBorder="1" applyAlignment="1">
      <alignment vertical="center" wrapText="1"/>
    </xf>
    <xf numFmtId="0" fontId="46" fillId="0" borderId="52" xfId="0" applyFont="1" applyFill="1" applyBorder="1" applyAlignment="1">
      <alignment vertical="center" wrapText="1"/>
    </xf>
    <xf numFmtId="0" fontId="46" fillId="0" borderId="53" xfId="0" applyFont="1" applyFill="1" applyBorder="1" applyAlignment="1"/>
    <xf numFmtId="0" fontId="46" fillId="0" borderId="55" xfId="0" applyFont="1" applyFill="1" applyBorder="1" applyAlignment="1"/>
    <xf numFmtId="0" fontId="46" fillId="0" borderId="52" xfId="0" applyFont="1" applyFill="1" applyBorder="1" applyAlignment="1"/>
    <xf numFmtId="165" fontId="46" fillId="0" borderId="12" xfId="28" applyFont="1" applyFill="1" applyBorder="1" applyAlignment="1">
      <alignment vertical="center" wrapText="1"/>
    </xf>
    <xf numFmtId="165" fontId="46" fillId="0" borderId="0" xfId="17" applyFont="1" applyFill="1" applyBorder="1"/>
    <xf numFmtId="0" fontId="56" fillId="0" borderId="59" xfId="0" applyFont="1" applyBorder="1" applyAlignment="1">
      <alignment vertical="center" wrapText="1"/>
    </xf>
    <xf numFmtId="0" fontId="57" fillId="0" borderId="59" xfId="0" applyFont="1" applyBorder="1" applyAlignment="1">
      <alignment vertical="center" wrapText="1"/>
    </xf>
    <xf numFmtId="0" fontId="50" fillId="0" borderId="0" xfId="0" applyFont="1" applyFill="1" applyAlignment="1">
      <alignment vertical="center"/>
    </xf>
    <xf numFmtId="0" fontId="51" fillId="0" borderId="0" xfId="0" applyFont="1" applyFill="1" applyAlignment="1">
      <alignment horizontal="center" vertical="center"/>
    </xf>
    <xf numFmtId="0" fontId="54" fillId="0" borderId="42" xfId="0" applyFont="1" applyFill="1" applyBorder="1" applyAlignment="1">
      <alignment horizontal="center" vertical="center" wrapText="1"/>
    </xf>
    <xf numFmtId="44" fontId="50" fillId="0" borderId="42" xfId="0" applyNumberFormat="1" applyFont="1" applyFill="1" applyBorder="1" applyAlignment="1">
      <alignment horizontal="center" vertical="center"/>
    </xf>
    <xf numFmtId="165" fontId="51" fillId="0" borderId="42" xfId="17" applyFont="1" applyFill="1" applyBorder="1" applyAlignment="1">
      <alignment horizontal="right"/>
    </xf>
    <xf numFmtId="165" fontId="51" fillId="0" borderId="42" xfId="17" applyFont="1" applyFill="1" applyBorder="1"/>
    <xf numFmtId="0" fontId="50" fillId="0" borderId="42" xfId="0" applyFont="1" applyFill="1" applyBorder="1" applyAlignment="1">
      <alignment vertical="center"/>
    </xf>
    <xf numFmtId="44" fontId="51" fillId="0" borderId="42" xfId="0" applyNumberFormat="1" applyFont="1" applyFill="1" applyBorder="1" applyAlignment="1">
      <alignment horizontal="center" vertical="center"/>
    </xf>
    <xf numFmtId="165" fontId="51" fillId="0" borderId="12" xfId="17" applyFont="1" applyFill="1" applyBorder="1"/>
    <xf numFmtId="0" fontId="51" fillId="0" borderId="0" xfId="0" applyFont="1" applyFill="1" applyAlignment="1">
      <alignment vertical="center"/>
    </xf>
    <xf numFmtId="0" fontId="51" fillId="0" borderId="42"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0" fillId="0" borderId="0" xfId="0" applyFont="1" applyFill="1" applyAlignment="1">
      <alignment horizontal="center" vertical="center" wrapText="1"/>
    </xf>
    <xf numFmtId="0" fontId="51" fillId="0" borderId="42" xfId="0" applyFont="1" applyFill="1" applyBorder="1" applyAlignment="1">
      <alignment vertical="center" wrapText="1"/>
    </xf>
    <xf numFmtId="0" fontId="51" fillId="0" borderId="42" xfId="0" applyFont="1" applyFill="1" applyBorder="1" applyAlignment="1">
      <alignment vertical="center"/>
    </xf>
    <xf numFmtId="44" fontId="51" fillId="0" borderId="0" xfId="0" applyNumberFormat="1" applyFont="1" applyFill="1" applyAlignment="1">
      <alignment vertical="center"/>
    </xf>
    <xf numFmtId="44" fontId="50" fillId="0" borderId="52" xfId="0" applyNumberFormat="1" applyFont="1" applyFill="1" applyBorder="1" applyAlignment="1">
      <alignment horizontal="center" vertical="center"/>
    </xf>
    <xf numFmtId="44" fontId="51" fillId="0" borderId="52" xfId="0" applyNumberFormat="1" applyFont="1" applyFill="1" applyBorder="1" applyAlignment="1">
      <alignment horizontal="center" vertical="center"/>
    </xf>
    <xf numFmtId="44" fontId="51" fillId="0" borderId="42" xfId="0" applyNumberFormat="1" applyFont="1" applyFill="1" applyBorder="1" applyAlignment="1">
      <alignment vertical="center"/>
    </xf>
    <xf numFmtId="0" fontId="59" fillId="0" borderId="59" xfId="0" applyFont="1" applyBorder="1" applyAlignment="1">
      <alignment vertical="center" wrapText="1"/>
    </xf>
    <xf numFmtId="0" fontId="60" fillId="0" borderId="59" xfId="0" applyFont="1" applyBorder="1" applyAlignment="1">
      <alignment vertical="center" wrapText="1"/>
    </xf>
    <xf numFmtId="0" fontId="56" fillId="0" borderId="42" xfId="0" applyFont="1" applyBorder="1" applyAlignment="1">
      <alignment horizontal="center" vertical="center" wrapText="1"/>
    </xf>
    <xf numFmtId="0" fontId="56" fillId="0" borderId="42" xfId="0" applyFont="1" applyBorder="1" applyAlignment="1">
      <alignment vertical="center" wrapText="1"/>
    </xf>
    <xf numFmtId="0" fontId="57" fillId="0" borderId="42" xfId="0" applyFont="1" applyBorder="1" applyAlignment="1">
      <alignment horizontal="center" vertical="center" wrapText="1"/>
    </xf>
    <xf numFmtId="0" fontId="57" fillId="0" borderId="42" xfId="0" applyFont="1" applyBorder="1" applyAlignment="1">
      <alignment vertical="center" wrapText="1"/>
    </xf>
    <xf numFmtId="0" fontId="56" fillId="0" borderId="53" xfId="0" applyFont="1" applyBorder="1" applyAlignment="1">
      <alignment vertical="center" wrapText="1"/>
    </xf>
    <xf numFmtId="0" fontId="56" fillId="0" borderId="55" xfId="0" applyFont="1" applyBorder="1" applyAlignment="1">
      <alignment vertical="center" wrapText="1"/>
    </xf>
    <xf numFmtId="0" fontId="56" fillId="0" borderId="52" xfId="0" applyFont="1" applyBorder="1" applyAlignment="1">
      <alignment vertical="center" wrapText="1"/>
    </xf>
    <xf numFmtId="0" fontId="50" fillId="0" borderId="0" xfId="0" applyFont="1" applyAlignment="1">
      <alignment horizontal="center" vertical="center"/>
    </xf>
    <xf numFmtId="0" fontId="51" fillId="0" borderId="0" xfId="0" applyFont="1" applyAlignment="1">
      <alignment vertical="center"/>
    </xf>
    <xf numFmtId="0" fontId="0" fillId="0" borderId="0" xfId="0" applyAlignment="1">
      <alignment vertical="center"/>
    </xf>
    <xf numFmtId="9" fontId="50" fillId="0" borderId="0" xfId="132" applyFont="1" applyAlignment="1">
      <alignment vertical="center"/>
    </xf>
    <xf numFmtId="194" fontId="50" fillId="0" borderId="0" xfId="132" applyNumberFormat="1" applyFont="1" applyAlignment="1">
      <alignment vertical="center"/>
    </xf>
    <xf numFmtId="10" fontId="50" fillId="0" borderId="0" xfId="0" applyNumberFormat="1" applyFont="1" applyAlignment="1">
      <alignment vertical="center"/>
    </xf>
    <xf numFmtId="165" fontId="50" fillId="0" borderId="42" xfId="17" applyFont="1" applyFill="1" applyBorder="1" applyAlignment="1">
      <alignment vertical="center"/>
    </xf>
    <xf numFmtId="165" fontId="51" fillId="0" borderId="42" xfId="17" applyFont="1" applyFill="1" applyBorder="1" applyAlignment="1">
      <alignment vertical="center"/>
    </xf>
    <xf numFmtId="0" fontId="61" fillId="7" borderId="42" xfId="0" applyFont="1" applyFill="1" applyBorder="1" applyAlignment="1">
      <alignment horizontal="center" vertical="center" wrapText="1"/>
    </xf>
    <xf numFmtId="0" fontId="50" fillId="0" borderId="42" xfId="0" applyFont="1" applyFill="1" applyBorder="1" applyAlignment="1">
      <alignment horizontal="center" vertical="center"/>
    </xf>
    <xf numFmtId="165" fontId="50" fillId="0" borderId="0" xfId="17" applyFont="1" applyFill="1" applyAlignment="1">
      <alignment vertical="center"/>
    </xf>
    <xf numFmtId="43" fontId="50" fillId="0" borderId="0" xfId="0" applyNumberFormat="1" applyFont="1" applyFill="1" applyAlignment="1">
      <alignment vertical="center"/>
    </xf>
    <xf numFmtId="0" fontId="46" fillId="0" borderId="5" xfId="0" applyFont="1" applyFill="1" applyBorder="1" applyAlignment="1">
      <alignment horizontal="center"/>
    </xf>
    <xf numFmtId="170" fontId="46" fillId="0" borderId="31" xfId="0" applyNumberFormat="1" applyFont="1" applyFill="1" applyBorder="1" applyAlignment="1">
      <alignment horizontal="center"/>
    </xf>
    <xf numFmtId="170" fontId="46" fillId="0" borderId="32" xfId="0" applyNumberFormat="1" applyFont="1" applyFill="1" applyBorder="1" applyAlignment="1">
      <alignment horizontal="center"/>
    </xf>
    <xf numFmtId="170" fontId="46" fillId="0" borderId="33" xfId="0" applyNumberFormat="1" applyFont="1" applyFill="1" applyBorder="1" applyAlignment="1">
      <alignment horizontal="center"/>
    </xf>
    <xf numFmtId="0" fontId="46" fillId="0" borderId="0" xfId="0" applyFont="1" applyFill="1" applyBorder="1" applyAlignment="1">
      <alignment horizontal="center"/>
    </xf>
    <xf numFmtId="170" fontId="46" fillId="0" borderId="53" xfId="0" applyNumberFormat="1" applyFont="1" applyFill="1" applyBorder="1" applyAlignment="1">
      <alignment horizontal="center"/>
    </xf>
    <xf numFmtId="170" fontId="46" fillId="0" borderId="55" xfId="0" applyNumberFormat="1" applyFont="1" applyFill="1" applyBorder="1" applyAlignment="1">
      <alignment horizontal="center"/>
    </xf>
    <xf numFmtId="0" fontId="46" fillId="0" borderId="55" xfId="0" applyFont="1" applyFill="1" applyBorder="1" applyAlignment="1">
      <alignment horizontal="center"/>
    </xf>
    <xf numFmtId="15" fontId="46" fillId="0" borderId="0" xfId="0" applyNumberFormat="1" applyFont="1" applyFill="1" applyAlignment="1">
      <alignment horizontal="center"/>
    </xf>
    <xf numFmtId="170" fontId="46" fillId="0" borderId="11" xfId="0" applyNumberFormat="1" applyFont="1" applyFill="1" applyBorder="1" applyAlignment="1">
      <alignment horizontal="center"/>
    </xf>
    <xf numFmtId="170" fontId="46" fillId="0" borderId="5" xfId="0" applyNumberFormat="1" applyFont="1" applyFill="1" applyBorder="1" applyAlignment="1">
      <alignment horizontal="center"/>
    </xf>
    <xf numFmtId="0" fontId="46" fillId="0" borderId="44" xfId="0" applyFont="1" applyFill="1" applyBorder="1" applyAlignment="1">
      <alignment horizontal="center"/>
    </xf>
    <xf numFmtId="165" fontId="57" fillId="0" borderId="42" xfId="17" applyFont="1" applyBorder="1" applyAlignment="1">
      <alignment vertical="center"/>
    </xf>
    <xf numFmtId="168" fontId="50" fillId="0" borderId="0" xfId="17" applyNumberFormat="1" applyFont="1" applyFill="1" applyAlignment="1">
      <alignment vertical="center"/>
    </xf>
  </cellXfs>
  <cellStyles count="133">
    <cellStyle name="75" xfId="1"/>
    <cellStyle name="ÅëÈ­ [0]_±âÅ¸" xfId="2"/>
    <cellStyle name="ÅëÈ­_±âÅ¸" xfId="3"/>
    <cellStyle name="args.style" xfId="4"/>
    <cellStyle name="ÄÞ¸¶ [0]_±âÅ¸" xfId="5"/>
    <cellStyle name="ÄÞ¸¶_±âÅ¸" xfId="6"/>
    <cellStyle name="Body" xfId="7"/>
    <cellStyle name="Ç¥ÁØ_¿¬°£´©°è¿¹»ó" xfId="8"/>
    <cellStyle name="Calc Currency (0)" xfId="9"/>
    <cellStyle name="Calc Currency (2)" xfId="10"/>
    <cellStyle name="Calc Percent (0)" xfId="11"/>
    <cellStyle name="Calc Percent (1)" xfId="12"/>
    <cellStyle name="Calc Percent (2)" xfId="13"/>
    <cellStyle name="Calc Units (0)" xfId="14"/>
    <cellStyle name="Calc Units (1)" xfId="15"/>
    <cellStyle name="Calc Units (2)" xfId="16"/>
    <cellStyle name="Comma" xfId="17" builtinId="3"/>
    <cellStyle name="Comma  - Style1" xfId="18"/>
    <cellStyle name="Comma  - Style2" xfId="19"/>
    <cellStyle name="Comma  - Style3" xfId="20"/>
    <cellStyle name="Comma  - Style4" xfId="21"/>
    <cellStyle name="Comma  - Style5" xfId="22"/>
    <cellStyle name="Comma  - Style6" xfId="23"/>
    <cellStyle name="Comma  - Style7" xfId="24"/>
    <cellStyle name="Comma  - Style8" xfId="25"/>
    <cellStyle name="Comma [00]" xfId="26"/>
    <cellStyle name="Comma 2" xfId="27"/>
    <cellStyle name="Comma 3" xfId="28"/>
    <cellStyle name="Comma 3 2" xfId="29"/>
    <cellStyle name="Comma 4" xfId="30"/>
    <cellStyle name="Comma 4 2" xfId="31"/>
    <cellStyle name="Comma 5" xfId="32"/>
    <cellStyle name="Comma 6" xfId="33"/>
    <cellStyle name="Comma 7" xfId="34"/>
    <cellStyle name="Comma0" xfId="35"/>
    <cellStyle name="Comma0 - Style4" xfId="36"/>
    <cellStyle name="Comma0 - Style5" xfId="37"/>
    <cellStyle name="Comma1 - Style1" xfId="38"/>
    <cellStyle name="Copied" xfId="39"/>
    <cellStyle name="Curren - Style1" xfId="40"/>
    <cellStyle name="Curren - Style5" xfId="41"/>
    <cellStyle name="Curren - Style6" xfId="42"/>
    <cellStyle name="Currency [00]" xfId="43"/>
    <cellStyle name="Currency0" xfId="44"/>
    <cellStyle name="Currwncy [0]_laroux_1¿ùÈ¸ºñ³»¿ª (2)_±¸¹Ì´ëÃ¥" xfId="45"/>
    <cellStyle name="Date" xfId="46"/>
    <cellStyle name="Date - Style3" xfId="47"/>
    <cellStyle name="Date - Style4" xfId="48"/>
    <cellStyle name="Date Short" xfId="49"/>
    <cellStyle name="Date_ACPCPL- 3CD- March'08-Final" xfId="50"/>
    <cellStyle name="DELTA" xfId="51"/>
    <cellStyle name="Enter Currency (0)" xfId="52"/>
    <cellStyle name="Enter Currency (2)" xfId="53"/>
    <cellStyle name="Enter Units (0)" xfId="54"/>
    <cellStyle name="Enter Units (1)" xfId="55"/>
    <cellStyle name="Enter Units (2)" xfId="56"/>
    <cellStyle name="Entered" xfId="57"/>
    <cellStyle name="Euro" xfId="58"/>
    <cellStyle name="Fixed" xfId="59"/>
    <cellStyle name="Fixed3 - Style3" xfId="60"/>
    <cellStyle name="Formula" xfId="61"/>
    <cellStyle name="Grey" xfId="62"/>
    <cellStyle name="Header1" xfId="63"/>
    <cellStyle name="Header2" xfId="64"/>
    <cellStyle name="Heading 1" xfId="65" builtinId="16" customBuiltin="1"/>
    <cellStyle name="Heading 2" xfId="66" builtinId="17" customBuiltin="1"/>
    <cellStyle name="HEADINGS" xfId="67"/>
    <cellStyle name="HEADINGSTOP" xfId="68"/>
    <cellStyle name="Hypertextový odkaz" xfId="69"/>
    <cellStyle name="Input [yellow]" xfId="70"/>
    <cellStyle name="Link Currency (0)" xfId="71"/>
    <cellStyle name="Link Currency (2)" xfId="72"/>
    <cellStyle name="Link Units (0)" xfId="73"/>
    <cellStyle name="Link Units (1)" xfId="74"/>
    <cellStyle name="Link Units (2)" xfId="75"/>
    <cellStyle name="mike" xfId="76"/>
    <cellStyle name="mike1" xfId="77"/>
    <cellStyle name="mike2" xfId="78"/>
    <cellStyle name="Milliers [0]_CREATIVE" xfId="79"/>
    <cellStyle name="Milliers_CREATIVE" xfId="80"/>
    <cellStyle name="Monétaire [0]_CREATIVE" xfId="81"/>
    <cellStyle name="Monétaire_CREATIVE" xfId="82"/>
    <cellStyle name="New Times Roman" xfId="83"/>
    <cellStyle name="no dec" xfId="84"/>
    <cellStyle name="Normal" xfId="0" builtinId="0"/>
    <cellStyle name="Normal - Style1" xfId="85"/>
    <cellStyle name="Normal 2" xfId="86"/>
    <cellStyle name="Normal 3" xfId="87"/>
    <cellStyle name="Normal 3 2" xfId="88"/>
    <cellStyle name="Normal 4" xfId="89"/>
    <cellStyle name="Normal 4 2" xfId="90"/>
    <cellStyle name="Normal 4_ACPCPL_BS_30th June 2009  xls-050709" xfId="91"/>
    <cellStyle name="Normal 5" xfId="92"/>
    <cellStyle name="Normal 6" xfId="93"/>
    <cellStyle name="Normal 7" xfId="94"/>
    <cellStyle name="Normal 8" xfId="95"/>
    <cellStyle name="Normal 9" xfId="130"/>
    <cellStyle name="Œ…‹???‚è [0.00]_Sheet1" xfId="96"/>
    <cellStyle name="Œ…‹???‚è_Sheet1" xfId="97"/>
    <cellStyle name="per.style" xfId="98"/>
    <cellStyle name="Percen - Style2" xfId="99"/>
    <cellStyle name="Percent" xfId="132" builtinId="5"/>
    <cellStyle name="Percent [0]" xfId="100"/>
    <cellStyle name="Percent [00]" xfId="101"/>
    <cellStyle name="Percent [2]" xfId="102"/>
    <cellStyle name="Percent 2" xfId="103"/>
    <cellStyle name="Percent 3" xfId="129"/>
    <cellStyle name="Percent 4" xfId="131"/>
    <cellStyle name="Popis" xfId="104"/>
    <cellStyle name="PrePop Currency (0)" xfId="105"/>
    <cellStyle name="PrePop Currency (2)" xfId="106"/>
    <cellStyle name="PrePop Units (0)" xfId="107"/>
    <cellStyle name="PrePop Units (1)" xfId="108"/>
    <cellStyle name="PrePop Units (2)" xfId="109"/>
    <cellStyle name="regstoresfromspecstores" xfId="110"/>
    <cellStyle name="RevList" xfId="111"/>
    <cellStyle name="ri_Sheet1" xfId="112"/>
    <cellStyle name="SHADEDSTORES" xfId="113"/>
    <cellStyle name="Sledovaný hypertextový odkaz" xfId="114"/>
    <cellStyle name="specstores" xfId="115"/>
    <cellStyle name="Standard_Balance Sheet" xfId="116"/>
    <cellStyle name="Style 1" xfId="117"/>
    <cellStyle name="Subtotal" xfId="118"/>
    <cellStyle name="table" xfId="119"/>
    <cellStyle name="Text Indent A" xfId="120"/>
    <cellStyle name="Text Indent B" xfId="121"/>
    <cellStyle name="Text Indent C" xfId="122"/>
    <cellStyle name="Total" xfId="123" builtinId="25" customBuiltin="1"/>
    <cellStyle name="桁区切り [0.00]_PERSONAL" xfId="124"/>
    <cellStyle name="桁区切り_PERSONAL" xfId="125"/>
    <cellStyle name="標準_PERSONAL" xfId="126"/>
    <cellStyle name="通貨 [0.00]_PERSONAL" xfId="127"/>
    <cellStyle name="通貨_PERSONAL" xfId="1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0</xdr:colOff>
      <xdr:row>714</xdr:row>
      <xdr:rowOff>104775</xdr:rowOff>
    </xdr:from>
    <xdr:to>
      <xdr:col>3</xdr:col>
      <xdr:colOff>76200</xdr:colOff>
      <xdr:row>716</xdr:row>
      <xdr:rowOff>933450</xdr:rowOff>
    </xdr:to>
    <xdr:sp macro="" textlink="">
      <xdr:nvSpPr>
        <xdr:cNvPr id="3558929" name="AutoShape 80"/>
        <xdr:cNvSpPr>
          <a:spLocks/>
        </xdr:cNvSpPr>
      </xdr:nvSpPr>
      <xdr:spPr bwMode="auto">
        <a:xfrm>
          <a:off x="6067425" y="467277450"/>
          <a:ext cx="76200" cy="1743075"/>
        </a:xfrm>
        <a:prstGeom prst="rightBrace">
          <a:avLst>
            <a:gd name="adj1" fmla="val 190625"/>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st%20element%20Maping-Nov'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KMPCL%20CWIP%20Valuation-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bpdata\Reports\prasanth\Laxmi\AOP\2002%20-%202003\GEC\GPOLbudgetf2002wrk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udget\O&amp;M%20Budge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GPOLbudgetf2002wrkng.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Qtr%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elserver\reports\DOCUME~1\ADMINI~1\LOCALS~1\Temp\DOCUME~1\RAVISH~1\LOCALS~1\Temp\C.Lotus.Notes.Data\WINDOWS\TEMP\MYDOCU~1\RADES\MARGIN~1\LTSA,%20CU%20-%20Primrose%20(ED,%20Can)\CU%20Primrose%20revision%207-16-99,%20As%20Sol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bpdata\Reports\Budget\O&amp;M%20Budge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elserver\Reports\DOCUME~1\PRASAN~1.GEL\LOCALS~1\Temp\notes2CBB50\~156283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engineer9\Downloads\CCI-July%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KALM"/>
      <sheetName val="vertical"/>
      <sheetName val="Service Function"/>
      <sheetName val="DC"/>
      <sheetName val="Marketing"/>
      <sheetName val="891&amp;salesadj"/>
      <sheetName val="CONTNREPT"/>
      <sheetName val="Contrib-rawdata"/>
      <sheetName val="sales file"/>
      <sheetName val="Sales file $"/>
      <sheetName val="Sales file Rs."/>
      <sheetName val="loading"/>
      <sheetName val="Loading Details"/>
      <sheetName val="Loading Rawdata"/>
      <sheetName val="PDD Nov'01"/>
      <sheetName val="capital charge"/>
      <sheetName val="ME List"/>
      <sheetName val="PBT Reco"/>
      <sheetName val="FUNDFLOW"/>
      <sheetName val="BULook"/>
      <sheetName val="Sheet1"/>
      <sheetName val="合成単価作成__BLDG"/>
      <sheetName val="chitimc"/>
      <sheetName val="Projections (2)"/>
    </sheetNames>
    <sheetDataSet>
      <sheetData sheetId="0">
        <row r="7">
          <cell r="C7">
            <v>812204</v>
          </cell>
        </row>
      </sheetData>
      <sheetData sheetId="1">
        <row r="7">
          <cell r="C7">
            <v>812204</v>
          </cell>
        </row>
      </sheetData>
      <sheetData sheetId="2" refreshError="1">
        <row r="7">
          <cell r="C7">
            <v>812204</v>
          </cell>
          <cell r="D7" t="str">
            <v>Import Expenses</v>
          </cell>
          <cell r="E7" t="str">
            <v>COIN812204</v>
          </cell>
          <cell r="G7" t="str">
            <v>Packing And Forwarding</v>
          </cell>
        </row>
        <row r="8">
          <cell r="C8">
            <v>812301</v>
          </cell>
          <cell r="D8" t="str">
            <v>Freight</v>
          </cell>
          <cell r="E8" t="str">
            <v>COIN812301</v>
          </cell>
          <cell r="G8" t="str">
            <v>Packing And Forwarding</v>
          </cell>
        </row>
        <row r="9">
          <cell r="C9">
            <v>821101</v>
          </cell>
          <cell r="D9" t="str">
            <v>Stores Spares</v>
          </cell>
          <cell r="E9" t="str">
            <v>COIN821101</v>
          </cell>
          <cell r="G9" t="str">
            <v>Media Consumed</v>
          </cell>
        </row>
        <row r="10">
          <cell r="C10">
            <v>821201</v>
          </cell>
          <cell r="D10" t="str">
            <v>Electricity</v>
          </cell>
          <cell r="E10" t="str">
            <v>COIN821201</v>
          </cell>
          <cell r="G10" t="str">
            <v>Electricity - COS</v>
          </cell>
          <cell r="H10">
            <v>0</v>
          </cell>
          <cell r="J10">
            <v>3636</v>
          </cell>
        </row>
        <row r="11">
          <cell r="C11">
            <v>831101</v>
          </cell>
          <cell r="D11" t="str">
            <v>Salaries</v>
          </cell>
          <cell r="E11" t="str">
            <v>COIN831101</v>
          </cell>
          <cell r="G11" t="str">
            <v>Manpower - Support Services</v>
          </cell>
          <cell r="H11">
            <v>632811.15</v>
          </cell>
          <cell r="J11">
            <v>3223958</v>
          </cell>
        </row>
        <row r="12">
          <cell r="C12">
            <v>831102</v>
          </cell>
          <cell r="D12" t="str">
            <v>Other Allowances</v>
          </cell>
          <cell r="E12" t="str">
            <v>COIN831102</v>
          </cell>
          <cell r="G12" t="str">
            <v>Manpower - Support Services</v>
          </cell>
          <cell r="H12">
            <v>-11001.11</v>
          </cell>
          <cell r="J12">
            <v>692326.88</v>
          </cell>
        </row>
        <row r="13">
          <cell r="C13">
            <v>831103</v>
          </cell>
          <cell r="D13" t="str">
            <v>Special Allowances</v>
          </cell>
          <cell r="E13" t="str">
            <v>COIN831103</v>
          </cell>
          <cell r="G13" t="str">
            <v>Manpower - Support Services</v>
          </cell>
          <cell r="H13">
            <v>33916.65</v>
          </cell>
          <cell r="J13">
            <v>251698.05</v>
          </cell>
        </row>
        <row r="14">
          <cell r="C14">
            <v>831104</v>
          </cell>
          <cell r="D14" t="str">
            <v>OGA / FEP</v>
          </cell>
          <cell r="E14" t="str">
            <v>COIN831104</v>
          </cell>
          <cell r="G14" t="str">
            <v>Manpower - Support Services</v>
          </cell>
          <cell r="H14">
            <v>454562.49</v>
          </cell>
          <cell r="J14">
            <v>3176523.5599999996</v>
          </cell>
        </row>
        <row r="15">
          <cell r="C15">
            <v>831106</v>
          </cell>
          <cell r="D15" t="str">
            <v>HRA</v>
          </cell>
          <cell r="E15" t="str">
            <v>COIN831106</v>
          </cell>
          <cell r="G15" t="str">
            <v>Manpower - Support Services</v>
          </cell>
          <cell r="H15">
            <v>233838.46</v>
          </cell>
          <cell r="J15">
            <v>1356163.88</v>
          </cell>
        </row>
        <row r="16">
          <cell r="C16">
            <v>831107</v>
          </cell>
          <cell r="D16" t="str">
            <v>Ind Allowance</v>
          </cell>
          <cell r="E16" t="str">
            <v>COIN831107</v>
          </cell>
          <cell r="G16" t="str">
            <v>Manpower - Support Services</v>
          </cell>
          <cell r="H16">
            <v>37620</v>
          </cell>
          <cell r="J16">
            <v>42620</v>
          </cell>
        </row>
        <row r="17">
          <cell r="C17">
            <v>831108</v>
          </cell>
          <cell r="D17" t="str">
            <v>Variable Pay</v>
          </cell>
          <cell r="E17" t="str">
            <v>COIN831108</v>
          </cell>
          <cell r="G17" t="str">
            <v>Manpower - Support Services</v>
          </cell>
          <cell r="H17">
            <v>478870.99</v>
          </cell>
          <cell r="J17">
            <v>3235035.3600000003</v>
          </cell>
        </row>
        <row r="18">
          <cell r="C18">
            <v>831109</v>
          </cell>
          <cell r="D18" t="str">
            <v>Grade Allowance</v>
          </cell>
          <cell r="E18" t="str">
            <v>COIN831109</v>
          </cell>
          <cell r="G18" t="str">
            <v>Manpower - Support Services</v>
          </cell>
          <cell r="J18">
            <v>0</v>
          </cell>
        </row>
        <row r="19">
          <cell r="C19">
            <v>831110</v>
          </cell>
          <cell r="D19" t="str">
            <v>LTA</v>
          </cell>
          <cell r="E19" t="str">
            <v>COIN831110</v>
          </cell>
          <cell r="G19" t="str">
            <v>Manpower - Support Services</v>
          </cell>
          <cell r="H19">
            <v>78191.62</v>
          </cell>
          <cell r="J19">
            <v>404881.94</v>
          </cell>
        </row>
        <row r="20">
          <cell r="C20">
            <v>831111</v>
          </cell>
          <cell r="D20" t="str">
            <v>QPLC</v>
          </cell>
          <cell r="E20" t="str">
            <v>COIN831111</v>
          </cell>
          <cell r="G20" t="str">
            <v>Manpower - Support Services</v>
          </cell>
          <cell r="H20">
            <v>523417.08</v>
          </cell>
          <cell r="J20">
            <v>4202952.99</v>
          </cell>
        </row>
        <row r="21">
          <cell r="C21">
            <v>831121</v>
          </cell>
          <cell r="D21" t="str">
            <v>Stipend - WASE</v>
          </cell>
          <cell r="E21" t="str">
            <v>COIN831121</v>
          </cell>
          <cell r="G21" t="str">
            <v>Manpower - Support Services</v>
          </cell>
          <cell r="H21">
            <v>105750</v>
          </cell>
          <cell r="J21">
            <v>252561.05</v>
          </cell>
        </row>
        <row r="22">
          <cell r="C22">
            <v>831151</v>
          </cell>
          <cell r="D22" t="str">
            <v>Awards</v>
          </cell>
          <cell r="E22" t="str">
            <v>COIN831151</v>
          </cell>
          <cell r="G22" t="str">
            <v>Manpower - Support Services</v>
          </cell>
          <cell r="J22">
            <v>0</v>
          </cell>
        </row>
        <row r="23">
          <cell r="J23">
            <v>563964.98</v>
          </cell>
        </row>
        <row r="28">
          <cell r="C28">
            <v>831301</v>
          </cell>
          <cell r="D28" t="str">
            <v>Training &amp; Devpt</v>
          </cell>
          <cell r="E28" t="str">
            <v>COIN831301</v>
          </cell>
          <cell r="G28" t="str">
            <v>Training Expenses</v>
          </cell>
        </row>
        <row r="29">
          <cell r="C29">
            <v>831401</v>
          </cell>
          <cell r="D29" t="str">
            <v>Medical Reimb</v>
          </cell>
          <cell r="E29" t="str">
            <v>COIN831401</v>
          </cell>
          <cell r="G29" t="str">
            <v>Manpower - Support Services</v>
          </cell>
        </row>
        <row r="30">
          <cell r="C30">
            <v>831402</v>
          </cell>
          <cell r="D30" t="str">
            <v>Staff welfare</v>
          </cell>
          <cell r="E30" t="str">
            <v>COIN831402</v>
          </cell>
          <cell r="G30" t="str">
            <v>Staff Welfare</v>
          </cell>
        </row>
        <row r="31">
          <cell r="C31">
            <v>831404</v>
          </cell>
          <cell r="D31" t="str">
            <v>Early late</v>
          </cell>
          <cell r="E31" t="str">
            <v>COIN831404</v>
          </cell>
          <cell r="G31" t="str">
            <v>Early/Late Working Expenses-Services</v>
          </cell>
        </row>
        <row r="41">
          <cell r="C41">
            <v>832401</v>
          </cell>
          <cell r="D41" t="str">
            <v>Rates &amp; Taxes</v>
          </cell>
          <cell r="E41" t="str">
            <v>COIN832401</v>
          </cell>
          <cell r="G41" t="str">
            <v>Rates And Taxes</v>
          </cell>
          <cell r="H41">
            <v>500</v>
          </cell>
          <cell r="J41">
            <v>8905</v>
          </cell>
        </row>
        <row r="42">
          <cell r="C42">
            <v>833101</v>
          </cell>
          <cell r="D42" t="str">
            <v>Tkts-BP-company</v>
          </cell>
          <cell r="E42" t="str">
            <v>COIN833101</v>
          </cell>
          <cell r="G42" t="str">
            <v>Travel &amp; Conv -Support Services</v>
          </cell>
          <cell r="H42">
            <v>0</v>
          </cell>
          <cell r="J42">
            <v>1974248</v>
          </cell>
        </row>
        <row r="43">
          <cell r="C43">
            <v>833102</v>
          </cell>
          <cell r="D43" t="str">
            <v>Allowance-BP-company</v>
          </cell>
          <cell r="E43" t="str">
            <v>COIN833102</v>
          </cell>
          <cell r="G43" t="str">
            <v>Travel &amp; Conv -Support Services</v>
          </cell>
          <cell r="H43">
            <v>0</v>
          </cell>
          <cell r="J43">
            <v>788509.61</v>
          </cell>
        </row>
        <row r="44">
          <cell r="C44">
            <v>833106</v>
          </cell>
          <cell r="D44" t="str">
            <v>Allowance-BP-company</v>
          </cell>
          <cell r="E44" t="str">
            <v>COIN833106</v>
          </cell>
          <cell r="G44" t="str">
            <v>Travel &amp; Conv -Support Services</v>
          </cell>
          <cell r="J44">
            <v>0</v>
          </cell>
        </row>
        <row r="45">
          <cell r="C45">
            <v>833201</v>
          </cell>
          <cell r="D45" t="str">
            <v>Tkts-Domest-company</v>
          </cell>
          <cell r="E45" t="str">
            <v>COIN833201</v>
          </cell>
          <cell r="G45" t="str">
            <v>Travel &amp; Conv -Support Services</v>
          </cell>
          <cell r="H45">
            <v>17188</v>
          </cell>
          <cell r="J45">
            <v>88335</v>
          </cell>
        </row>
        <row r="46">
          <cell r="C46">
            <v>833202</v>
          </cell>
          <cell r="D46" t="str">
            <v>Boarrding - Employee</v>
          </cell>
          <cell r="E46" t="str">
            <v>COIN833202</v>
          </cell>
          <cell r="G46" t="str">
            <v>Travel &amp; Conv -Support Services</v>
          </cell>
          <cell r="H46">
            <v>35420</v>
          </cell>
          <cell r="J46">
            <v>347445</v>
          </cell>
        </row>
        <row r="47">
          <cell r="C47">
            <v>833203</v>
          </cell>
          <cell r="D47" t="str">
            <v>Conveyance -company</v>
          </cell>
          <cell r="E47" t="str">
            <v>COIN833203</v>
          </cell>
          <cell r="G47" t="str">
            <v>Travel &amp; Conv -Support Services</v>
          </cell>
          <cell r="H47">
            <v>1205</v>
          </cell>
          <cell r="J47">
            <v>4086</v>
          </cell>
        </row>
        <row r="48">
          <cell r="C48">
            <v>833204</v>
          </cell>
          <cell r="D48" t="str">
            <v>Tkts-Domesti-company</v>
          </cell>
          <cell r="E48" t="str">
            <v>COIN833204</v>
          </cell>
          <cell r="G48" t="str">
            <v>Travel &amp; Conv -Support Services</v>
          </cell>
          <cell r="H48">
            <v>5053</v>
          </cell>
          <cell r="J48">
            <v>31786</v>
          </cell>
        </row>
        <row r="49">
          <cell r="C49">
            <v>833206</v>
          </cell>
          <cell r="D49" t="str">
            <v>Domestic-Con./othr</v>
          </cell>
          <cell r="E49" t="str">
            <v>COIN833206</v>
          </cell>
          <cell r="G49" t="str">
            <v>Travel &amp; Conv -Support Services</v>
          </cell>
          <cell r="H49">
            <v>6510</v>
          </cell>
          <cell r="J49">
            <v>31021</v>
          </cell>
        </row>
        <row r="50">
          <cell r="C50">
            <v>833301</v>
          </cell>
          <cell r="D50" t="str">
            <v>Tkts-intnl Projects</v>
          </cell>
          <cell r="E50" t="str">
            <v>COIN833301</v>
          </cell>
          <cell r="G50" t="str">
            <v>Travel Expenses</v>
          </cell>
          <cell r="H50">
            <v>0</v>
          </cell>
          <cell r="J50">
            <v>81639.039999999994</v>
          </cell>
        </row>
        <row r="51">
          <cell r="C51">
            <v>833302</v>
          </cell>
          <cell r="D51" t="str">
            <v>Project Intl exp</v>
          </cell>
          <cell r="E51" t="str">
            <v>COIN833302</v>
          </cell>
          <cell r="G51" t="str">
            <v>Onsite Allowances</v>
          </cell>
          <cell r="H51">
            <v>0</v>
          </cell>
          <cell r="J51">
            <v>780877.6</v>
          </cell>
        </row>
        <row r="52">
          <cell r="C52">
            <v>833303</v>
          </cell>
          <cell r="D52" t="str">
            <v>Visa-intnl-comapany</v>
          </cell>
          <cell r="E52" t="str">
            <v>COIN833303</v>
          </cell>
          <cell r="G52" t="str">
            <v>Visa Fees</v>
          </cell>
          <cell r="H52">
            <v>0</v>
          </cell>
          <cell r="J52">
            <v>2978598.33</v>
          </cell>
        </row>
        <row r="53">
          <cell r="C53">
            <v>833304</v>
          </cell>
          <cell r="D53" t="str">
            <v>Insurance-Intl-Co</v>
          </cell>
          <cell r="E53" t="str">
            <v>COIN833304</v>
          </cell>
          <cell r="G53" t="str">
            <v>Medical Insurance</v>
          </cell>
          <cell r="H53">
            <v>0</v>
          </cell>
          <cell r="J53">
            <v>-98629.47</v>
          </cell>
        </row>
        <row r="61">
          <cell r="C61">
            <v>833603</v>
          </cell>
          <cell r="D61" t="str">
            <v>Communication Proj</v>
          </cell>
          <cell r="E61" t="str">
            <v>COIN833603</v>
          </cell>
          <cell r="G61" t="str">
            <v>Communication Links</v>
          </cell>
          <cell r="J61">
            <v>0</v>
          </cell>
        </row>
        <row r="62">
          <cell r="C62">
            <v>833701</v>
          </cell>
          <cell r="D62" t="str">
            <v>Postage &amp; Telegram</v>
          </cell>
          <cell r="E62" t="str">
            <v>COIN833701</v>
          </cell>
          <cell r="G62" t="str">
            <v>Communication Expenses - G&amp;A</v>
          </cell>
          <cell r="H62">
            <v>240</v>
          </cell>
          <cell r="J62">
            <v>283</v>
          </cell>
        </row>
        <row r="63">
          <cell r="C63">
            <v>833702</v>
          </cell>
          <cell r="D63" t="str">
            <v>Courier</v>
          </cell>
          <cell r="E63" t="str">
            <v>COIN833702</v>
          </cell>
          <cell r="G63" t="str">
            <v>Communication Expenses - G&amp;A</v>
          </cell>
          <cell r="H63">
            <v>0</v>
          </cell>
          <cell r="J63">
            <v>125465</v>
          </cell>
        </row>
        <row r="64">
          <cell r="C64">
            <v>833801</v>
          </cell>
          <cell r="D64" t="str">
            <v>OGA - Conveyance</v>
          </cell>
          <cell r="E64" t="str">
            <v>COIN833801</v>
          </cell>
          <cell r="G64" t="str">
            <v>Manpower - Support Services</v>
          </cell>
          <cell r="H64">
            <v>0</v>
          </cell>
          <cell r="J64">
            <v>-3588</v>
          </cell>
        </row>
        <row r="65">
          <cell r="C65">
            <v>833802</v>
          </cell>
          <cell r="D65" t="str">
            <v>OGA - Car Expenses</v>
          </cell>
          <cell r="E65" t="str">
            <v>COIN833802</v>
          </cell>
          <cell r="G65" t="str">
            <v>Manpower - Support Services</v>
          </cell>
          <cell r="H65">
            <v>65803</v>
          </cell>
          <cell r="J65">
            <v>319083.07</v>
          </cell>
        </row>
        <row r="66">
          <cell r="C66">
            <v>833803</v>
          </cell>
          <cell r="D66" t="str">
            <v>OGA - Telephone</v>
          </cell>
          <cell r="E66" t="str">
            <v>COIN833803</v>
          </cell>
          <cell r="G66" t="str">
            <v>Manpower - Support Services</v>
          </cell>
          <cell r="H66">
            <v>0</v>
          </cell>
          <cell r="J66">
            <v>500</v>
          </cell>
        </row>
        <row r="67">
          <cell r="C67">
            <v>838101</v>
          </cell>
          <cell r="D67" t="str">
            <v>Prov-Doubtful Debts</v>
          </cell>
          <cell r="E67" t="str">
            <v>COIN838101</v>
          </cell>
          <cell r="G67" t="str">
            <v>Bad Debts Written Off , Doubtful Debts / Advances</v>
          </cell>
          <cell r="J67">
            <v>0</v>
          </cell>
        </row>
        <row r="68">
          <cell r="C68">
            <v>839101</v>
          </cell>
          <cell r="D68" t="str">
            <v>Housekeeping &amp; Maint</v>
          </cell>
          <cell r="E68" t="str">
            <v>COIN839101</v>
          </cell>
          <cell r="G68" t="str">
            <v>Manpower O/S Services</v>
          </cell>
          <cell r="H68">
            <v>45000</v>
          </cell>
          <cell r="J68">
            <v>180881.8</v>
          </cell>
        </row>
        <row r="69">
          <cell r="C69">
            <v>839102</v>
          </cell>
          <cell r="D69" t="str">
            <v>Prtg &amp; Stationery</v>
          </cell>
          <cell r="E69" t="str">
            <v>COIN839102</v>
          </cell>
          <cell r="G69" t="str">
            <v>Printing And Stationery</v>
          </cell>
          <cell r="H69">
            <v>9256</v>
          </cell>
          <cell r="J69">
            <v>52478</v>
          </cell>
        </row>
        <row r="70">
          <cell r="C70">
            <v>839103</v>
          </cell>
          <cell r="D70" t="str">
            <v>Photo Copying</v>
          </cell>
          <cell r="E70" t="str">
            <v>COIN839103</v>
          </cell>
          <cell r="G70" t="str">
            <v>Photocopying Charges</v>
          </cell>
          <cell r="H70">
            <v>87190.15</v>
          </cell>
          <cell r="J70">
            <v>87206.15</v>
          </cell>
        </row>
        <row r="71">
          <cell r="C71">
            <v>839104</v>
          </cell>
          <cell r="D71" t="str">
            <v>Books</v>
          </cell>
          <cell r="E71" t="str">
            <v>COIN839104</v>
          </cell>
          <cell r="G71" t="str">
            <v>Conference &amp; Subscription</v>
          </cell>
          <cell r="H71">
            <v>331242.78000000003</v>
          </cell>
          <cell r="J71">
            <v>364560.28</v>
          </cell>
        </row>
        <row r="72">
          <cell r="C72">
            <v>839105</v>
          </cell>
          <cell r="D72" t="str">
            <v>Miscellaneous Exp</v>
          </cell>
          <cell r="E72" t="str">
            <v>COIN839105</v>
          </cell>
          <cell r="G72" t="str">
            <v>Miscellaneous Expenses</v>
          </cell>
          <cell r="H72">
            <v>-1480</v>
          </cell>
          <cell r="J72">
            <v>-1830</v>
          </cell>
        </row>
        <row r="73">
          <cell r="C73">
            <v>839107</v>
          </cell>
          <cell r="D73" t="str">
            <v>Office Maintenance</v>
          </cell>
          <cell r="E73" t="str">
            <v>COIN839107</v>
          </cell>
          <cell r="G73" t="str">
            <v>Manpower O/S Services</v>
          </cell>
          <cell r="H73">
            <v>0</v>
          </cell>
          <cell r="J73">
            <v>48267</v>
          </cell>
        </row>
        <row r="74">
          <cell r="C74">
            <v>839201</v>
          </cell>
          <cell r="D74" t="str">
            <v>Leagal</v>
          </cell>
          <cell r="E74" t="str">
            <v>COIN839201</v>
          </cell>
          <cell r="G74" t="str">
            <v>Licence,Legal &amp; Profsnl Fees</v>
          </cell>
          <cell r="H74">
            <v>11562</v>
          </cell>
          <cell r="J74">
            <v>3322351.97</v>
          </cell>
        </row>
        <row r="75">
          <cell r="C75">
            <v>839202</v>
          </cell>
          <cell r="D75" t="str">
            <v>Brokerag</v>
          </cell>
          <cell r="E75" t="str">
            <v>COIN839202</v>
          </cell>
          <cell r="G75" t="str">
            <v>Commission on Sales</v>
          </cell>
          <cell r="H75">
            <v>0</v>
          </cell>
          <cell r="J75">
            <v>0</v>
          </cell>
        </row>
        <row r="76">
          <cell r="C76">
            <v>839205</v>
          </cell>
          <cell r="D76" t="str">
            <v>Admn Chrgs-Emp Fund</v>
          </cell>
          <cell r="E76" t="str">
            <v>COIN839205</v>
          </cell>
          <cell r="G76" t="str">
            <v>Manpower - Support Services</v>
          </cell>
          <cell r="J76">
            <v>0</v>
          </cell>
        </row>
        <row r="81">
          <cell r="C81">
            <v>839801</v>
          </cell>
          <cell r="D81" t="str">
            <v>OGA - Books &amp; Subs`</v>
          </cell>
          <cell r="E81" t="str">
            <v>COIN839801</v>
          </cell>
          <cell r="G81" t="str">
            <v>Manpower - Support Services</v>
          </cell>
          <cell r="H81">
            <v>0</v>
          </cell>
        </row>
        <row r="82">
          <cell r="C82">
            <v>839902</v>
          </cell>
          <cell r="D82" t="str">
            <v>Transfer Expenses</v>
          </cell>
          <cell r="E82" t="str">
            <v>COIN839902</v>
          </cell>
          <cell r="G82" t="str">
            <v>Travel &amp; Conv -Support Services</v>
          </cell>
          <cell r="H82">
            <v>0</v>
          </cell>
        </row>
        <row r="83">
          <cell r="C83">
            <v>839903</v>
          </cell>
          <cell r="D83" t="str">
            <v>Guest House</v>
          </cell>
          <cell r="E83" t="str">
            <v>COIN839903</v>
          </cell>
          <cell r="G83" t="str">
            <v>Travel &amp; Conv -Support Services</v>
          </cell>
          <cell r="H83">
            <v>0</v>
          </cell>
        </row>
        <row r="84">
          <cell r="C84">
            <v>839904</v>
          </cell>
          <cell r="D84" t="str">
            <v>Hire &amp; Service Chrgs</v>
          </cell>
          <cell r="E84" t="str">
            <v>COIN839904</v>
          </cell>
          <cell r="G84" t="str">
            <v>Hire Charges</v>
          </cell>
          <cell r="H84">
            <v>21400</v>
          </cell>
        </row>
        <row r="85">
          <cell r="C85">
            <v>839905</v>
          </cell>
          <cell r="D85" t="str">
            <v>Transportation Exps</v>
          </cell>
          <cell r="E85" t="str">
            <v>COIN839905</v>
          </cell>
          <cell r="G85" t="str">
            <v>Travel &amp; Conv -Support Services</v>
          </cell>
          <cell r="H85">
            <v>0</v>
          </cell>
          <cell r="J85">
            <v>20713</v>
          </cell>
        </row>
        <row r="86">
          <cell r="C86">
            <v>841102</v>
          </cell>
          <cell r="D86" t="str">
            <v>C&amp;F Agency Chrgs</v>
          </cell>
          <cell r="E86" t="str">
            <v>COIN841102</v>
          </cell>
          <cell r="G86" t="str">
            <v>Clearing Charges</v>
          </cell>
          <cell r="H86">
            <v>0</v>
          </cell>
          <cell r="J86">
            <v>15750</v>
          </cell>
        </row>
        <row r="87">
          <cell r="C87">
            <v>841303</v>
          </cell>
          <cell r="D87" t="str">
            <v>Gifts</v>
          </cell>
          <cell r="E87" t="str">
            <v>COIN841303</v>
          </cell>
          <cell r="G87" t="str">
            <v>APSP</v>
          </cell>
          <cell r="H87">
            <v>3000</v>
          </cell>
          <cell r="J87">
            <v>3000</v>
          </cell>
        </row>
        <row r="88">
          <cell r="C88">
            <v>841401</v>
          </cell>
          <cell r="D88" t="str">
            <v>Foreign Office Exps</v>
          </cell>
          <cell r="E88" t="str">
            <v>COIN841401</v>
          </cell>
          <cell r="G88" t="str">
            <v xml:space="preserve">  -  Loading for Foreign Office Expenses</v>
          </cell>
          <cell r="H88">
            <v>0</v>
          </cell>
          <cell r="J88">
            <v>5356023.55</v>
          </cell>
        </row>
        <row r="89">
          <cell r="C89">
            <v>841802</v>
          </cell>
          <cell r="D89" t="str">
            <v>Conference Expenses</v>
          </cell>
          <cell r="E89" t="str">
            <v>COIN841802</v>
          </cell>
          <cell r="G89" t="str">
            <v>Conference &amp; Subscription</v>
          </cell>
          <cell r="H89">
            <v>0</v>
          </cell>
          <cell r="J89">
            <v>1812</v>
          </cell>
        </row>
        <row r="90">
          <cell r="C90">
            <v>841901</v>
          </cell>
          <cell r="D90" t="str">
            <v>Sales Discount</v>
          </cell>
          <cell r="E90" t="str">
            <v>COIN841901</v>
          </cell>
          <cell r="G90" t="str">
            <v>Technical Services Overseas</v>
          </cell>
          <cell r="H90">
            <v>0</v>
          </cell>
          <cell r="J90">
            <v>0</v>
          </cell>
        </row>
        <row r="91">
          <cell r="C91">
            <v>871102</v>
          </cell>
          <cell r="D91" t="str">
            <v>Depreciation-Bldgs</v>
          </cell>
          <cell r="E91" t="str">
            <v>COIN871102</v>
          </cell>
          <cell r="G91" t="str">
            <v>Depreciation - COS</v>
          </cell>
          <cell r="H91">
            <v>0</v>
          </cell>
          <cell r="J91">
            <v>505815.38</v>
          </cell>
        </row>
        <row r="92">
          <cell r="C92">
            <v>871103</v>
          </cell>
          <cell r="D92" t="str">
            <v>Depreciation-Pl&amp;Mach</v>
          </cell>
          <cell r="E92" t="str">
            <v>COIN871103</v>
          </cell>
          <cell r="G92" t="str">
            <v>Depreciation - COS</v>
          </cell>
          <cell r="H92">
            <v>0</v>
          </cell>
          <cell r="J92">
            <v>4916372.62</v>
          </cell>
        </row>
        <row r="93">
          <cell r="C93">
            <v>871104</v>
          </cell>
          <cell r="D93" t="str">
            <v>Depreciation-Compter</v>
          </cell>
          <cell r="E93" t="str">
            <v>COIN871104</v>
          </cell>
          <cell r="G93" t="str">
            <v>Depreciation - COS</v>
          </cell>
          <cell r="H93">
            <v>1100984.1000000001</v>
          </cell>
          <cell r="J93">
            <v>20225485.560000002</v>
          </cell>
        </row>
        <row r="102">
          <cell r="C102">
            <v>881414</v>
          </cell>
          <cell r="D102" t="str">
            <v>Inter BU-Serv-CSD</v>
          </cell>
          <cell r="E102" t="str">
            <v>COIN881414</v>
          </cell>
          <cell r="G102" t="str">
            <v>Repairs For Others</v>
          </cell>
          <cell r="H102">
            <v>0</v>
          </cell>
        </row>
        <row r="103">
          <cell r="C103">
            <v>881431</v>
          </cell>
          <cell r="D103" t="str">
            <v>Inter BU-Serv-CC &amp; L</v>
          </cell>
          <cell r="E103" t="str">
            <v>COIN881431</v>
          </cell>
          <cell r="G103" t="str">
            <v>Repairs For Others</v>
          </cell>
          <cell r="H103">
            <v>0</v>
          </cell>
        </row>
        <row r="104">
          <cell r="C104">
            <v>881501</v>
          </cell>
          <cell r="D104" t="str">
            <v>Inter BU-CapCont-Crp</v>
          </cell>
          <cell r="E104" t="str">
            <v>COIN881501</v>
          </cell>
          <cell r="G104" t="str">
            <v>Cost of Materials Trfd - Inter Division</v>
          </cell>
        </row>
        <row r="105">
          <cell r="C105">
            <v>881514</v>
          </cell>
          <cell r="D105" t="str">
            <v>Inter BU-CapCont-CSD</v>
          </cell>
          <cell r="E105" t="str">
            <v>COIN881514</v>
          </cell>
          <cell r="G105" t="str">
            <v>Interdivision Charges</v>
          </cell>
        </row>
        <row r="106">
          <cell r="C106">
            <v>881602</v>
          </cell>
          <cell r="D106" t="str">
            <v>Corporate Overheads</v>
          </cell>
          <cell r="E106" t="str">
            <v>COIN881602</v>
          </cell>
          <cell r="G106" t="str">
            <v>Corporate Overheads</v>
          </cell>
          <cell r="H106">
            <v>0</v>
          </cell>
        </row>
        <row r="107">
          <cell r="C107">
            <v>831101</v>
          </cell>
          <cell r="D107" t="str">
            <v>Salaries</v>
          </cell>
          <cell r="E107" t="str">
            <v>KOAO831101</v>
          </cell>
          <cell r="G107" t="str">
            <v>Manpower - Support Services</v>
          </cell>
          <cell r="H107">
            <v>163933.45000000001</v>
          </cell>
        </row>
        <row r="108">
          <cell r="C108">
            <v>831102</v>
          </cell>
          <cell r="D108" t="str">
            <v>Other Allowances</v>
          </cell>
          <cell r="E108" t="str">
            <v>KOAO831102</v>
          </cell>
          <cell r="G108" t="str">
            <v>Manpower - Support Services</v>
          </cell>
          <cell r="H108">
            <v>9929.56</v>
          </cell>
        </row>
        <row r="109">
          <cell r="C109">
            <v>831103</v>
          </cell>
          <cell r="D109" t="str">
            <v>Special Allowances</v>
          </cell>
          <cell r="E109" t="str">
            <v>KOAO831103</v>
          </cell>
          <cell r="G109" t="str">
            <v>Manpower - Support Services</v>
          </cell>
          <cell r="H109">
            <v>9650</v>
          </cell>
        </row>
        <row r="110">
          <cell r="C110">
            <v>831104</v>
          </cell>
          <cell r="D110" t="str">
            <v>OGA / FEP</v>
          </cell>
          <cell r="E110" t="str">
            <v>KOAO831104</v>
          </cell>
          <cell r="G110" t="str">
            <v>Manpower - Support Services</v>
          </cell>
          <cell r="H110">
            <v>51031.41</v>
          </cell>
        </row>
        <row r="114">
          <cell r="C114">
            <v>831111</v>
          </cell>
          <cell r="D114" t="str">
            <v>QPLC</v>
          </cell>
          <cell r="E114" t="str">
            <v>KOAO831111</v>
          </cell>
          <cell r="G114" t="str">
            <v>Manpower - Support Services</v>
          </cell>
          <cell r="H114">
            <v>71483.98</v>
          </cell>
          <cell r="J114">
            <v>237356.13</v>
          </cell>
        </row>
        <row r="115">
          <cell r="C115">
            <v>831201</v>
          </cell>
          <cell r="D115" t="str">
            <v>PF</v>
          </cell>
          <cell r="E115" t="str">
            <v>KOAO831201</v>
          </cell>
          <cell r="G115" t="str">
            <v>Manpower - Support Services</v>
          </cell>
          <cell r="H115">
            <v>19672.009999999998</v>
          </cell>
          <cell r="J115">
            <v>47741.86</v>
          </cell>
        </row>
        <row r="116">
          <cell r="C116">
            <v>831204</v>
          </cell>
          <cell r="D116" t="str">
            <v>Pension</v>
          </cell>
          <cell r="E116" t="str">
            <v>KOAO831204</v>
          </cell>
          <cell r="G116" t="str">
            <v>Manpower - Support Services</v>
          </cell>
          <cell r="H116">
            <v>19384.18</v>
          </cell>
          <cell r="J116">
            <v>43789.09</v>
          </cell>
        </row>
        <row r="117">
          <cell r="C117">
            <v>831206</v>
          </cell>
          <cell r="D117" t="str">
            <v>Leave Encashment</v>
          </cell>
          <cell r="E117" t="str">
            <v>KOAO831206</v>
          </cell>
          <cell r="G117" t="str">
            <v>Manpower - Support Services</v>
          </cell>
          <cell r="J117">
            <v>0</v>
          </cell>
        </row>
        <row r="118">
          <cell r="C118">
            <v>833301</v>
          </cell>
          <cell r="D118" t="str">
            <v>Tkts-intnl Projects</v>
          </cell>
          <cell r="E118" t="str">
            <v>KOAO833301</v>
          </cell>
          <cell r="G118" t="str">
            <v>Travel Expenses</v>
          </cell>
          <cell r="H118">
            <v>0</v>
          </cell>
          <cell r="J118">
            <v>64715</v>
          </cell>
        </row>
        <row r="119">
          <cell r="C119">
            <v>833501</v>
          </cell>
          <cell r="D119" t="str">
            <v>Conveyance</v>
          </cell>
          <cell r="E119" t="str">
            <v>KOAO833501</v>
          </cell>
          <cell r="G119" t="str">
            <v>Travel &amp; Conv -Support Services</v>
          </cell>
          <cell r="H119">
            <v>16880</v>
          </cell>
          <cell r="J119">
            <v>41306.559999999998</v>
          </cell>
        </row>
        <row r="120">
          <cell r="C120">
            <v>833503</v>
          </cell>
          <cell r="D120" t="str">
            <v>Bus Transport</v>
          </cell>
          <cell r="E120" t="str">
            <v>KOAO833503</v>
          </cell>
          <cell r="G120" t="str">
            <v>Travel &amp; Conv -Support Services</v>
          </cell>
          <cell r="H120">
            <v>0</v>
          </cell>
          <cell r="J120">
            <v>0</v>
          </cell>
        </row>
        <row r="121">
          <cell r="C121">
            <v>833601</v>
          </cell>
          <cell r="D121" t="str">
            <v>Communication Exp</v>
          </cell>
          <cell r="E121" t="str">
            <v>KOAO833601</v>
          </cell>
          <cell r="G121" t="str">
            <v>Communication Expenses - G&amp;A</v>
          </cell>
          <cell r="H121">
            <v>33564.67</v>
          </cell>
          <cell r="J121">
            <v>738516.44000000006</v>
          </cell>
        </row>
        <row r="122">
          <cell r="C122">
            <v>833602</v>
          </cell>
          <cell r="D122" t="str">
            <v>Communication Link</v>
          </cell>
          <cell r="E122" t="str">
            <v>KOAO833602</v>
          </cell>
          <cell r="G122" t="str">
            <v>Communication Expenses - G&amp;A</v>
          </cell>
          <cell r="H122">
            <v>0</v>
          </cell>
          <cell r="J122">
            <v>4731750</v>
          </cell>
        </row>
        <row r="130">
          <cell r="C130">
            <v>831107</v>
          </cell>
          <cell r="D130" t="str">
            <v>Ind Allowance</v>
          </cell>
          <cell r="E130" t="str">
            <v>KOAO831107</v>
          </cell>
          <cell r="G130" t="str">
            <v>Manpower - Support Services</v>
          </cell>
          <cell r="H130">
            <v>0</v>
          </cell>
          <cell r="J130">
            <v>9100</v>
          </cell>
        </row>
        <row r="131">
          <cell r="C131">
            <v>831112</v>
          </cell>
          <cell r="D131" t="str">
            <v>Bonus</v>
          </cell>
          <cell r="E131" t="str">
            <v>KOAO831112</v>
          </cell>
          <cell r="G131" t="str">
            <v>Manpower - Support Services</v>
          </cell>
          <cell r="J131">
            <v>0</v>
          </cell>
        </row>
        <row r="132">
          <cell r="C132">
            <v>833405</v>
          </cell>
          <cell r="D132" t="str">
            <v>Intnl Tkt Onsite</v>
          </cell>
          <cell r="E132" t="str">
            <v>KOAO833405</v>
          </cell>
          <cell r="G132" t="str">
            <v>Travel Expenses</v>
          </cell>
          <cell r="H132">
            <v>0</v>
          </cell>
          <cell r="J132">
            <v>0</v>
          </cell>
        </row>
        <row r="133">
          <cell r="G133" t="str">
            <v>Communication Links</v>
          </cell>
          <cell r="J133">
            <v>0</v>
          </cell>
        </row>
        <row r="134">
          <cell r="J134">
            <v>0</v>
          </cell>
        </row>
        <row r="135">
          <cell r="C135">
            <v>841301</v>
          </cell>
          <cell r="D135" t="str">
            <v>APSP</v>
          </cell>
          <cell r="E135" t="str">
            <v>COIN841301</v>
          </cell>
          <cell r="G135" t="str">
            <v>APSP</v>
          </cell>
          <cell r="J135">
            <v>67309</v>
          </cell>
        </row>
        <row r="136">
          <cell r="C136">
            <v>833202</v>
          </cell>
          <cell r="D136" t="str">
            <v>Boarrding - Employee</v>
          </cell>
          <cell r="E136" t="str">
            <v>KOAO833202</v>
          </cell>
          <cell r="G136" t="str">
            <v>Travel &amp; Conv -Support Services</v>
          </cell>
          <cell r="J136">
            <v>2100</v>
          </cell>
        </row>
        <row r="137">
          <cell r="C137">
            <v>832102</v>
          </cell>
          <cell r="D137" t="str">
            <v>Rent</v>
          </cell>
          <cell r="E137" t="str">
            <v>RKU1832102</v>
          </cell>
          <cell r="G137" t="str">
            <v>Offshore Salary</v>
          </cell>
          <cell r="J137">
            <v>-39808.53</v>
          </cell>
        </row>
        <row r="138">
          <cell r="C138">
            <v>833101</v>
          </cell>
          <cell r="D138" t="str">
            <v>Tkts-BP-company</v>
          </cell>
          <cell r="E138" t="str">
            <v>RKU1833101</v>
          </cell>
          <cell r="G138" t="str">
            <v>Travel &amp; Conv -Support Services</v>
          </cell>
          <cell r="J138">
            <v>-894054.43</v>
          </cell>
        </row>
        <row r="139">
          <cell r="C139">
            <v>833102</v>
          </cell>
          <cell r="D139" t="str">
            <v>Allowance-BP-company</v>
          </cell>
          <cell r="E139" t="str">
            <v>RKU1833102</v>
          </cell>
          <cell r="G139" t="str">
            <v>Travel &amp; Conv -Support Services</v>
          </cell>
          <cell r="J139">
            <v>-522909.5</v>
          </cell>
        </row>
        <row r="153">
          <cell r="C153">
            <v>838101</v>
          </cell>
          <cell r="D153" t="str">
            <v>Prov-Doubtful Debts</v>
          </cell>
          <cell r="G153" t="str">
            <v>Bad Debts Written Off , Doubtful Debts / Advances</v>
          </cell>
        </row>
        <row r="154">
          <cell r="C154">
            <v>838101</v>
          </cell>
          <cell r="D154" t="str">
            <v>Prov-Doubtful Debts</v>
          </cell>
          <cell r="G154" t="str">
            <v>Bad Debts Written Off , Doubtful Debts / Advances</v>
          </cell>
          <cell r="J154">
            <v>0</v>
          </cell>
        </row>
        <row r="155">
          <cell r="C155">
            <v>831101</v>
          </cell>
          <cell r="D155" t="str">
            <v>Salaries</v>
          </cell>
          <cell r="G155" t="str">
            <v>Offshore Salary</v>
          </cell>
          <cell r="J155">
            <v>0</v>
          </cell>
        </row>
        <row r="156">
          <cell r="C156">
            <v>831101</v>
          </cell>
          <cell r="D156" t="str">
            <v>Salaries</v>
          </cell>
          <cell r="G156" t="str">
            <v>Offshore Salary</v>
          </cell>
          <cell r="J156">
            <v>0</v>
          </cell>
        </row>
        <row r="164">
          <cell r="H164">
            <v>6579644.1200000001</v>
          </cell>
          <cell r="J164">
            <v>89150277.319999978</v>
          </cell>
        </row>
        <row r="165">
          <cell r="H165">
            <v>111234277.79000001</v>
          </cell>
          <cell r="J165">
            <v>117941758.23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6"/>
      <sheetName val="New Valuation (2)"/>
      <sheetName val="New Valuation"/>
      <sheetName val="Data By Company-2022"/>
      <sheetName val="4th Unit Soft Cost"/>
      <sheetName val="4th Unit Capital Cost"/>
      <sheetName val="6th Unit Capex"/>
      <sheetName val="Sheet2"/>
      <sheetName val="Cost incur in 5th Unit"/>
      <sheetName val="Cost incur in 6th Unit"/>
      <sheetName val="Sheet5"/>
    </sheetNames>
    <sheetDataSet>
      <sheetData sheetId="0">
        <row r="13">
          <cell r="E13">
            <v>1326.3500000000001</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57"/>
      <sheetName val="Inputs"/>
      <sheetName val="Operations"/>
      <sheetName val="Schedules"/>
      <sheetName val="cashflow"/>
      <sheetName val="GPOLbudgetf2002wrkng"/>
      <sheetName val="FORM-16"/>
      <sheetName val="Directors"/>
      <sheetName val="Comp"/>
      <sheetName val="P&amp;L_summary_sub_Fund"/>
      <sheetName val="OpTrack"/>
      <sheetName val="Setup Variables"/>
      <sheetName val="Details"/>
      <sheetName val="Rates NDS Technologies France "/>
      <sheetName val="Challan"/>
      <sheetName val="TAX INCOME"/>
      <sheetName val="Payroll_Statement"/>
      <sheetName val="BS Schdl-3-Fixed Assets"/>
      <sheetName val="assump and output"/>
      <sheetName val="Development Strategy"/>
      <sheetName val="Occ"/>
      <sheetName val="Demand"/>
      <sheetName val="FIELD - NOV 08"/>
      <sheetName val="liste"/>
      <sheetName val="Setup_Variables"/>
      <sheetName val="MAT"/>
      <sheetName val="CRITERIA1"/>
      <sheetName val="Sheet3"/>
      <sheetName val="sch to BS"/>
      <sheetName val="CASTING"/>
      <sheetName val="General Info"/>
      <sheetName val="Marshal"/>
      <sheetName val="BS-after AJE"/>
      <sheetName val="Data"/>
      <sheetName val=".3 Rollfwd"/>
      <sheetName val="GeneralInfo"/>
      <sheetName val="Assumptions"/>
      <sheetName val="Rates"/>
      <sheetName val="DF"/>
      <sheetName val="DATA 91-98"/>
      <sheetName val="expired"/>
      <sheetName val="leakages"/>
      <sheetName val="Input"/>
      <sheetName val="IRR"/>
      <sheetName val="AOPFY12-13"/>
      <sheetName val="RevAOP12-13"/>
      <sheetName val="AOPFY11-12"/>
      <sheetName val="BS - Sch"/>
      <sheetName val="ActualAR"/>
      <sheetName val="System"/>
      <sheetName val="ScoreCardMgmtRev"/>
      <sheetName val="Annexure-I"/>
      <sheetName val="Form"/>
      <sheetName val="Final Bill"/>
      <sheetName val="Groupings"/>
      <sheetName val="lov-COAct"/>
      <sheetName val="lov-cspl"/>
      <sheetName val="Accrued (ckrg)"/>
      <sheetName val="PS data"/>
      <sheetName val="Index"/>
      <sheetName val="P-L (TOT)"/>
      <sheetName val="Day"/>
      <sheetName val="List"/>
      <sheetName val="XLR_NoRangeSheet"/>
      <sheetName val="FA-LISTING"/>
      <sheetName val="Service Function"/>
      <sheetName val="final sheet "/>
      <sheetName val="Detail Grouping"/>
      <sheetName val="CM"/>
      <sheetName val="ANNSALES"/>
      <sheetName val="FEES"/>
      <sheetName val="QTRSALES"/>
      <sheetName val="Sensitivity"/>
      <sheetName val="P&amp;L Sch"/>
      <sheetName val="Codes"/>
      <sheetName val="Transactions"/>
      <sheetName val="Masters"/>
      <sheetName val="GENERAL"/>
      <sheetName val="FBT"/>
      <sheetName val="Configuration"/>
      <sheetName val="Instructions"/>
      <sheetName val="Anlage 1"/>
      <sheetName val="Interest"/>
      <sheetName val="Sheet5"/>
      <sheetName val="Dep"/>
      <sheetName val="Setup_Variables1"/>
      <sheetName val="List_ratios"/>
      <sheetName val="Lead"/>
      <sheetName val="Excess Calc"/>
      <sheetName val="BAL-SHEET(R)"/>
      <sheetName val="DAILY"/>
      <sheetName val="BS"/>
      <sheetName val="Lookups"/>
      <sheetName val="Rates_NDS_Technologies_France_"/>
      <sheetName val="TAX_INCOME"/>
      <sheetName val="BS_Schdl-3-Fixed_Assets"/>
      <sheetName val="assump_and_output"/>
      <sheetName val="Development_Strategy"/>
      <sheetName val="FIELD_-_NOV_08"/>
      <sheetName val="sch_to_BS"/>
      <sheetName val="General_Info"/>
      <sheetName val="BS-after_AJE"/>
      <sheetName val="_3_Rollfwd"/>
      <sheetName val="DATA_91-98"/>
      <sheetName val="BS_-_Sch"/>
      <sheetName val="Setup_Variables2"/>
      <sheetName val="Rates_NDS_Technologies_France_1"/>
      <sheetName val="TAX_INCOME1"/>
      <sheetName val="BS_Schdl-3-Fixed_Assets1"/>
      <sheetName val="assump_and_output1"/>
      <sheetName val="Development_Strategy1"/>
      <sheetName val="FIELD_-_NOV_081"/>
      <sheetName val="sch_to_BS1"/>
      <sheetName val="General_Info1"/>
      <sheetName val="BS-after_AJE1"/>
      <sheetName val="_3_Rollfwd1"/>
      <sheetName val="DATA_91-981"/>
      <sheetName val="BS_-_Sch1"/>
      <sheetName val="ALL-IBANK-BR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efreshError="1"/>
      <sheetData sheetId="1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Variables"/>
      <sheetName val="Major Maint"/>
      <sheetName val="Base Budget"/>
      <sheetName val="Labor"/>
      <sheetName val="Proforma Annual Budgets"/>
      <sheetName val="Setup_Variables"/>
      <sheetName val="Setup_Variables1"/>
      <sheetName val="Operations"/>
      <sheetName val="Major_Maint"/>
      <sheetName val="Base_Budget"/>
      <sheetName val="Proforma_Annual_Budgets"/>
      <sheetName val="Base"/>
      <sheetName val="14"/>
      <sheetName val="APR_HC"/>
      <sheetName val="AUG_HC"/>
      <sheetName val="DEC_HC"/>
      <sheetName val="FEB_HC"/>
      <sheetName val="JAN_HC"/>
      <sheetName val="JUL_HC"/>
      <sheetName val="JUN_HC"/>
      <sheetName val="MAR_HC"/>
      <sheetName val="MAY_HC"/>
      <sheetName val="NOV_HC"/>
      <sheetName val="Q1Comm"/>
      <sheetName val="Q1 Revenue"/>
      <sheetName val="Q2Comm"/>
      <sheetName val="Q2 Revenue"/>
      <sheetName val="Q3Comm"/>
      <sheetName val="Q3 Expenses"/>
      <sheetName val="Q3 Revenue"/>
      <sheetName val="SEP_HC"/>
      <sheetName val="Setup_Variables2"/>
      <sheetName val="Occ, Other Rev, Exp, Dispo"/>
      <sheetName val="TB"/>
      <sheetName val="1月明细汇总"/>
      <sheetName val="Sheet1"/>
      <sheetName val="old_serial no."/>
      <sheetName val="tot_ass_9697"/>
      <sheetName val="Masters"/>
      <sheetName val="Setup_Variables3"/>
      <sheetName val="Major_Maint1"/>
      <sheetName val="Base_Budget1"/>
      <sheetName val="Proforma_Annual_Budgets1"/>
      <sheetName val="Setup_Variables4"/>
      <sheetName val="Major_Maint2"/>
      <sheetName val="Base_Budget2"/>
      <sheetName val="Proforma_Annual_Budgets2"/>
      <sheetName val="Occ,_Other_Rev,_Exp,_Dispo"/>
      <sheetName val="Ann -1"/>
      <sheetName val="BEP"/>
      <sheetName val="97-98"/>
      <sheetName val=""/>
      <sheetName val="FORM-16"/>
      <sheetName val="Analytical"/>
      <sheetName val="Input&amp;Pool"/>
      <sheetName val="Lead"/>
      <sheetName val="Inputs"/>
      <sheetName val="15"/>
      <sheetName val="Occ,_Other_Rev,_Exp,_Dispo1"/>
      <sheetName val="variance"/>
      <sheetName val="Rates"/>
      <sheetName val="BS-203"/>
      <sheetName val="O&amp;M Budget"/>
      <sheetName val="Data"/>
      <sheetName val="Cover"/>
      <sheetName val="BS - Sch"/>
      <sheetName val="cubes_M20"/>
      <sheetName val="Master"/>
      <sheetName val="1"/>
      <sheetName val="Schedules"/>
      <sheetName val="Deliverable Pricing"/>
      <sheetName val="Occ,_Other_Rev,_Exp,_Dispo2"/>
      <sheetName val="IS"/>
      <sheetName val="bs"/>
      <sheetName val="Aero Revenue Inputs"/>
      <sheetName val="Cargo Revenue Inputs"/>
      <sheetName val="Aero_Revenue_Inputs"/>
      <sheetName val="Cargo_Revenue_Inputs"/>
      <sheetName val="223.582"/>
      <sheetName val="Corp"/>
      <sheetName val="BS Input"/>
      <sheetName val="PL Input"/>
      <sheetName val="CAST DAYLY"/>
      <sheetName val="Defaults"/>
      <sheetName val="General"/>
      <sheetName val="RPO"/>
      <sheetName val="PS data"/>
      <sheetName val="P&amp;L"/>
      <sheetName val="qe32"/>
      <sheetName val="MODEL"/>
      <sheetName val="AOPFY12-13"/>
      <sheetName val="RevAOP12-13"/>
      <sheetName val="AOPFY11-12"/>
      <sheetName val="Assumptions"/>
      <sheetName val="Headcount"/>
      <sheetName val="FY01 Model"/>
      <sheetName val="5610 Lead"/>
      <sheetName val="diffbetphy&amp;stock"/>
      <sheetName val="SCEL Funding"/>
      <sheetName val="2000"/>
      <sheetName val="banilad"/>
      <sheetName val="Mactan"/>
      <sheetName val="Mandaue"/>
      <sheetName val="Reports List"/>
      <sheetName val="CRITERIA4"/>
      <sheetName val="sept-plan"/>
      <sheetName val="Setup"/>
      <sheetName val="10"/>
      <sheetName val="11A"/>
      <sheetName val="11B "/>
      <sheetName val="6A"/>
      <sheetName val="6B"/>
      <sheetName val="5"/>
      <sheetName val="13"/>
      <sheetName val="Interest rates"/>
      <sheetName val="Depletion and abandonment rates"/>
      <sheetName val="Royalties, cess and bonus rates"/>
      <sheetName val="Control"/>
      <sheetName val="405"/>
      <sheetName val="427"/>
      <sheetName val="403"/>
      <sheetName val="Major_Maint3"/>
      <sheetName val="Base_Budget3"/>
      <sheetName val="Proforma_Annual_Budgets3"/>
      <sheetName val="Setup_Variables5"/>
      <sheetName val="Major_Maint4"/>
      <sheetName val="Base_Budget4"/>
      <sheetName val="Proforma_Annual_Budgets4"/>
      <sheetName val="Setup_Variables6"/>
      <sheetName val="Major_Maint5"/>
      <sheetName val="Base_Budget5"/>
      <sheetName val="Proforma_Annual_Budgets5"/>
      <sheetName val="Setup_Variables7"/>
      <sheetName val="Major_Maint6"/>
      <sheetName val="Base_Budget6"/>
      <sheetName val="Proforma_Annual_Budgets6"/>
      <sheetName val="Setup_Variables8"/>
      <sheetName val="Major_Maint7"/>
      <sheetName val="Base_Budget7"/>
      <sheetName val="Proforma_Annual_Budgets7"/>
      <sheetName val="Setup_Variables9"/>
      <sheetName val="Major_Maint8"/>
      <sheetName val="Base_Budget8"/>
      <sheetName val="Proforma_Annual_Budgets8"/>
      <sheetName val="Setup_Variables10"/>
      <sheetName val="Major_Maint9"/>
      <sheetName val="Base_Budget9"/>
      <sheetName val="Proforma_Annual_Budgets9"/>
      <sheetName val="Directors"/>
      <sheetName val="Comp"/>
      <sheetName val="Jul 96 Worksheet"/>
      <sheetName val="Base Amount"/>
      <sheetName val="Labels"/>
      <sheetName val="Main Reimbursement Data"/>
      <sheetName val="business Reimbursements"/>
      <sheetName val="Salary Reim."/>
      <sheetName val="Parameters"/>
      <sheetName val="Customize Your Purchase Order"/>
      <sheetName val="ActionPlan"/>
      <sheetName val="Combined"/>
      <sheetName val="Layout Aktiva"/>
      <sheetName val="Template4444"/>
      <sheetName val="Deliverable_Pricing"/>
      <sheetName val="Occ,_Other_Rev,_Exp,_Dispo3"/>
      <sheetName val="Occ,_Other_Rev,_Exp,_Dispo4"/>
      <sheetName val="Occ,_Other_Rev,_Exp,_Dispo5"/>
      <sheetName val="Occ,_Other_Rev,_Exp,_Dispo6"/>
      <sheetName val="Occ,_Other_Rev,_Exp,_Dispo7"/>
      <sheetName val="General Assumptions"/>
      <sheetName val="Notes"/>
      <sheetName val="192"/>
      <sheetName val="194C"/>
      <sheetName val="BS Print 2019"/>
      <sheetName val="P&amp;L Print 2019"/>
      <sheetName val="Share of JV and Associate-March"/>
      <sheetName val="Share of JV and Associate-June"/>
      <sheetName val="Mar.19"/>
      <sheetName val="June 2019"/>
      <sheetName val="June 19 Control"/>
      <sheetName val="June 19 ICE-JE"/>
      <sheetName val="Mar.19 Control"/>
      <sheetName val="Note 5-7"/>
      <sheetName val="Note 8-11"/>
      <sheetName val="Note 12-17"/>
      <sheetName val="Note 18-19"/>
      <sheetName val="Note 20-31"/>
      <sheetName val="Mar.19 ICE-JE"/>
      <sheetName val="FG-June,2019"/>
      <sheetName val="FL-June,19"/>
      <sheetName val="Borrowings-Final"/>
      <sheetName val="Loans-Final"/>
      <sheetName val="Investments"/>
      <sheetName val="EXPENSES"/>
      <sheetName val="2005 Q4"/>
      <sheetName val="DF"/>
      <sheetName val="Totals"/>
      <sheetName val="db"/>
      <sheetName val="CF"/>
      <sheetName val="MAT"/>
      <sheetName val="old_serial_no_"/>
      <sheetName val="Ann_-1"/>
      <sheetName val="BS_-_Sch"/>
      <sheetName val="BS_Input"/>
      <sheetName val="PL_Input"/>
      <sheetName val="O&amp;M_Budget"/>
      <sheetName val="5610_Lead"/>
      <sheetName val="Aero_Revenue_Inputs1"/>
      <sheetName val="Cargo_Revenue_Inputs1"/>
      <sheetName val="CAST_DAYLY"/>
      <sheetName val="PS_data"/>
      <sheetName val="223_582"/>
      <sheetName val="Q1_Revenue"/>
      <sheetName val="Q2_Revenue"/>
      <sheetName val="Q3_Expenses"/>
      <sheetName val="Q3_Revenue"/>
      <sheetName val="SCEL_Funding"/>
      <sheetName val="FY01_Model"/>
      <sheetName val="old_serial_no_1"/>
      <sheetName val="Ann_-11"/>
      <sheetName val="BS_-_Sch1"/>
      <sheetName val="BS_Input1"/>
      <sheetName val="PL_Input1"/>
      <sheetName val="O&amp;M_Budget1"/>
      <sheetName val="Deliverable_Pricing1"/>
      <sheetName val="5610_Lead1"/>
      <sheetName val="Aero_Revenue_Inputs2"/>
      <sheetName val="Cargo_Revenue_Inputs2"/>
      <sheetName val="CAST_DAYLY1"/>
      <sheetName val="PS_data1"/>
      <sheetName val="223_5821"/>
      <sheetName val="Q1_Revenue1"/>
      <sheetName val="Q2_Revenue1"/>
      <sheetName val="Q3_Expenses1"/>
      <sheetName val="Q3_Revenue1"/>
      <sheetName val="SCEL_Funding1"/>
      <sheetName val="FY01_Model1"/>
      <sheetName val="List"/>
      <sheetName val="BARS"/>
      <sheetName val="schedules pl"/>
      <sheetName val="schedules bs"/>
      <sheetName val="#REF"/>
      <sheetName val="Detail"/>
      <sheetName val="discounts_XP140"/>
      <sheetName val="Discounted Cash Flow"/>
    </sheetNames>
    <sheetDataSet>
      <sheetData sheetId="0" refreshError="1">
        <row r="11">
          <cell r="D11">
            <v>1998</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1">
          <cell r="D11">
            <v>1998</v>
          </cell>
        </row>
      </sheetData>
      <sheetData sheetId="40">
        <row r="11">
          <cell r="D11">
            <v>1998</v>
          </cell>
        </row>
      </sheetData>
      <sheetData sheetId="41">
        <row r="11">
          <cell r="D11">
            <v>1998</v>
          </cell>
        </row>
      </sheetData>
      <sheetData sheetId="42">
        <row r="11">
          <cell r="D11">
            <v>1998</v>
          </cell>
        </row>
      </sheetData>
      <sheetData sheetId="43">
        <row r="11">
          <cell r="D11">
            <v>1998</v>
          </cell>
        </row>
      </sheetData>
      <sheetData sheetId="44">
        <row r="11">
          <cell r="D11">
            <v>1998</v>
          </cell>
        </row>
      </sheetData>
      <sheetData sheetId="45">
        <row r="11">
          <cell r="D11">
            <v>1998</v>
          </cell>
        </row>
      </sheetData>
      <sheetData sheetId="46">
        <row r="11">
          <cell r="D11">
            <v>1998</v>
          </cell>
        </row>
      </sheetData>
      <sheetData sheetId="47">
        <row r="11">
          <cell r="D11">
            <v>1998</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ow r="11">
          <cell r="D11">
            <v>1998</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sheetData sheetId="174">
        <row r="11">
          <cell r="D11">
            <v>-47639127</v>
          </cell>
        </row>
      </sheetData>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57"/>
      <sheetName val="Inputs"/>
      <sheetName val="Operations"/>
      <sheetName val="Details"/>
      <sheetName val="Setup Variables"/>
      <sheetName val="P&amp;L_summary_sub_Fund"/>
      <sheetName val="BS - Sch"/>
      <sheetName val="OpTrack"/>
      <sheetName val="TAX INCOME"/>
      <sheetName val="Payroll_Statement"/>
      <sheetName val="BS Schdl-3-Fixed Assets"/>
      <sheetName val="Challan"/>
      <sheetName val="FIELD - NOV 08"/>
      <sheetName val="liste"/>
      <sheetName val="Setup_Variables"/>
      <sheetName val="lov-COAct"/>
      <sheetName val="lov-cspl"/>
      <sheetName val="Schedules"/>
      <sheetName val="cashflow"/>
      <sheetName val="GPOLbudgetf2002wrkng"/>
      <sheetName val="FORM-16"/>
      <sheetName val="Directors"/>
      <sheetName val="Comp"/>
      <sheetName val="Rates NDS Technologies France "/>
      <sheetName val="assump and output"/>
      <sheetName val="Development Strategy"/>
      <sheetName val="Occ"/>
      <sheetName val="Demand"/>
      <sheetName val="Rates"/>
      <sheetName val="Accrued (ckrg)"/>
      <sheetName val="PS data"/>
      <sheetName val="Index"/>
      <sheetName val="P-L (TOT)"/>
      <sheetName val="Day"/>
      <sheetName val="List"/>
      <sheetName val="Assumptions"/>
      <sheetName val="Anlage 1"/>
      <sheetName val="CODES"/>
      <sheetName val="Interest"/>
      <sheetName val="Sheet5"/>
      <sheetName val="Dep"/>
      <sheetName val="Setup_Variables1"/>
      <sheetName val="CRITERIA1"/>
      <sheetName val="Input"/>
      <sheetName val="Transactions"/>
      <sheetName val="PopCache_Sheet1"/>
      <sheetName val="Masters"/>
      <sheetName val="conbs"/>
      <sheetName val="GENERAL"/>
      <sheetName val="FBT"/>
      <sheetName val="Configuration"/>
      <sheetName val="Instructions"/>
      <sheetName val="Staff Acco."/>
      <sheetName val="12A"/>
      <sheetName val="12B"/>
      <sheetName val="2A"/>
      <sheetName val="2B"/>
      <sheetName val="2C"/>
      <sheetName val="2D"/>
      <sheetName val="2E"/>
      <sheetName val="2F"/>
      <sheetName val="2G"/>
      <sheetName val="2H"/>
      <sheetName val="3A"/>
      <sheetName val="3B"/>
      <sheetName val="7A"/>
      <sheetName val="7B"/>
      <sheetName val="8A"/>
      <sheetName val="8B"/>
      <sheetName val="9A"/>
      <sheetName val="9B"/>
      <sheetName val="9C"/>
      <sheetName val="9D"/>
      <sheetName val="9E"/>
      <sheetName val="9F"/>
      <sheetName val="9G"/>
      <sheetName val="9H"/>
      <sheetName val="9I"/>
      <sheetName val="9J"/>
      <sheetName val="9K"/>
      <sheetName val="gen"/>
      <sheetName val="STAFFSCHED "/>
      <sheetName val="Civil Works"/>
      <sheetName val="B"/>
      <sheetName val="BS Schedules"/>
      <sheetName val="A-2 MODULE"/>
      <sheetName val="SITE-RAMAGUNDAM"/>
      <sheetName val="MD'S RESI"/>
      <sheetName val="JAPANESE ACCM"/>
      <sheetName val="INDIAN GUEST HOUSE"/>
      <sheetName val="ANPARA-SITE "/>
      <sheetName val="NOTES"/>
      <sheetName val="Formulas"/>
      <sheetName val="EXP. AGUA"/>
      <sheetName val="Debtors"/>
      <sheetName val="setup"/>
      <sheetName val="SCH-A"/>
      <sheetName val="Target Assumptions"/>
      <sheetName val="Actuals_by_Job"/>
      <sheetName val="Outlook"/>
      <sheetName val="Consumption peak of peak"/>
      <sheetName val="Stock"/>
      <sheetName val="BS Print 2019"/>
      <sheetName val="P&amp;L Print 2019"/>
      <sheetName val="Share of JV and Associate-March"/>
      <sheetName val="Share of JV and Associate-June"/>
      <sheetName val="Mar.19"/>
      <sheetName val="June 2019"/>
      <sheetName val="June 19 Control"/>
      <sheetName val="June 19 ICE-JE"/>
      <sheetName val="Mar.19 Control"/>
      <sheetName val="Note 5-7"/>
      <sheetName val="Note 8-11"/>
      <sheetName val="Note 12-17"/>
      <sheetName val="Note 18-19"/>
      <sheetName val="Note 20-31"/>
      <sheetName val="Mar.19 ICE-JE"/>
      <sheetName val="FG-June,2019"/>
      <sheetName val="FL-June,19"/>
      <sheetName val="Borrowings-Final"/>
      <sheetName val="Loans-Final"/>
      <sheetName val="Investments"/>
      <sheetName val="CAndDemo"/>
      <sheetName val="GlobalSAndIByPole"/>
      <sheetName val="GlobalPSIPlanSummary"/>
      <sheetName val="SalesByPole"/>
      <sheetName val="SalesByQtrByRegn"/>
      <sheetName val="ForecastCompModalities"/>
      <sheetName val="IOPlan Regn"/>
      <sheetName val="StdMarginRegQtr"/>
      <sheetName val="TPM 1-Qtr"/>
      <sheetName val="PSIGSales"/>
      <sheetName val="BlockISales"/>
      <sheetName val="Inventory"/>
      <sheetName val="CompProduction"/>
      <sheetName val="StdMarginQtrReg"/>
      <sheetName val="InternalSales"/>
      <sheetName val="TPM Tot"/>
      <sheetName val="ShipmentsByPole"/>
      <sheetName val="Data"/>
      <sheetName val="2010 ETB"/>
      <sheetName val="Dropdown"/>
      <sheetName val="Tables"/>
      <sheetName val="TAX_INCOME"/>
      <sheetName val="BS_Schdl-3-Fixed_Assets"/>
      <sheetName val="Setup_Variables2"/>
      <sheetName val="FIELD_-_NOV_08"/>
      <sheetName val="Anlage_1"/>
      <sheetName val="Rates_NDS_Technologies_France_"/>
      <sheetName val="Accrued_(ckrg)"/>
      <sheetName val="PS_data"/>
      <sheetName val="P-L_(TOT)"/>
      <sheetName val="assump_and_output"/>
      <sheetName val="Development_Strategy"/>
      <sheetName val="BS_-_Sch"/>
      <sheetName val="BS_Schedules"/>
      <sheetName val="TAX_INCOME1"/>
      <sheetName val="BS_Schdl-3-Fixed_Assets1"/>
      <sheetName val="Setup_Variables3"/>
      <sheetName val="FIELD_-_NOV_081"/>
      <sheetName val="Anlage_11"/>
      <sheetName val="Rates_NDS_Technologies_France_1"/>
      <sheetName val="Accrued_(ckrg)1"/>
      <sheetName val="PS_data1"/>
      <sheetName val="P-L_(TOT)1"/>
      <sheetName val="assump_and_output1"/>
      <sheetName val="Development_Strategy1"/>
      <sheetName val="BS_-_Sch1"/>
      <sheetName val="BS_Schedules1"/>
      <sheetName val="Balance Sheet"/>
      <sheetName val="Name List"/>
      <sheetName val="Trial"/>
      <sheetName val="FTE salaries"/>
      <sheetName val="MAT"/>
      <sheetName val="sch to BS"/>
      <sheetName val="CASTING"/>
      <sheetName val="General Info"/>
      <sheetName val="Marshal"/>
      <sheetName val="BS-after AJE"/>
      <sheetName val=".3 Rollfwd"/>
      <sheetName val="GeneralInfo"/>
      <sheetName val="DATA 91-98"/>
      <sheetName val="expired"/>
      <sheetName val="leakages"/>
      <sheetName val="IRR"/>
      <sheetName val="AOPFY12-13"/>
      <sheetName val="RevAOP12-13"/>
      <sheetName val="AOPFY11-12"/>
      <sheetName val="Annexure-I"/>
      <sheetName val="Final Bill"/>
      <sheetName val="Form"/>
      <sheetName val="DF"/>
    </sheetNames>
    <sheetDataSet>
      <sheetData sheetId="0" refreshError="1"/>
      <sheetData sheetId="1" refreshError="1"/>
      <sheetData sheetId="2" refreshError="1"/>
      <sheetData sheetId="3" refreshError="1"/>
      <sheetData sheetId="4" refreshError="1">
        <row r="1">
          <cell r="B1" t="str">
            <v>Tanir Bavi Power Facility</v>
          </cell>
        </row>
        <row r="2">
          <cell r="B2" t="str">
            <v>Period 01-06-01 to 31-03-02 (10 months)</v>
          </cell>
        </row>
        <row r="4">
          <cell r="D4" t="str">
            <v>Category:</v>
          </cell>
          <cell r="E4" t="str">
            <v xml:space="preserve">Repairs &amp; Replacements to Office Furniture &amp; Fittings </v>
          </cell>
        </row>
        <row r="6">
          <cell r="B6" t="str">
            <v>Responsible Team Member Name:</v>
          </cell>
          <cell r="D6" t="str">
            <v>Mohan Rao</v>
          </cell>
        </row>
        <row r="8">
          <cell r="B8" t="str">
            <v>Category Includes:</v>
          </cell>
        </row>
        <row r="10">
          <cell r="B10" t="str">
            <v>Repairs / Replacements to Office furniture &amp; Fittings</v>
          </cell>
        </row>
        <row r="14">
          <cell r="B14" t="str">
            <v>Budget Estimate Basis:</v>
          </cell>
        </row>
        <row r="16">
          <cell r="B16" t="str">
            <v>Estimate is based on current costs for furnishings</v>
          </cell>
        </row>
        <row r="17">
          <cell r="B17" t="str">
            <v>Third party liability  ( for GPOL only )</v>
          </cell>
        </row>
        <row r="21">
          <cell r="B21" t="str">
            <v>Calculations:</v>
          </cell>
        </row>
        <row r="22">
          <cell r="B22" t="str">
            <v>Calculations:</v>
          </cell>
        </row>
        <row r="23">
          <cell r="B23" t="str">
            <v xml:space="preserve">Transportation for team </v>
          </cell>
          <cell r="E23" t="str">
            <v>Calculated for 10 team members (2nd class A/C - train)</v>
          </cell>
          <cell r="G23">
            <v>120000</v>
          </cell>
        </row>
        <row r="24">
          <cell r="B24" t="str">
            <v>Desks/chairs</v>
          </cell>
          <cell r="C24">
            <v>120000</v>
          </cell>
          <cell r="D24" t="str">
            <v>Water Cess</v>
          </cell>
          <cell r="E24" t="str">
            <v>Xerox Paper</v>
          </cell>
          <cell r="F24">
            <v>8100</v>
          </cell>
          <cell r="G24">
            <v>100000</v>
          </cell>
        </row>
        <row r="25">
          <cell r="B25" t="str">
            <v>Soft furnishing</v>
          </cell>
          <cell r="C25">
            <v>80000</v>
          </cell>
          <cell r="E25" t="str">
            <v>CD's</v>
          </cell>
          <cell r="F25">
            <v>243000</v>
          </cell>
          <cell r="G25">
            <v>280000</v>
          </cell>
        </row>
        <row r="26">
          <cell r="B26" t="str">
            <v xml:space="preserve">      goods</v>
          </cell>
          <cell r="C26">
            <v>250000</v>
          </cell>
          <cell r="D26" t="str">
            <v>Toward 4" dia 300mtr pipe and clamps</v>
          </cell>
          <cell r="E26" t="str">
            <v>Diskettes</v>
          </cell>
          <cell r="F26">
            <v>2430000</v>
          </cell>
          <cell r="G26">
            <v>40000</v>
          </cell>
        </row>
        <row r="27">
          <cell r="B27" t="str">
            <v>Labor Licenses</v>
          </cell>
          <cell r="C27">
            <v>15000</v>
          </cell>
          <cell r="E27" t="str">
            <v xml:space="preserve">Co2+H2 (Lab) </v>
          </cell>
          <cell r="G27">
            <v>20000</v>
          </cell>
        </row>
        <row r="28">
          <cell r="B28" t="str">
            <v>Total</v>
          </cell>
          <cell r="C28">
            <v>200000</v>
          </cell>
          <cell r="E28" t="str">
            <v>Spring folders</v>
          </cell>
          <cell r="G28">
            <v>630000</v>
          </cell>
        </row>
        <row r="29">
          <cell r="B29" t="str">
            <v>B arge License</v>
          </cell>
          <cell r="C29">
            <v>0</v>
          </cell>
          <cell r="E29" t="str">
            <v>Ring Binders</v>
          </cell>
          <cell r="G29">
            <v>200000</v>
          </cell>
        </row>
        <row r="30">
          <cell r="B30" t="str">
            <v>Contract Buy-out Fees</v>
          </cell>
          <cell r="C30">
            <v>50000</v>
          </cell>
          <cell r="D30" t="str">
            <v>Rs 500/hr*20hrs per month *10months</v>
          </cell>
          <cell r="E30" t="str">
            <v>Staplers/staples</v>
          </cell>
          <cell r="G30">
            <v>973000</v>
          </cell>
        </row>
        <row r="31">
          <cell r="B31" t="str">
            <v>April</v>
          </cell>
          <cell r="C31">
            <v>225000</v>
          </cell>
          <cell r="E31" t="str">
            <v>Binder clips / paper clips</v>
          </cell>
          <cell r="G31">
            <v>200000</v>
          </cell>
        </row>
        <row r="32">
          <cell r="B32" t="str">
            <v>May</v>
          </cell>
          <cell r="C32">
            <v>250000</v>
          </cell>
          <cell r="E32" t="str">
            <v>Scissors</v>
          </cell>
          <cell r="G32">
            <v>950000</v>
          </cell>
        </row>
        <row r="33">
          <cell r="B33" t="str">
            <v>June</v>
          </cell>
          <cell r="C33">
            <v>80000</v>
          </cell>
          <cell r="E33" t="str">
            <v>Pens/Pencils/Markers/etc.</v>
          </cell>
        </row>
        <row r="34">
          <cell r="B34" t="str">
            <v>July</v>
          </cell>
          <cell r="C34">
            <v>2539000</v>
          </cell>
          <cell r="E34" t="str">
            <v>Hole Punch</v>
          </cell>
          <cell r="G34">
            <v>925000</v>
          </cell>
        </row>
        <row r="35">
          <cell r="B35" t="str">
            <v>August</v>
          </cell>
          <cell r="G35">
            <v>2539000</v>
          </cell>
        </row>
        <row r="36">
          <cell r="B36" t="str">
            <v>September</v>
          </cell>
        </row>
        <row r="37">
          <cell r="B37" t="str">
            <v>October</v>
          </cell>
          <cell r="E37" t="str">
            <v xml:space="preserve">Water Cess monthly Rest in Feb </v>
          </cell>
        </row>
        <row r="38">
          <cell r="B38" t="str">
            <v>November</v>
          </cell>
          <cell r="C38">
            <v>243000</v>
          </cell>
        </row>
        <row r="39">
          <cell r="B39" t="str">
            <v>December</v>
          </cell>
          <cell r="C39">
            <v>100000</v>
          </cell>
          <cell r="E39" t="str">
            <v>Boiler Operataor's licenece for 2001-2 will be provided by TBP</v>
          </cell>
        </row>
        <row r="40">
          <cell r="B40" t="str">
            <v>January</v>
          </cell>
          <cell r="C40">
            <v>650000</v>
          </cell>
          <cell r="E40" t="str">
            <v>Land cess to be paid and provided in budget of TBP</v>
          </cell>
        </row>
        <row r="41">
          <cell r="B41" t="str">
            <v>February</v>
          </cell>
          <cell r="C41">
            <v>243000</v>
          </cell>
          <cell r="G41">
            <v>650000</v>
          </cell>
        </row>
        <row r="42">
          <cell r="B42" t="str">
            <v>March</v>
          </cell>
          <cell r="C42">
            <v>20000</v>
          </cell>
        </row>
        <row r="43">
          <cell r="B43" t="str">
            <v>Total</v>
          </cell>
          <cell r="C43">
            <v>200000</v>
          </cell>
        </row>
        <row r="44">
          <cell r="B44" t="str">
            <v>December</v>
          </cell>
          <cell r="C44">
            <v>243000</v>
          </cell>
        </row>
        <row r="45">
          <cell r="B45" t="str">
            <v>January</v>
          </cell>
          <cell r="C45">
            <v>243000</v>
          </cell>
        </row>
        <row r="46">
          <cell r="B46" t="str">
            <v>February</v>
          </cell>
          <cell r="C46">
            <v>352000</v>
          </cell>
        </row>
        <row r="47">
          <cell r="B47" t="str">
            <v>March</v>
          </cell>
          <cell r="C47">
            <v>243000</v>
          </cell>
        </row>
        <row r="48">
          <cell r="C48">
            <v>2539000</v>
          </cell>
          <cell r="D48">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row r="1">
          <cell r="A1" t="str">
            <v>GMR Airports Limited</v>
          </cell>
        </row>
      </sheetData>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 months"/>
      <sheetName val="Sheet2"/>
      <sheetName val="12 months"/>
      <sheetName val="HR"/>
      <sheetName val="Sheet4"/>
      <sheetName val="P&amp;L"/>
      <sheetName val="CAsh flow"/>
      <sheetName val="Aged Receivables"/>
      <sheetName val="Service Function"/>
      <sheetName val="Sheet3 (2)"/>
      <sheetName val="Personnel Expense"/>
      <sheetName val="CSCCincSKR"/>
      <sheetName val="Qtr 1"/>
      <sheetName val="P_L"/>
      <sheetName val="Feb Analysts"/>
      <sheetName val="cashflow"/>
      <sheetName val="Sheet1"/>
      <sheetName val="Sheet3"/>
      <sheetName val="FDY_CS"/>
      <sheetName val="FDY_PWR"/>
      <sheetName val="P1 Variables"/>
      <sheetName val="Simulator Detail"/>
      <sheetName val="9_months"/>
      <sheetName val="12_months"/>
      <sheetName val="CAsh_flow"/>
      <sheetName val="Aged_Receivables"/>
      <sheetName val="Fin Split_Ret"/>
      <sheetName val="India Summary Split_Ret"/>
      <sheetName val="Sum_Banking Div_Ret"/>
      <sheetName val="Sum_BDS_Ret"/>
      <sheetName val="Sum_CAD_Ret"/>
      <sheetName val="Sum_Core India Fin_Ret"/>
      <sheetName val="Sum_Corp Real Est_Ret"/>
      <sheetName val="Sum_Equity_Ret"/>
      <sheetName val="Sum_Ex Admin_Ret"/>
      <sheetName val="Sum_FID_Ret"/>
      <sheetName val="Sum_Fin_Ret"/>
      <sheetName val="Sum_FO_Ret"/>
      <sheetName val="Sum_GCS_Ret"/>
      <sheetName val="Sum_HR_Ret"/>
      <sheetName val="Sum_ITD Ops_Retrieve"/>
      <sheetName val="Sum_MCD_Ret"/>
      <sheetName val="Sum_Non-Core_Ret"/>
      <sheetName val="Sum_Ops_Ret"/>
      <sheetName val="Summary_Retrieve"/>
      <sheetName val="Sum_RiskMgmt_Ret"/>
      <sheetName val="Sum_Total Corp_Ret"/>
      <sheetName val="유통망계획"/>
    </sheetNames>
    <sheetDataSet>
      <sheetData sheetId="0" refreshError="1"/>
      <sheetData sheetId="1" refreshError="1"/>
      <sheetData sheetId="2" refreshError="1"/>
      <sheetData sheetId="3" refreshError="1"/>
      <sheetData sheetId="4" refreshError="1"/>
      <sheetData sheetId="5" refreshError="1">
        <row r="1">
          <cell r="J1">
            <v>100000</v>
          </cell>
          <cell r="L1">
            <v>48.475000000000001</v>
          </cell>
        </row>
      </sheetData>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ustomer Summary"/>
      <sheetName val="As Sold Financial Plan"/>
      <sheetName val="Parts"/>
      <sheetName val="Services"/>
      <sheetName val="repair-replace "/>
      <sheetName val="Parts Cost"/>
      <sheetName val="Services Cost"/>
      <sheetName val="OpTrack"/>
      <sheetName val="RAW DATA"/>
      <sheetName val="Module1"/>
      <sheetName val="Module2"/>
      <sheetName val="Sheet5"/>
      <sheetName val="Sheet6"/>
      <sheetName val="Sheet7"/>
      <sheetName val="Sheet8"/>
      <sheetName val="Sheet9"/>
      <sheetName val="Sheet10"/>
      <sheetName val="Sheet11"/>
      <sheetName val="Sheet12"/>
      <sheetName val="Sheet13"/>
      <sheetName val="Sheet14"/>
      <sheetName val="Sheet15"/>
      <sheetName val="Sheet16"/>
      <sheetName val="Module3"/>
      <sheetName val="Module5"/>
      <sheetName val="TB Jan-Dec96"/>
      <sheetName val="Managerial Remuneration-Dec96"/>
      <sheetName val="BS&amp;PL_DEC96"/>
      <sheetName val="Customer_Summary"/>
      <sheetName val="As_Sold_Financial_Plan"/>
      <sheetName val="repair-replace_"/>
      <sheetName val="Parts_Cost"/>
      <sheetName val="Services_Cost"/>
      <sheetName val="RAW_DATA"/>
      <sheetName val="Audit"/>
      <sheetName val="Schedules"/>
      <sheetName val="BS Rec Control Sheet"/>
      <sheetName val="MAPPING-Mnth"/>
      <sheetName val="Inc. Stat from Tral balance"/>
      <sheetName val="PLAN_FEB97"/>
      <sheetName val="Publicbuilding"/>
      <sheetName val="CRITERIA1"/>
      <sheetName val="#REF"/>
      <sheetName val="Rates"/>
      <sheetName val="Sheet1"/>
      <sheetName val="trial (2)"/>
      <sheetName val="Customer_Summary1"/>
      <sheetName val="As_Sold_Financial_Plan1"/>
      <sheetName val="repair-replace_1"/>
      <sheetName val="Parts_Cost1"/>
      <sheetName val="Services_Cost1"/>
      <sheetName val="RAW_DATA1"/>
      <sheetName val="Master"/>
      <sheetName val="Invoice"/>
      <sheetName val="Output"/>
      <sheetName val="BS_Rec_Control_Sheet"/>
      <sheetName val="Wordsdata"/>
      <sheetName val="item"/>
      <sheetName val="Exhibit Q"/>
      <sheetName val="Lead"/>
      <sheetName val="ctrl"/>
      <sheetName val="Base Case"/>
      <sheetName val="AOP14"/>
      <sheetName val="15"/>
      <sheetName val="adp-budget"/>
      <sheetName val="Material "/>
      <sheetName val="14"/>
      <sheetName val="3"/>
      <sheetName val="40"/>
      <sheetName val="Lookup1"/>
      <sheetName val="Estimate"/>
      <sheetName val="P&amp;L"/>
      <sheetName val="GIL P&amp;L consl"/>
      <sheetName val="GQL Report"/>
      <sheetName val="REPV2002"/>
      <sheetName val="le_data"/>
      <sheetName val="_ADFDI_LOV"/>
      <sheetName val="Earnings"/>
      <sheetName val="Travel &amp; Enter"/>
      <sheetName val="Books"/>
      <sheetName val="Training &amp; Tuition"/>
      <sheetName val="Jul05"/>
      <sheetName val="CashFlow"/>
      <sheetName val="Table"/>
      <sheetName val="CU Primrose revision 7-16-99, A"/>
      <sheetName val="Selection"/>
      <sheetName val="setup"/>
      <sheetName val="fa"/>
      <sheetName val="Credit Ratings"/>
      <sheetName val="NOTES"/>
      <sheetName val="aarushi"/>
      <sheetName val="Hydro OA (2)"/>
      <sheetName val="Daybook (2)"/>
      <sheetName val="Daybook  Planner"/>
      <sheetName val="Daybook "/>
      <sheetName val="Solar OA (4)"/>
      <sheetName val="Ratnagiri Billed (2)"/>
      <sheetName val="Aging"/>
      <sheetName val="Sheet2"/>
      <sheetName val="GBI"/>
      <sheetName val="Dr.Reddy'sUTR details"/>
      <sheetName val="Solar "/>
      <sheetName val="Solar OA"/>
      <sheetName val="Wind"/>
      <sheetName val="Wind OA"/>
      <sheetName val="Hydro"/>
      <sheetName val="Hydro OA"/>
      <sheetName val="Ratnagiri Billed"/>
      <sheetName val="Thermal"/>
      <sheetName val="REC"/>
      <sheetName val="VERs"/>
      <sheetName val="Sneha PTC(IEX)"/>
      <sheetName val="Vyshali(hescom)"/>
      <sheetName val="Mangalore"/>
      <sheetName val="Matrix"/>
      <sheetName val="Sheet3"/>
      <sheetName val="Customers Bank details"/>
      <sheetName val="SAP Bank accounts"/>
      <sheetName val="Company a.c,Nos"/>
      <sheetName val="superspinning"/>
      <sheetName val="Mat,Import&amp;SAP"/>
      <sheetName val="REC (2)"/>
      <sheetName val="Aging (3)"/>
      <sheetName val="LIC"/>
      <sheetName val="Annexure I"/>
      <sheetName val="Financials"/>
      <sheetName val="LTA"/>
      <sheetName val="Sep Summary"/>
    </sheetNames>
    <sheetDataSet>
      <sheetData sheetId="0">
        <row r="11">
          <cell r="A11" t="str">
            <v>Description</v>
          </cell>
        </row>
      </sheetData>
      <sheetData sheetId="1">
        <row r="11">
          <cell r="A11" t="str">
            <v>Description</v>
          </cell>
        </row>
      </sheetData>
      <sheetData sheetId="2" refreshError="1"/>
      <sheetData sheetId="3"/>
      <sheetData sheetId="4"/>
      <sheetData sheetId="5"/>
      <sheetData sheetId="6"/>
      <sheetData sheetId="7">
        <row r="11">
          <cell r="A11" t="str">
            <v>Description</v>
          </cell>
        </row>
      </sheetData>
      <sheetData sheetId="8" refreshError="1">
        <row r="11">
          <cell r="A11" t="str">
            <v>Description</v>
          </cell>
          <cell r="B11" t="str">
            <v>CUMULATV</v>
          </cell>
          <cell r="D11">
            <v>1</v>
          </cell>
          <cell r="E11">
            <v>2</v>
          </cell>
          <cell r="F11">
            <v>3</v>
          </cell>
          <cell r="G11">
            <v>4</v>
          </cell>
          <cell r="H11">
            <v>5</v>
          </cell>
          <cell r="I11">
            <v>6</v>
          </cell>
          <cell r="J11">
            <v>7</v>
          </cell>
          <cell r="K11">
            <v>8</v>
          </cell>
          <cell r="L11">
            <v>9</v>
          </cell>
          <cell r="M11">
            <v>10</v>
          </cell>
          <cell r="N11">
            <v>11</v>
          </cell>
          <cell r="O11">
            <v>12</v>
          </cell>
          <cell r="P11">
            <v>13</v>
          </cell>
          <cell r="Q11">
            <v>14</v>
          </cell>
          <cell r="R11">
            <v>15</v>
          </cell>
          <cell r="S11">
            <v>16</v>
          </cell>
          <cell r="T11">
            <v>17</v>
          </cell>
          <cell r="U11">
            <v>18</v>
          </cell>
          <cell r="V11">
            <v>19</v>
          </cell>
          <cell r="W11">
            <v>20</v>
          </cell>
          <cell r="X11">
            <v>21</v>
          </cell>
          <cell r="Y11">
            <v>22</v>
          </cell>
          <cell r="Z11">
            <v>23</v>
          </cell>
          <cell r="AA11">
            <v>24</v>
          </cell>
          <cell r="AB11">
            <v>25</v>
          </cell>
        </row>
        <row r="12">
          <cell r="C12" t="str">
            <v>MOBIL</v>
          </cell>
          <cell r="D12">
            <v>1999</v>
          </cell>
          <cell r="E12">
            <v>2000</v>
          </cell>
          <cell r="F12">
            <v>2001</v>
          </cell>
          <cell r="G12">
            <v>2002</v>
          </cell>
          <cell r="H12">
            <v>2003</v>
          </cell>
          <cell r="I12">
            <v>2004</v>
          </cell>
          <cell r="J12">
            <v>2005</v>
          </cell>
          <cell r="K12">
            <v>2006</v>
          </cell>
          <cell r="L12">
            <v>2007</v>
          </cell>
          <cell r="M12">
            <v>2008</v>
          </cell>
          <cell r="N12">
            <v>2009</v>
          </cell>
          <cell r="O12">
            <v>2010</v>
          </cell>
          <cell r="P12" t="str">
            <v>Quantities</v>
          </cell>
          <cell r="Q12">
            <v>0</v>
          </cell>
          <cell r="R12">
            <v>0</v>
          </cell>
          <cell r="S12">
            <v>0</v>
          </cell>
          <cell r="T12">
            <v>0</v>
          </cell>
          <cell r="U12">
            <v>0</v>
          </cell>
          <cell r="V12">
            <v>0</v>
          </cell>
          <cell r="W12">
            <v>0</v>
          </cell>
          <cell r="X12">
            <v>0</v>
          </cell>
          <cell r="Y12">
            <v>0</v>
          </cell>
          <cell r="Z12">
            <v>0</v>
          </cell>
          <cell r="AA12">
            <v>0</v>
          </cell>
          <cell r="AB12">
            <v>0</v>
          </cell>
        </row>
        <row r="13">
          <cell r="A13" t="str">
            <v>PARTS</v>
          </cell>
          <cell r="B13">
            <v>6003624.0636500753</v>
          </cell>
          <cell r="C13">
            <v>0</v>
          </cell>
          <cell r="D13">
            <v>225516.71987999999</v>
          </cell>
          <cell r="E13">
            <v>53384.219880000004</v>
          </cell>
          <cell r="F13">
            <v>97576.454880000019</v>
          </cell>
          <cell r="G13">
            <v>53384.219880000004</v>
          </cell>
          <cell r="H13">
            <v>294673.82298</v>
          </cell>
          <cell r="I13">
            <v>320305.31928000005</v>
          </cell>
          <cell r="J13">
            <v>53384.219880000004</v>
          </cell>
          <cell r="K13">
            <v>642024.79007999995</v>
          </cell>
          <cell r="L13">
            <v>1568294.03568</v>
          </cell>
          <cell r="M13">
            <v>53384.219880000004</v>
          </cell>
          <cell r="N13">
            <v>1437485.0200800002</v>
          </cell>
          <cell r="O13">
            <v>1204150.0192800001</v>
          </cell>
          <cell r="P13">
            <v>61.00199007391646</v>
          </cell>
          <cell r="Q13">
            <v>0</v>
          </cell>
          <cell r="R13">
            <v>0</v>
          </cell>
          <cell r="S13">
            <v>0</v>
          </cell>
          <cell r="T13">
            <v>0</v>
          </cell>
          <cell r="U13">
            <v>0</v>
          </cell>
          <cell r="V13">
            <v>0</v>
          </cell>
          <cell r="W13">
            <v>0</v>
          </cell>
          <cell r="X13">
            <v>0</v>
          </cell>
          <cell r="Y13">
            <v>0</v>
          </cell>
          <cell r="Z13">
            <v>0</v>
          </cell>
          <cell r="AA13">
            <v>0</v>
          </cell>
          <cell r="AB13">
            <v>0</v>
          </cell>
        </row>
        <row r="14">
          <cell r="A14" t="str">
            <v>SERVICES</v>
          </cell>
          <cell r="B14">
            <v>2230890.6177445394</v>
          </cell>
          <cell r="C14">
            <v>0</v>
          </cell>
          <cell r="D14">
            <v>100139.02168626848</v>
          </cell>
          <cell r="E14">
            <v>0</v>
          </cell>
          <cell r="F14">
            <v>271466.1404983995</v>
          </cell>
          <cell r="G14">
            <v>0</v>
          </cell>
          <cell r="H14">
            <v>100074.90777717408</v>
          </cell>
          <cell r="I14">
            <v>643797.29586497473</v>
          </cell>
          <cell r="J14">
            <v>0</v>
          </cell>
          <cell r="K14">
            <v>100074.90777717408</v>
          </cell>
          <cell r="L14">
            <v>271466.1404983995</v>
          </cell>
          <cell r="M14">
            <v>0</v>
          </cell>
          <cell r="N14">
            <v>100074.90777717408</v>
          </cell>
          <cell r="O14">
            <v>643797.29586497473</v>
          </cell>
          <cell r="P14">
            <v>0</v>
          </cell>
          <cell r="Q14">
            <v>0</v>
          </cell>
          <cell r="R14">
            <v>0</v>
          </cell>
          <cell r="S14">
            <v>0</v>
          </cell>
          <cell r="T14">
            <v>0</v>
          </cell>
          <cell r="U14">
            <v>0</v>
          </cell>
          <cell r="V14">
            <v>0</v>
          </cell>
          <cell r="W14">
            <v>0</v>
          </cell>
          <cell r="X14">
            <v>0</v>
          </cell>
          <cell r="Y14">
            <v>0</v>
          </cell>
          <cell r="Z14">
            <v>0</v>
          </cell>
          <cell r="AA14">
            <v>0</v>
          </cell>
          <cell r="AB14">
            <v>0</v>
          </cell>
        </row>
        <row r="15">
          <cell r="A15" t="str">
            <v xml:space="preserve">   FES Subtotal</v>
          </cell>
          <cell r="B15">
            <v>588351.28565755638</v>
          </cell>
          <cell r="C15">
            <v>0</v>
          </cell>
          <cell r="D15">
            <v>0</v>
          </cell>
          <cell r="E15">
            <v>30671.203917754068</v>
          </cell>
          <cell r="F15">
            <v>46303.787072245374</v>
          </cell>
          <cell r="G15">
            <v>0</v>
          </cell>
          <cell r="H15">
            <v>30671.203917754068</v>
          </cell>
          <cell r="I15">
            <v>186529.44792102469</v>
          </cell>
          <cell r="J15">
            <v>0</v>
          </cell>
          <cell r="K15">
            <v>30671.203917754068</v>
          </cell>
          <cell r="L15">
            <v>46303.787072245374</v>
          </cell>
          <cell r="M15">
            <v>0</v>
          </cell>
          <cell r="N15">
            <v>30671.203917754068</v>
          </cell>
          <cell r="O15">
            <v>186529.44792102469</v>
          </cell>
          <cell r="P15">
            <v>0</v>
          </cell>
          <cell r="Q15">
            <v>0</v>
          </cell>
          <cell r="R15">
            <v>0</v>
          </cell>
          <cell r="S15">
            <v>0</v>
          </cell>
          <cell r="T15">
            <v>0</v>
          </cell>
          <cell r="U15">
            <v>0</v>
          </cell>
          <cell r="V15">
            <v>0</v>
          </cell>
          <cell r="W15">
            <v>0</v>
          </cell>
          <cell r="X15">
            <v>0</v>
          </cell>
          <cell r="Y15">
            <v>0</v>
          </cell>
          <cell r="Z15">
            <v>0</v>
          </cell>
          <cell r="AA15">
            <v>0</v>
          </cell>
          <cell r="AB15">
            <v>0</v>
          </cell>
        </row>
        <row r="16">
          <cell r="A16" t="str">
            <v xml:space="preserve">   PL&amp;M Subtotal</v>
          </cell>
          <cell r="B16">
            <v>1642539.3320869827</v>
          </cell>
          <cell r="C16">
            <v>0</v>
          </cell>
          <cell r="D16">
            <v>100139.02168626848</v>
          </cell>
          <cell r="E16">
            <v>-30671.203917754068</v>
          </cell>
          <cell r="F16">
            <v>225162.35342615412</v>
          </cell>
          <cell r="G16">
            <v>0</v>
          </cell>
          <cell r="H16">
            <v>69403.703859420013</v>
          </cell>
          <cell r="I16">
            <v>457267.84794395004</v>
          </cell>
          <cell r="J16">
            <v>0</v>
          </cell>
          <cell r="K16">
            <v>69403.703859420013</v>
          </cell>
          <cell r="L16">
            <v>225162.35342615412</v>
          </cell>
          <cell r="M16">
            <v>0</v>
          </cell>
          <cell r="N16">
            <v>69403.703859420013</v>
          </cell>
          <cell r="O16">
            <v>457267.84794395004</v>
          </cell>
          <cell r="P16">
            <v>0</v>
          </cell>
          <cell r="Q16">
            <v>0</v>
          </cell>
          <cell r="R16">
            <v>0</v>
          </cell>
          <cell r="S16">
            <v>0</v>
          </cell>
          <cell r="T16">
            <v>0</v>
          </cell>
          <cell r="U16">
            <v>0</v>
          </cell>
          <cell r="V16">
            <v>0</v>
          </cell>
          <cell r="W16">
            <v>0</v>
          </cell>
          <cell r="X16">
            <v>0</v>
          </cell>
          <cell r="Y16">
            <v>0</v>
          </cell>
          <cell r="Z16">
            <v>0</v>
          </cell>
          <cell r="AA16">
            <v>0</v>
          </cell>
          <cell r="AB16">
            <v>0</v>
          </cell>
        </row>
        <row r="17">
          <cell r="A17" t="str">
            <v>REPAIRS</v>
          </cell>
          <cell r="B17">
            <v>3313916.0008160169</v>
          </cell>
          <cell r="C17">
            <v>0</v>
          </cell>
          <cell r="D17">
            <v>442021.90934502834</v>
          </cell>
          <cell r="E17">
            <v>0</v>
          </cell>
          <cell r="F17">
            <v>659385.27094754437</v>
          </cell>
          <cell r="G17">
            <v>0</v>
          </cell>
          <cell r="H17">
            <v>93529.825666318357</v>
          </cell>
          <cell r="I17">
            <v>698098.2010890902</v>
          </cell>
          <cell r="J17">
            <v>0</v>
          </cell>
          <cell r="K17">
            <v>93529.825666318357</v>
          </cell>
          <cell r="L17">
            <v>629252.76701262663</v>
          </cell>
          <cell r="M17">
            <v>0</v>
          </cell>
          <cell r="N17">
            <v>0</v>
          </cell>
          <cell r="O17">
            <v>698098.2010890902</v>
          </cell>
          <cell r="P17">
            <v>0</v>
          </cell>
          <cell r="Q17">
            <v>0</v>
          </cell>
          <cell r="R17">
            <v>0</v>
          </cell>
          <cell r="S17">
            <v>0</v>
          </cell>
          <cell r="T17">
            <v>0</v>
          </cell>
          <cell r="U17">
            <v>0</v>
          </cell>
          <cell r="V17">
            <v>0</v>
          </cell>
          <cell r="W17">
            <v>0</v>
          </cell>
          <cell r="X17">
            <v>0</v>
          </cell>
          <cell r="Y17">
            <v>0</v>
          </cell>
          <cell r="Z17">
            <v>0</v>
          </cell>
          <cell r="AA17">
            <v>0</v>
          </cell>
          <cell r="AB17">
            <v>0</v>
          </cell>
        </row>
        <row r="18">
          <cell r="A18" t="str">
            <v>O&amp;M</v>
          </cell>
          <cell r="B18">
            <v>840000</v>
          </cell>
          <cell r="C18">
            <v>0</v>
          </cell>
          <cell r="D18">
            <v>70000</v>
          </cell>
          <cell r="E18">
            <v>70000</v>
          </cell>
          <cell r="F18">
            <v>70000</v>
          </cell>
          <cell r="G18">
            <v>70000</v>
          </cell>
          <cell r="H18">
            <v>70000</v>
          </cell>
          <cell r="I18">
            <v>70000</v>
          </cell>
          <cell r="J18">
            <v>70000</v>
          </cell>
          <cell r="K18">
            <v>70000</v>
          </cell>
          <cell r="L18">
            <v>70000</v>
          </cell>
          <cell r="M18">
            <v>70000</v>
          </cell>
          <cell r="N18">
            <v>70000</v>
          </cell>
          <cell r="O18">
            <v>70000</v>
          </cell>
          <cell r="P18">
            <v>0</v>
          </cell>
          <cell r="Q18">
            <v>0</v>
          </cell>
          <cell r="R18">
            <v>0</v>
          </cell>
          <cell r="S18">
            <v>0</v>
          </cell>
          <cell r="T18">
            <v>0</v>
          </cell>
          <cell r="U18">
            <v>0</v>
          </cell>
          <cell r="V18">
            <v>0</v>
          </cell>
          <cell r="W18">
            <v>0</v>
          </cell>
          <cell r="X18">
            <v>0</v>
          </cell>
          <cell r="Y18">
            <v>0</v>
          </cell>
          <cell r="Z18">
            <v>0</v>
          </cell>
          <cell r="AA18">
            <v>0</v>
          </cell>
          <cell r="AB18">
            <v>0</v>
          </cell>
        </row>
        <row r="19">
          <cell r="A19" t="str">
            <v xml:space="preserve">   M&amp;D</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row>
        <row r="20">
          <cell r="A20" t="str">
            <v xml:space="preserve">   Serv Dir</v>
          </cell>
          <cell r="B20">
            <v>840000</v>
          </cell>
          <cell r="C20">
            <v>0</v>
          </cell>
          <cell r="D20">
            <v>70000</v>
          </cell>
          <cell r="E20">
            <v>70000</v>
          </cell>
          <cell r="F20">
            <v>70000</v>
          </cell>
          <cell r="G20">
            <v>70000</v>
          </cell>
          <cell r="H20">
            <v>70000</v>
          </cell>
          <cell r="I20">
            <v>70000</v>
          </cell>
          <cell r="J20">
            <v>70000</v>
          </cell>
          <cell r="K20">
            <v>70000</v>
          </cell>
          <cell r="L20">
            <v>70000</v>
          </cell>
          <cell r="M20">
            <v>70000</v>
          </cell>
          <cell r="N20">
            <v>70000</v>
          </cell>
          <cell r="O20">
            <v>70000</v>
          </cell>
          <cell r="P20">
            <v>0</v>
          </cell>
          <cell r="Q20">
            <v>0</v>
          </cell>
          <cell r="R20">
            <v>0</v>
          </cell>
          <cell r="S20">
            <v>0</v>
          </cell>
          <cell r="T20">
            <v>0</v>
          </cell>
          <cell r="U20">
            <v>0</v>
          </cell>
          <cell r="V20">
            <v>0</v>
          </cell>
          <cell r="W20">
            <v>0</v>
          </cell>
          <cell r="X20">
            <v>0</v>
          </cell>
          <cell r="Y20">
            <v>0</v>
          </cell>
          <cell r="Z20">
            <v>0</v>
          </cell>
          <cell r="AA20">
            <v>0</v>
          </cell>
          <cell r="AB20">
            <v>0</v>
          </cell>
        </row>
        <row r="21">
          <cell r="A21" t="str">
            <v xml:space="preserve">   LDs &amp; Contingencies</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row>
        <row r="22">
          <cell r="A22" t="str">
            <v>TOTAL PLANNED</v>
          </cell>
          <cell r="B22">
            <v>12388430.68221063</v>
          </cell>
          <cell r="C22">
            <v>0</v>
          </cell>
          <cell r="D22">
            <v>837677.65091129683</v>
          </cell>
          <cell r="E22">
            <v>123384.21988</v>
          </cell>
          <cell r="F22">
            <v>1098427.866325944</v>
          </cell>
          <cell r="G22">
            <v>123384.21988</v>
          </cell>
          <cell r="H22">
            <v>558278.5564234925</v>
          </cell>
          <cell r="I22">
            <v>1732200.8162340648</v>
          </cell>
          <cell r="J22">
            <v>123384.21988</v>
          </cell>
          <cell r="K22">
            <v>905629.52352349239</v>
          </cell>
          <cell r="L22">
            <v>2539012.9431910263</v>
          </cell>
          <cell r="M22">
            <v>123384.21988</v>
          </cell>
          <cell r="N22">
            <v>1607559.9278571743</v>
          </cell>
          <cell r="O22">
            <v>2616045.5162340649</v>
          </cell>
          <cell r="P22">
            <v>61.00199007391646</v>
          </cell>
          <cell r="Q22">
            <v>0</v>
          </cell>
          <cell r="R22">
            <v>0</v>
          </cell>
          <cell r="S22">
            <v>0</v>
          </cell>
          <cell r="T22">
            <v>0</v>
          </cell>
          <cell r="U22">
            <v>0</v>
          </cell>
          <cell r="V22">
            <v>0</v>
          </cell>
          <cell r="W22">
            <v>0</v>
          </cell>
          <cell r="X22">
            <v>0</v>
          </cell>
          <cell r="Y22">
            <v>0</v>
          </cell>
          <cell r="Z22">
            <v>0</v>
          </cell>
          <cell r="AA22">
            <v>0</v>
          </cell>
          <cell r="AB22">
            <v>0</v>
          </cell>
        </row>
        <row r="23">
          <cell r="A23" t="str">
            <v xml:space="preserve">   Unplanned</v>
          </cell>
          <cell r="B23">
            <v>1711630.0740011157</v>
          </cell>
          <cell r="C23">
            <v>0</v>
          </cell>
          <cell r="D23">
            <v>51160</v>
          </cell>
          <cell r="E23">
            <v>85058.111105686694</v>
          </cell>
          <cell r="F23">
            <v>150069.925920851</v>
          </cell>
          <cell r="G23">
            <v>51160</v>
          </cell>
          <cell r="H23">
            <v>100858.111105687</v>
          </cell>
          <cell r="I23">
            <v>276308.88886833302</v>
          </cell>
          <cell r="J23">
            <v>51160</v>
          </cell>
          <cell r="K23">
            <v>100858.111105687</v>
          </cell>
          <cell r="L23">
            <v>297369.925920851</v>
          </cell>
          <cell r="M23">
            <v>51160</v>
          </cell>
          <cell r="N23">
            <v>220158.11110568701</v>
          </cell>
          <cell r="O23">
            <v>276308.88886833302</v>
          </cell>
          <cell r="P23">
            <v>0</v>
          </cell>
          <cell r="Q23">
            <v>0</v>
          </cell>
          <cell r="R23">
            <v>0</v>
          </cell>
          <cell r="S23">
            <v>0</v>
          </cell>
          <cell r="T23">
            <v>0</v>
          </cell>
          <cell r="U23">
            <v>0</v>
          </cell>
          <cell r="V23">
            <v>0</v>
          </cell>
          <cell r="W23">
            <v>0</v>
          </cell>
          <cell r="X23">
            <v>0</v>
          </cell>
          <cell r="Y23">
            <v>0</v>
          </cell>
          <cell r="Z23">
            <v>0</v>
          </cell>
          <cell r="AA23">
            <v>0</v>
          </cell>
          <cell r="AB23">
            <v>0</v>
          </cell>
        </row>
        <row r="24">
          <cell r="A24" t="str">
            <v>TOTAL SALES</v>
          </cell>
          <cell r="B24">
            <v>14100060.756211746</v>
          </cell>
          <cell r="C24">
            <v>0</v>
          </cell>
          <cell r="D24">
            <v>888837.65091129683</v>
          </cell>
          <cell r="E24">
            <v>208442.33098568668</v>
          </cell>
          <cell r="F24">
            <v>1248497.792246795</v>
          </cell>
          <cell r="G24">
            <v>174544.21987999999</v>
          </cell>
          <cell r="H24">
            <v>659136.66752917948</v>
          </cell>
          <cell r="I24">
            <v>2008509.7051023978</v>
          </cell>
          <cell r="J24">
            <v>174544.21987999999</v>
          </cell>
          <cell r="K24">
            <v>1006487.6346291794</v>
          </cell>
          <cell r="L24">
            <v>2836382.8691118774</v>
          </cell>
          <cell r="M24">
            <v>174544.21987999999</v>
          </cell>
          <cell r="N24">
            <v>1827718.0389628613</v>
          </cell>
          <cell r="O24">
            <v>2892354.4051023978</v>
          </cell>
          <cell r="P24">
            <v>61.00199007391646</v>
          </cell>
          <cell r="Q24">
            <v>0</v>
          </cell>
          <cell r="R24">
            <v>0</v>
          </cell>
          <cell r="S24">
            <v>0</v>
          </cell>
          <cell r="T24">
            <v>0</v>
          </cell>
          <cell r="U24">
            <v>0</v>
          </cell>
          <cell r="V24">
            <v>0</v>
          </cell>
          <cell r="W24">
            <v>0</v>
          </cell>
          <cell r="X24">
            <v>0</v>
          </cell>
          <cell r="Y24">
            <v>0</v>
          </cell>
          <cell r="Z24">
            <v>0</v>
          </cell>
          <cell r="AA24">
            <v>0</v>
          </cell>
          <cell r="AB24">
            <v>0</v>
          </cell>
        </row>
        <row r="31">
          <cell r="A31" t="str">
            <v>Description</v>
          </cell>
          <cell r="B31" t="str">
            <v>CUMULATV</v>
          </cell>
          <cell r="D31">
            <v>1</v>
          </cell>
          <cell r="E31">
            <v>2</v>
          </cell>
          <cell r="F31">
            <v>3</v>
          </cell>
          <cell r="G31">
            <v>4</v>
          </cell>
          <cell r="H31">
            <v>5</v>
          </cell>
          <cell r="I31">
            <v>6</v>
          </cell>
          <cell r="J31">
            <v>7</v>
          </cell>
          <cell r="K31">
            <v>8</v>
          </cell>
          <cell r="L31">
            <v>9</v>
          </cell>
          <cell r="M31">
            <v>10</v>
          </cell>
          <cell r="N31">
            <v>11</v>
          </cell>
          <cell r="O31">
            <v>12</v>
          </cell>
          <cell r="P31">
            <v>13</v>
          </cell>
          <cell r="Q31">
            <v>14</v>
          </cell>
          <cell r="R31">
            <v>15</v>
          </cell>
          <cell r="S31">
            <v>16</v>
          </cell>
          <cell r="T31">
            <v>17</v>
          </cell>
          <cell r="U31">
            <v>18</v>
          </cell>
          <cell r="V31">
            <v>19</v>
          </cell>
          <cell r="W31">
            <v>20</v>
          </cell>
          <cell r="X31">
            <v>21</v>
          </cell>
          <cell r="Y31">
            <v>22</v>
          </cell>
          <cell r="Z31">
            <v>23</v>
          </cell>
          <cell r="AA31">
            <v>24</v>
          </cell>
          <cell r="AB31">
            <v>25</v>
          </cell>
        </row>
        <row r="32">
          <cell r="C32" t="str">
            <v>MOBIL</v>
          </cell>
          <cell r="D32">
            <v>1999</v>
          </cell>
          <cell r="E32">
            <v>2000</v>
          </cell>
          <cell r="F32">
            <v>2001</v>
          </cell>
          <cell r="G32">
            <v>2002</v>
          </cell>
          <cell r="H32">
            <v>2003</v>
          </cell>
          <cell r="I32">
            <v>2004</v>
          </cell>
          <cell r="J32">
            <v>2005</v>
          </cell>
          <cell r="K32">
            <v>2006</v>
          </cell>
          <cell r="L32">
            <v>2007</v>
          </cell>
          <cell r="M32">
            <v>2008</v>
          </cell>
          <cell r="N32">
            <v>2009</v>
          </cell>
          <cell r="O32">
            <v>2010</v>
          </cell>
          <cell r="P32">
            <v>0</v>
          </cell>
          <cell r="Q32">
            <v>0</v>
          </cell>
          <cell r="R32">
            <v>0</v>
          </cell>
          <cell r="S32">
            <v>0</v>
          </cell>
          <cell r="T32">
            <v>0</v>
          </cell>
          <cell r="U32">
            <v>0</v>
          </cell>
          <cell r="V32">
            <v>0</v>
          </cell>
          <cell r="W32">
            <v>0</v>
          </cell>
          <cell r="X32">
            <v>0</v>
          </cell>
          <cell r="Y32">
            <v>0</v>
          </cell>
          <cell r="Z32">
            <v>0</v>
          </cell>
          <cell r="AA32">
            <v>0</v>
          </cell>
          <cell r="AB32">
            <v>0</v>
          </cell>
        </row>
        <row r="33">
          <cell r="A33" t="str">
            <v>PARTS</v>
          </cell>
          <cell r="B33">
            <v>2229150</v>
          </cell>
          <cell r="C33">
            <v>0</v>
          </cell>
          <cell r="D33">
            <v>122840</v>
          </cell>
          <cell r="E33">
            <v>21890</v>
          </cell>
          <cell r="F33">
            <v>51760</v>
          </cell>
          <cell r="G33">
            <v>21890</v>
          </cell>
          <cell r="H33">
            <v>138490</v>
          </cell>
          <cell r="I33">
            <v>205480</v>
          </cell>
          <cell r="J33">
            <v>21890</v>
          </cell>
          <cell r="K33">
            <v>279970</v>
          </cell>
          <cell r="L33">
            <v>407480</v>
          </cell>
          <cell r="M33">
            <v>21890</v>
          </cell>
          <cell r="N33">
            <v>459970</v>
          </cell>
          <cell r="O33">
            <v>475600</v>
          </cell>
          <cell r="P33">
            <v>0</v>
          </cell>
          <cell r="Q33">
            <v>0</v>
          </cell>
          <cell r="R33">
            <v>0</v>
          </cell>
          <cell r="S33">
            <v>0</v>
          </cell>
          <cell r="T33">
            <v>0</v>
          </cell>
          <cell r="U33">
            <v>0</v>
          </cell>
          <cell r="V33">
            <v>0</v>
          </cell>
          <cell r="W33">
            <v>0</v>
          </cell>
          <cell r="X33">
            <v>0</v>
          </cell>
          <cell r="Y33">
            <v>0</v>
          </cell>
          <cell r="Z33">
            <v>0</v>
          </cell>
          <cell r="AA33">
            <v>0</v>
          </cell>
          <cell r="AB33">
            <v>0</v>
          </cell>
        </row>
        <row r="34">
          <cell r="A34" t="str">
            <v>SERVICES</v>
          </cell>
          <cell r="B34">
            <v>1543434</v>
          </cell>
          <cell r="C34">
            <v>0</v>
          </cell>
          <cell r="D34">
            <v>69238</v>
          </cell>
          <cell r="E34">
            <v>0</v>
          </cell>
          <cell r="F34">
            <v>187818</v>
          </cell>
          <cell r="G34">
            <v>0</v>
          </cell>
          <cell r="H34">
            <v>69238</v>
          </cell>
          <cell r="I34">
            <v>445423</v>
          </cell>
          <cell r="J34">
            <v>0</v>
          </cell>
          <cell r="K34">
            <v>69238</v>
          </cell>
          <cell r="L34">
            <v>187818</v>
          </cell>
          <cell r="M34">
            <v>0</v>
          </cell>
          <cell r="N34">
            <v>69238</v>
          </cell>
          <cell r="O34">
            <v>445423</v>
          </cell>
          <cell r="P34">
            <v>0</v>
          </cell>
          <cell r="Q34">
            <v>0</v>
          </cell>
          <cell r="R34">
            <v>0</v>
          </cell>
          <cell r="S34">
            <v>0</v>
          </cell>
          <cell r="T34">
            <v>0</v>
          </cell>
          <cell r="U34">
            <v>0</v>
          </cell>
          <cell r="V34">
            <v>0</v>
          </cell>
          <cell r="W34">
            <v>0</v>
          </cell>
          <cell r="X34">
            <v>0</v>
          </cell>
          <cell r="Y34">
            <v>0</v>
          </cell>
          <cell r="Z34">
            <v>0</v>
          </cell>
          <cell r="AA34">
            <v>0</v>
          </cell>
          <cell r="AB34">
            <v>0</v>
          </cell>
        </row>
        <row r="35">
          <cell r="A35" t="str">
            <v xml:space="preserve">   FES Subtotal</v>
          </cell>
          <cell r="B35">
            <v>344436.71026397683</v>
          </cell>
          <cell r="C35">
            <v>0</v>
          </cell>
          <cell r="D35">
            <v>0</v>
          </cell>
          <cell r="E35">
            <v>17955.749965702704</v>
          </cell>
          <cell r="F35">
            <v>27107.485749951502</v>
          </cell>
          <cell r="G35">
            <v>0</v>
          </cell>
          <cell r="H35">
            <v>17955.749965702704</v>
          </cell>
          <cell r="I35">
            <v>109199.36945063151</v>
          </cell>
          <cell r="J35">
            <v>0</v>
          </cell>
          <cell r="K35">
            <v>17955.749965702704</v>
          </cell>
          <cell r="L35">
            <v>27107.485749951502</v>
          </cell>
          <cell r="M35">
            <v>0</v>
          </cell>
          <cell r="N35">
            <v>17955.749965702704</v>
          </cell>
          <cell r="O35">
            <v>109199.36945063151</v>
          </cell>
          <cell r="P35">
            <v>0</v>
          </cell>
          <cell r="Q35">
            <v>0</v>
          </cell>
          <cell r="R35">
            <v>0</v>
          </cell>
          <cell r="S35">
            <v>0</v>
          </cell>
          <cell r="T35">
            <v>0</v>
          </cell>
          <cell r="U35">
            <v>0</v>
          </cell>
          <cell r="V35">
            <v>0</v>
          </cell>
          <cell r="W35">
            <v>0</v>
          </cell>
          <cell r="X35">
            <v>0</v>
          </cell>
          <cell r="Y35">
            <v>0</v>
          </cell>
          <cell r="Z35">
            <v>0</v>
          </cell>
          <cell r="AA35">
            <v>0</v>
          </cell>
          <cell r="AB35">
            <v>0</v>
          </cell>
        </row>
        <row r="36">
          <cell r="A36" t="str">
            <v xml:space="preserve">   PL&amp;M Subtotal</v>
          </cell>
          <cell r="B36">
            <v>1198997.2897360232</v>
          </cell>
          <cell r="C36">
            <v>0</v>
          </cell>
          <cell r="D36">
            <v>69238</v>
          </cell>
          <cell r="E36">
            <v>-17955.749965702704</v>
          </cell>
          <cell r="F36">
            <v>160710.51425004849</v>
          </cell>
          <cell r="G36">
            <v>0</v>
          </cell>
          <cell r="H36">
            <v>51282.250034297293</v>
          </cell>
          <cell r="I36">
            <v>336223.63054936851</v>
          </cell>
          <cell r="J36">
            <v>0</v>
          </cell>
          <cell r="K36">
            <v>51282.250034297293</v>
          </cell>
          <cell r="L36">
            <v>160710.51425004849</v>
          </cell>
          <cell r="M36">
            <v>0</v>
          </cell>
          <cell r="N36">
            <v>51282.250034297293</v>
          </cell>
          <cell r="O36">
            <v>336223.63054936851</v>
          </cell>
          <cell r="P36">
            <v>0</v>
          </cell>
          <cell r="Q36">
            <v>0</v>
          </cell>
          <cell r="R36">
            <v>0</v>
          </cell>
          <cell r="S36">
            <v>0</v>
          </cell>
          <cell r="T36">
            <v>0</v>
          </cell>
          <cell r="U36">
            <v>0</v>
          </cell>
          <cell r="V36">
            <v>0</v>
          </cell>
          <cell r="W36">
            <v>0</v>
          </cell>
          <cell r="X36">
            <v>0</v>
          </cell>
          <cell r="Y36">
            <v>0</v>
          </cell>
          <cell r="Z36">
            <v>0</v>
          </cell>
          <cell r="AA36">
            <v>0</v>
          </cell>
          <cell r="AB36">
            <v>0</v>
          </cell>
        </row>
        <row r="37">
          <cell r="A37" t="str">
            <v>REPAIRS</v>
          </cell>
          <cell r="B37">
            <v>2217045</v>
          </cell>
          <cell r="C37">
            <v>0</v>
          </cell>
          <cell r="D37">
            <v>306979</v>
          </cell>
          <cell r="E37">
            <v>0</v>
          </cell>
          <cell r="F37">
            <v>458250</v>
          </cell>
          <cell r="G37">
            <v>0</v>
          </cell>
          <cell r="H37">
            <v>65000</v>
          </cell>
          <cell r="I37">
            <v>485154</v>
          </cell>
          <cell r="J37">
            <v>0</v>
          </cell>
          <cell r="K37">
            <v>65000</v>
          </cell>
          <cell r="L37">
            <v>351508</v>
          </cell>
          <cell r="M37">
            <v>0</v>
          </cell>
          <cell r="N37">
            <v>0</v>
          </cell>
          <cell r="O37">
            <v>485154</v>
          </cell>
          <cell r="P37">
            <v>0</v>
          </cell>
          <cell r="Q37">
            <v>0</v>
          </cell>
          <cell r="R37">
            <v>0</v>
          </cell>
          <cell r="S37">
            <v>0</v>
          </cell>
          <cell r="T37">
            <v>0</v>
          </cell>
          <cell r="U37">
            <v>0</v>
          </cell>
          <cell r="V37">
            <v>0</v>
          </cell>
          <cell r="W37">
            <v>0</v>
          </cell>
          <cell r="X37">
            <v>0</v>
          </cell>
          <cell r="Y37">
            <v>0</v>
          </cell>
          <cell r="Z37">
            <v>0</v>
          </cell>
          <cell r="AA37">
            <v>0</v>
          </cell>
          <cell r="AB37">
            <v>0</v>
          </cell>
        </row>
        <row r="38">
          <cell r="A38" t="str">
            <v>O&amp;M</v>
          </cell>
          <cell r="B38">
            <v>294000</v>
          </cell>
          <cell r="C38">
            <v>0</v>
          </cell>
          <cell r="D38">
            <v>24500</v>
          </cell>
          <cell r="E38">
            <v>24500</v>
          </cell>
          <cell r="F38">
            <v>24500</v>
          </cell>
          <cell r="G38">
            <v>24500</v>
          </cell>
          <cell r="H38">
            <v>24500</v>
          </cell>
          <cell r="I38">
            <v>24500</v>
          </cell>
          <cell r="J38">
            <v>24500</v>
          </cell>
          <cell r="K38">
            <v>24500</v>
          </cell>
          <cell r="L38">
            <v>24500</v>
          </cell>
          <cell r="M38">
            <v>24500</v>
          </cell>
          <cell r="N38">
            <v>24500</v>
          </cell>
          <cell r="O38">
            <v>24500</v>
          </cell>
          <cell r="P38">
            <v>0</v>
          </cell>
          <cell r="Q38">
            <v>0</v>
          </cell>
          <cell r="R38">
            <v>0</v>
          </cell>
          <cell r="S38">
            <v>0</v>
          </cell>
          <cell r="T38">
            <v>0</v>
          </cell>
          <cell r="U38">
            <v>0</v>
          </cell>
          <cell r="V38">
            <v>0</v>
          </cell>
          <cell r="W38">
            <v>0</v>
          </cell>
          <cell r="X38">
            <v>0</v>
          </cell>
          <cell r="Y38">
            <v>0</v>
          </cell>
          <cell r="Z38">
            <v>0</v>
          </cell>
          <cell r="AA38">
            <v>0</v>
          </cell>
          <cell r="AB38">
            <v>0</v>
          </cell>
        </row>
        <row r="39">
          <cell r="A39" t="str">
            <v xml:space="preserve">   M&amp;D</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row>
        <row r="40">
          <cell r="A40" t="str">
            <v xml:space="preserve">   Serv Dir</v>
          </cell>
          <cell r="B40">
            <v>294000</v>
          </cell>
          <cell r="C40">
            <v>0</v>
          </cell>
          <cell r="D40">
            <v>24500</v>
          </cell>
          <cell r="E40">
            <v>24500</v>
          </cell>
          <cell r="F40">
            <v>24500</v>
          </cell>
          <cell r="G40">
            <v>24500</v>
          </cell>
          <cell r="H40">
            <v>24500</v>
          </cell>
          <cell r="I40">
            <v>24500</v>
          </cell>
          <cell r="J40">
            <v>24500</v>
          </cell>
          <cell r="K40">
            <v>24500</v>
          </cell>
          <cell r="L40">
            <v>24500</v>
          </cell>
          <cell r="M40">
            <v>24500</v>
          </cell>
          <cell r="N40">
            <v>24500</v>
          </cell>
          <cell r="O40">
            <v>24500</v>
          </cell>
          <cell r="P40">
            <v>0</v>
          </cell>
          <cell r="Q40">
            <v>0</v>
          </cell>
          <cell r="R40">
            <v>0</v>
          </cell>
          <cell r="S40">
            <v>0</v>
          </cell>
          <cell r="T40">
            <v>0</v>
          </cell>
          <cell r="U40">
            <v>0</v>
          </cell>
          <cell r="V40">
            <v>0</v>
          </cell>
          <cell r="W40">
            <v>0</v>
          </cell>
          <cell r="X40">
            <v>0</v>
          </cell>
          <cell r="Y40">
            <v>0</v>
          </cell>
          <cell r="Z40">
            <v>0</v>
          </cell>
          <cell r="AA40">
            <v>0</v>
          </cell>
          <cell r="AB40">
            <v>0</v>
          </cell>
        </row>
        <row r="41">
          <cell r="A41" t="str">
            <v xml:space="preserve">   LDs &amp; Contingencies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A42" t="str">
            <v>TOTAL PLANNED</v>
          </cell>
          <cell r="B42">
            <v>6283629</v>
          </cell>
          <cell r="C42">
            <v>0</v>
          </cell>
          <cell r="D42">
            <v>523557</v>
          </cell>
          <cell r="E42">
            <v>46390</v>
          </cell>
          <cell r="F42">
            <v>722328</v>
          </cell>
          <cell r="G42">
            <v>46390</v>
          </cell>
          <cell r="H42">
            <v>297228</v>
          </cell>
          <cell r="I42">
            <v>1160557</v>
          </cell>
          <cell r="J42">
            <v>46390</v>
          </cell>
          <cell r="K42">
            <v>438708</v>
          </cell>
          <cell r="L42">
            <v>971306</v>
          </cell>
          <cell r="M42">
            <v>46390</v>
          </cell>
          <cell r="N42">
            <v>553708</v>
          </cell>
          <cell r="O42">
            <v>1430677</v>
          </cell>
          <cell r="P42">
            <v>0</v>
          </cell>
          <cell r="Q42">
            <v>0</v>
          </cell>
          <cell r="R42">
            <v>0</v>
          </cell>
          <cell r="S42">
            <v>0</v>
          </cell>
          <cell r="T42">
            <v>0</v>
          </cell>
          <cell r="U42">
            <v>0</v>
          </cell>
          <cell r="V42">
            <v>0</v>
          </cell>
          <cell r="W42">
            <v>0</v>
          </cell>
          <cell r="X42">
            <v>0</v>
          </cell>
          <cell r="Y42">
            <v>0</v>
          </cell>
          <cell r="Z42">
            <v>0</v>
          </cell>
          <cell r="AA42">
            <v>0</v>
          </cell>
          <cell r="AB42">
            <v>0</v>
          </cell>
        </row>
        <row r="43">
          <cell r="A43" t="str">
            <v xml:space="preserve">   Unplanned</v>
          </cell>
          <cell r="B43">
            <v>889239.76292283647</v>
          </cell>
          <cell r="C43">
            <v>0</v>
          </cell>
          <cell r="D43">
            <v>28436</v>
          </cell>
          <cell r="E43">
            <v>50789.4055525722</v>
          </cell>
          <cell r="F43">
            <v>93651.237034245598</v>
          </cell>
          <cell r="G43">
            <v>28436</v>
          </cell>
          <cell r="H43">
            <v>55159.4055525722</v>
          </cell>
          <cell r="I43">
            <v>161846.33332202799</v>
          </cell>
          <cell r="J43">
            <v>28436</v>
          </cell>
          <cell r="K43">
            <v>55159.4055525722</v>
          </cell>
          <cell r="L43">
            <v>116236.23703424601</v>
          </cell>
          <cell r="M43">
            <v>28436</v>
          </cell>
          <cell r="N43">
            <v>80807.405552572207</v>
          </cell>
          <cell r="O43">
            <v>161846.33332202799</v>
          </cell>
          <cell r="P43">
            <v>0</v>
          </cell>
          <cell r="Q43">
            <v>0</v>
          </cell>
          <cell r="R43">
            <v>0</v>
          </cell>
          <cell r="S43">
            <v>0</v>
          </cell>
          <cell r="T43">
            <v>0</v>
          </cell>
          <cell r="U43">
            <v>0</v>
          </cell>
          <cell r="V43">
            <v>0</v>
          </cell>
          <cell r="W43">
            <v>0</v>
          </cell>
          <cell r="X43">
            <v>0</v>
          </cell>
          <cell r="Y43">
            <v>0</v>
          </cell>
          <cell r="Z43">
            <v>0</v>
          </cell>
          <cell r="AA43">
            <v>0</v>
          </cell>
          <cell r="AB43">
            <v>0</v>
          </cell>
        </row>
        <row r="44">
          <cell r="A44" t="str">
            <v>TOTAL COST</v>
          </cell>
          <cell r="B44">
            <v>7172868.7629228365</v>
          </cell>
          <cell r="C44">
            <v>0</v>
          </cell>
          <cell r="D44">
            <v>551993</v>
          </cell>
          <cell r="E44">
            <v>97179.405552572192</v>
          </cell>
          <cell r="F44">
            <v>815979.23703424563</v>
          </cell>
          <cell r="G44">
            <v>74826</v>
          </cell>
          <cell r="H44">
            <v>352387.40555257222</v>
          </cell>
          <cell r="I44">
            <v>1322403.3333220279</v>
          </cell>
          <cell r="J44">
            <v>74826</v>
          </cell>
          <cell r="K44">
            <v>493867.40555257222</v>
          </cell>
          <cell r="L44">
            <v>1087542.2370342461</v>
          </cell>
          <cell r="M44">
            <v>74826</v>
          </cell>
          <cell r="N44">
            <v>634515.40555257222</v>
          </cell>
          <cell r="O44">
            <v>1592523.3333220279</v>
          </cell>
          <cell r="P44">
            <v>0</v>
          </cell>
          <cell r="Q44">
            <v>0</v>
          </cell>
          <cell r="R44">
            <v>0</v>
          </cell>
          <cell r="S44">
            <v>0</v>
          </cell>
          <cell r="T44">
            <v>0</v>
          </cell>
          <cell r="U44">
            <v>0</v>
          </cell>
          <cell r="V44">
            <v>0</v>
          </cell>
          <cell r="W44">
            <v>0</v>
          </cell>
          <cell r="X44">
            <v>0</v>
          </cell>
          <cell r="Y44">
            <v>0</v>
          </cell>
          <cell r="Z44">
            <v>0</v>
          </cell>
          <cell r="AA44">
            <v>0</v>
          </cell>
          <cell r="AB44">
            <v>0</v>
          </cell>
        </row>
        <row r="47">
          <cell r="A47" t="str">
            <v>Description</v>
          </cell>
          <cell r="B47" t="str">
            <v>% of List</v>
          </cell>
        </row>
        <row r="49">
          <cell r="A49" t="str">
            <v>PARTS</v>
          </cell>
          <cell r="B49">
            <v>0.88384470000000004</v>
          </cell>
        </row>
        <row r="50">
          <cell r="A50" t="str">
            <v>SERVICES</v>
          </cell>
          <cell r="B50">
            <v>0.93948524494864005</v>
          </cell>
        </row>
        <row r="51">
          <cell r="A51" t="str">
            <v xml:space="preserve">   FES Subtotal</v>
          </cell>
          <cell r="B51">
            <v>0.92219568940633123</v>
          </cell>
        </row>
        <row r="52">
          <cell r="A52" t="str">
            <v xml:space="preserve">   PL&amp;M Subtotal</v>
          </cell>
          <cell r="B52">
            <v>0.94583731186774456</v>
          </cell>
        </row>
        <row r="53">
          <cell r="A53" t="str">
            <v>REPAIRS</v>
          </cell>
          <cell r="B53">
            <v>0.93529825666318356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sheetData sheetId="98">
        <row r="11">
          <cell r="A11" t="str">
            <v>Solar</v>
          </cell>
        </row>
      </sheetData>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Variables"/>
      <sheetName val="Major Maint"/>
      <sheetName val="Base Budget"/>
      <sheetName val="Labor"/>
      <sheetName val="Proforma Annual Budgets"/>
      <sheetName val="variance"/>
      <sheetName val="ActionPlan"/>
      <sheetName val="Occ, Other Rev, Exp, Dispo"/>
      <sheetName val="TB"/>
      <sheetName val="FORM-16"/>
      <sheetName val="Analytical"/>
      <sheetName val="Setup_Variables"/>
      <sheetName val="Major_Maint"/>
      <sheetName val="Base_Budget"/>
      <sheetName val="Proforma_Annual_Budgets"/>
      <sheetName val="Occ,_Other_Rev,_Exp,_Dispo"/>
      <sheetName val="Input&amp;Pool"/>
      <sheetName val="Lead"/>
      <sheetName val="Data"/>
      <sheetName val="Sheet1"/>
      <sheetName val="Inputs"/>
      <sheetName val="15"/>
      <sheetName val="Setup_Variables1"/>
      <sheetName val="Major_Maint1"/>
      <sheetName val="Base_Budget1"/>
      <sheetName val="Proforma_Annual_Budgets1"/>
      <sheetName val="Occ,_Other_Rev,_Exp,_Dispo1"/>
      <sheetName val="O&amp;M Budget"/>
      <sheetName val="Cover"/>
      <sheetName val="Rates"/>
      <sheetName val="BS-203"/>
      <sheetName val="cubes_M20"/>
      <sheetName val="Master"/>
      <sheetName val="1"/>
      <sheetName val="Schedules"/>
      <sheetName val="Deliverable Pricing"/>
      <sheetName val="Reports List"/>
      <sheetName val="2000"/>
      <sheetName val="Setup_Variables2"/>
      <sheetName val="Major_Maint2"/>
      <sheetName val="Base_Budget2"/>
      <sheetName val="Proforma_Annual_Budgets2"/>
      <sheetName val="Occ,_Other_Rev,_Exp,_Dispo2"/>
      <sheetName val="IS"/>
      <sheetName val="bs"/>
      <sheetName val="Aero Revenue Inputs"/>
      <sheetName val="Cargo Revenue Inputs"/>
      <sheetName val="Aero_Revenue_Inputs"/>
      <sheetName val="Cargo_Revenue_Inputs"/>
      <sheetName val="CRITERIA4"/>
      <sheetName val="Operations"/>
      <sheetName val="14"/>
      <sheetName val="Base"/>
      <sheetName val="1月明细汇总"/>
      <sheetName val="old_serial no."/>
      <sheetName val="tot_ass_9697"/>
      <sheetName val="Masters"/>
      <sheetName val="Setup_Variables3"/>
      <sheetName val="Setup_Variables4"/>
      <sheetName val="Ann -1"/>
      <sheetName val="97-98"/>
      <sheetName val=""/>
      <sheetName val="5610 Lead"/>
      <sheetName val="sept-plan"/>
      <sheetName val="Corp"/>
      <sheetName val="WDV(P&amp;M)31.03.99"/>
      <sheetName val="Deliverable_Pricing"/>
      <sheetName val="Comp"/>
      <sheetName val="Layout Aktiva"/>
      <sheetName val="Combined"/>
      <sheetName val="Major_Maint3"/>
      <sheetName val="Base_Budget3"/>
      <sheetName val="Proforma_Annual_Budgets3"/>
      <sheetName val="Occ,_Other_Rev,_Exp,_Dispo3"/>
      <sheetName val="Major_Maint4"/>
      <sheetName val="Base_Budget4"/>
      <sheetName val="Proforma_Annual_Budgets4"/>
      <sheetName val="Occ,_Other_Rev,_Exp,_Dispo4"/>
      <sheetName val="Setup_Variables5"/>
      <sheetName val="Major_Maint5"/>
      <sheetName val="Base_Budget5"/>
      <sheetName val="Proforma_Annual_Budgets5"/>
      <sheetName val="Occ,_Other_Rev,_Exp,_Dispo5"/>
      <sheetName val="Setup_Variables6"/>
      <sheetName val="Major_Maint6"/>
      <sheetName val="Base_Budget6"/>
      <sheetName val="Proforma_Annual_Budgets6"/>
      <sheetName val="Occ,_Other_Rev,_Exp,_Dispo6"/>
      <sheetName val="Setup_Variables7"/>
      <sheetName val="Major_Maint7"/>
      <sheetName val="Base_Budget7"/>
      <sheetName val="Proforma_Annual_Budgets7"/>
      <sheetName val="Occ,_Other_Rev,_Exp,_Dispo7"/>
      <sheetName val="Template4444"/>
      <sheetName val="General Assumptions"/>
      <sheetName val="Notes"/>
      <sheetName val="192"/>
      <sheetName val="194C"/>
      <sheetName val="Schedule"/>
      <sheetName val="dummy"/>
      <sheetName val="GR.slab-reinft"/>
      <sheetName val="Setup_Variables8"/>
      <sheetName val="Major_Maint8"/>
      <sheetName val="Base_Budget8"/>
      <sheetName val="Proforma_Annual_Budgets8"/>
      <sheetName val="Occ,_Other_Rev,_Exp,_Dispo8"/>
      <sheetName val="Setup_Variables9"/>
      <sheetName val="Major_Maint9"/>
      <sheetName val="Base_Budget9"/>
      <sheetName val="Proforma_Annual_Budgets9"/>
      <sheetName val="Occ,_Other_Rev,_Exp,_Dispo9"/>
      <sheetName val="REPV2002"/>
      <sheetName val="Payroll_Statement"/>
      <sheetName val="P &amp; L"/>
      <sheetName val="ORIGINAL"/>
      <sheetName val="INDORAMA Group June 02"/>
      <sheetName val="Cases"/>
      <sheetName val="HBI NCD"/>
      <sheetName val="Region"/>
      <sheetName val="capex"/>
      <sheetName val="Computation"/>
      <sheetName val="9899 runrate"/>
      <sheetName val="Validataion"/>
      <sheetName val="Annexure"/>
      <sheetName val="Purchases Returns"/>
      <sheetName val="wdr bldg"/>
      <sheetName val="Parameter"/>
      <sheetName val="Macro1"/>
    </sheetNames>
    <sheetDataSet>
      <sheetData sheetId="0" refreshError="1">
        <row r="11">
          <cell r="D11">
            <v>1998</v>
          </cell>
        </row>
      </sheetData>
      <sheetData sheetId="1">
        <row r="11">
          <cell r="D11">
            <v>1998</v>
          </cell>
        </row>
      </sheetData>
      <sheetData sheetId="2">
        <row r="11">
          <cell r="D11">
            <v>1998</v>
          </cell>
        </row>
      </sheetData>
      <sheetData sheetId="3"/>
      <sheetData sheetId="4">
        <row r="11">
          <cell r="D11">
            <v>1998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1">
          <cell r="D11">
            <v>1998</v>
          </cell>
        </row>
      </sheetData>
      <sheetData sheetId="19" refreshError="1"/>
      <sheetData sheetId="20" refreshError="1"/>
      <sheetData sheetId="21" refreshError="1"/>
      <sheetData sheetId="22">
        <row r="11">
          <cell r="D11">
            <v>1998</v>
          </cell>
        </row>
      </sheetData>
      <sheetData sheetId="23">
        <row r="11">
          <cell r="D11">
            <v>1998</v>
          </cell>
        </row>
      </sheetData>
      <sheetData sheetId="24">
        <row r="11">
          <cell r="D11">
            <v>1998</v>
          </cell>
        </row>
      </sheetData>
      <sheetData sheetId="25">
        <row r="11">
          <cell r="D11">
            <v>1998</v>
          </cell>
        </row>
      </sheetData>
      <sheetData sheetId="26">
        <row r="11">
          <cell r="D11">
            <v>1998</v>
          </cell>
        </row>
      </sheetData>
      <sheetData sheetId="27" refreshError="1"/>
      <sheetData sheetId="28">
        <row r="11">
          <cell r="D11">
            <v>1998</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ow r="11">
          <cell r="D11">
            <v>1998</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1">
          <cell r="D11">
            <v>1998</v>
          </cell>
        </row>
      </sheetData>
      <sheetData sheetId="58">
        <row r="11">
          <cell r="D11">
            <v>1998</v>
          </cell>
        </row>
      </sheetData>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0"/>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fired Hrs"/>
      <sheetName val="assump"/>
      <sheetName val="total"/>
      <sheetName val="57"/>
      <sheetName val="WACC"/>
      <sheetName val="Sheet1 (2)"/>
      <sheetName val="OpTrack"/>
      <sheetName val="prod"/>
      <sheetName val="fired_Hrs"/>
      <sheetName val="Sheet1_(2)"/>
      <sheetName val="accounts"/>
      <sheetName val="Setup Variables"/>
      <sheetName val="ALL BUSINESSES"/>
      <sheetName val="Other"/>
      <sheetName val="Rates"/>
      <sheetName val="Audit"/>
      <sheetName val="fired_Hrs1"/>
      <sheetName val="Sheet1_(2)1"/>
      <sheetName val="Setup_Variables"/>
      <sheetName val="Faktor35"/>
      <sheetName val="Assumptions"/>
      <sheetName val="depr"/>
      <sheetName val="Sheet1"/>
      <sheetName val="Financials"/>
      <sheetName val="p&amp;lschedule"/>
      <sheetName val="P&amp;L"/>
      <sheetName val="GO-I"/>
      <sheetName val="57-58&amp;60"/>
      <sheetName val="Ex Rats"/>
      <sheetName val="10W"/>
      <sheetName val="fired_Hrs2"/>
      <sheetName val="Sheet1_(2)2"/>
      <sheetName val="Setup_Variables1"/>
      <sheetName val="ALL_BUSINESSES"/>
      <sheetName val="CRITERIA1"/>
      <sheetName val="Journal 1"/>
      <sheetName val="SAFETY"/>
      <sheetName val="FCAST96"/>
      <sheetName val="horizontal"/>
      <sheetName val="strand"/>
      <sheetName val="PF_Report"/>
      <sheetName val="~1562838"/>
      <sheetName val="BS Schdl-3-Fixed Assets"/>
      <sheetName val="Parameter"/>
      <sheetName val="Curr Month Movement"/>
      <sheetName val="UK"/>
      <sheetName val="Net Sales Dump"/>
      <sheetName val="CONTRN BY DISTRICT"/>
      <sheetName val="Purchases-CT1"/>
      <sheetName val="Journal Vouchers"/>
      <sheetName val="Cover"/>
      <sheetName val="Data Sheet"/>
      <sheetName val="FORM7"/>
      <sheetName val="BS Sch"/>
      <sheetName val="R11_Schedules"/>
      <sheetName val="Mth Table"/>
      <sheetName val="AOP13"/>
      <sheetName val="Controls"/>
      <sheetName val="40"/>
      <sheetName val="Exchange"/>
      <sheetName val="STAFFSCHED "/>
      <sheetName val="Civil Boq"/>
      <sheetName val="ETC Plant Cost"/>
      <sheetName val="PRSH"/>
      <sheetName val="Forex Loss"/>
      <sheetName val="Template Wk 2 Q2 FY2004"/>
      <sheetName val="hydraulical model"/>
      <sheetName val="PopCache_Sheet1"/>
      <sheetName val="SEMI-FINISHED"/>
      <sheetName val="Inputs"/>
      <sheetName val="Valuation Inputs"/>
      <sheetName val="ENCL6"/>
      <sheetName val="QTY. PROV.LAB"/>
      <sheetName val="June 2000"/>
      <sheetName val="Cash flow -not to use"/>
      <sheetName val="2004 Actuals"/>
      <sheetName val="Credit Ratings"/>
      <sheetName val="IOPlan"/>
      <sheetName val="EXPENSES"/>
      <sheetName val="FRINGE_BENEFIT_INFO"/>
      <sheetName val="Data"/>
      <sheetName val="CM Calc"/>
      <sheetName val="Net All"/>
      <sheetName val="Old"/>
      <sheetName val="PL"/>
      <sheetName val="2009 ETB"/>
      <sheetName val="Equipment list of CNC SD"/>
      <sheetName val="fired_Hrs3"/>
      <sheetName val="Sheet1_(2)3"/>
      <sheetName val="Setup_Variables2"/>
      <sheetName val="ALL_BUSINESSES1"/>
      <sheetName val="Ex_Rats"/>
      <sheetName val="Journal_1"/>
      <sheetName val="Journal_Vouchers"/>
      <sheetName val="Net_Sales_Dump"/>
      <sheetName val="Data_Sheet"/>
      <sheetName val="CONTRN_BY_DISTRICT"/>
      <sheetName val="BS_Sch"/>
      <sheetName val="Mth_Table"/>
      <sheetName val="Curr_Month_Movement"/>
      <sheetName val="fired_Hrs4"/>
      <sheetName val="Sheet1_(2)4"/>
      <sheetName val="Setup_Variables3"/>
      <sheetName val="ALL_BUSINESSES2"/>
      <sheetName val="Ex_Rats1"/>
      <sheetName val="Journal_11"/>
      <sheetName val="Journal_Vouchers1"/>
      <sheetName val="Net_Sales_Dump1"/>
      <sheetName val="Data_Sheet1"/>
      <sheetName val="CONTRN_BY_DISTRICT1"/>
      <sheetName val="BS_Sch1"/>
      <sheetName val="Mth_Table1"/>
      <sheetName val="Curr_Month_Movement1"/>
      <sheetName val="TJC - Total"/>
      <sheetName val="Setup"/>
      <sheetName val="3_Premises"/>
      <sheetName val="R13_Schedules"/>
      <sheetName val="choices"/>
      <sheetName val="Sheet3 (2)"/>
      <sheetName val="Master Sheet"/>
      <sheetName val="SCH-A"/>
      <sheetName val="NOTES"/>
      <sheetName val="MA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refreshError="1"/>
      <sheetData sheetId="56" refreshError="1"/>
      <sheetData sheetId="57" refreshError="1"/>
      <sheetData sheetId="58" refreshError="1"/>
      <sheetData sheetId="59"/>
      <sheetData sheetId="60"/>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I – August 2013"/>
      <sheetName val="CCI – August 2014"/>
      <sheetName val="CCI – April 2015"/>
      <sheetName val="CCI – February 2018"/>
      <sheetName val="CCI – July 2021"/>
      <sheetName val="Summary"/>
    </sheetNames>
    <sheetDataSet>
      <sheetData sheetId="0">
        <row r="65">
          <cell r="G65">
            <v>140.97999999999999</v>
          </cell>
        </row>
      </sheetData>
      <sheetData sheetId="1">
        <row r="65">
          <cell r="G65">
            <v>142.21</v>
          </cell>
        </row>
      </sheetData>
      <sheetData sheetId="2">
        <row r="65">
          <cell r="G65">
            <v>142.41999999999999</v>
          </cell>
        </row>
      </sheetData>
      <sheetData sheetId="3">
        <row r="68">
          <cell r="G68">
            <v>143.94</v>
          </cell>
        </row>
      </sheetData>
      <sheetData sheetId="4">
        <row r="63">
          <cell r="G63">
            <v>144.43</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33"/>
  <sheetViews>
    <sheetView showWhiteSpace="0" topLeftCell="A5" zoomScale="110" zoomScaleNormal="110" workbookViewId="0">
      <selection activeCell="R11" sqref="R11"/>
    </sheetView>
  </sheetViews>
  <sheetFormatPr defaultColWidth="9" defaultRowHeight="14.25"/>
  <cols>
    <col min="1" max="1" width="2.75" style="127" customWidth="1"/>
    <col min="2" max="2" width="34.5" style="127" bestFit="1" customWidth="1"/>
    <col min="3" max="3" width="13.75" style="127" hidden="1" customWidth="1"/>
    <col min="4" max="4" width="8" style="127" hidden="1" customWidth="1"/>
    <col min="5" max="5" width="10.75" style="127" hidden="1" customWidth="1"/>
    <col min="6" max="6" width="9.875" style="127" hidden="1" customWidth="1"/>
    <col min="7" max="7" width="13.125" style="127" bestFit="1" customWidth="1"/>
    <col min="8" max="8" width="12" style="127" hidden="1" customWidth="1"/>
    <col min="9" max="9" width="11" style="127" hidden="1" customWidth="1"/>
    <col min="10" max="10" width="13.125" style="127" hidden="1" customWidth="1"/>
    <col min="11" max="11" width="11.25" style="127" hidden="1" customWidth="1"/>
    <col min="12" max="12" width="12" style="127" hidden="1" customWidth="1"/>
    <col min="13" max="13" width="13.125" style="127" bestFit="1" customWidth="1"/>
    <col min="14" max="14" width="13.125" style="127" hidden="1" customWidth="1"/>
    <col min="15" max="15" width="3.625" style="127" customWidth="1"/>
    <col min="16" max="16" width="7" style="127" bestFit="1" customWidth="1"/>
    <col min="17" max="16384" width="9" style="127"/>
  </cols>
  <sheetData>
    <row r="2" spans="1:18">
      <c r="B2" s="127" t="s">
        <v>436</v>
      </c>
      <c r="E2" s="128"/>
    </row>
    <row r="3" spans="1:18">
      <c r="B3" s="127" t="s">
        <v>4649</v>
      </c>
      <c r="E3" s="128"/>
      <c r="F3" s="128"/>
      <c r="G3" s="128"/>
      <c r="H3" s="128"/>
    </row>
    <row r="4" spans="1:18">
      <c r="B4" s="127" t="s">
        <v>3911</v>
      </c>
    </row>
    <row r="5" spans="1:18">
      <c r="B5" s="559" t="s">
        <v>655</v>
      </c>
      <c r="C5" s="560" t="s">
        <v>755</v>
      </c>
      <c r="D5" s="561"/>
      <c r="E5" s="561"/>
      <c r="F5" s="561"/>
      <c r="G5" s="562"/>
      <c r="H5" s="563" t="s">
        <v>756</v>
      </c>
      <c r="I5" s="564"/>
      <c r="J5" s="564"/>
      <c r="K5" s="564"/>
      <c r="L5" s="565"/>
      <c r="M5" s="563" t="s">
        <v>653</v>
      </c>
      <c r="N5" s="565"/>
    </row>
    <row r="6" spans="1:18" ht="36.75" customHeight="1">
      <c r="A6" s="62"/>
      <c r="B6" s="566"/>
      <c r="C6" s="459" t="s">
        <v>4571</v>
      </c>
      <c r="D6" s="459" t="s">
        <v>186</v>
      </c>
      <c r="E6" s="459" t="s">
        <v>848</v>
      </c>
      <c r="F6" s="459" t="s">
        <v>2610</v>
      </c>
      <c r="G6" s="459" t="s">
        <v>4650</v>
      </c>
      <c r="H6" s="459" t="str">
        <f>C6</f>
        <v>As at 1st Apr, 2021</v>
      </c>
      <c r="I6" s="459" t="s">
        <v>757</v>
      </c>
      <c r="J6" s="460" t="s">
        <v>2609</v>
      </c>
      <c r="K6" s="459" t="s">
        <v>3903</v>
      </c>
      <c r="L6" s="459" t="str">
        <f>G6</f>
        <v>As at 31st Mar, 2022</v>
      </c>
      <c r="M6" s="459" t="s">
        <v>4651</v>
      </c>
      <c r="N6" s="459" t="s">
        <v>4542</v>
      </c>
    </row>
    <row r="7" spans="1:18" s="19" customFormat="1">
      <c r="B7" s="49" t="s">
        <v>4655</v>
      </c>
      <c r="C7" s="130"/>
      <c r="D7" s="130"/>
      <c r="E7" s="130"/>
      <c r="F7" s="130"/>
      <c r="G7" s="130"/>
      <c r="H7" s="130"/>
      <c r="I7" s="130"/>
      <c r="J7" s="130"/>
      <c r="K7" s="130"/>
      <c r="L7" s="130"/>
      <c r="M7" s="130"/>
      <c r="N7" s="130"/>
      <c r="O7" s="52"/>
    </row>
    <row r="8" spans="1:18" s="19" customFormat="1">
      <c r="B8" s="49" t="s">
        <v>4656</v>
      </c>
      <c r="C8" s="130">
        <v>1725837997</v>
      </c>
      <c r="D8" s="130"/>
      <c r="E8" s="130"/>
      <c r="F8" s="130"/>
      <c r="G8" s="130">
        <f t="shared" ref="G8:G27" si="0">+C8+D8-E8+F8</f>
        <v>1725837997</v>
      </c>
      <c r="H8" s="130">
        <v>0</v>
      </c>
      <c r="I8" s="130"/>
      <c r="J8" s="130"/>
      <c r="K8" s="130"/>
      <c r="L8" s="130">
        <f t="shared" ref="L8" si="1">+H8+K8</f>
        <v>0</v>
      </c>
      <c r="M8" s="130">
        <f t="shared" ref="M8" si="2">ROUND(G8-L8,)</f>
        <v>1725837997</v>
      </c>
      <c r="N8" s="130">
        <v>1725837997</v>
      </c>
      <c r="O8" s="52"/>
      <c r="Q8" s="567">
        <f>G8/10^7</f>
        <v>172.58379969999999</v>
      </c>
      <c r="R8" s="567">
        <f>M8/10^7</f>
        <v>172.58379969999999</v>
      </c>
    </row>
    <row r="9" spans="1:18" s="19" customFormat="1">
      <c r="B9" s="49"/>
      <c r="C9" s="130"/>
      <c r="D9" s="130"/>
      <c r="E9" s="130"/>
      <c r="F9" s="130"/>
      <c r="G9" s="130"/>
      <c r="H9" s="130"/>
      <c r="I9" s="130"/>
      <c r="J9" s="130"/>
      <c r="K9" s="130"/>
      <c r="L9" s="130"/>
      <c r="M9" s="130"/>
      <c r="N9" s="130"/>
      <c r="O9" s="52"/>
      <c r="Q9" s="567">
        <f t="shared" ref="Q9:Q29" si="3">G9/10^7</f>
        <v>0</v>
      </c>
      <c r="R9" s="567">
        <f t="shared" ref="R9:R29" si="4">M9/10^7</f>
        <v>0</v>
      </c>
    </row>
    <row r="10" spans="1:18" s="19" customFormat="1">
      <c r="B10" s="49" t="s">
        <v>2416</v>
      </c>
      <c r="C10" s="130"/>
      <c r="D10" s="130"/>
      <c r="E10" s="130"/>
      <c r="F10" s="130"/>
      <c r="G10" s="130"/>
      <c r="H10" s="130"/>
      <c r="I10" s="130"/>
      <c r="J10" s="130"/>
      <c r="K10" s="130"/>
      <c r="L10" s="130"/>
      <c r="M10" s="130"/>
      <c r="N10" s="130"/>
      <c r="O10" s="52"/>
      <c r="Q10" s="567">
        <f t="shared" si="3"/>
        <v>0</v>
      </c>
      <c r="R10" s="567">
        <f t="shared" si="4"/>
        <v>0</v>
      </c>
    </row>
    <row r="11" spans="1:18" s="19" customFormat="1">
      <c r="B11" s="49" t="s">
        <v>4657</v>
      </c>
      <c r="C11" s="130">
        <v>20055294260.48999</v>
      </c>
      <c r="D11" s="130"/>
      <c r="E11" s="130"/>
      <c r="F11" s="130">
        <v>14056348</v>
      </c>
      <c r="G11" s="130">
        <f t="shared" si="0"/>
        <v>20069350608.48999</v>
      </c>
      <c r="H11" s="130">
        <v>4175493803.7600002</v>
      </c>
      <c r="I11" s="130">
        <v>807771511</v>
      </c>
      <c r="J11" s="130"/>
      <c r="K11" s="130">
        <f t="shared" ref="K11:K24" si="5">+I11-J11</f>
        <v>807771511</v>
      </c>
      <c r="L11" s="130">
        <f t="shared" ref="L11:L27" si="6">+H11+K11</f>
        <v>4983265314.7600002</v>
      </c>
      <c r="M11" s="130">
        <f t="shared" ref="M11:M27" si="7">ROUND(G11-L11,)</f>
        <v>15086085294</v>
      </c>
      <c r="N11" s="130">
        <v>15879800449</v>
      </c>
      <c r="O11" s="52"/>
      <c r="P11" s="506">
        <f>M11/10^7</f>
        <v>1508.6085294</v>
      </c>
      <c r="Q11" s="567">
        <f t="shared" si="3"/>
        <v>2006.935060848999</v>
      </c>
      <c r="R11" s="567">
        <f t="shared" si="4"/>
        <v>1508.6085294</v>
      </c>
    </row>
    <row r="12" spans="1:18" s="19" customFormat="1">
      <c r="B12" s="49" t="s">
        <v>4658</v>
      </c>
      <c r="C12" s="130">
        <v>56527889</v>
      </c>
      <c r="D12" s="130"/>
      <c r="E12" s="130">
        <v>237373</v>
      </c>
      <c r="F12" s="130"/>
      <c r="G12" s="130">
        <f t="shared" si="0"/>
        <v>56290516</v>
      </c>
      <c r="H12" s="130">
        <v>56527889</v>
      </c>
      <c r="I12" s="130">
        <v>0</v>
      </c>
      <c r="J12" s="130">
        <v>237373</v>
      </c>
      <c r="K12" s="130">
        <f t="shared" si="5"/>
        <v>-237373</v>
      </c>
      <c r="L12" s="130">
        <f t="shared" si="6"/>
        <v>56290516</v>
      </c>
      <c r="M12" s="130">
        <f t="shared" si="7"/>
        <v>0</v>
      </c>
      <c r="N12" s="130">
        <v>0</v>
      </c>
      <c r="O12" s="52"/>
      <c r="Q12" s="567">
        <f t="shared" si="3"/>
        <v>5.6290516000000004</v>
      </c>
      <c r="R12" s="567">
        <f t="shared" si="4"/>
        <v>0</v>
      </c>
    </row>
    <row r="13" spans="1:18" s="19" customFormat="1">
      <c r="B13" s="49"/>
      <c r="C13" s="130"/>
      <c r="D13" s="130"/>
      <c r="E13" s="130"/>
      <c r="F13" s="130"/>
      <c r="G13" s="130"/>
      <c r="H13" s="130"/>
      <c r="I13" s="130"/>
      <c r="J13" s="130"/>
      <c r="K13" s="130"/>
      <c r="L13" s="130"/>
      <c r="M13" s="130"/>
      <c r="N13" s="130"/>
      <c r="O13" s="52"/>
      <c r="Q13" s="567">
        <f t="shared" si="3"/>
        <v>0</v>
      </c>
      <c r="R13" s="567">
        <f t="shared" si="4"/>
        <v>0</v>
      </c>
    </row>
    <row r="14" spans="1:18" s="19" customFormat="1">
      <c r="B14" s="49" t="s">
        <v>603</v>
      </c>
      <c r="C14" s="130"/>
      <c r="D14" s="130"/>
      <c r="E14" s="130"/>
      <c r="F14" s="130"/>
      <c r="G14" s="130"/>
      <c r="H14" s="130"/>
      <c r="I14" s="130"/>
      <c r="J14" s="130"/>
      <c r="K14" s="130"/>
      <c r="L14" s="130"/>
      <c r="M14" s="130"/>
      <c r="N14" s="130"/>
      <c r="O14" s="52"/>
      <c r="Q14" s="567">
        <f t="shared" si="3"/>
        <v>0</v>
      </c>
      <c r="R14" s="567">
        <f t="shared" si="4"/>
        <v>0</v>
      </c>
    </row>
    <row r="15" spans="1:18" s="19" customFormat="1">
      <c r="B15" s="49" t="s">
        <v>4659</v>
      </c>
      <c r="C15" s="130">
        <v>135214718501.12</v>
      </c>
      <c r="D15" s="130">
        <v>2284129</v>
      </c>
      <c r="E15" s="130"/>
      <c r="F15" s="130">
        <v>103310158</v>
      </c>
      <c r="G15" s="130">
        <f t="shared" si="0"/>
        <v>135320312788.12</v>
      </c>
      <c r="H15" s="130">
        <v>29169323653.91</v>
      </c>
      <c r="I15" s="130">
        <v>5790719612</v>
      </c>
      <c r="J15" s="130"/>
      <c r="K15" s="130">
        <f t="shared" si="5"/>
        <v>5790719612</v>
      </c>
      <c r="L15" s="130">
        <f t="shared" si="6"/>
        <v>34960043265.910004</v>
      </c>
      <c r="M15" s="130">
        <f t="shared" si="7"/>
        <v>100360269522</v>
      </c>
      <c r="N15" s="130">
        <v>106045394854</v>
      </c>
      <c r="O15" s="52"/>
      <c r="Q15" s="567">
        <f t="shared" si="3"/>
        <v>13532.031278811999</v>
      </c>
      <c r="R15" s="567">
        <f t="shared" si="4"/>
        <v>10036.0269522</v>
      </c>
    </row>
    <row r="16" spans="1:18" s="19" customFormat="1">
      <c r="B16" s="49" t="s">
        <v>4660</v>
      </c>
      <c r="C16" s="130">
        <v>3229991364</v>
      </c>
      <c r="D16" s="130"/>
      <c r="E16" s="130"/>
      <c r="F16" s="130">
        <v>2359242</v>
      </c>
      <c r="G16" s="130">
        <f t="shared" si="0"/>
        <v>3232350606</v>
      </c>
      <c r="H16" s="130">
        <v>667058018</v>
      </c>
      <c r="I16" s="130">
        <v>101885002</v>
      </c>
      <c r="J16" s="130"/>
      <c r="K16" s="130">
        <f t="shared" si="5"/>
        <v>101885002</v>
      </c>
      <c r="L16" s="130">
        <f t="shared" si="6"/>
        <v>768943020</v>
      </c>
      <c r="M16" s="130">
        <f t="shared" si="7"/>
        <v>2463407586</v>
      </c>
      <c r="N16" s="130">
        <v>2562933348</v>
      </c>
      <c r="O16" s="52"/>
      <c r="Q16" s="567">
        <f t="shared" si="3"/>
        <v>323.2350606</v>
      </c>
      <c r="R16" s="567">
        <f t="shared" si="4"/>
        <v>246.34075859999999</v>
      </c>
    </row>
    <row r="17" spans="2:18" s="19" customFormat="1">
      <c r="B17" s="49"/>
      <c r="C17" s="130"/>
      <c r="D17" s="130"/>
      <c r="E17" s="130"/>
      <c r="F17" s="130"/>
      <c r="G17" s="130"/>
      <c r="H17" s="130"/>
      <c r="I17" s="130"/>
      <c r="J17" s="130"/>
      <c r="K17" s="130"/>
      <c r="L17" s="130"/>
      <c r="M17" s="130"/>
      <c r="N17" s="130"/>
      <c r="O17" s="52"/>
      <c r="Q17" s="567">
        <f t="shared" si="3"/>
        <v>0</v>
      </c>
      <c r="R17" s="567">
        <f t="shared" si="4"/>
        <v>0</v>
      </c>
    </row>
    <row r="18" spans="2:18" s="19" customFormat="1">
      <c r="B18" s="49" t="s">
        <v>847</v>
      </c>
      <c r="C18" s="130">
        <v>38612340.5</v>
      </c>
      <c r="D18" s="130">
        <v>4130</v>
      </c>
      <c r="E18" s="130">
        <v>1244787</v>
      </c>
      <c r="F18" s="130"/>
      <c r="G18" s="130">
        <f t="shared" si="0"/>
        <v>37371683.5</v>
      </c>
      <c r="H18" s="130">
        <v>29309373</v>
      </c>
      <c r="I18" s="130">
        <v>2690678</v>
      </c>
      <c r="J18" s="130">
        <v>1204716</v>
      </c>
      <c r="K18" s="130">
        <f t="shared" si="5"/>
        <v>1485962</v>
      </c>
      <c r="L18" s="130">
        <f t="shared" si="6"/>
        <v>30795335</v>
      </c>
      <c r="M18" s="130">
        <f t="shared" si="7"/>
        <v>6576349</v>
      </c>
      <c r="N18" s="130">
        <v>9302966</v>
      </c>
      <c r="O18" s="52"/>
      <c r="Q18" s="567">
        <f t="shared" si="3"/>
        <v>3.7371683500000001</v>
      </c>
      <c r="R18" s="567">
        <f t="shared" si="4"/>
        <v>0.65763490000000002</v>
      </c>
    </row>
    <row r="19" spans="2:18" s="19" customFormat="1">
      <c r="B19" s="49"/>
      <c r="C19" s="130"/>
      <c r="D19" s="130"/>
      <c r="E19" s="130"/>
      <c r="F19" s="130"/>
      <c r="G19" s="130"/>
      <c r="H19" s="130"/>
      <c r="I19" s="130"/>
      <c r="J19" s="130"/>
      <c r="K19" s="130"/>
      <c r="L19" s="130"/>
      <c r="M19" s="130"/>
      <c r="N19" s="130"/>
      <c r="O19" s="52"/>
      <c r="Q19" s="567">
        <f t="shared" si="3"/>
        <v>0</v>
      </c>
      <c r="R19" s="567">
        <f t="shared" si="4"/>
        <v>0</v>
      </c>
    </row>
    <row r="20" spans="2:18" s="19" customFormat="1">
      <c r="B20" s="49" t="s">
        <v>753</v>
      </c>
      <c r="C20" s="130">
        <v>17066351.140000001</v>
      </c>
      <c r="D20" s="130">
        <v>5880</v>
      </c>
      <c r="E20" s="130"/>
      <c r="F20" s="130"/>
      <c r="G20" s="130">
        <f t="shared" si="0"/>
        <v>17072231.140000001</v>
      </c>
      <c r="H20" s="130">
        <v>9857004.8399999999</v>
      </c>
      <c r="I20" s="130">
        <v>1837545</v>
      </c>
      <c r="J20" s="130"/>
      <c r="K20" s="130">
        <f>+I20-J20</f>
        <v>1837545</v>
      </c>
      <c r="L20" s="130">
        <f t="shared" si="6"/>
        <v>11694549.84</v>
      </c>
      <c r="M20" s="130">
        <f t="shared" si="7"/>
        <v>5377681</v>
      </c>
      <c r="N20" s="130">
        <v>7209347</v>
      </c>
      <c r="O20" s="52"/>
      <c r="Q20" s="567">
        <f t="shared" si="3"/>
        <v>1.707223114</v>
      </c>
      <c r="R20" s="567">
        <f t="shared" si="4"/>
        <v>0.53776809999999997</v>
      </c>
    </row>
    <row r="21" spans="2:18" s="19" customFormat="1">
      <c r="B21" s="49"/>
      <c r="C21" s="130"/>
      <c r="D21" s="130"/>
      <c r="E21" s="130"/>
      <c r="F21" s="130"/>
      <c r="G21" s="130"/>
      <c r="H21" s="130"/>
      <c r="I21" s="130"/>
      <c r="J21" s="130"/>
      <c r="K21" s="130"/>
      <c r="L21" s="130"/>
      <c r="M21" s="130"/>
      <c r="N21" s="130"/>
      <c r="O21" s="52"/>
      <c r="Q21" s="567">
        <f t="shared" si="3"/>
        <v>0</v>
      </c>
      <c r="R21" s="567">
        <f t="shared" si="4"/>
        <v>0</v>
      </c>
    </row>
    <row r="22" spans="2:18" s="19" customFormat="1">
      <c r="B22" s="49" t="s">
        <v>4661</v>
      </c>
      <c r="C22" s="130"/>
      <c r="D22" s="130"/>
      <c r="E22" s="130"/>
      <c r="F22" s="130"/>
      <c r="G22" s="130"/>
      <c r="H22" s="130"/>
      <c r="I22" s="130"/>
      <c r="J22" s="130"/>
      <c r="K22" s="130"/>
      <c r="L22" s="130"/>
      <c r="M22" s="130"/>
      <c r="N22" s="130"/>
      <c r="O22" s="52"/>
      <c r="Q22" s="567">
        <f t="shared" si="3"/>
        <v>0</v>
      </c>
      <c r="R22" s="567">
        <f t="shared" si="4"/>
        <v>0</v>
      </c>
    </row>
    <row r="23" spans="2:18" s="19" customFormat="1">
      <c r="B23" s="49" t="s">
        <v>4662</v>
      </c>
      <c r="C23" s="130">
        <v>59858427.049999997</v>
      </c>
      <c r="D23" s="130">
        <v>485210</v>
      </c>
      <c r="E23" s="130">
        <v>1680807.3747260273</v>
      </c>
      <c r="F23" s="130"/>
      <c r="G23" s="130">
        <f t="shared" si="0"/>
        <v>58662829.67527397</v>
      </c>
      <c r="H23" s="130">
        <v>58340327.450000003</v>
      </c>
      <c r="I23" s="130">
        <v>643561</v>
      </c>
      <c r="J23" s="130">
        <v>1650805</v>
      </c>
      <c r="K23" s="130">
        <f t="shared" si="5"/>
        <v>-1007244</v>
      </c>
      <c r="L23" s="130">
        <f t="shared" si="6"/>
        <v>57333083.450000003</v>
      </c>
      <c r="M23" s="130">
        <f t="shared" si="7"/>
        <v>1329746</v>
      </c>
      <c r="N23" s="130">
        <v>1518105</v>
      </c>
      <c r="O23" s="52"/>
      <c r="Q23" s="567">
        <f t="shared" si="3"/>
        <v>5.8662829675273969</v>
      </c>
      <c r="R23" s="567">
        <f t="shared" si="4"/>
        <v>0.1329746</v>
      </c>
    </row>
    <row r="24" spans="2:18" s="19" customFormat="1">
      <c r="B24" s="49" t="s">
        <v>4663</v>
      </c>
      <c r="C24" s="130">
        <v>11212298</v>
      </c>
      <c r="D24" s="130">
        <v>1616591</v>
      </c>
      <c r="E24" s="130">
        <v>578385</v>
      </c>
      <c r="F24" s="130"/>
      <c r="G24" s="130">
        <f t="shared" si="0"/>
        <v>12250504</v>
      </c>
      <c r="H24" s="130">
        <v>9103185.5599999987</v>
      </c>
      <c r="I24" s="130">
        <v>1002068</v>
      </c>
      <c r="J24" s="130">
        <v>578385</v>
      </c>
      <c r="K24" s="130">
        <f t="shared" si="5"/>
        <v>423683</v>
      </c>
      <c r="L24" s="130">
        <f t="shared" si="6"/>
        <v>9526868.5599999987</v>
      </c>
      <c r="M24" s="130">
        <f t="shared" si="7"/>
        <v>2723635</v>
      </c>
      <c r="N24" s="130">
        <v>2109112</v>
      </c>
      <c r="O24" s="52"/>
      <c r="Q24" s="567">
        <f t="shared" si="3"/>
        <v>1.2250504</v>
      </c>
      <c r="R24" s="567">
        <f t="shared" si="4"/>
        <v>0.27236349999999998</v>
      </c>
    </row>
    <row r="25" spans="2:18" s="19" customFormat="1">
      <c r="B25" s="49"/>
      <c r="C25" s="130"/>
      <c r="D25" s="130"/>
      <c r="E25" s="130"/>
      <c r="F25" s="130"/>
      <c r="G25" s="130"/>
      <c r="H25" s="130"/>
      <c r="I25" s="130"/>
      <c r="J25" s="130"/>
      <c r="K25" s="130"/>
      <c r="L25" s="130"/>
      <c r="M25" s="130"/>
      <c r="N25" s="130"/>
      <c r="O25" s="52"/>
      <c r="Q25" s="567">
        <f t="shared" si="3"/>
        <v>0</v>
      </c>
      <c r="R25" s="567">
        <f t="shared" si="4"/>
        <v>0</v>
      </c>
    </row>
    <row r="26" spans="2:18" s="19" customFormat="1">
      <c r="B26" s="49" t="s">
        <v>4664</v>
      </c>
      <c r="C26" s="130"/>
      <c r="D26" s="130"/>
      <c r="E26" s="130"/>
      <c r="F26" s="130"/>
      <c r="G26" s="130"/>
      <c r="H26" s="130"/>
      <c r="I26" s="130"/>
      <c r="J26" s="130"/>
      <c r="K26" s="130"/>
      <c r="L26" s="130"/>
      <c r="M26" s="130"/>
      <c r="N26" s="130"/>
      <c r="O26" s="52"/>
      <c r="Q26" s="567">
        <f t="shared" si="3"/>
        <v>0</v>
      </c>
      <c r="R26" s="567">
        <f t="shared" si="4"/>
        <v>0</v>
      </c>
    </row>
    <row r="27" spans="2:18" s="19" customFormat="1">
      <c r="B27" s="49" t="s">
        <v>4665</v>
      </c>
      <c r="C27" s="130">
        <v>178086</v>
      </c>
      <c r="D27" s="130"/>
      <c r="E27" s="130"/>
      <c r="F27" s="130"/>
      <c r="G27" s="130">
        <f t="shared" si="0"/>
        <v>178086</v>
      </c>
      <c r="H27" s="130">
        <v>178086</v>
      </c>
      <c r="I27" s="130">
        <v>0</v>
      </c>
      <c r="J27" s="130"/>
      <c r="K27" s="130"/>
      <c r="L27" s="130">
        <f t="shared" si="6"/>
        <v>178086</v>
      </c>
      <c r="M27" s="130">
        <f t="shared" si="7"/>
        <v>0</v>
      </c>
      <c r="N27" s="130">
        <v>0</v>
      </c>
      <c r="O27" s="52"/>
      <c r="Q27" s="567">
        <f t="shared" si="3"/>
        <v>1.7808600000000001E-2</v>
      </c>
      <c r="R27" s="567">
        <f t="shared" si="4"/>
        <v>0</v>
      </c>
    </row>
    <row r="28" spans="2:18">
      <c r="B28" s="141"/>
      <c r="C28" s="141"/>
      <c r="D28" s="141"/>
      <c r="E28" s="141"/>
      <c r="F28" s="141"/>
      <c r="G28" s="141"/>
      <c r="H28" s="141"/>
      <c r="I28" s="141"/>
      <c r="J28" s="141"/>
      <c r="K28" s="141"/>
      <c r="L28" s="141"/>
      <c r="M28" s="141"/>
      <c r="N28" s="141"/>
      <c r="Q28" s="567">
        <f t="shared" si="3"/>
        <v>0</v>
      </c>
      <c r="R28" s="567">
        <f t="shared" si="4"/>
        <v>0</v>
      </c>
    </row>
    <row r="29" spans="2:18">
      <c r="B29" s="461"/>
      <c r="C29" s="462">
        <f t="shared" ref="C29:N29" si="8">SUM(C7:C28)</f>
        <v>160409297514.29999</v>
      </c>
      <c r="D29" s="462">
        <f t="shared" si="8"/>
        <v>4395940</v>
      </c>
      <c r="E29" s="462">
        <f t="shared" si="8"/>
        <v>3741352.3747260273</v>
      </c>
      <c r="F29" s="462">
        <f t="shared" si="8"/>
        <v>119725748</v>
      </c>
      <c r="G29" s="462">
        <f t="shared" si="8"/>
        <v>160529677849.92526</v>
      </c>
      <c r="H29" s="462">
        <f t="shared" si="8"/>
        <v>34175191341.52</v>
      </c>
      <c r="I29" s="462">
        <f t="shared" si="8"/>
        <v>6706549977</v>
      </c>
      <c r="J29" s="462">
        <f t="shared" si="8"/>
        <v>3671279</v>
      </c>
      <c r="K29" s="462">
        <f t="shared" si="8"/>
        <v>6702878698</v>
      </c>
      <c r="L29" s="462">
        <f t="shared" si="8"/>
        <v>40878070039.519997</v>
      </c>
      <c r="M29" s="462">
        <f t="shared" si="8"/>
        <v>119651607810</v>
      </c>
      <c r="N29" s="462">
        <f t="shared" si="8"/>
        <v>126234106178</v>
      </c>
      <c r="Q29" s="567">
        <f t="shared" si="3"/>
        <v>16052.967784992527</v>
      </c>
      <c r="R29" s="567">
        <f t="shared" si="4"/>
        <v>11965.160781</v>
      </c>
    </row>
    <row r="31" spans="2:18">
      <c r="G31" s="557">
        <f>G29/10^7</f>
        <v>16052.967784992527</v>
      </c>
      <c r="H31" s="556">
        <f>M29/10^7</f>
        <v>11965.160781</v>
      </c>
    </row>
    <row r="32" spans="2:18">
      <c r="G32" s="127">
        <v>4559.66</v>
      </c>
      <c r="H32" s="127">
        <f>G32</f>
        <v>4559.66</v>
      </c>
    </row>
    <row r="33" spans="7:8">
      <c r="G33" s="558">
        <f>SUM(G31:G32)</f>
        <v>20612.627784992525</v>
      </c>
      <c r="H33" s="558">
        <f>SUM(H31:H32)</f>
        <v>16524.820781000002</v>
      </c>
    </row>
  </sheetData>
  <phoneticPr fontId="43" type="noConversion"/>
  <printOptions horizontalCentered="1" gridLines="1"/>
  <pageMargins left="0" right="0" top="0.39370078740157499" bottom="0" header="0.31496062992126" footer="0.31496062992126"/>
  <pageSetup paperSize="9" scale="8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workbookViewId="0">
      <pane xSplit="2" ySplit="5" topLeftCell="C63" activePane="bottomRight" state="frozen"/>
      <selection pane="topRight" activeCell="F1" sqref="F1"/>
      <selection pane="bottomLeft" activeCell="A6" sqref="A6"/>
      <selection pane="bottomRight" activeCell="H62" sqref="H62"/>
    </sheetView>
  </sheetViews>
  <sheetFormatPr defaultColWidth="9" defaultRowHeight="13.5"/>
  <cols>
    <col min="1" max="1" width="3.75" style="5" customWidth="1"/>
    <col min="2" max="2" width="4.625" style="5" customWidth="1"/>
    <col min="3" max="3" width="26.875" style="20" customWidth="1"/>
    <col min="4" max="4" width="8.5" style="5" customWidth="1"/>
    <col min="5" max="5" width="9.25" style="5" customWidth="1"/>
    <col min="6" max="6" width="7.5" style="5" customWidth="1"/>
    <col min="7" max="7" width="4.875" style="9" customWidth="1"/>
    <col min="8" max="8" width="10.625" style="3" customWidth="1"/>
    <col min="9" max="9" width="12.125" style="29" customWidth="1"/>
    <col min="10" max="10" width="8.875" style="5" customWidth="1"/>
    <col min="11" max="11" width="10.125" style="20" customWidth="1"/>
    <col min="12" max="12" width="11.5" style="5" customWidth="1"/>
    <col min="13" max="13" width="5.5" style="5" customWidth="1"/>
    <col min="14" max="14" width="9" style="5"/>
    <col min="15" max="15" width="10.5" style="5" customWidth="1"/>
    <col min="16" max="16384" width="9" style="5"/>
  </cols>
  <sheetData>
    <row r="1" spans="1:16">
      <c r="A1" s="12"/>
      <c r="B1" s="12"/>
      <c r="C1" s="219"/>
      <c r="D1" s="12"/>
      <c r="E1" s="12"/>
      <c r="F1" s="12"/>
      <c r="G1" s="220"/>
      <c r="I1" s="181"/>
      <c r="J1" s="12"/>
      <c r="K1" s="219"/>
    </row>
    <row r="2" spans="1:16" ht="14.25">
      <c r="B2" s="19" t="s">
        <v>436</v>
      </c>
    </row>
    <row r="3" spans="1:16" ht="14.25">
      <c r="M3" s="615">
        <v>44651</v>
      </c>
      <c r="N3" s="616"/>
      <c r="O3" s="616"/>
      <c r="P3" s="616"/>
    </row>
    <row r="4" spans="1:16" ht="14.25">
      <c r="B4" s="19" t="s">
        <v>4648</v>
      </c>
      <c r="M4" s="617" t="s">
        <v>4569</v>
      </c>
      <c r="N4" s="617"/>
      <c r="O4" s="617"/>
      <c r="P4" s="617"/>
    </row>
    <row r="5" spans="1:16" ht="36" customHeight="1">
      <c r="B5" s="82" t="s">
        <v>56</v>
      </c>
      <c r="C5" s="82" t="s">
        <v>397</v>
      </c>
      <c r="D5" s="82" t="s">
        <v>84</v>
      </c>
      <c r="E5" s="82" t="s">
        <v>85</v>
      </c>
      <c r="F5" s="82" t="s">
        <v>1073</v>
      </c>
      <c r="G5" s="82" t="s">
        <v>398</v>
      </c>
      <c r="H5" s="85" t="s">
        <v>2623</v>
      </c>
      <c r="I5" s="82" t="s">
        <v>400</v>
      </c>
      <c r="J5" s="82" t="s">
        <v>401</v>
      </c>
      <c r="K5" s="82" t="s">
        <v>402</v>
      </c>
      <c r="L5" s="144" t="s">
        <v>4050</v>
      </c>
      <c r="M5" s="177" t="s">
        <v>403</v>
      </c>
      <c r="N5" s="178" t="s">
        <v>405</v>
      </c>
      <c r="O5" s="178" t="s">
        <v>280</v>
      </c>
      <c r="P5" s="178" t="s">
        <v>404</v>
      </c>
    </row>
    <row r="6" spans="1:16" s="22" customFormat="1" ht="14.25">
      <c r="B6" s="64" t="s">
        <v>610</v>
      </c>
      <c r="C6" s="65"/>
      <c r="D6" s="65"/>
      <c r="E6" s="65"/>
      <c r="F6" s="65"/>
      <c r="G6" s="13"/>
      <c r="H6" s="145"/>
      <c r="I6" s="103"/>
      <c r="J6" s="13"/>
      <c r="K6" s="65"/>
      <c r="M6" s="25"/>
      <c r="N6" s="25"/>
      <c r="O6" s="25"/>
      <c r="P6" s="25"/>
    </row>
    <row r="7" spans="1:16" s="22" customFormat="1" ht="14.25">
      <c r="B7" s="32" t="s">
        <v>10</v>
      </c>
      <c r="C7" s="32"/>
      <c r="D7" s="25"/>
      <c r="E7" s="25"/>
      <c r="F7" s="25"/>
      <c r="G7" s="15"/>
      <c r="H7" s="46"/>
      <c r="I7" s="15"/>
      <c r="J7" s="40"/>
      <c r="K7" s="25"/>
      <c r="M7" s="25"/>
      <c r="N7" s="25"/>
      <c r="O7" s="25"/>
      <c r="P7" s="25"/>
    </row>
    <row r="8" spans="1:16" s="22" customFormat="1" ht="27">
      <c r="B8" s="8">
        <v>1</v>
      </c>
      <c r="C8" s="114" t="s">
        <v>3847</v>
      </c>
      <c r="D8" s="235">
        <v>41183</v>
      </c>
      <c r="E8" s="235">
        <v>43373</v>
      </c>
      <c r="F8" s="236">
        <v>1279</v>
      </c>
      <c r="G8" s="234" t="s">
        <v>314</v>
      </c>
      <c r="H8" s="231">
        <v>2061040</v>
      </c>
      <c r="I8" s="237" t="s">
        <v>3850</v>
      </c>
      <c r="J8" s="235">
        <v>42095</v>
      </c>
      <c r="K8" s="239" t="s">
        <v>288</v>
      </c>
      <c r="L8" s="240">
        <v>2061040</v>
      </c>
      <c r="M8" s="241">
        <v>0</v>
      </c>
      <c r="N8" s="27">
        <v>0</v>
      </c>
      <c r="O8" s="72">
        <v>2061040</v>
      </c>
      <c r="P8" s="72">
        <v>0</v>
      </c>
    </row>
    <row r="9" spans="1:16" s="22" customFormat="1" ht="27">
      <c r="B9" s="8">
        <f t="shared" ref="B9:B10" si="0">+B8+1</f>
        <v>2</v>
      </c>
      <c r="C9" s="114" t="s">
        <v>3848</v>
      </c>
      <c r="D9" s="235">
        <v>41183</v>
      </c>
      <c r="E9" s="235">
        <v>43373</v>
      </c>
      <c r="F9" s="236">
        <v>1279</v>
      </c>
      <c r="G9" s="234" t="s">
        <v>314</v>
      </c>
      <c r="H9" s="231">
        <v>6291</v>
      </c>
      <c r="I9" s="243" t="s">
        <v>3876</v>
      </c>
      <c r="J9" s="235">
        <v>42095</v>
      </c>
      <c r="K9" s="239" t="s">
        <v>288</v>
      </c>
      <c r="L9" s="240">
        <v>6290</v>
      </c>
      <c r="M9" s="241">
        <v>0</v>
      </c>
      <c r="N9" s="27">
        <v>0</v>
      </c>
      <c r="O9" s="72">
        <v>6291</v>
      </c>
      <c r="P9" s="72">
        <v>0</v>
      </c>
    </row>
    <row r="10" spans="1:16" s="22" customFormat="1" ht="27">
      <c r="B10" s="8">
        <f t="shared" si="0"/>
        <v>3</v>
      </c>
      <c r="C10" s="114" t="s">
        <v>3849</v>
      </c>
      <c r="D10" s="235">
        <v>41183</v>
      </c>
      <c r="E10" s="235">
        <v>43373</v>
      </c>
      <c r="F10" s="236">
        <v>1279</v>
      </c>
      <c r="G10" s="234" t="s">
        <v>314</v>
      </c>
      <c r="H10" s="231">
        <v>148393</v>
      </c>
      <c r="I10" s="237"/>
      <c r="J10" s="235">
        <v>42095</v>
      </c>
      <c r="K10" s="239" t="s">
        <v>288</v>
      </c>
      <c r="L10" s="240">
        <v>148393</v>
      </c>
      <c r="M10" s="241">
        <v>0</v>
      </c>
      <c r="N10" s="27">
        <v>0</v>
      </c>
      <c r="O10" s="72">
        <v>148393</v>
      </c>
      <c r="P10" s="72">
        <v>0</v>
      </c>
    </row>
    <row r="11" spans="1:16" s="22" customFormat="1" ht="14.25">
      <c r="B11" s="44" t="s">
        <v>211</v>
      </c>
      <c r="C11" s="244"/>
      <c r="D11" s="239"/>
      <c r="E11" s="239"/>
      <c r="F11" s="239"/>
      <c r="G11" s="234"/>
      <c r="H11" s="234"/>
      <c r="I11" s="234"/>
      <c r="J11" s="235"/>
      <c r="K11" s="239"/>
      <c r="L11" s="240">
        <v>0</v>
      </c>
      <c r="M11" s="228"/>
      <c r="N11" s="25"/>
      <c r="O11" s="25"/>
      <c r="P11" s="25"/>
    </row>
    <row r="12" spans="1:16" s="22" customFormat="1" ht="69">
      <c r="B12" s="8">
        <v>1</v>
      </c>
      <c r="C12" s="245" t="s">
        <v>4060</v>
      </c>
      <c r="D12" s="232">
        <v>40026</v>
      </c>
      <c r="E12" s="232">
        <v>40755</v>
      </c>
      <c r="F12" s="236">
        <v>694</v>
      </c>
      <c r="G12" s="246">
        <v>0</v>
      </c>
      <c r="H12" s="231">
        <v>592042</v>
      </c>
      <c r="I12" s="247" t="s">
        <v>1049</v>
      </c>
      <c r="J12" s="235">
        <v>40409</v>
      </c>
      <c r="K12" s="239" t="s">
        <v>4365</v>
      </c>
      <c r="L12" s="240">
        <v>0</v>
      </c>
      <c r="M12" s="241">
        <v>0</v>
      </c>
      <c r="N12" s="27">
        <v>0</v>
      </c>
      <c r="O12" s="72">
        <v>0</v>
      </c>
      <c r="P12" s="72">
        <v>0</v>
      </c>
    </row>
    <row r="13" spans="1:16" s="22" customFormat="1" ht="27">
      <c r="B13" s="8">
        <f t="shared" ref="B13:B18" si="1">+B12+1</f>
        <v>2</v>
      </c>
      <c r="C13" s="245" t="s">
        <v>2637</v>
      </c>
      <c r="D13" s="232">
        <v>40360</v>
      </c>
      <c r="E13" s="232">
        <v>41455</v>
      </c>
      <c r="F13" s="236">
        <v>1746</v>
      </c>
      <c r="G13" s="234">
        <v>11</v>
      </c>
      <c r="H13" s="231">
        <v>261706</v>
      </c>
      <c r="I13" s="237" t="s">
        <v>344</v>
      </c>
      <c r="J13" s="235">
        <v>40583</v>
      </c>
      <c r="K13" s="239" t="s">
        <v>4365</v>
      </c>
      <c r="L13" s="240">
        <v>35074</v>
      </c>
      <c r="M13" s="241">
        <v>0</v>
      </c>
      <c r="N13" s="27">
        <v>0</v>
      </c>
      <c r="O13" s="72">
        <v>35074</v>
      </c>
      <c r="P13" s="72">
        <v>0</v>
      </c>
    </row>
    <row r="14" spans="1:16" s="22" customFormat="1" ht="27">
      <c r="B14" s="8">
        <f t="shared" si="1"/>
        <v>3</v>
      </c>
      <c r="C14" s="245" t="s">
        <v>2638</v>
      </c>
      <c r="D14" s="232">
        <v>40360</v>
      </c>
      <c r="E14" s="232">
        <v>41455</v>
      </c>
      <c r="F14" s="236">
        <v>1746</v>
      </c>
      <c r="G14" s="234">
        <v>2</v>
      </c>
      <c r="H14" s="231">
        <v>16659</v>
      </c>
      <c r="I14" s="237" t="s">
        <v>344</v>
      </c>
      <c r="J14" s="235">
        <v>40583</v>
      </c>
      <c r="K14" s="239" t="s">
        <v>4365</v>
      </c>
      <c r="L14" s="240">
        <v>2232</v>
      </c>
      <c r="M14" s="241">
        <v>0</v>
      </c>
      <c r="N14" s="27">
        <v>0</v>
      </c>
      <c r="O14" s="72">
        <v>2232</v>
      </c>
      <c r="P14" s="72">
        <v>0</v>
      </c>
    </row>
    <row r="15" spans="1:16" s="22" customFormat="1" ht="27">
      <c r="B15" s="8">
        <f t="shared" si="1"/>
        <v>4</v>
      </c>
      <c r="C15" s="245" t="s">
        <v>2639</v>
      </c>
      <c r="D15" s="232">
        <v>40360</v>
      </c>
      <c r="E15" s="232">
        <v>41455</v>
      </c>
      <c r="F15" s="236">
        <v>1746</v>
      </c>
      <c r="G15" s="234">
        <v>1852.0150000000001</v>
      </c>
      <c r="H15" s="231">
        <v>144624.125</v>
      </c>
      <c r="I15" s="237" t="s">
        <v>344</v>
      </c>
      <c r="J15" s="235">
        <v>40583</v>
      </c>
      <c r="K15" s="239" t="s">
        <v>4365</v>
      </c>
      <c r="L15" s="240">
        <v>19382.125</v>
      </c>
      <c r="M15" s="241">
        <v>0</v>
      </c>
      <c r="N15" s="27">
        <v>0</v>
      </c>
      <c r="O15" s="72">
        <v>19382.125</v>
      </c>
      <c r="P15" s="72">
        <v>0</v>
      </c>
    </row>
    <row r="16" spans="1:16" s="22" customFormat="1" ht="27">
      <c r="B16" s="8">
        <f t="shared" si="1"/>
        <v>5</v>
      </c>
      <c r="C16" s="245" t="s">
        <v>2640</v>
      </c>
      <c r="D16" s="232">
        <v>40360</v>
      </c>
      <c r="E16" s="232">
        <v>41455</v>
      </c>
      <c r="F16" s="236">
        <v>1746</v>
      </c>
      <c r="G16" s="234">
        <v>1165.345</v>
      </c>
      <c r="H16" s="231">
        <v>539943.52500000002</v>
      </c>
      <c r="I16" s="237" t="s">
        <v>344</v>
      </c>
      <c r="J16" s="235">
        <v>40583</v>
      </c>
      <c r="K16" s="239" t="s">
        <v>4365</v>
      </c>
      <c r="L16" s="240">
        <v>72363.525000000023</v>
      </c>
      <c r="M16" s="241">
        <v>0</v>
      </c>
      <c r="N16" s="27">
        <v>0</v>
      </c>
      <c r="O16" s="72">
        <v>72363.525000000023</v>
      </c>
      <c r="P16" s="72">
        <v>0</v>
      </c>
    </row>
    <row r="17" spans="2:16" s="22" customFormat="1" ht="27">
      <c r="B17" s="8">
        <f t="shared" si="1"/>
        <v>6</v>
      </c>
      <c r="C17" s="245" t="s">
        <v>2641</v>
      </c>
      <c r="D17" s="232">
        <v>40360</v>
      </c>
      <c r="E17" s="232">
        <v>41455</v>
      </c>
      <c r="F17" s="236">
        <v>1746</v>
      </c>
      <c r="G17" s="234">
        <v>853.93499999999995</v>
      </c>
      <c r="H17" s="231">
        <v>42677.88</v>
      </c>
      <c r="I17" s="237" t="s">
        <v>344</v>
      </c>
      <c r="J17" s="235">
        <v>40583</v>
      </c>
      <c r="K17" s="239" t="s">
        <v>4365</v>
      </c>
      <c r="L17" s="240">
        <v>5719.8799999999974</v>
      </c>
      <c r="M17" s="241">
        <v>0</v>
      </c>
      <c r="N17" s="27">
        <v>0</v>
      </c>
      <c r="O17" s="72">
        <v>5719.8799999999974</v>
      </c>
      <c r="P17" s="72">
        <v>0</v>
      </c>
    </row>
    <row r="18" spans="2:16" s="22" customFormat="1" ht="27">
      <c r="B18" s="8">
        <f t="shared" si="1"/>
        <v>7</v>
      </c>
      <c r="C18" s="245" t="s">
        <v>2642</v>
      </c>
      <c r="D18" s="232">
        <v>40360</v>
      </c>
      <c r="E18" s="232">
        <v>41455</v>
      </c>
      <c r="F18" s="236">
        <v>1746</v>
      </c>
      <c r="G18" s="234">
        <v>157.02000000000001</v>
      </c>
      <c r="H18" s="231">
        <v>62125.600000000006</v>
      </c>
      <c r="I18" s="237" t="s">
        <v>344</v>
      </c>
      <c r="J18" s="235">
        <v>40583</v>
      </c>
      <c r="K18" s="239" t="s">
        <v>4365</v>
      </c>
      <c r="L18" s="240">
        <v>8326.6000000000058</v>
      </c>
      <c r="M18" s="241">
        <v>0</v>
      </c>
      <c r="N18" s="27">
        <v>0</v>
      </c>
      <c r="O18" s="72">
        <v>8326.6000000000058</v>
      </c>
      <c r="P18" s="72">
        <v>0</v>
      </c>
    </row>
    <row r="19" spans="2:16" s="22" customFormat="1" ht="27">
      <c r="B19" s="8">
        <f t="shared" ref="B19:B38" si="2">+B18+1</f>
        <v>8</v>
      </c>
      <c r="C19" s="245" t="s">
        <v>2643</v>
      </c>
      <c r="D19" s="232">
        <v>40360</v>
      </c>
      <c r="E19" s="232">
        <v>41455</v>
      </c>
      <c r="F19" s="236">
        <v>1746</v>
      </c>
      <c r="G19" s="234">
        <v>1</v>
      </c>
      <c r="H19" s="231">
        <v>2082</v>
      </c>
      <c r="I19" s="237" t="s">
        <v>344</v>
      </c>
      <c r="J19" s="235">
        <v>40583</v>
      </c>
      <c r="K19" s="239" t="s">
        <v>4365</v>
      </c>
      <c r="L19" s="240">
        <v>279</v>
      </c>
      <c r="M19" s="241">
        <v>0</v>
      </c>
      <c r="N19" s="27">
        <v>0</v>
      </c>
      <c r="O19" s="72">
        <v>279</v>
      </c>
      <c r="P19" s="72">
        <v>0</v>
      </c>
    </row>
    <row r="20" spans="2:16" s="22" customFormat="1" ht="40.5">
      <c r="B20" s="8">
        <f t="shared" si="2"/>
        <v>9</v>
      </c>
      <c r="C20" s="245" t="s">
        <v>2644</v>
      </c>
      <c r="D20" s="232">
        <v>40360</v>
      </c>
      <c r="E20" s="232">
        <v>41455</v>
      </c>
      <c r="F20" s="236">
        <v>1746</v>
      </c>
      <c r="G20" s="234">
        <v>1</v>
      </c>
      <c r="H20" s="231">
        <v>40607</v>
      </c>
      <c r="I20" s="237" t="s">
        <v>344</v>
      </c>
      <c r="J20" s="235">
        <v>40583</v>
      </c>
      <c r="K20" s="239" t="s">
        <v>4365</v>
      </c>
      <c r="L20" s="240">
        <v>5442</v>
      </c>
      <c r="M20" s="241">
        <v>0</v>
      </c>
      <c r="N20" s="27">
        <v>0</v>
      </c>
      <c r="O20" s="72">
        <v>5442</v>
      </c>
      <c r="P20" s="72">
        <v>0</v>
      </c>
    </row>
    <row r="21" spans="2:16" s="22" customFormat="1" ht="27">
      <c r="B21" s="8">
        <f t="shared" si="2"/>
        <v>10</v>
      </c>
      <c r="C21" s="245" t="s">
        <v>2645</v>
      </c>
      <c r="D21" s="232">
        <v>40360</v>
      </c>
      <c r="E21" s="232">
        <v>41455</v>
      </c>
      <c r="F21" s="236">
        <v>1746</v>
      </c>
      <c r="G21" s="234">
        <v>25</v>
      </c>
      <c r="H21" s="231">
        <v>70541</v>
      </c>
      <c r="I21" s="237" t="s">
        <v>344</v>
      </c>
      <c r="J21" s="235">
        <v>40583</v>
      </c>
      <c r="K21" s="239" t="s">
        <v>4365</v>
      </c>
      <c r="L21" s="240">
        <v>9453</v>
      </c>
      <c r="M21" s="241">
        <v>0</v>
      </c>
      <c r="N21" s="27">
        <v>0</v>
      </c>
      <c r="O21" s="72">
        <v>9453</v>
      </c>
      <c r="P21" s="72">
        <v>0</v>
      </c>
    </row>
    <row r="22" spans="2:16" s="22" customFormat="1" ht="27">
      <c r="B22" s="8">
        <f t="shared" si="2"/>
        <v>11</v>
      </c>
      <c r="C22" s="245" t="s">
        <v>2646</v>
      </c>
      <c r="D22" s="232">
        <v>40360</v>
      </c>
      <c r="E22" s="232">
        <v>41455</v>
      </c>
      <c r="F22" s="236">
        <v>1746</v>
      </c>
      <c r="G22" s="234">
        <v>2</v>
      </c>
      <c r="H22" s="231">
        <v>3436</v>
      </c>
      <c r="I22" s="237" t="s">
        <v>344</v>
      </c>
      <c r="J22" s="235">
        <v>40583</v>
      </c>
      <c r="K22" s="239" t="s">
        <v>4365</v>
      </c>
      <c r="L22" s="240">
        <v>461</v>
      </c>
      <c r="M22" s="241">
        <v>0</v>
      </c>
      <c r="N22" s="27">
        <v>0</v>
      </c>
      <c r="O22" s="72">
        <v>461</v>
      </c>
      <c r="P22" s="72">
        <v>0</v>
      </c>
    </row>
    <row r="23" spans="2:16" s="22" customFormat="1" ht="27">
      <c r="B23" s="8">
        <f t="shared" si="2"/>
        <v>12</v>
      </c>
      <c r="C23" s="245" t="s">
        <v>2647</v>
      </c>
      <c r="D23" s="232">
        <v>40360</v>
      </c>
      <c r="E23" s="232">
        <v>41455</v>
      </c>
      <c r="F23" s="236">
        <v>1746</v>
      </c>
      <c r="G23" s="234">
        <v>2</v>
      </c>
      <c r="H23" s="231">
        <v>8538</v>
      </c>
      <c r="I23" s="237" t="s">
        <v>344</v>
      </c>
      <c r="J23" s="235">
        <v>40583</v>
      </c>
      <c r="K23" s="239" t="s">
        <v>4365</v>
      </c>
      <c r="L23" s="240">
        <v>1144</v>
      </c>
      <c r="M23" s="241">
        <v>0</v>
      </c>
      <c r="N23" s="27">
        <v>0</v>
      </c>
      <c r="O23" s="72">
        <v>1144</v>
      </c>
      <c r="P23" s="72">
        <v>0</v>
      </c>
    </row>
    <row r="24" spans="2:16" s="22" customFormat="1" ht="27">
      <c r="B24" s="8">
        <f t="shared" si="2"/>
        <v>13</v>
      </c>
      <c r="C24" s="245" t="s">
        <v>2648</v>
      </c>
      <c r="D24" s="232">
        <v>40360</v>
      </c>
      <c r="E24" s="232">
        <v>41455</v>
      </c>
      <c r="F24" s="236">
        <v>1746</v>
      </c>
      <c r="G24" s="234">
        <v>7</v>
      </c>
      <c r="H24" s="231">
        <v>1458</v>
      </c>
      <c r="I24" s="237" t="s">
        <v>344</v>
      </c>
      <c r="J24" s="235">
        <v>40583</v>
      </c>
      <c r="K24" s="239" t="s">
        <v>4365</v>
      </c>
      <c r="L24" s="240">
        <v>195</v>
      </c>
      <c r="M24" s="241">
        <v>0</v>
      </c>
      <c r="N24" s="27">
        <v>0</v>
      </c>
      <c r="O24" s="72">
        <v>195</v>
      </c>
      <c r="P24" s="72">
        <v>0</v>
      </c>
    </row>
    <row r="25" spans="2:16" s="22" customFormat="1" ht="27">
      <c r="B25" s="8">
        <f t="shared" si="2"/>
        <v>14</v>
      </c>
      <c r="C25" s="245" t="s">
        <v>2649</v>
      </c>
      <c r="D25" s="232">
        <v>40360</v>
      </c>
      <c r="E25" s="232">
        <v>41455</v>
      </c>
      <c r="F25" s="236">
        <v>1746</v>
      </c>
      <c r="G25" s="234">
        <v>262.5</v>
      </c>
      <c r="H25" s="231">
        <v>28698.5</v>
      </c>
      <c r="I25" s="237" t="s">
        <v>344</v>
      </c>
      <c r="J25" s="235">
        <v>40583</v>
      </c>
      <c r="K25" s="239" t="s">
        <v>4365</v>
      </c>
      <c r="L25" s="240">
        <v>3846.5</v>
      </c>
      <c r="M25" s="241">
        <v>0</v>
      </c>
      <c r="N25" s="27">
        <v>0</v>
      </c>
      <c r="O25" s="72">
        <v>3846.5</v>
      </c>
      <c r="P25" s="72">
        <v>0</v>
      </c>
    </row>
    <row r="26" spans="2:16" s="22" customFormat="1" ht="27">
      <c r="B26" s="8">
        <f t="shared" si="2"/>
        <v>15</v>
      </c>
      <c r="C26" s="245" t="s">
        <v>2650</v>
      </c>
      <c r="D26" s="232">
        <v>40360</v>
      </c>
      <c r="E26" s="232">
        <v>41455</v>
      </c>
      <c r="F26" s="236">
        <v>1746</v>
      </c>
      <c r="G26" s="234">
        <v>110</v>
      </c>
      <c r="H26" s="231">
        <v>11453</v>
      </c>
      <c r="I26" s="237" t="s">
        <v>344</v>
      </c>
      <c r="J26" s="235">
        <v>40583</v>
      </c>
      <c r="K26" s="239" t="s">
        <v>4365</v>
      </c>
      <c r="L26" s="240">
        <v>1535</v>
      </c>
      <c r="M26" s="241">
        <v>0</v>
      </c>
      <c r="N26" s="27">
        <v>0</v>
      </c>
      <c r="O26" s="72">
        <v>1535</v>
      </c>
      <c r="P26" s="72">
        <v>0</v>
      </c>
    </row>
    <row r="27" spans="2:16" s="22" customFormat="1" ht="27">
      <c r="B27" s="8">
        <f t="shared" si="2"/>
        <v>16</v>
      </c>
      <c r="C27" s="245" t="s">
        <v>2651</v>
      </c>
      <c r="D27" s="232">
        <v>40360</v>
      </c>
      <c r="E27" s="232">
        <v>41455</v>
      </c>
      <c r="F27" s="236">
        <v>1746</v>
      </c>
      <c r="G27" s="234">
        <v>2</v>
      </c>
      <c r="H27" s="231">
        <v>130358</v>
      </c>
      <c r="I27" s="237" t="s">
        <v>344</v>
      </c>
      <c r="J27" s="235">
        <v>40583</v>
      </c>
      <c r="K27" s="239" t="s">
        <v>4365</v>
      </c>
      <c r="L27" s="240">
        <v>17471</v>
      </c>
      <c r="M27" s="241">
        <v>0</v>
      </c>
      <c r="N27" s="27">
        <v>0</v>
      </c>
      <c r="O27" s="72">
        <v>17471</v>
      </c>
      <c r="P27" s="72">
        <v>0</v>
      </c>
    </row>
    <row r="28" spans="2:16" s="22" customFormat="1" ht="68.25">
      <c r="B28" s="8">
        <f t="shared" si="2"/>
        <v>17</v>
      </c>
      <c r="C28" s="245" t="s">
        <v>4061</v>
      </c>
      <c r="D28" s="232">
        <v>40026</v>
      </c>
      <c r="E28" s="232">
        <v>40755</v>
      </c>
      <c r="F28" s="236">
        <v>286</v>
      </c>
      <c r="G28" s="234" t="s">
        <v>314</v>
      </c>
      <c r="H28" s="231">
        <v>2922730</v>
      </c>
      <c r="I28" s="247" t="s">
        <v>435</v>
      </c>
      <c r="J28" s="235">
        <v>40613</v>
      </c>
      <c r="K28" s="239" t="s">
        <v>4365</v>
      </c>
      <c r="L28" s="240">
        <v>0</v>
      </c>
      <c r="M28" s="241">
        <v>0</v>
      </c>
      <c r="N28" s="27">
        <v>0</v>
      </c>
      <c r="O28" s="72">
        <v>0</v>
      </c>
      <c r="P28" s="72">
        <v>0</v>
      </c>
    </row>
    <row r="29" spans="2:16" s="22" customFormat="1" ht="54">
      <c r="B29" s="8">
        <f t="shared" si="2"/>
        <v>18</v>
      </c>
      <c r="C29" s="239" t="s">
        <v>3851</v>
      </c>
      <c r="D29" s="232">
        <v>41183</v>
      </c>
      <c r="E29" s="232">
        <v>43373</v>
      </c>
      <c r="F29" s="236">
        <v>1279</v>
      </c>
      <c r="G29" s="234" t="s">
        <v>314</v>
      </c>
      <c r="H29" s="231">
        <v>1882857</v>
      </c>
      <c r="I29" s="237" t="s">
        <v>3853</v>
      </c>
      <c r="J29" s="235">
        <v>42095</v>
      </c>
      <c r="K29" s="239" t="s">
        <v>288</v>
      </c>
      <c r="L29" s="240">
        <v>1882856</v>
      </c>
      <c r="M29" s="241">
        <v>0</v>
      </c>
      <c r="N29" s="27">
        <v>0</v>
      </c>
      <c r="O29" s="72">
        <v>1882857</v>
      </c>
      <c r="P29" s="72">
        <v>0</v>
      </c>
    </row>
    <row r="30" spans="2:16" s="22" customFormat="1" ht="27">
      <c r="B30" s="8">
        <f t="shared" si="2"/>
        <v>19</v>
      </c>
      <c r="C30" s="239" t="s">
        <v>3852</v>
      </c>
      <c r="D30" s="232">
        <v>41183</v>
      </c>
      <c r="E30" s="232">
        <v>43373</v>
      </c>
      <c r="F30" s="236">
        <v>1279</v>
      </c>
      <c r="G30" s="234" t="s">
        <v>314</v>
      </c>
      <c r="H30" s="231">
        <v>2021331</v>
      </c>
      <c r="I30" s="237" t="s">
        <v>3854</v>
      </c>
      <c r="J30" s="235">
        <v>42095</v>
      </c>
      <c r="K30" s="239" t="s">
        <v>288</v>
      </c>
      <c r="L30" s="240">
        <v>2021330</v>
      </c>
      <c r="M30" s="241">
        <v>0</v>
      </c>
      <c r="N30" s="27">
        <v>0</v>
      </c>
      <c r="O30" s="72">
        <v>2021331</v>
      </c>
      <c r="P30" s="72">
        <v>0</v>
      </c>
    </row>
    <row r="31" spans="2:16" s="22" customFormat="1" ht="27">
      <c r="B31" s="8">
        <f t="shared" si="2"/>
        <v>20</v>
      </c>
      <c r="C31" s="239" t="s">
        <v>3855</v>
      </c>
      <c r="D31" s="232">
        <v>41183</v>
      </c>
      <c r="E31" s="232">
        <v>43373</v>
      </c>
      <c r="F31" s="236">
        <v>1279</v>
      </c>
      <c r="G31" s="234" t="s">
        <v>314</v>
      </c>
      <c r="H31" s="231">
        <v>4684696</v>
      </c>
      <c r="I31" s="237" t="s">
        <v>3857</v>
      </c>
      <c r="J31" s="235">
        <v>42095</v>
      </c>
      <c r="K31" s="239" t="s">
        <v>288</v>
      </c>
      <c r="L31" s="240">
        <v>4684695</v>
      </c>
      <c r="M31" s="241">
        <v>0</v>
      </c>
      <c r="N31" s="27">
        <v>0</v>
      </c>
      <c r="O31" s="72">
        <v>4684696</v>
      </c>
      <c r="P31" s="72">
        <v>0</v>
      </c>
    </row>
    <row r="32" spans="2:16" s="22" customFormat="1" ht="27">
      <c r="B32" s="8">
        <f t="shared" si="2"/>
        <v>21</v>
      </c>
      <c r="C32" s="239" t="s">
        <v>3856</v>
      </c>
      <c r="D32" s="232">
        <v>41183</v>
      </c>
      <c r="E32" s="232">
        <v>43373</v>
      </c>
      <c r="F32" s="236">
        <v>1279</v>
      </c>
      <c r="G32" s="234" t="s">
        <v>314</v>
      </c>
      <c r="H32" s="231">
        <v>3565452</v>
      </c>
      <c r="I32" s="237" t="s">
        <v>3858</v>
      </c>
      <c r="J32" s="235">
        <v>42095</v>
      </c>
      <c r="K32" s="239" t="s">
        <v>288</v>
      </c>
      <c r="L32" s="240">
        <v>3565452</v>
      </c>
      <c r="M32" s="241">
        <v>0</v>
      </c>
      <c r="N32" s="27">
        <v>0</v>
      </c>
      <c r="O32" s="72">
        <v>3565452</v>
      </c>
      <c r="P32" s="72">
        <v>0</v>
      </c>
    </row>
    <row r="33" spans="2:16" s="22" customFormat="1" ht="40.5">
      <c r="B33" s="8">
        <f t="shared" si="2"/>
        <v>22</v>
      </c>
      <c r="C33" s="239" t="s">
        <v>3859</v>
      </c>
      <c r="D33" s="232">
        <v>41183</v>
      </c>
      <c r="E33" s="232">
        <v>43373</v>
      </c>
      <c r="F33" s="236">
        <v>1279</v>
      </c>
      <c r="G33" s="234" t="s">
        <v>314</v>
      </c>
      <c r="H33" s="231">
        <v>2211433</v>
      </c>
      <c r="I33" s="237" t="s">
        <v>3864</v>
      </c>
      <c r="J33" s="235">
        <v>42095</v>
      </c>
      <c r="K33" s="239" t="s">
        <v>288</v>
      </c>
      <c r="L33" s="240">
        <v>2211433</v>
      </c>
      <c r="M33" s="241">
        <v>0</v>
      </c>
      <c r="N33" s="27">
        <v>0</v>
      </c>
      <c r="O33" s="72">
        <v>2211433</v>
      </c>
      <c r="P33" s="72">
        <v>0</v>
      </c>
    </row>
    <row r="34" spans="2:16" s="22" customFormat="1" ht="81">
      <c r="B34" s="8">
        <f t="shared" si="2"/>
        <v>23</v>
      </c>
      <c r="C34" s="239" t="s">
        <v>3860</v>
      </c>
      <c r="D34" s="232">
        <v>41183</v>
      </c>
      <c r="E34" s="232">
        <v>43373</v>
      </c>
      <c r="F34" s="236">
        <v>1279</v>
      </c>
      <c r="G34" s="234" t="s">
        <v>314</v>
      </c>
      <c r="H34" s="231">
        <v>842138</v>
      </c>
      <c r="I34" s="237" t="s">
        <v>3865</v>
      </c>
      <c r="J34" s="235">
        <v>42095</v>
      </c>
      <c r="K34" s="239" t="s">
        <v>288</v>
      </c>
      <c r="L34" s="240">
        <v>842138</v>
      </c>
      <c r="M34" s="241">
        <v>0</v>
      </c>
      <c r="N34" s="27">
        <v>0</v>
      </c>
      <c r="O34" s="72">
        <v>842138</v>
      </c>
      <c r="P34" s="72">
        <v>0</v>
      </c>
    </row>
    <row r="35" spans="2:16" s="22" customFormat="1" ht="40.5">
      <c r="B35" s="8">
        <f t="shared" si="2"/>
        <v>24</v>
      </c>
      <c r="C35" s="239" t="s">
        <v>3861</v>
      </c>
      <c r="D35" s="232">
        <v>41183</v>
      </c>
      <c r="E35" s="232">
        <v>43373</v>
      </c>
      <c r="F35" s="236">
        <v>1279</v>
      </c>
      <c r="G35" s="234" t="s">
        <v>314</v>
      </c>
      <c r="H35" s="231">
        <v>1022310</v>
      </c>
      <c r="I35" s="237" t="s">
        <v>3866</v>
      </c>
      <c r="J35" s="235">
        <v>42095</v>
      </c>
      <c r="K35" s="239" t="s">
        <v>288</v>
      </c>
      <c r="L35" s="240">
        <v>1022310</v>
      </c>
      <c r="M35" s="241">
        <v>0</v>
      </c>
      <c r="N35" s="27">
        <v>0</v>
      </c>
      <c r="O35" s="72">
        <v>1022310</v>
      </c>
      <c r="P35" s="72">
        <v>0</v>
      </c>
    </row>
    <row r="36" spans="2:16" s="22" customFormat="1" ht="27">
      <c r="B36" s="8">
        <f t="shared" si="2"/>
        <v>25</v>
      </c>
      <c r="C36" s="239" t="s">
        <v>3862</v>
      </c>
      <c r="D36" s="232">
        <v>41183</v>
      </c>
      <c r="E36" s="232">
        <v>43373</v>
      </c>
      <c r="F36" s="236">
        <v>935</v>
      </c>
      <c r="G36" s="234" t="s">
        <v>314</v>
      </c>
      <c r="H36" s="231">
        <v>4631349</v>
      </c>
      <c r="I36" s="237" t="s">
        <v>3867</v>
      </c>
      <c r="J36" s="235">
        <v>42439</v>
      </c>
      <c r="K36" s="239" t="s">
        <v>288</v>
      </c>
      <c r="L36" s="240">
        <v>4631348</v>
      </c>
      <c r="M36" s="241">
        <v>0</v>
      </c>
      <c r="N36" s="27">
        <v>0</v>
      </c>
      <c r="O36" s="72">
        <v>4631349</v>
      </c>
      <c r="P36" s="72">
        <v>0</v>
      </c>
    </row>
    <row r="37" spans="2:16" s="22" customFormat="1" ht="27">
      <c r="B37" s="8">
        <f t="shared" si="2"/>
        <v>26</v>
      </c>
      <c r="C37" s="239" t="s">
        <v>3862</v>
      </c>
      <c r="D37" s="232">
        <v>41183</v>
      </c>
      <c r="E37" s="232">
        <v>43373</v>
      </c>
      <c r="F37" s="236">
        <v>935</v>
      </c>
      <c r="G37" s="234" t="s">
        <v>314</v>
      </c>
      <c r="H37" s="231">
        <v>4631350</v>
      </c>
      <c r="I37" s="237" t="s">
        <v>3867</v>
      </c>
      <c r="J37" s="235">
        <v>42439</v>
      </c>
      <c r="K37" s="239" t="s">
        <v>288</v>
      </c>
      <c r="L37" s="240">
        <v>4631350</v>
      </c>
      <c r="M37" s="241">
        <v>0</v>
      </c>
      <c r="N37" s="27">
        <v>0</v>
      </c>
      <c r="O37" s="72">
        <v>4631350</v>
      </c>
      <c r="P37" s="72">
        <v>0</v>
      </c>
    </row>
    <row r="38" spans="2:16" s="22" customFormat="1" ht="27">
      <c r="B38" s="8">
        <f t="shared" si="2"/>
        <v>27</v>
      </c>
      <c r="C38" s="239" t="s">
        <v>3863</v>
      </c>
      <c r="D38" s="232">
        <v>41183</v>
      </c>
      <c r="E38" s="232">
        <v>43373</v>
      </c>
      <c r="F38" s="236">
        <v>1279</v>
      </c>
      <c r="G38" s="234" t="s">
        <v>314</v>
      </c>
      <c r="H38" s="231">
        <v>71753</v>
      </c>
      <c r="I38" s="237" t="s">
        <v>3868</v>
      </c>
      <c r="J38" s="235">
        <v>42095</v>
      </c>
      <c r="K38" s="239" t="s">
        <v>288</v>
      </c>
      <c r="L38" s="240">
        <v>71753</v>
      </c>
      <c r="M38" s="241">
        <v>0</v>
      </c>
      <c r="N38" s="27">
        <v>0</v>
      </c>
      <c r="O38" s="72">
        <v>71753</v>
      </c>
      <c r="P38" s="72">
        <v>0</v>
      </c>
    </row>
    <row r="39" spans="2:16" s="22" customFormat="1" ht="14.25">
      <c r="B39" s="44" t="s">
        <v>99</v>
      </c>
      <c r="C39" s="244"/>
      <c r="D39" s="239"/>
      <c r="E39" s="239"/>
      <c r="F39" s="239"/>
      <c r="G39" s="234"/>
      <c r="H39" s="248"/>
      <c r="I39" s="234"/>
      <c r="J39" s="235"/>
      <c r="K39" s="239"/>
      <c r="L39" s="240">
        <v>0</v>
      </c>
      <c r="M39" s="228"/>
      <c r="N39" s="25"/>
      <c r="O39" s="25"/>
      <c r="P39" s="25"/>
    </row>
    <row r="40" spans="2:16" s="22" customFormat="1" ht="28.5">
      <c r="B40" s="15">
        <v>1</v>
      </c>
      <c r="C40" s="249" t="s">
        <v>4062</v>
      </c>
      <c r="D40" s="232">
        <v>39953</v>
      </c>
      <c r="E40" s="232">
        <v>41048</v>
      </c>
      <c r="F40" s="236">
        <v>1906</v>
      </c>
      <c r="G40" s="230">
        <v>1</v>
      </c>
      <c r="H40" s="250">
        <v>3948310</v>
      </c>
      <c r="I40" s="230" t="s">
        <v>42</v>
      </c>
      <c r="J40" s="233">
        <v>40096</v>
      </c>
      <c r="K40" s="239" t="s">
        <v>4365</v>
      </c>
      <c r="L40" s="240">
        <v>0</v>
      </c>
      <c r="M40" s="241">
        <v>0</v>
      </c>
      <c r="N40" s="27">
        <v>0</v>
      </c>
      <c r="O40" s="72">
        <v>0</v>
      </c>
      <c r="P40" s="72">
        <v>0</v>
      </c>
    </row>
    <row r="41" spans="2:16" s="22" customFormat="1" ht="27">
      <c r="B41" s="15">
        <v>2</v>
      </c>
      <c r="C41" s="249" t="s">
        <v>4063</v>
      </c>
      <c r="D41" s="232">
        <v>39953</v>
      </c>
      <c r="E41" s="232">
        <v>41048</v>
      </c>
      <c r="F41" s="236">
        <v>1906</v>
      </c>
      <c r="G41" s="230">
        <v>6</v>
      </c>
      <c r="H41" s="250">
        <v>133566</v>
      </c>
      <c r="I41" s="228">
        <v>1011</v>
      </c>
      <c r="J41" s="233">
        <v>40096</v>
      </c>
      <c r="K41" s="239" t="s">
        <v>4365</v>
      </c>
      <c r="L41" s="240">
        <v>0</v>
      </c>
      <c r="M41" s="241">
        <v>0</v>
      </c>
      <c r="N41" s="27">
        <v>0</v>
      </c>
      <c r="O41" s="72">
        <v>0</v>
      </c>
      <c r="P41" s="72">
        <v>0</v>
      </c>
    </row>
    <row r="42" spans="2:16" s="22" customFormat="1" ht="28.5">
      <c r="B42" s="15">
        <f t="shared" ref="B42:B48" si="3">+B41+1</f>
        <v>3</v>
      </c>
      <c r="C42" s="249" t="s">
        <v>4064</v>
      </c>
      <c r="D42" s="232">
        <v>39953</v>
      </c>
      <c r="E42" s="232">
        <v>41048</v>
      </c>
      <c r="F42" s="236">
        <v>1906</v>
      </c>
      <c r="G42" s="230">
        <v>1</v>
      </c>
      <c r="H42" s="250">
        <v>28306</v>
      </c>
      <c r="I42" s="228">
        <v>1011</v>
      </c>
      <c r="J42" s="233">
        <v>40096</v>
      </c>
      <c r="K42" s="239" t="s">
        <v>4365</v>
      </c>
      <c r="L42" s="240">
        <v>0</v>
      </c>
      <c r="M42" s="241">
        <v>0</v>
      </c>
      <c r="N42" s="27">
        <v>0</v>
      </c>
      <c r="O42" s="72">
        <v>0</v>
      </c>
      <c r="P42" s="72">
        <v>0</v>
      </c>
    </row>
    <row r="43" spans="2:16" s="22" customFormat="1" ht="27.75">
      <c r="B43" s="15">
        <f t="shared" si="3"/>
        <v>4</v>
      </c>
      <c r="C43" s="249" t="s">
        <v>4065</v>
      </c>
      <c r="D43" s="232">
        <v>39953</v>
      </c>
      <c r="E43" s="232">
        <v>41048</v>
      </c>
      <c r="F43" s="236">
        <v>1906</v>
      </c>
      <c r="G43" s="230">
        <v>1</v>
      </c>
      <c r="H43" s="250">
        <v>17740</v>
      </c>
      <c r="I43" s="228">
        <v>1011</v>
      </c>
      <c r="J43" s="233">
        <v>40096</v>
      </c>
      <c r="K43" s="239" t="s">
        <v>4365</v>
      </c>
      <c r="L43" s="240">
        <v>0</v>
      </c>
      <c r="M43" s="241">
        <v>0</v>
      </c>
      <c r="N43" s="27">
        <v>0</v>
      </c>
      <c r="O43" s="72">
        <v>0</v>
      </c>
      <c r="P43" s="72">
        <v>0</v>
      </c>
    </row>
    <row r="44" spans="2:16" s="22" customFormat="1" ht="27.75">
      <c r="B44" s="15">
        <f t="shared" si="3"/>
        <v>5</v>
      </c>
      <c r="C44" s="249" t="s">
        <v>4066</v>
      </c>
      <c r="D44" s="232">
        <v>39953</v>
      </c>
      <c r="E44" s="232">
        <v>41048</v>
      </c>
      <c r="F44" s="236">
        <v>1906</v>
      </c>
      <c r="G44" s="230" t="s">
        <v>657</v>
      </c>
      <c r="H44" s="250">
        <v>426598</v>
      </c>
      <c r="I44" s="228">
        <v>1011</v>
      </c>
      <c r="J44" s="233">
        <v>40096</v>
      </c>
      <c r="K44" s="239" t="s">
        <v>4365</v>
      </c>
      <c r="L44" s="240">
        <v>0</v>
      </c>
      <c r="M44" s="241">
        <v>0</v>
      </c>
      <c r="N44" s="27">
        <v>0</v>
      </c>
      <c r="O44" s="72">
        <v>0</v>
      </c>
      <c r="P44" s="72">
        <v>0</v>
      </c>
    </row>
    <row r="45" spans="2:16" s="22" customFormat="1" ht="27.75">
      <c r="B45" s="15">
        <f t="shared" si="3"/>
        <v>6</v>
      </c>
      <c r="C45" s="249" t="s">
        <v>4067</v>
      </c>
      <c r="D45" s="232">
        <v>39953</v>
      </c>
      <c r="E45" s="232">
        <v>41048</v>
      </c>
      <c r="F45" s="236">
        <v>1906</v>
      </c>
      <c r="G45" s="230">
        <v>9</v>
      </c>
      <c r="H45" s="250">
        <v>191968</v>
      </c>
      <c r="I45" s="228">
        <v>1011</v>
      </c>
      <c r="J45" s="233">
        <v>40096</v>
      </c>
      <c r="K45" s="239" t="s">
        <v>4365</v>
      </c>
      <c r="L45" s="240">
        <v>0</v>
      </c>
      <c r="M45" s="241">
        <v>0</v>
      </c>
      <c r="N45" s="27">
        <v>0</v>
      </c>
      <c r="O45" s="72">
        <v>0</v>
      </c>
      <c r="P45" s="72">
        <v>0</v>
      </c>
    </row>
    <row r="46" spans="2:16" s="22" customFormat="1" ht="27">
      <c r="B46" s="15">
        <f t="shared" si="3"/>
        <v>7</v>
      </c>
      <c r="C46" s="249" t="s">
        <v>4068</v>
      </c>
      <c r="D46" s="232">
        <v>39904</v>
      </c>
      <c r="E46" s="232">
        <v>40999</v>
      </c>
      <c r="F46" s="236">
        <v>1808</v>
      </c>
      <c r="G46" s="230">
        <v>62</v>
      </c>
      <c r="H46" s="250">
        <v>974105</v>
      </c>
      <c r="I46" s="241" t="s">
        <v>521</v>
      </c>
      <c r="J46" s="233">
        <v>40096</v>
      </c>
      <c r="K46" s="239" t="s">
        <v>4365</v>
      </c>
      <c r="L46" s="240">
        <v>0</v>
      </c>
      <c r="M46" s="241">
        <v>0</v>
      </c>
      <c r="N46" s="27">
        <v>0</v>
      </c>
      <c r="O46" s="72">
        <v>0</v>
      </c>
      <c r="P46" s="72">
        <v>0</v>
      </c>
    </row>
    <row r="47" spans="2:16" s="22" customFormat="1" ht="28.5">
      <c r="B47" s="15">
        <f t="shared" si="3"/>
        <v>8</v>
      </c>
      <c r="C47" s="249" t="s">
        <v>4069</v>
      </c>
      <c r="D47" s="232">
        <v>39904</v>
      </c>
      <c r="E47" s="232">
        <v>40999</v>
      </c>
      <c r="F47" s="236">
        <v>1808</v>
      </c>
      <c r="G47" s="230">
        <v>1</v>
      </c>
      <c r="H47" s="250">
        <v>79930</v>
      </c>
      <c r="I47" s="228">
        <v>1011</v>
      </c>
      <c r="J47" s="233">
        <v>40096</v>
      </c>
      <c r="K47" s="239" t="s">
        <v>4365</v>
      </c>
      <c r="L47" s="240">
        <v>0</v>
      </c>
      <c r="M47" s="241">
        <v>0</v>
      </c>
      <c r="N47" s="27">
        <v>0</v>
      </c>
      <c r="O47" s="72">
        <v>0</v>
      </c>
      <c r="P47" s="72">
        <v>0</v>
      </c>
    </row>
    <row r="48" spans="2:16" s="22" customFormat="1">
      <c r="B48" s="15">
        <f t="shared" si="3"/>
        <v>9</v>
      </c>
      <c r="C48" s="249" t="s">
        <v>4403</v>
      </c>
      <c r="D48" s="232">
        <v>41183</v>
      </c>
      <c r="E48" s="232">
        <v>43373</v>
      </c>
      <c r="F48" s="236">
        <v>1279</v>
      </c>
      <c r="G48" s="230" t="s">
        <v>314</v>
      </c>
      <c r="H48" s="250">
        <v>20000000</v>
      </c>
      <c r="I48" s="490" t="s">
        <v>4666</v>
      </c>
      <c r="J48" s="235">
        <v>42095</v>
      </c>
      <c r="K48" s="239"/>
      <c r="L48" s="240">
        <v>20000000</v>
      </c>
      <c r="M48" s="241">
        <v>0</v>
      </c>
      <c r="N48" s="27">
        <v>0</v>
      </c>
      <c r="O48" s="72">
        <v>20000000</v>
      </c>
      <c r="P48" s="72">
        <v>0</v>
      </c>
    </row>
    <row r="49" spans="2:16" s="22" customFormat="1" ht="14.25">
      <c r="B49" s="32" t="s">
        <v>2634</v>
      </c>
      <c r="C49" s="229"/>
      <c r="D49" s="228"/>
      <c r="E49" s="228"/>
      <c r="F49" s="228"/>
      <c r="G49" s="230"/>
      <c r="H49" s="252"/>
      <c r="I49" s="253"/>
      <c r="J49" s="230"/>
      <c r="K49" s="228"/>
      <c r="L49" s="240"/>
      <c r="M49" s="228"/>
      <c r="N49" s="25"/>
      <c r="O49" s="25"/>
      <c r="P49" s="25"/>
    </row>
    <row r="50" spans="2:16" s="22" customFormat="1" ht="54.75">
      <c r="B50" s="15">
        <v>1</v>
      </c>
      <c r="C50" s="249" t="s">
        <v>4070</v>
      </c>
      <c r="D50" s="232">
        <v>39965</v>
      </c>
      <c r="E50" s="232">
        <v>40724</v>
      </c>
      <c r="F50" s="236">
        <v>854</v>
      </c>
      <c r="G50" s="230">
        <v>1</v>
      </c>
      <c r="H50" s="250">
        <v>23997</v>
      </c>
      <c r="I50" s="254" t="s">
        <v>940</v>
      </c>
      <c r="J50" s="233">
        <v>40298</v>
      </c>
      <c r="K50" s="228" t="s">
        <v>161</v>
      </c>
      <c r="L50" s="240">
        <v>0</v>
      </c>
      <c r="M50" s="241">
        <v>0</v>
      </c>
      <c r="N50" s="27">
        <v>0</v>
      </c>
      <c r="O50" s="72">
        <v>0</v>
      </c>
      <c r="P50" s="72">
        <v>0</v>
      </c>
    </row>
    <row r="51" spans="2:16" s="22" customFormat="1" ht="14.25">
      <c r="B51" s="15"/>
      <c r="C51" s="244"/>
      <c r="D51" s="239"/>
      <c r="E51" s="232"/>
      <c r="F51" s="236"/>
      <c r="G51" s="234"/>
      <c r="H51" s="248"/>
      <c r="I51" s="234"/>
      <c r="J51" s="235"/>
      <c r="K51" s="239"/>
      <c r="L51" s="240"/>
      <c r="M51" s="228"/>
      <c r="N51" s="25"/>
      <c r="O51" s="25"/>
      <c r="P51" s="25"/>
    </row>
    <row r="52" spans="2:16" s="22" customFormat="1" ht="67.5">
      <c r="B52" s="8">
        <v>2</v>
      </c>
      <c r="C52" s="245" t="s">
        <v>3869</v>
      </c>
      <c r="D52" s="235">
        <v>41183</v>
      </c>
      <c r="E52" s="235">
        <v>43373</v>
      </c>
      <c r="F52" s="236">
        <v>1279</v>
      </c>
      <c r="G52" s="234" t="s">
        <v>887</v>
      </c>
      <c r="H52" s="231">
        <v>7958566</v>
      </c>
      <c r="I52" s="243" t="s">
        <v>3872</v>
      </c>
      <c r="J52" s="235">
        <v>42095</v>
      </c>
      <c r="K52" s="239" t="s">
        <v>288</v>
      </c>
      <c r="L52" s="240">
        <v>7958566</v>
      </c>
      <c r="M52" s="241">
        <v>0</v>
      </c>
      <c r="N52" s="27">
        <v>0</v>
      </c>
      <c r="O52" s="72">
        <v>7958566</v>
      </c>
      <c r="P52" s="72">
        <v>0</v>
      </c>
    </row>
    <row r="53" spans="2:16" s="22" customFormat="1" ht="40.5">
      <c r="B53" s="8">
        <f>+B52+1</f>
        <v>3</v>
      </c>
      <c r="C53" s="114" t="s">
        <v>3870</v>
      </c>
      <c r="D53" s="235">
        <v>41183</v>
      </c>
      <c r="E53" s="235">
        <v>43373</v>
      </c>
      <c r="F53" s="236">
        <v>1279</v>
      </c>
      <c r="G53" s="234" t="s">
        <v>887</v>
      </c>
      <c r="H53" s="231">
        <v>134069</v>
      </c>
      <c r="I53" s="243" t="s">
        <v>3873</v>
      </c>
      <c r="J53" s="235">
        <v>42095</v>
      </c>
      <c r="K53" s="239" t="s">
        <v>288</v>
      </c>
      <c r="L53" s="240">
        <v>134069</v>
      </c>
      <c r="M53" s="241">
        <v>0</v>
      </c>
      <c r="N53" s="27">
        <v>0</v>
      </c>
      <c r="O53" s="72">
        <v>134069</v>
      </c>
      <c r="P53" s="72">
        <v>0</v>
      </c>
    </row>
    <row r="54" spans="2:16" s="22" customFormat="1" ht="40.5">
      <c r="B54" s="8">
        <f t="shared" ref="B54:B55" si="4">+B53+1</f>
        <v>4</v>
      </c>
      <c r="C54" s="114" t="s">
        <v>3870</v>
      </c>
      <c r="D54" s="235">
        <v>41183</v>
      </c>
      <c r="E54" s="235">
        <v>43373</v>
      </c>
      <c r="F54" s="236">
        <v>1279</v>
      </c>
      <c r="G54" s="234" t="s">
        <v>887</v>
      </c>
      <c r="H54" s="231">
        <v>134069</v>
      </c>
      <c r="I54" s="243" t="s">
        <v>3874</v>
      </c>
      <c r="J54" s="235">
        <v>42095</v>
      </c>
      <c r="K54" s="239" t="s">
        <v>288</v>
      </c>
      <c r="L54" s="240">
        <v>134069</v>
      </c>
      <c r="M54" s="241">
        <v>0</v>
      </c>
      <c r="N54" s="27">
        <v>0</v>
      </c>
      <c r="O54" s="72">
        <v>134069</v>
      </c>
      <c r="P54" s="72">
        <v>0</v>
      </c>
    </row>
    <row r="55" spans="2:16" s="22" customFormat="1" ht="27">
      <c r="B55" s="8">
        <f t="shared" si="4"/>
        <v>5</v>
      </c>
      <c r="C55" s="114" t="s">
        <v>3871</v>
      </c>
      <c r="D55" s="235">
        <v>41183</v>
      </c>
      <c r="E55" s="235">
        <v>43373</v>
      </c>
      <c r="F55" s="236">
        <v>1279</v>
      </c>
      <c r="G55" s="234" t="s">
        <v>887</v>
      </c>
      <c r="H55" s="255">
        <v>100500</v>
      </c>
      <c r="I55" s="114" t="s">
        <v>3875</v>
      </c>
      <c r="J55" s="235">
        <v>42095</v>
      </c>
      <c r="K55" s="239" t="s">
        <v>288</v>
      </c>
      <c r="L55" s="240">
        <v>100500</v>
      </c>
      <c r="M55" s="241">
        <v>0</v>
      </c>
      <c r="N55" s="27">
        <v>0</v>
      </c>
      <c r="O55" s="72">
        <v>100500</v>
      </c>
      <c r="P55" s="72">
        <v>0</v>
      </c>
    </row>
    <row r="56" spans="2:16" s="22" customFormat="1" ht="14.25">
      <c r="B56" s="44" t="s">
        <v>0</v>
      </c>
      <c r="C56" s="244"/>
      <c r="D56" s="239"/>
      <c r="E56" s="239"/>
      <c r="F56" s="239"/>
      <c r="G56" s="234"/>
      <c r="H56" s="248"/>
      <c r="I56" s="247"/>
      <c r="J56" s="235"/>
      <c r="K56" s="239"/>
      <c r="L56" s="240"/>
      <c r="M56" s="228"/>
      <c r="N56" s="25"/>
      <c r="O56" s="25"/>
      <c r="P56" s="25"/>
    </row>
    <row r="57" spans="2:16" s="22" customFormat="1">
      <c r="B57" s="8"/>
      <c r="C57" s="50"/>
      <c r="D57" s="40"/>
      <c r="E57" s="40"/>
      <c r="F57" s="105"/>
      <c r="G57" s="8"/>
      <c r="H57" s="46"/>
      <c r="I57" s="47"/>
      <c r="J57" s="106"/>
      <c r="K57" s="45"/>
      <c r="L57" s="34"/>
      <c r="M57" s="25"/>
      <c r="N57" s="25"/>
      <c r="O57" s="25"/>
      <c r="P57" s="25"/>
    </row>
    <row r="58" spans="2:16" s="22" customFormat="1">
      <c r="B58" s="8"/>
      <c r="C58" s="50"/>
      <c r="D58" s="40"/>
      <c r="E58" s="40"/>
      <c r="F58" s="105"/>
      <c r="G58" s="8"/>
      <c r="H58" s="46"/>
      <c r="I58" s="47"/>
      <c r="J58" s="106"/>
      <c r="K58" s="45"/>
      <c r="L58" s="217"/>
      <c r="M58" s="93"/>
      <c r="N58" s="93"/>
      <c r="O58" s="93"/>
      <c r="P58" s="93"/>
    </row>
    <row r="59" spans="2:16" ht="15" thickBot="1">
      <c r="B59" s="168"/>
      <c r="C59" s="222" t="s">
        <v>629</v>
      </c>
      <c r="D59" s="168"/>
      <c r="E59" s="168"/>
      <c r="F59" s="168"/>
      <c r="G59" s="223"/>
      <c r="H59" s="140">
        <f>SUBTOTAL(9,H7:H58)</f>
        <v>66811796.629999995</v>
      </c>
      <c r="I59" s="224"/>
      <c r="J59" s="223"/>
      <c r="K59" s="221"/>
      <c r="L59" s="225">
        <f>SUM(L8:L58)</f>
        <v>56290516.629999995</v>
      </c>
      <c r="M59" s="226"/>
      <c r="N59" s="225">
        <f>SUBTOTAL(9,N7:N58)</f>
        <v>0</v>
      </c>
      <c r="O59" s="225">
        <f>SUBTOTAL(9,O7:O58)</f>
        <v>56290521.629999995</v>
      </c>
      <c r="P59" s="225">
        <f>SUBTOTAL(9,P7:P58)</f>
        <v>0</v>
      </c>
    </row>
    <row r="60" spans="2:16" ht="14.25" thickTop="1">
      <c r="L60" s="4">
        <f>56290516-L59</f>
        <v>-0.62999999523162842</v>
      </c>
      <c r="O60" s="16">
        <f>56290521.63-O59</f>
        <v>0</v>
      </c>
    </row>
    <row r="61" spans="2:16">
      <c r="H61" s="3">
        <f>H59+'Buildg-Others'!E586</f>
        <v>988314422.63</v>
      </c>
      <c r="L61" s="4"/>
    </row>
    <row r="62" spans="2:16" ht="14.25">
      <c r="B62" s="19"/>
      <c r="I62" s="63"/>
    </row>
  </sheetData>
  <autoFilter ref="B5:K62"/>
  <mergeCells count="2">
    <mergeCell ref="M3:P3"/>
    <mergeCell ref="M4:P4"/>
  </mergeCells>
  <phoneticPr fontId="43" type="noConversion"/>
  <printOptions horizontalCentered="1"/>
  <pageMargins left="0" right="0" top="0.25" bottom="0" header="0.5" footer="0.5"/>
  <pageSetup paperSize="9" scale="7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90"/>
  <sheetViews>
    <sheetView zoomScaleNormal="100" workbookViewId="0">
      <pane xSplit="4" ySplit="5" topLeftCell="E548" activePane="bottomRight" state="frozen"/>
      <selection pane="topRight" activeCell="H1" sqref="H1"/>
      <selection pane="bottomLeft" activeCell="A8" sqref="A8"/>
      <selection pane="bottomRight" activeCell="O562" sqref="O562"/>
    </sheetView>
  </sheetViews>
  <sheetFormatPr defaultColWidth="9" defaultRowHeight="13.5"/>
  <cols>
    <col min="1" max="1" width="3.375" style="197" customWidth="1"/>
    <col min="2" max="2" width="24.5" style="197" customWidth="1"/>
    <col min="3" max="3" width="23" style="197" customWidth="1"/>
    <col min="4" max="4" width="24" style="197" customWidth="1"/>
    <col min="5" max="5" width="11.875" style="197" customWidth="1"/>
    <col min="6" max="6" width="3.5" style="197" hidden="1" customWidth="1"/>
    <col min="7" max="8" width="0" style="197" hidden="1" customWidth="1"/>
    <col min="9" max="9" width="9.875" style="197" hidden="1" customWidth="1"/>
    <col min="10" max="10" width="10.875" style="197" hidden="1" customWidth="1"/>
    <col min="11" max="11" width="9.75" style="197" hidden="1" customWidth="1"/>
    <col min="12" max="12" width="10.875" style="197" hidden="1" customWidth="1"/>
    <col min="13" max="13" width="11" style="197" hidden="1" customWidth="1"/>
    <col min="14" max="14" width="11.625" style="197" bestFit="1" customWidth="1"/>
    <col min="15" max="15" width="10.875" style="197" bestFit="1" customWidth="1"/>
    <col min="16" max="16" width="9" style="197"/>
    <col min="17" max="18" width="10.875" style="197" bestFit="1" customWidth="1"/>
    <col min="19" max="16384" width="9" style="197"/>
  </cols>
  <sheetData>
    <row r="2" spans="2:14" ht="14.25">
      <c r="B2" s="442" t="s">
        <v>436</v>
      </c>
      <c r="C2" s="457">
        <f>E528</f>
        <v>3108178939</v>
      </c>
      <c r="D2" s="457">
        <f>E560+E543+E539</f>
        <v>1771477025</v>
      </c>
      <c r="K2" s="457"/>
      <c r="L2" s="457">
        <f>N528</f>
        <v>2727134555</v>
      </c>
      <c r="M2" s="457">
        <f>N562</f>
        <v>1282677581</v>
      </c>
    </row>
    <row r="3" spans="2:14" ht="14.25" thickBot="1">
      <c r="B3" s="197" t="s">
        <v>4100</v>
      </c>
      <c r="G3" s="443"/>
      <c r="L3" s="443"/>
      <c r="M3" s="444"/>
      <c r="N3" s="443"/>
    </row>
    <row r="4" spans="2:14" ht="15" customHeight="1" thickTop="1">
      <c r="B4" s="520" t="s">
        <v>4101</v>
      </c>
      <c r="C4" s="521" t="s">
        <v>4102</v>
      </c>
      <c r="D4" s="521" t="s">
        <v>3022</v>
      </c>
      <c r="E4" s="521" t="s">
        <v>4473</v>
      </c>
      <c r="F4" s="493" t="s">
        <v>3025</v>
      </c>
      <c r="G4" s="494" t="s">
        <v>2471</v>
      </c>
      <c r="H4" s="494" t="s">
        <v>2470</v>
      </c>
      <c r="I4" s="494" t="s">
        <v>2473</v>
      </c>
      <c r="J4" s="495" t="s">
        <v>2472</v>
      </c>
      <c r="K4" s="491">
        <v>44651</v>
      </c>
      <c r="L4" s="491"/>
      <c r="M4" s="491"/>
      <c r="N4" s="492" t="s">
        <v>404</v>
      </c>
    </row>
    <row r="5" spans="2:14" ht="15" hidden="1" thickTop="1">
      <c r="B5" s="445" t="s">
        <v>603</v>
      </c>
      <c r="C5" s="446"/>
      <c r="D5" s="446"/>
      <c r="E5" s="446"/>
      <c r="F5" s="198"/>
      <c r="G5" s="446"/>
      <c r="H5" s="446"/>
      <c r="I5" s="446"/>
      <c r="J5" s="446"/>
      <c r="K5" s="446"/>
      <c r="L5" s="446"/>
      <c r="M5" s="446"/>
      <c r="N5" s="447"/>
    </row>
    <row r="6" spans="2:14" ht="14.25" hidden="1">
      <c r="B6" s="445" t="s">
        <v>2323</v>
      </c>
      <c r="C6" s="446"/>
      <c r="D6" s="446"/>
      <c r="E6" s="446"/>
      <c r="F6" s="198"/>
      <c r="G6" s="446"/>
      <c r="H6" s="446"/>
      <c r="I6" s="446"/>
      <c r="J6" s="446"/>
      <c r="K6" s="446"/>
      <c r="L6" s="448"/>
      <c r="M6" s="446"/>
      <c r="N6" s="447"/>
    </row>
    <row r="7" spans="2:14" ht="27" hidden="1">
      <c r="B7" s="485" t="s">
        <v>2323</v>
      </c>
      <c r="C7" s="463" t="s">
        <v>2614</v>
      </c>
      <c r="D7" s="463" t="s">
        <v>4125</v>
      </c>
      <c r="E7" s="464">
        <v>52342326</v>
      </c>
      <c r="F7" s="465">
        <v>20</v>
      </c>
      <c r="G7" s="466">
        <v>50402</v>
      </c>
      <c r="H7" s="467">
        <v>7307</v>
      </c>
      <c r="I7" s="289">
        <v>2617116</v>
      </c>
      <c r="J7" s="289">
        <v>49725210</v>
      </c>
      <c r="K7" s="468">
        <v>365</v>
      </c>
      <c r="L7" s="289">
        <v>2483879</v>
      </c>
      <c r="M7" s="464">
        <v>10582005</v>
      </c>
      <c r="N7" s="469">
        <v>41760321</v>
      </c>
    </row>
    <row r="8" spans="2:14" ht="40.5" hidden="1">
      <c r="B8" s="485" t="s">
        <v>2323</v>
      </c>
      <c r="C8" s="463" t="s">
        <v>2614</v>
      </c>
      <c r="D8" s="463" t="s">
        <v>4158</v>
      </c>
      <c r="E8" s="464">
        <v>56031862</v>
      </c>
      <c r="F8" s="465">
        <v>20</v>
      </c>
      <c r="G8" s="466">
        <v>50402</v>
      </c>
      <c r="H8" s="467">
        <v>7307</v>
      </c>
      <c r="I8" s="289">
        <v>2801593</v>
      </c>
      <c r="J8" s="289">
        <v>53230269</v>
      </c>
      <c r="K8" s="468">
        <v>365</v>
      </c>
      <c r="L8" s="289">
        <v>2658964</v>
      </c>
      <c r="M8" s="464">
        <v>11327915</v>
      </c>
      <c r="N8" s="469">
        <v>44703947</v>
      </c>
    </row>
    <row r="9" spans="2:14" hidden="1">
      <c r="B9" s="485" t="s">
        <v>2323</v>
      </c>
      <c r="C9" s="463" t="s">
        <v>3031</v>
      </c>
      <c r="D9" s="463" t="s">
        <v>3038</v>
      </c>
      <c r="E9" s="464">
        <v>4940016.1400000006</v>
      </c>
      <c r="F9" s="465">
        <v>5</v>
      </c>
      <c r="G9" s="466">
        <v>44923</v>
      </c>
      <c r="H9" s="467">
        <v>1828</v>
      </c>
      <c r="I9" s="289">
        <v>247001</v>
      </c>
      <c r="J9" s="289">
        <v>4693015.1400000006</v>
      </c>
      <c r="K9" s="468">
        <v>365</v>
      </c>
      <c r="L9" s="289">
        <v>937063</v>
      </c>
      <c r="M9" s="464">
        <v>3992145</v>
      </c>
      <c r="N9" s="469">
        <v>947871.1400000006</v>
      </c>
    </row>
    <row r="10" spans="2:14" ht="27" hidden="1">
      <c r="B10" s="485" t="s">
        <v>2323</v>
      </c>
      <c r="C10" s="463" t="s">
        <v>3031</v>
      </c>
      <c r="D10" s="463" t="s">
        <v>3120</v>
      </c>
      <c r="E10" s="464">
        <v>53152471</v>
      </c>
      <c r="F10" s="465">
        <v>30</v>
      </c>
      <c r="G10" s="466">
        <v>54054</v>
      </c>
      <c r="H10" s="467">
        <v>10959</v>
      </c>
      <c r="I10" s="289">
        <v>2657624</v>
      </c>
      <c r="J10" s="289">
        <v>50494847</v>
      </c>
      <c r="K10" s="468">
        <v>365</v>
      </c>
      <c r="L10" s="289">
        <v>1681779</v>
      </c>
      <c r="M10" s="464">
        <v>7164840</v>
      </c>
      <c r="N10" s="469">
        <v>45987631</v>
      </c>
    </row>
    <row r="11" spans="2:14" ht="27" hidden="1">
      <c r="B11" s="485" t="s">
        <v>2323</v>
      </c>
      <c r="C11" s="463" t="s">
        <v>3031</v>
      </c>
      <c r="D11" s="463" t="s">
        <v>3032</v>
      </c>
      <c r="E11" s="464">
        <v>8404265</v>
      </c>
      <c r="F11" s="465">
        <v>30</v>
      </c>
      <c r="G11" s="466">
        <v>54054</v>
      </c>
      <c r="H11" s="467">
        <v>10959</v>
      </c>
      <c r="I11" s="289">
        <v>420213</v>
      </c>
      <c r="J11" s="289">
        <v>7984052</v>
      </c>
      <c r="K11" s="468">
        <v>365</v>
      </c>
      <c r="L11" s="289">
        <v>265917</v>
      </c>
      <c r="M11" s="464">
        <v>1132879</v>
      </c>
      <c r="N11" s="469">
        <v>7271386</v>
      </c>
    </row>
    <row r="12" spans="2:14" hidden="1">
      <c r="B12" s="485" t="s">
        <v>2323</v>
      </c>
      <c r="C12" s="463" t="s">
        <v>3031</v>
      </c>
      <c r="D12" s="463" t="s">
        <v>4135</v>
      </c>
      <c r="E12" s="464">
        <v>186706044</v>
      </c>
      <c r="F12" s="465">
        <v>30</v>
      </c>
      <c r="G12" s="466">
        <v>54054</v>
      </c>
      <c r="H12" s="467">
        <v>10959</v>
      </c>
      <c r="I12" s="289">
        <v>9335302</v>
      </c>
      <c r="J12" s="289">
        <v>177370742</v>
      </c>
      <c r="K12" s="468">
        <v>365</v>
      </c>
      <c r="L12" s="289">
        <v>5907503</v>
      </c>
      <c r="M12" s="464">
        <v>25167581</v>
      </c>
      <c r="N12" s="469">
        <v>161538463</v>
      </c>
    </row>
    <row r="13" spans="2:14" hidden="1">
      <c r="B13" s="485" t="s">
        <v>2323</v>
      </c>
      <c r="C13" s="463" t="s">
        <v>3031</v>
      </c>
      <c r="D13" s="463" t="s">
        <v>3040</v>
      </c>
      <c r="E13" s="464">
        <v>33606308</v>
      </c>
      <c r="F13" s="465">
        <v>30</v>
      </c>
      <c r="G13" s="466">
        <v>54054</v>
      </c>
      <c r="H13" s="467">
        <v>10959</v>
      </c>
      <c r="I13" s="289">
        <v>1680315</v>
      </c>
      <c r="J13" s="289">
        <v>31925993</v>
      </c>
      <c r="K13" s="468">
        <v>365</v>
      </c>
      <c r="L13" s="289">
        <v>1063326</v>
      </c>
      <c r="M13" s="464">
        <v>4530060</v>
      </c>
      <c r="N13" s="469">
        <v>29076248</v>
      </c>
    </row>
    <row r="14" spans="2:14" hidden="1">
      <c r="B14" s="485" t="s">
        <v>2323</v>
      </c>
      <c r="C14" s="463" t="s">
        <v>3031</v>
      </c>
      <c r="D14" s="463" t="s">
        <v>4165</v>
      </c>
      <c r="E14" s="464">
        <v>335934590</v>
      </c>
      <c r="F14" s="465">
        <v>30</v>
      </c>
      <c r="G14" s="466">
        <v>54054</v>
      </c>
      <c r="H14" s="467">
        <v>10959</v>
      </c>
      <c r="I14" s="289">
        <v>16796730</v>
      </c>
      <c r="J14" s="289">
        <v>319137860</v>
      </c>
      <c r="K14" s="468">
        <v>365</v>
      </c>
      <c r="L14" s="289">
        <v>10629192</v>
      </c>
      <c r="M14" s="464">
        <v>45283270</v>
      </c>
      <c r="N14" s="469">
        <v>290651320</v>
      </c>
    </row>
    <row r="15" spans="2:14" hidden="1">
      <c r="B15" s="485" t="s">
        <v>2323</v>
      </c>
      <c r="C15" s="463" t="s">
        <v>3031</v>
      </c>
      <c r="D15" s="463" t="s">
        <v>3041</v>
      </c>
      <c r="E15" s="464">
        <v>4479190</v>
      </c>
      <c r="F15" s="465">
        <v>30</v>
      </c>
      <c r="G15" s="466">
        <v>54054</v>
      </c>
      <c r="H15" s="467">
        <v>10959</v>
      </c>
      <c r="I15" s="289">
        <v>223960</v>
      </c>
      <c r="J15" s="289">
        <v>4255230</v>
      </c>
      <c r="K15" s="468">
        <v>365</v>
      </c>
      <c r="L15" s="289">
        <v>141725</v>
      </c>
      <c r="M15" s="464">
        <v>603787</v>
      </c>
      <c r="N15" s="469">
        <v>3875403</v>
      </c>
    </row>
    <row r="16" spans="2:14" hidden="1">
      <c r="B16" s="485" t="s">
        <v>2323</v>
      </c>
      <c r="C16" s="463" t="s">
        <v>3031</v>
      </c>
      <c r="D16" s="463" t="s">
        <v>3042</v>
      </c>
      <c r="E16" s="464">
        <v>6718643</v>
      </c>
      <c r="F16" s="465">
        <v>30</v>
      </c>
      <c r="G16" s="466">
        <v>54054</v>
      </c>
      <c r="H16" s="467">
        <v>10959</v>
      </c>
      <c r="I16" s="289">
        <v>335932</v>
      </c>
      <c r="J16" s="289">
        <v>6382711</v>
      </c>
      <c r="K16" s="468">
        <v>365</v>
      </c>
      <c r="L16" s="289">
        <v>212582</v>
      </c>
      <c r="M16" s="464">
        <v>905658</v>
      </c>
      <c r="N16" s="469">
        <v>5812985</v>
      </c>
    </row>
    <row r="17" spans="2:14" hidden="1">
      <c r="B17" s="485" t="s">
        <v>2323</v>
      </c>
      <c r="C17" s="463" t="s">
        <v>3031</v>
      </c>
      <c r="D17" s="463" t="s">
        <v>4166</v>
      </c>
      <c r="E17" s="464">
        <v>4479190</v>
      </c>
      <c r="F17" s="465">
        <v>20</v>
      </c>
      <c r="G17" s="466">
        <v>50402</v>
      </c>
      <c r="H17" s="467">
        <v>7307</v>
      </c>
      <c r="I17" s="289">
        <v>223960</v>
      </c>
      <c r="J17" s="289">
        <v>4255230</v>
      </c>
      <c r="K17" s="468">
        <v>365</v>
      </c>
      <c r="L17" s="289">
        <v>212558</v>
      </c>
      <c r="M17" s="464">
        <v>905555</v>
      </c>
      <c r="N17" s="469">
        <v>3573635</v>
      </c>
    </row>
    <row r="18" spans="2:14" hidden="1">
      <c r="B18" s="485" t="s">
        <v>2323</v>
      </c>
      <c r="C18" s="463" t="s">
        <v>3031</v>
      </c>
      <c r="D18" s="463" t="s">
        <v>3044</v>
      </c>
      <c r="E18" s="464">
        <v>22395670</v>
      </c>
      <c r="F18" s="465">
        <v>20</v>
      </c>
      <c r="G18" s="466">
        <v>50402</v>
      </c>
      <c r="H18" s="467">
        <v>7307</v>
      </c>
      <c r="I18" s="289">
        <v>1119784</v>
      </c>
      <c r="J18" s="289">
        <v>21275886</v>
      </c>
      <c r="K18" s="468">
        <v>365</v>
      </c>
      <c r="L18" s="289">
        <v>1062775</v>
      </c>
      <c r="M18" s="464">
        <v>4527713</v>
      </c>
      <c r="N18" s="469">
        <v>17867957</v>
      </c>
    </row>
    <row r="19" spans="2:14" ht="27" hidden="1">
      <c r="B19" s="485" t="s">
        <v>2323</v>
      </c>
      <c r="C19" s="463" t="s">
        <v>3031</v>
      </c>
      <c r="D19" s="463" t="s">
        <v>3045</v>
      </c>
      <c r="E19" s="464">
        <v>2239595</v>
      </c>
      <c r="F19" s="465">
        <v>20</v>
      </c>
      <c r="G19" s="466">
        <v>50402</v>
      </c>
      <c r="H19" s="467">
        <v>7307</v>
      </c>
      <c r="I19" s="289">
        <v>111980</v>
      </c>
      <c r="J19" s="289">
        <v>2127615</v>
      </c>
      <c r="K19" s="468">
        <v>365</v>
      </c>
      <c r="L19" s="289">
        <v>106279</v>
      </c>
      <c r="M19" s="464">
        <v>452777</v>
      </c>
      <c r="N19" s="469">
        <v>1786818</v>
      </c>
    </row>
    <row r="20" spans="2:14" ht="27" hidden="1">
      <c r="B20" s="485" t="s">
        <v>2323</v>
      </c>
      <c r="C20" s="463" t="s">
        <v>3031</v>
      </c>
      <c r="D20" s="463" t="s">
        <v>3046</v>
      </c>
      <c r="E20" s="464">
        <v>2239595</v>
      </c>
      <c r="F20" s="465">
        <v>20</v>
      </c>
      <c r="G20" s="466">
        <v>50402</v>
      </c>
      <c r="H20" s="467">
        <v>7307</v>
      </c>
      <c r="I20" s="289">
        <v>111980</v>
      </c>
      <c r="J20" s="289">
        <v>2127615</v>
      </c>
      <c r="K20" s="468">
        <v>365</v>
      </c>
      <c r="L20" s="289">
        <v>106279</v>
      </c>
      <c r="M20" s="464">
        <v>452777</v>
      </c>
      <c r="N20" s="469">
        <v>1786818</v>
      </c>
    </row>
    <row r="21" spans="2:14" hidden="1">
      <c r="B21" s="485" t="s">
        <v>2323</v>
      </c>
      <c r="C21" s="463" t="s">
        <v>3031</v>
      </c>
      <c r="D21" s="463" t="s">
        <v>4167</v>
      </c>
      <c r="E21" s="464">
        <v>22395670</v>
      </c>
      <c r="F21" s="465">
        <v>20</v>
      </c>
      <c r="G21" s="466">
        <v>50402</v>
      </c>
      <c r="H21" s="467">
        <v>7307</v>
      </c>
      <c r="I21" s="289">
        <v>1119784</v>
      </c>
      <c r="J21" s="289">
        <v>21275886</v>
      </c>
      <c r="K21" s="468">
        <v>365</v>
      </c>
      <c r="L21" s="289">
        <v>1062775</v>
      </c>
      <c r="M21" s="464">
        <v>4527713</v>
      </c>
      <c r="N21" s="469">
        <v>17867957</v>
      </c>
    </row>
    <row r="22" spans="2:14" hidden="1">
      <c r="B22" s="485" t="s">
        <v>2323</v>
      </c>
      <c r="C22" s="463" t="s">
        <v>3031</v>
      </c>
      <c r="D22" s="463" t="s">
        <v>4168</v>
      </c>
      <c r="E22" s="464">
        <v>8062459</v>
      </c>
      <c r="F22" s="465">
        <v>20</v>
      </c>
      <c r="G22" s="466">
        <v>50402</v>
      </c>
      <c r="H22" s="467">
        <v>7307</v>
      </c>
      <c r="I22" s="289">
        <v>403123</v>
      </c>
      <c r="J22" s="289">
        <v>7659336</v>
      </c>
      <c r="K22" s="468">
        <v>365</v>
      </c>
      <c r="L22" s="289">
        <v>382600</v>
      </c>
      <c r="M22" s="464">
        <v>1629981</v>
      </c>
      <c r="N22" s="469">
        <v>6432478</v>
      </c>
    </row>
    <row r="23" spans="2:14" hidden="1">
      <c r="B23" s="485" t="s">
        <v>2323</v>
      </c>
      <c r="C23" s="463" t="s">
        <v>3031</v>
      </c>
      <c r="D23" s="463" t="s">
        <v>3402</v>
      </c>
      <c r="E23" s="464">
        <v>22395670</v>
      </c>
      <c r="F23" s="465">
        <v>20</v>
      </c>
      <c r="G23" s="466">
        <v>50402</v>
      </c>
      <c r="H23" s="467">
        <v>7307</v>
      </c>
      <c r="I23" s="289">
        <v>1119784</v>
      </c>
      <c r="J23" s="289">
        <v>21275886</v>
      </c>
      <c r="K23" s="468">
        <v>365</v>
      </c>
      <c r="L23" s="289">
        <v>1062775</v>
      </c>
      <c r="M23" s="464">
        <v>4527713</v>
      </c>
      <c r="N23" s="469">
        <v>17867957</v>
      </c>
    </row>
    <row r="24" spans="2:14" hidden="1">
      <c r="B24" s="485" t="s">
        <v>2323</v>
      </c>
      <c r="C24" s="463" t="s">
        <v>3031</v>
      </c>
      <c r="D24" s="463" t="s">
        <v>3050</v>
      </c>
      <c r="E24" s="464">
        <v>150300525</v>
      </c>
      <c r="F24" s="465">
        <v>20</v>
      </c>
      <c r="G24" s="466">
        <v>50402</v>
      </c>
      <c r="H24" s="467">
        <v>7307</v>
      </c>
      <c r="I24" s="289">
        <v>7515026</v>
      </c>
      <c r="J24" s="289">
        <v>142785499</v>
      </c>
      <c r="K24" s="468">
        <v>365</v>
      </c>
      <c r="L24" s="289">
        <v>7132436</v>
      </c>
      <c r="M24" s="464">
        <v>30386131</v>
      </c>
      <c r="N24" s="469">
        <v>119914394</v>
      </c>
    </row>
    <row r="25" spans="2:14" hidden="1">
      <c r="B25" s="485" t="s">
        <v>2323</v>
      </c>
      <c r="C25" s="463" t="s">
        <v>3031</v>
      </c>
      <c r="D25" s="463" t="s">
        <v>4169</v>
      </c>
      <c r="E25" s="464">
        <v>425497620</v>
      </c>
      <c r="F25" s="465">
        <v>7</v>
      </c>
      <c r="G25" s="466">
        <v>45654</v>
      </c>
      <c r="H25" s="467">
        <v>2559</v>
      </c>
      <c r="I25" s="289">
        <v>21274881</v>
      </c>
      <c r="J25" s="289">
        <v>404222739</v>
      </c>
      <c r="K25" s="468">
        <v>365</v>
      </c>
      <c r="L25" s="289">
        <v>57655842</v>
      </c>
      <c r="M25" s="464">
        <v>245629683</v>
      </c>
      <c r="N25" s="469">
        <v>179867937</v>
      </c>
    </row>
    <row r="26" spans="2:14" hidden="1">
      <c r="B26" s="485" t="s">
        <v>2323</v>
      </c>
      <c r="C26" s="463" t="s">
        <v>4104</v>
      </c>
      <c r="D26" s="463" t="s">
        <v>4145</v>
      </c>
      <c r="E26" s="464">
        <v>24154109</v>
      </c>
      <c r="F26" s="465">
        <v>30</v>
      </c>
      <c r="G26" s="466">
        <v>54054</v>
      </c>
      <c r="H26" s="467">
        <v>10959</v>
      </c>
      <c r="I26" s="289">
        <v>1207705</v>
      </c>
      <c r="J26" s="289">
        <v>22946404</v>
      </c>
      <c r="K26" s="468">
        <v>365</v>
      </c>
      <c r="L26" s="289">
        <v>764252</v>
      </c>
      <c r="M26" s="464">
        <v>3255923</v>
      </c>
      <c r="N26" s="469">
        <v>20898186</v>
      </c>
    </row>
    <row r="27" spans="2:14" hidden="1">
      <c r="B27" s="485"/>
      <c r="C27" s="463"/>
      <c r="D27" s="463"/>
      <c r="E27" s="463"/>
      <c r="F27" s="465"/>
      <c r="G27" s="463"/>
      <c r="H27" s="463"/>
      <c r="I27" s="463"/>
      <c r="J27" s="463"/>
      <c r="K27" s="463"/>
      <c r="L27" s="463"/>
      <c r="M27" s="463"/>
      <c r="N27" s="470"/>
    </row>
    <row r="28" spans="2:14" hidden="1">
      <c r="B28" s="485" t="s">
        <v>2323</v>
      </c>
      <c r="C28" s="463" t="s">
        <v>4250</v>
      </c>
      <c r="D28" s="463"/>
      <c r="E28" s="464">
        <v>3156658</v>
      </c>
      <c r="F28" s="465">
        <v>20</v>
      </c>
      <c r="G28" s="466">
        <v>50402</v>
      </c>
      <c r="H28" s="467">
        <v>7307</v>
      </c>
      <c r="I28" s="289">
        <v>157833</v>
      </c>
      <c r="J28" s="289">
        <v>2998825</v>
      </c>
      <c r="K28" s="468">
        <v>365</v>
      </c>
      <c r="L28" s="289">
        <v>149798</v>
      </c>
      <c r="M28" s="464">
        <v>638180</v>
      </c>
      <c r="N28" s="469">
        <v>2518478</v>
      </c>
    </row>
    <row r="29" spans="2:14" hidden="1">
      <c r="B29" s="485" t="s">
        <v>2323</v>
      </c>
      <c r="C29" s="463" t="s">
        <v>4251</v>
      </c>
      <c r="D29" s="463"/>
      <c r="E29" s="464">
        <v>189594462</v>
      </c>
      <c r="F29" s="465">
        <v>30</v>
      </c>
      <c r="G29" s="466">
        <v>54054</v>
      </c>
      <c r="H29" s="467">
        <v>10959</v>
      </c>
      <c r="I29" s="289">
        <v>9479723</v>
      </c>
      <c r="J29" s="289">
        <v>180114739</v>
      </c>
      <c r="K29" s="468">
        <v>365</v>
      </c>
      <c r="L29" s="289">
        <v>5998894</v>
      </c>
      <c r="M29" s="464">
        <v>25556932</v>
      </c>
      <c r="N29" s="469">
        <v>164037530</v>
      </c>
    </row>
    <row r="30" spans="2:14" hidden="1">
      <c r="B30" s="485"/>
      <c r="C30" s="463"/>
      <c r="D30" s="463"/>
      <c r="E30" s="463"/>
      <c r="F30" s="465"/>
      <c r="G30" s="466"/>
      <c r="H30" s="467"/>
      <c r="I30" s="289"/>
      <c r="J30" s="289"/>
      <c r="K30" s="468"/>
      <c r="L30" s="289"/>
      <c r="M30" s="464"/>
      <c r="N30" s="469"/>
    </row>
    <row r="31" spans="2:14" hidden="1">
      <c r="B31" s="485" t="s">
        <v>2323</v>
      </c>
      <c r="C31" s="463" t="s">
        <v>4269</v>
      </c>
      <c r="D31" s="463"/>
      <c r="E31" s="464">
        <v>37736210</v>
      </c>
      <c r="F31" s="465">
        <v>20</v>
      </c>
      <c r="G31" s="466">
        <v>50402</v>
      </c>
      <c r="H31" s="467">
        <v>7307</v>
      </c>
      <c r="I31" s="289">
        <v>1886811</v>
      </c>
      <c r="J31" s="289">
        <v>35849399</v>
      </c>
      <c r="K31" s="468">
        <v>365</v>
      </c>
      <c r="L31" s="289">
        <v>1790753</v>
      </c>
      <c r="M31" s="464">
        <v>7629098</v>
      </c>
      <c r="N31" s="469">
        <v>30107112</v>
      </c>
    </row>
    <row r="32" spans="2:14" hidden="1">
      <c r="B32" s="485" t="s">
        <v>2323</v>
      </c>
      <c r="C32" s="463" t="s">
        <v>3052</v>
      </c>
      <c r="D32" s="463"/>
      <c r="E32" s="464">
        <v>59427581</v>
      </c>
      <c r="F32" s="465">
        <v>30</v>
      </c>
      <c r="G32" s="466">
        <v>54054</v>
      </c>
      <c r="H32" s="467">
        <v>10959</v>
      </c>
      <c r="I32" s="289">
        <v>2971379</v>
      </c>
      <c r="J32" s="289">
        <v>56456202</v>
      </c>
      <c r="K32" s="471">
        <v>0</v>
      </c>
      <c r="L32" s="289">
        <v>53297196</v>
      </c>
      <c r="M32" s="464">
        <v>59427581</v>
      </c>
      <c r="N32" s="469">
        <v>0</v>
      </c>
    </row>
    <row r="33" spans="2:14" hidden="1">
      <c r="B33" s="485"/>
      <c r="C33" s="463"/>
      <c r="D33" s="463"/>
      <c r="E33" s="463"/>
      <c r="F33" s="465"/>
      <c r="G33" s="466"/>
      <c r="H33" s="467"/>
      <c r="I33" s="289"/>
      <c r="J33" s="289"/>
      <c r="K33" s="468"/>
      <c r="L33" s="289"/>
      <c r="M33" s="464"/>
      <c r="N33" s="469"/>
    </row>
    <row r="34" spans="2:14" hidden="1">
      <c r="B34" s="485"/>
      <c r="C34" s="463"/>
      <c r="D34" s="463"/>
      <c r="E34" s="463"/>
      <c r="F34" s="465"/>
      <c r="G34" s="463"/>
      <c r="H34" s="463"/>
      <c r="I34" s="463"/>
      <c r="J34" s="463"/>
      <c r="K34" s="463"/>
      <c r="L34" s="463"/>
      <c r="M34" s="463"/>
      <c r="N34" s="470"/>
    </row>
    <row r="35" spans="2:14" ht="14.25" hidden="1">
      <c r="B35" s="485"/>
      <c r="C35" s="472" t="s">
        <v>1837</v>
      </c>
      <c r="D35" s="473"/>
      <c r="E35" s="474">
        <f t="shared" ref="E35" si="0">SUBTOTAL(9,E7:E34)</f>
        <v>1716390729.1399999</v>
      </c>
      <c r="F35" s="465"/>
      <c r="G35" s="463"/>
      <c r="H35" s="463"/>
      <c r="I35" s="463"/>
      <c r="J35" s="463"/>
      <c r="K35" s="463"/>
      <c r="L35" s="475">
        <f t="shared" ref="L35:N35" si="1">SUBTOTAL(9,L7:L34)</f>
        <v>156767142</v>
      </c>
      <c r="M35" s="475">
        <f t="shared" si="1"/>
        <v>500237897</v>
      </c>
      <c r="N35" s="476">
        <f t="shared" si="1"/>
        <v>1216152832.1399999</v>
      </c>
    </row>
    <row r="36" spans="2:14" ht="14.25" hidden="1">
      <c r="B36" s="477" t="s">
        <v>2324</v>
      </c>
      <c r="C36" s="463"/>
      <c r="D36" s="463"/>
      <c r="E36" s="463"/>
      <c r="F36" s="465"/>
      <c r="G36" s="463"/>
      <c r="H36" s="463"/>
      <c r="I36" s="463"/>
      <c r="J36" s="463"/>
      <c r="K36" s="463"/>
      <c r="L36" s="464"/>
      <c r="M36" s="464"/>
      <c r="N36" s="478"/>
    </row>
    <row r="37" spans="2:14" ht="81" hidden="1">
      <c r="B37" s="485" t="s">
        <v>2324</v>
      </c>
      <c r="C37" s="463" t="s">
        <v>2324</v>
      </c>
      <c r="D37" s="463" t="s">
        <v>4107</v>
      </c>
      <c r="E37" s="464">
        <v>297025138</v>
      </c>
      <c r="F37" s="465">
        <v>25</v>
      </c>
      <c r="G37" s="466">
        <v>52228</v>
      </c>
      <c r="H37" s="467">
        <v>9133</v>
      </c>
      <c r="I37" s="289">
        <v>14851257</v>
      </c>
      <c r="J37" s="289">
        <v>282173881</v>
      </c>
      <c r="K37" s="468">
        <v>365</v>
      </c>
      <c r="L37" s="289">
        <v>11277068</v>
      </c>
      <c r="M37" s="464">
        <v>48043400</v>
      </c>
      <c r="N37" s="469">
        <v>248981738</v>
      </c>
    </row>
    <row r="38" spans="2:14" ht="40.5" hidden="1">
      <c r="B38" s="485" t="s">
        <v>2324</v>
      </c>
      <c r="C38" s="463" t="s">
        <v>2324</v>
      </c>
      <c r="D38" s="463" t="s">
        <v>4108</v>
      </c>
      <c r="E38" s="464">
        <v>29007736</v>
      </c>
      <c r="F38" s="465">
        <v>20</v>
      </c>
      <c r="G38" s="466">
        <v>50402</v>
      </c>
      <c r="H38" s="467">
        <v>7307</v>
      </c>
      <c r="I38" s="289">
        <v>1450387</v>
      </c>
      <c r="J38" s="289">
        <v>27557349</v>
      </c>
      <c r="K38" s="468">
        <v>365</v>
      </c>
      <c r="L38" s="289">
        <v>1376547</v>
      </c>
      <c r="M38" s="464">
        <v>5864468</v>
      </c>
      <c r="N38" s="469">
        <v>23143268</v>
      </c>
    </row>
    <row r="39" spans="2:14" ht="27" hidden="1">
      <c r="B39" s="485" t="s">
        <v>2324</v>
      </c>
      <c r="C39" s="463" t="s">
        <v>2324</v>
      </c>
      <c r="D39" s="463" t="s">
        <v>3072</v>
      </c>
      <c r="E39" s="464">
        <v>22647045</v>
      </c>
      <c r="F39" s="465">
        <v>25</v>
      </c>
      <c r="G39" s="466">
        <v>52228</v>
      </c>
      <c r="H39" s="467">
        <v>9133</v>
      </c>
      <c r="I39" s="289">
        <v>1132352</v>
      </c>
      <c r="J39" s="289">
        <v>21514693</v>
      </c>
      <c r="K39" s="468">
        <v>365</v>
      </c>
      <c r="L39" s="289">
        <v>859834</v>
      </c>
      <c r="M39" s="464">
        <v>3663129</v>
      </c>
      <c r="N39" s="469">
        <v>18983916</v>
      </c>
    </row>
    <row r="40" spans="2:14" hidden="1">
      <c r="B40" s="485"/>
      <c r="C40" s="463"/>
      <c r="D40" s="463"/>
      <c r="E40" s="463"/>
      <c r="F40" s="465"/>
      <c r="G40" s="463"/>
      <c r="H40" s="463"/>
      <c r="I40" s="463"/>
      <c r="J40" s="463"/>
      <c r="K40" s="463"/>
      <c r="L40" s="463"/>
      <c r="M40" s="463"/>
      <c r="N40" s="470"/>
    </row>
    <row r="41" spans="2:14" ht="27" hidden="1">
      <c r="B41" s="485" t="s">
        <v>2324</v>
      </c>
      <c r="C41" s="463" t="s">
        <v>3098</v>
      </c>
      <c r="D41" s="463"/>
      <c r="E41" s="464">
        <v>59573621</v>
      </c>
      <c r="F41" s="465">
        <v>15</v>
      </c>
      <c r="G41" s="466">
        <v>48576</v>
      </c>
      <c r="H41" s="467">
        <v>5481</v>
      </c>
      <c r="I41" s="289">
        <v>2978681</v>
      </c>
      <c r="J41" s="289">
        <v>56594940</v>
      </c>
      <c r="K41" s="468">
        <v>365</v>
      </c>
      <c r="L41" s="289">
        <v>3768866</v>
      </c>
      <c r="M41" s="464">
        <v>16056401</v>
      </c>
      <c r="N41" s="469">
        <v>43517220</v>
      </c>
    </row>
    <row r="42" spans="2:14" ht="27" hidden="1">
      <c r="B42" s="485" t="s">
        <v>2324</v>
      </c>
      <c r="C42" s="463" t="s">
        <v>3102</v>
      </c>
      <c r="D42" s="463"/>
      <c r="E42" s="464">
        <v>86465503</v>
      </c>
      <c r="F42" s="465">
        <v>20</v>
      </c>
      <c r="G42" s="466">
        <v>50402</v>
      </c>
      <c r="H42" s="467">
        <v>7307</v>
      </c>
      <c r="I42" s="289">
        <v>4323275</v>
      </c>
      <c r="J42" s="289">
        <v>82142228</v>
      </c>
      <c r="K42" s="468">
        <v>365</v>
      </c>
      <c r="L42" s="289">
        <v>4103177</v>
      </c>
      <c r="M42" s="464">
        <v>17480658</v>
      </c>
      <c r="N42" s="469">
        <v>68984845</v>
      </c>
    </row>
    <row r="43" spans="2:14" hidden="1">
      <c r="B43" s="485"/>
      <c r="C43" s="463"/>
      <c r="D43" s="463"/>
      <c r="E43" s="463"/>
      <c r="F43" s="465"/>
      <c r="G43" s="466"/>
      <c r="H43" s="467"/>
      <c r="I43" s="289"/>
      <c r="J43" s="289"/>
      <c r="K43" s="468"/>
      <c r="L43" s="289"/>
      <c r="M43" s="464"/>
      <c r="N43" s="469"/>
    </row>
    <row r="44" spans="2:14" hidden="1">
      <c r="B44" s="485" t="s">
        <v>2324</v>
      </c>
      <c r="C44" s="463" t="s">
        <v>2324</v>
      </c>
      <c r="D44" s="463" t="s">
        <v>2324</v>
      </c>
      <c r="E44" s="464">
        <v>401771714</v>
      </c>
      <c r="F44" s="465">
        <v>25</v>
      </c>
      <c r="G44" s="466">
        <v>52228</v>
      </c>
      <c r="H44" s="467">
        <v>9133</v>
      </c>
      <c r="I44" s="289">
        <v>20088586</v>
      </c>
      <c r="J44" s="289">
        <v>381683128</v>
      </c>
      <c r="K44" s="468">
        <v>365</v>
      </c>
      <c r="L44" s="289">
        <v>15253952</v>
      </c>
      <c r="M44" s="464">
        <v>64986014</v>
      </c>
      <c r="N44" s="469">
        <v>336785700</v>
      </c>
    </row>
    <row r="45" spans="2:14" hidden="1">
      <c r="B45" s="485"/>
      <c r="C45" s="463"/>
      <c r="D45" s="463"/>
      <c r="E45" s="463"/>
      <c r="F45" s="465"/>
      <c r="G45" s="466"/>
      <c r="H45" s="467"/>
      <c r="I45" s="289"/>
      <c r="J45" s="289"/>
      <c r="K45" s="468"/>
      <c r="L45" s="289"/>
      <c r="M45" s="464"/>
      <c r="N45" s="469"/>
    </row>
    <row r="46" spans="2:14" hidden="1">
      <c r="B46" s="485"/>
      <c r="C46" s="463"/>
      <c r="D46" s="463"/>
      <c r="E46" s="463"/>
      <c r="F46" s="465"/>
      <c r="G46" s="463"/>
      <c r="H46" s="463"/>
      <c r="I46" s="463"/>
      <c r="J46" s="463"/>
      <c r="K46" s="463"/>
      <c r="L46" s="463"/>
      <c r="M46" s="463"/>
      <c r="N46" s="470"/>
    </row>
    <row r="47" spans="2:14" ht="14.25" hidden="1">
      <c r="B47" s="485"/>
      <c r="C47" s="472" t="s">
        <v>1837</v>
      </c>
      <c r="D47" s="473"/>
      <c r="E47" s="474">
        <f t="shared" ref="E47" si="2">+SUBTOTAL(9,E37:E46)</f>
        <v>896490757</v>
      </c>
      <c r="F47" s="465"/>
      <c r="G47" s="463"/>
      <c r="H47" s="463"/>
      <c r="I47" s="463"/>
      <c r="J47" s="463"/>
      <c r="K47" s="463"/>
      <c r="L47" s="475">
        <f t="shared" ref="L47:N47" si="3">+SUBTOTAL(9,L37:L46)</f>
        <v>36639444</v>
      </c>
      <c r="M47" s="475">
        <f t="shared" si="3"/>
        <v>156094070</v>
      </c>
      <c r="N47" s="476">
        <f t="shared" si="3"/>
        <v>740396687</v>
      </c>
    </row>
    <row r="48" spans="2:14" hidden="1">
      <c r="B48" s="485"/>
      <c r="C48" s="463"/>
      <c r="D48" s="463"/>
      <c r="E48" s="463"/>
      <c r="F48" s="465"/>
      <c r="G48" s="463"/>
      <c r="H48" s="463"/>
      <c r="I48" s="463"/>
      <c r="J48" s="463"/>
      <c r="K48" s="463"/>
      <c r="L48" s="464"/>
      <c r="M48" s="464"/>
      <c r="N48" s="478"/>
    </row>
    <row r="49" spans="2:14" ht="14.25" hidden="1">
      <c r="B49" s="477" t="s">
        <v>2325</v>
      </c>
      <c r="C49" s="463"/>
      <c r="D49" s="463"/>
      <c r="E49" s="463"/>
      <c r="F49" s="465"/>
      <c r="G49" s="463"/>
      <c r="H49" s="463"/>
      <c r="I49" s="463"/>
      <c r="J49" s="463"/>
      <c r="K49" s="463"/>
      <c r="L49" s="463"/>
      <c r="M49" s="463"/>
      <c r="N49" s="470"/>
    </row>
    <row r="50" spans="2:14" hidden="1">
      <c r="B50" s="485" t="s">
        <v>2325</v>
      </c>
      <c r="C50" s="463" t="s">
        <v>2992</v>
      </c>
      <c r="D50" s="463" t="s">
        <v>3117</v>
      </c>
      <c r="E50" s="464">
        <v>31676627.399999999</v>
      </c>
      <c r="F50" s="465">
        <v>30</v>
      </c>
      <c r="G50" s="466">
        <v>54054</v>
      </c>
      <c r="H50" s="467">
        <v>10959</v>
      </c>
      <c r="I50" s="289">
        <v>1583831</v>
      </c>
      <c r="J50" s="289">
        <v>30092796.399999999</v>
      </c>
      <c r="K50" s="468">
        <v>365</v>
      </c>
      <c r="L50" s="289">
        <v>1002269</v>
      </c>
      <c r="M50" s="464">
        <v>4269941</v>
      </c>
      <c r="N50" s="469">
        <v>27406686.399999999</v>
      </c>
    </row>
    <row r="51" spans="2:14" ht="27" hidden="1">
      <c r="B51" s="485" t="s">
        <v>2325</v>
      </c>
      <c r="C51" s="463" t="s">
        <v>2992</v>
      </c>
      <c r="D51" s="463" t="s">
        <v>3121</v>
      </c>
      <c r="E51" s="464">
        <v>19998144.549999997</v>
      </c>
      <c r="F51" s="465">
        <v>30</v>
      </c>
      <c r="G51" s="466">
        <v>54054</v>
      </c>
      <c r="H51" s="467">
        <v>10959</v>
      </c>
      <c r="I51" s="289">
        <v>999907</v>
      </c>
      <c r="J51" s="289">
        <v>18998237.549999997</v>
      </c>
      <c r="K51" s="468">
        <v>365</v>
      </c>
      <c r="L51" s="289">
        <v>632755</v>
      </c>
      <c r="M51" s="464">
        <v>2695709</v>
      </c>
      <c r="N51" s="469">
        <v>17302435.549999997</v>
      </c>
    </row>
    <row r="52" spans="2:14" ht="27" hidden="1">
      <c r="B52" s="485" t="s">
        <v>2325</v>
      </c>
      <c r="C52" s="463" t="s">
        <v>2992</v>
      </c>
      <c r="D52" s="463" t="s">
        <v>3118</v>
      </c>
      <c r="E52" s="464">
        <v>98108890</v>
      </c>
      <c r="F52" s="465">
        <v>30</v>
      </c>
      <c r="G52" s="466">
        <v>54054</v>
      </c>
      <c r="H52" s="467">
        <v>10959</v>
      </c>
      <c r="I52" s="289">
        <v>4905445</v>
      </c>
      <c r="J52" s="289">
        <v>93203445</v>
      </c>
      <c r="K52" s="468">
        <v>365</v>
      </c>
      <c r="L52" s="289">
        <v>3104230</v>
      </c>
      <c r="M52" s="464">
        <v>13224871</v>
      </c>
      <c r="N52" s="469">
        <v>84884019</v>
      </c>
    </row>
    <row r="53" spans="2:14" ht="27" hidden="1">
      <c r="B53" s="485" t="s">
        <v>2325</v>
      </c>
      <c r="C53" s="463" t="s">
        <v>2992</v>
      </c>
      <c r="D53" s="463" t="s">
        <v>3120</v>
      </c>
      <c r="E53" s="464">
        <v>20112290.299999997</v>
      </c>
      <c r="F53" s="465">
        <v>30</v>
      </c>
      <c r="G53" s="466">
        <v>54054</v>
      </c>
      <c r="H53" s="467">
        <v>10959</v>
      </c>
      <c r="I53" s="289">
        <v>1005615</v>
      </c>
      <c r="J53" s="289">
        <v>19106675.299999997</v>
      </c>
      <c r="K53" s="468">
        <v>365</v>
      </c>
      <c r="L53" s="289">
        <v>636366</v>
      </c>
      <c r="M53" s="464">
        <v>2711094</v>
      </c>
      <c r="N53" s="469">
        <v>17401196.299999997</v>
      </c>
    </row>
    <row r="54" spans="2:14" hidden="1">
      <c r="B54" s="485" t="s">
        <v>2325</v>
      </c>
      <c r="C54" s="463" t="s">
        <v>2992</v>
      </c>
      <c r="D54" s="463" t="s">
        <v>3119</v>
      </c>
      <c r="E54" s="464">
        <v>97552113</v>
      </c>
      <c r="F54" s="465">
        <v>30</v>
      </c>
      <c r="G54" s="466">
        <v>54054</v>
      </c>
      <c r="H54" s="467">
        <v>10959</v>
      </c>
      <c r="I54" s="289">
        <v>4877606</v>
      </c>
      <c r="J54" s="289">
        <v>92674507</v>
      </c>
      <c r="K54" s="468">
        <v>365</v>
      </c>
      <c r="L54" s="289">
        <v>3086613</v>
      </c>
      <c r="M54" s="464">
        <v>13149818</v>
      </c>
      <c r="N54" s="469">
        <v>84402295</v>
      </c>
    </row>
    <row r="55" spans="2:14" hidden="1">
      <c r="B55" s="485" t="s">
        <v>2325</v>
      </c>
      <c r="C55" s="463" t="s">
        <v>2992</v>
      </c>
      <c r="D55" s="463" t="s">
        <v>3675</v>
      </c>
      <c r="E55" s="464">
        <v>69104687.900000006</v>
      </c>
      <c r="F55" s="465">
        <v>25</v>
      </c>
      <c r="G55" s="466">
        <v>52228</v>
      </c>
      <c r="H55" s="467">
        <v>9133</v>
      </c>
      <c r="I55" s="289">
        <v>3455234</v>
      </c>
      <c r="J55" s="289">
        <v>65649453.900000006</v>
      </c>
      <c r="K55" s="468">
        <v>365</v>
      </c>
      <c r="L55" s="289">
        <v>2623678</v>
      </c>
      <c r="M55" s="464">
        <v>11177587</v>
      </c>
      <c r="N55" s="469">
        <v>57927100.900000006</v>
      </c>
    </row>
    <row r="56" spans="2:14" hidden="1">
      <c r="B56" s="485" t="s">
        <v>2325</v>
      </c>
      <c r="C56" s="463" t="s">
        <v>2992</v>
      </c>
      <c r="D56" s="463" t="s">
        <v>3123</v>
      </c>
      <c r="E56" s="464">
        <v>39029744</v>
      </c>
      <c r="F56" s="465">
        <v>25</v>
      </c>
      <c r="G56" s="466">
        <v>52228</v>
      </c>
      <c r="H56" s="467">
        <v>9133</v>
      </c>
      <c r="I56" s="289">
        <v>1951487</v>
      </c>
      <c r="J56" s="289">
        <v>37078257</v>
      </c>
      <c r="K56" s="468">
        <v>365</v>
      </c>
      <c r="L56" s="289">
        <v>1481831</v>
      </c>
      <c r="M56" s="464">
        <v>6313006</v>
      </c>
      <c r="N56" s="469">
        <v>32716738</v>
      </c>
    </row>
    <row r="57" spans="2:14" hidden="1">
      <c r="B57" s="485" t="s">
        <v>2325</v>
      </c>
      <c r="C57" s="463" t="s">
        <v>2992</v>
      </c>
      <c r="D57" s="463" t="s">
        <v>3678</v>
      </c>
      <c r="E57" s="464">
        <v>128599223</v>
      </c>
      <c r="F57" s="465">
        <v>30</v>
      </c>
      <c r="G57" s="466">
        <v>54054</v>
      </c>
      <c r="H57" s="467">
        <v>10959</v>
      </c>
      <c r="I57" s="289">
        <v>6429961</v>
      </c>
      <c r="J57" s="289">
        <v>122169262</v>
      </c>
      <c r="K57" s="468">
        <v>365</v>
      </c>
      <c r="L57" s="289">
        <v>4068964</v>
      </c>
      <c r="M57" s="464">
        <v>17334902</v>
      </c>
      <c r="N57" s="469">
        <v>111264321</v>
      </c>
    </row>
    <row r="58" spans="2:14" hidden="1">
      <c r="B58" s="485" t="s">
        <v>2325</v>
      </c>
      <c r="C58" s="463" t="s">
        <v>2992</v>
      </c>
      <c r="D58" s="463" t="s">
        <v>3679</v>
      </c>
      <c r="E58" s="464">
        <v>130749662</v>
      </c>
      <c r="F58" s="465">
        <v>30</v>
      </c>
      <c r="G58" s="466">
        <v>54054</v>
      </c>
      <c r="H58" s="467">
        <v>10959</v>
      </c>
      <c r="I58" s="289">
        <v>6537483</v>
      </c>
      <c r="J58" s="289">
        <v>124212179</v>
      </c>
      <c r="K58" s="468">
        <v>365</v>
      </c>
      <c r="L58" s="289">
        <v>4137006</v>
      </c>
      <c r="M58" s="464">
        <v>17624779</v>
      </c>
      <c r="N58" s="469">
        <v>113124883</v>
      </c>
    </row>
    <row r="59" spans="2:14" ht="27" hidden="1">
      <c r="B59" s="485" t="s">
        <v>2325</v>
      </c>
      <c r="C59" s="463" t="s">
        <v>2992</v>
      </c>
      <c r="D59" s="463" t="s">
        <v>4109</v>
      </c>
      <c r="E59" s="464">
        <v>19710504</v>
      </c>
      <c r="F59" s="465">
        <v>30</v>
      </c>
      <c r="G59" s="466">
        <v>54054</v>
      </c>
      <c r="H59" s="467">
        <v>10959</v>
      </c>
      <c r="I59" s="289">
        <v>985525</v>
      </c>
      <c r="J59" s="289">
        <v>18724979</v>
      </c>
      <c r="K59" s="468">
        <v>365</v>
      </c>
      <c r="L59" s="289">
        <v>623653</v>
      </c>
      <c r="M59" s="464">
        <v>2656933</v>
      </c>
      <c r="N59" s="469">
        <v>17053571</v>
      </c>
    </row>
    <row r="60" spans="2:14" ht="27" hidden="1">
      <c r="B60" s="485" t="s">
        <v>2325</v>
      </c>
      <c r="C60" s="463" t="s">
        <v>2992</v>
      </c>
      <c r="D60" s="463" t="s">
        <v>4110</v>
      </c>
      <c r="E60" s="464">
        <v>20002712</v>
      </c>
      <c r="F60" s="465">
        <v>30</v>
      </c>
      <c r="G60" s="466">
        <v>54054</v>
      </c>
      <c r="H60" s="467">
        <v>10959</v>
      </c>
      <c r="I60" s="289">
        <v>1000136</v>
      </c>
      <c r="J60" s="289">
        <v>19002576</v>
      </c>
      <c r="K60" s="468">
        <v>365</v>
      </c>
      <c r="L60" s="289">
        <v>632899</v>
      </c>
      <c r="M60" s="464">
        <v>2696323</v>
      </c>
      <c r="N60" s="469">
        <v>17306389</v>
      </c>
    </row>
    <row r="61" spans="2:14" hidden="1">
      <c r="B61" s="485" t="s">
        <v>2325</v>
      </c>
      <c r="C61" s="463" t="s">
        <v>2992</v>
      </c>
      <c r="D61" s="463" t="s">
        <v>3124</v>
      </c>
      <c r="E61" s="464">
        <v>69708022</v>
      </c>
      <c r="F61" s="465">
        <v>25</v>
      </c>
      <c r="G61" s="466">
        <v>52228</v>
      </c>
      <c r="H61" s="467">
        <v>9133</v>
      </c>
      <c r="I61" s="289">
        <v>3485401</v>
      </c>
      <c r="J61" s="289">
        <v>66222621</v>
      </c>
      <c r="K61" s="468">
        <v>365</v>
      </c>
      <c r="L61" s="289">
        <v>2646585</v>
      </c>
      <c r="M61" s="464">
        <v>11275176</v>
      </c>
      <c r="N61" s="469">
        <v>58432846</v>
      </c>
    </row>
    <row r="62" spans="2:14" ht="27" hidden="1">
      <c r="B62" s="485" t="s">
        <v>2325</v>
      </c>
      <c r="C62" s="463" t="s">
        <v>2992</v>
      </c>
      <c r="D62" s="463" t="s">
        <v>3143</v>
      </c>
      <c r="E62" s="464">
        <v>12472435</v>
      </c>
      <c r="F62" s="465">
        <v>20</v>
      </c>
      <c r="G62" s="466">
        <v>50402</v>
      </c>
      <c r="H62" s="467">
        <v>7307</v>
      </c>
      <c r="I62" s="289">
        <v>623622</v>
      </c>
      <c r="J62" s="289">
        <v>11848813</v>
      </c>
      <c r="K62" s="468">
        <v>365</v>
      </c>
      <c r="L62" s="289">
        <v>591873</v>
      </c>
      <c r="M62" s="464">
        <v>2521542</v>
      </c>
      <c r="N62" s="469">
        <v>9950893</v>
      </c>
    </row>
    <row r="63" spans="2:14" ht="27" hidden="1">
      <c r="B63" s="485" t="s">
        <v>2325</v>
      </c>
      <c r="C63" s="463" t="s">
        <v>2992</v>
      </c>
      <c r="D63" s="463" t="s">
        <v>3676</v>
      </c>
      <c r="E63" s="464">
        <v>17075490</v>
      </c>
      <c r="F63" s="465">
        <v>20</v>
      </c>
      <c r="G63" s="466">
        <v>50402</v>
      </c>
      <c r="H63" s="467">
        <v>7307</v>
      </c>
      <c r="I63" s="289">
        <v>853775</v>
      </c>
      <c r="J63" s="289">
        <v>16221715</v>
      </c>
      <c r="K63" s="468">
        <v>365</v>
      </c>
      <c r="L63" s="289">
        <v>810309</v>
      </c>
      <c r="M63" s="464">
        <v>3452138</v>
      </c>
      <c r="N63" s="469">
        <v>13623352</v>
      </c>
    </row>
    <row r="64" spans="2:14" ht="27" hidden="1">
      <c r="B64" s="485" t="s">
        <v>2325</v>
      </c>
      <c r="C64" s="463" t="s">
        <v>2992</v>
      </c>
      <c r="D64" s="463" t="s">
        <v>3131</v>
      </c>
      <c r="E64" s="464">
        <v>44900722</v>
      </c>
      <c r="F64" s="465">
        <v>15</v>
      </c>
      <c r="G64" s="466">
        <v>48576</v>
      </c>
      <c r="H64" s="467">
        <v>5481</v>
      </c>
      <c r="I64" s="289">
        <v>2245036</v>
      </c>
      <c r="J64" s="289">
        <v>42655686</v>
      </c>
      <c r="K64" s="468">
        <v>365</v>
      </c>
      <c r="L64" s="289">
        <v>2840599</v>
      </c>
      <c r="M64" s="464">
        <v>12101731</v>
      </c>
      <c r="N64" s="469">
        <v>32798991</v>
      </c>
    </row>
    <row r="65" spans="2:14" ht="27" hidden="1">
      <c r="B65" s="485" t="s">
        <v>2325</v>
      </c>
      <c r="C65" s="463" t="s">
        <v>2992</v>
      </c>
      <c r="D65" s="463" t="s">
        <v>4111</v>
      </c>
      <c r="E65" s="464">
        <v>24718256</v>
      </c>
      <c r="F65" s="465">
        <v>25</v>
      </c>
      <c r="G65" s="466">
        <v>52228</v>
      </c>
      <c r="H65" s="467">
        <v>9133</v>
      </c>
      <c r="I65" s="289">
        <v>1235913</v>
      </c>
      <c r="J65" s="289">
        <v>23482343</v>
      </c>
      <c r="K65" s="468">
        <v>365</v>
      </c>
      <c r="L65" s="289">
        <v>938471</v>
      </c>
      <c r="M65" s="464">
        <v>3998143</v>
      </c>
      <c r="N65" s="469">
        <v>20720113</v>
      </c>
    </row>
    <row r="66" spans="2:14" ht="27" hidden="1">
      <c r="B66" s="485" t="s">
        <v>2325</v>
      </c>
      <c r="C66" s="463" t="s">
        <v>2992</v>
      </c>
      <c r="D66" s="463" t="s">
        <v>3133</v>
      </c>
      <c r="E66" s="464">
        <v>28784471</v>
      </c>
      <c r="F66" s="465">
        <v>20</v>
      </c>
      <c r="G66" s="466">
        <v>50402</v>
      </c>
      <c r="H66" s="467">
        <v>7307</v>
      </c>
      <c r="I66" s="289">
        <v>1439224</v>
      </c>
      <c r="J66" s="289">
        <v>27345247</v>
      </c>
      <c r="K66" s="468">
        <v>365</v>
      </c>
      <c r="L66" s="289">
        <v>1365953</v>
      </c>
      <c r="M66" s="464">
        <v>5819334</v>
      </c>
      <c r="N66" s="469">
        <v>22965137</v>
      </c>
    </row>
    <row r="67" spans="2:14" ht="27" hidden="1">
      <c r="B67" s="485" t="s">
        <v>2325</v>
      </c>
      <c r="C67" s="463" t="s">
        <v>2992</v>
      </c>
      <c r="D67" s="463" t="s">
        <v>3134</v>
      </c>
      <c r="E67" s="464">
        <v>19955856</v>
      </c>
      <c r="F67" s="465">
        <v>20</v>
      </c>
      <c r="G67" s="466">
        <v>50402</v>
      </c>
      <c r="H67" s="467">
        <v>7307</v>
      </c>
      <c r="I67" s="289">
        <v>997793</v>
      </c>
      <c r="J67" s="289">
        <v>18958063</v>
      </c>
      <c r="K67" s="468">
        <v>365</v>
      </c>
      <c r="L67" s="289">
        <v>946995</v>
      </c>
      <c r="M67" s="464">
        <v>4034459</v>
      </c>
      <c r="N67" s="469">
        <v>15921397</v>
      </c>
    </row>
    <row r="68" spans="2:14" hidden="1">
      <c r="B68" s="485" t="s">
        <v>2325</v>
      </c>
      <c r="C68" s="463" t="s">
        <v>2992</v>
      </c>
      <c r="D68" s="463" t="s">
        <v>3137</v>
      </c>
      <c r="E68" s="464">
        <v>44900722</v>
      </c>
      <c r="F68" s="465">
        <v>10</v>
      </c>
      <c r="G68" s="466">
        <v>46749</v>
      </c>
      <c r="H68" s="467">
        <v>3654</v>
      </c>
      <c r="I68" s="289">
        <v>2245036</v>
      </c>
      <c r="J68" s="289">
        <v>42655686</v>
      </c>
      <c r="K68" s="468">
        <v>365</v>
      </c>
      <c r="L68" s="289">
        <v>4260899</v>
      </c>
      <c r="M68" s="464">
        <v>18152597</v>
      </c>
      <c r="N68" s="469">
        <v>26748125</v>
      </c>
    </row>
    <row r="69" spans="2:14" ht="27" hidden="1">
      <c r="B69" s="485" t="s">
        <v>2325</v>
      </c>
      <c r="C69" s="463" t="s">
        <v>2992</v>
      </c>
      <c r="D69" s="463" t="s">
        <v>3138</v>
      </c>
      <c r="E69" s="464">
        <v>14966937</v>
      </c>
      <c r="F69" s="465">
        <v>30</v>
      </c>
      <c r="G69" s="466">
        <v>54054</v>
      </c>
      <c r="H69" s="467">
        <v>10959</v>
      </c>
      <c r="I69" s="289">
        <v>748347</v>
      </c>
      <c r="J69" s="289">
        <v>14218590</v>
      </c>
      <c r="K69" s="468">
        <v>365</v>
      </c>
      <c r="L69" s="289">
        <v>473564</v>
      </c>
      <c r="M69" s="464">
        <v>2017512</v>
      </c>
      <c r="N69" s="469">
        <v>12949425</v>
      </c>
    </row>
    <row r="70" spans="2:14" ht="27" hidden="1">
      <c r="B70" s="485" t="s">
        <v>2325</v>
      </c>
      <c r="C70" s="463" t="s">
        <v>2992</v>
      </c>
      <c r="D70" s="463" t="s">
        <v>3142</v>
      </c>
      <c r="E70" s="464">
        <v>3980245</v>
      </c>
      <c r="F70" s="465">
        <v>30</v>
      </c>
      <c r="G70" s="466">
        <v>54054</v>
      </c>
      <c r="H70" s="467">
        <v>10959</v>
      </c>
      <c r="I70" s="289">
        <v>199012</v>
      </c>
      <c r="J70" s="289">
        <v>3781233</v>
      </c>
      <c r="K70" s="468">
        <v>365</v>
      </c>
      <c r="L70" s="289">
        <v>125938</v>
      </c>
      <c r="M70" s="464">
        <v>536530</v>
      </c>
      <c r="N70" s="469">
        <v>3443715</v>
      </c>
    </row>
    <row r="71" spans="2:14" hidden="1">
      <c r="B71" s="485" t="s">
        <v>2325</v>
      </c>
      <c r="C71" s="463" t="s">
        <v>2992</v>
      </c>
      <c r="D71" s="463" t="s">
        <v>3680</v>
      </c>
      <c r="E71" s="464">
        <v>141482869</v>
      </c>
      <c r="F71" s="465">
        <v>30</v>
      </c>
      <c r="G71" s="466">
        <v>54054</v>
      </c>
      <c r="H71" s="467">
        <v>10959</v>
      </c>
      <c r="I71" s="289">
        <v>7074143</v>
      </c>
      <c r="J71" s="289">
        <v>134408726</v>
      </c>
      <c r="K71" s="468">
        <v>365</v>
      </c>
      <c r="L71" s="289">
        <v>4476611</v>
      </c>
      <c r="M71" s="464">
        <v>19071590</v>
      </c>
      <c r="N71" s="469">
        <v>122411279</v>
      </c>
    </row>
    <row r="72" spans="2:14" hidden="1">
      <c r="B72" s="485" t="s">
        <v>2325</v>
      </c>
      <c r="C72" s="463" t="s">
        <v>2992</v>
      </c>
      <c r="D72" s="463" t="s">
        <v>3681</v>
      </c>
      <c r="E72" s="464">
        <v>121661764</v>
      </c>
      <c r="F72" s="465">
        <v>30</v>
      </c>
      <c r="G72" s="466">
        <v>54054</v>
      </c>
      <c r="H72" s="467">
        <v>10959</v>
      </c>
      <c r="I72" s="289">
        <v>6083088</v>
      </c>
      <c r="J72" s="289">
        <v>115578676</v>
      </c>
      <c r="K72" s="468">
        <v>365</v>
      </c>
      <c r="L72" s="289">
        <v>3849459</v>
      </c>
      <c r="M72" s="464">
        <v>16399749</v>
      </c>
      <c r="N72" s="469">
        <v>105262015</v>
      </c>
    </row>
    <row r="73" spans="2:14" ht="27" hidden="1">
      <c r="B73" s="485" t="s">
        <v>2325</v>
      </c>
      <c r="C73" s="463" t="s">
        <v>2992</v>
      </c>
      <c r="D73" s="463" t="s">
        <v>3146</v>
      </c>
      <c r="E73" s="464">
        <v>20002712</v>
      </c>
      <c r="F73" s="465">
        <v>30</v>
      </c>
      <c r="G73" s="466">
        <v>54054</v>
      </c>
      <c r="H73" s="467">
        <v>10959</v>
      </c>
      <c r="I73" s="289">
        <v>1000136</v>
      </c>
      <c r="J73" s="289">
        <v>19002576</v>
      </c>
      <c r="K73" s="468">
        <v>365</v>
      </c>
      <c r="L73" s="289">
        <v>632899</v>
      </c>
      <c r="M73" s="464">
        <v>2696323</v>
      </c>
      <c r="N73" s="469">
        <v>17306389</v>
      </c>
    </row>
    <row r="74" spans="2:14" ht="27" hidden="1">
      <c r="B74" s="485" t="s">
        <v>2325</v>
      </c>
      <c r="C74" s="463" t="s">
        <v>2992</v>
      </c>
      <c r="D74" s="463" t="s">
        <v>3147</v>
      </c>
      <c r="E74" s="464">
        <v>19952486</v>
      </c>
      <c r="F74" s="465">
        <v>30</v>
      </c>
      <c r="G74" s="466">
        <v>54054</v>
      </c>
      <c r="H74" s="467">
        <v>10959</v>
      </c>
      <c r="I74" s="289">
        <v>997624</v>
      </c>
      <c r="J74" s="289">
        <v>18954862</v>
      </c>
      <c r="K74" s="468">
        <v>365</v>
      </c>
      <c r="L74" s="289">
        <v>631310</v>
      </c>
      <c r="M74" s="464">
        <v>2689553</v>
      </c>
      <c r="N74" s="469">
        <v>17262933</v>
      </c>
    </row>
    <row r="75" spans="2:14" ht="27" hidden="1">
      <c r="B75" s="485" t="s">
        <v>2325</v>
      </c>
      <c r="C75" s="463" t="s">
        <v>2992</v>
      </c>
      <c r="D75" s="463" t="s">
        <v>4112</v>
      </c>
      <c r="E75" s="464">
        <v>19952486</v>
      </c>
      <c r="F75" s="465">
        <v>30</v>
      </c>
      <c r="G75" s="466">
        <v>54054</v>
      </c>
      <c r="H75" s="467">
        <v>10959</v>
      </c>
      <c r="I75" s="289">
        <v>997624</v>
      </c>
      <c r="J75" s="289">
        <v>18954862</v>
      </c>
      <c r="K75" s="468">
        <v>365</v>
      </c>
      <c r="L75" s="289">
        <v>631310</v>
      </c>
      <c r="M75" s="464">
        <v>2689553</v>
      </c>
      <c r="N75" s="469">
        <v>17262933</v>
      </c>
    </row>
    <row r="76" spans="2:14" hidden="1">
      <c r="B76" s="485" t="s">
        <v>2325</v>
      </c>
      <c r="C76" s="463" t="s">
        <v>2992</v>
      </c>
      <c r="D76" s="463" t="s">
        <v>4113</v>
      </c>
      <c r="E76" s="464">
        <v>120353285</v>
      </c>
      <c r="F76" s="465">
        <v>30</v>
      </c>
      <c r="G76" s="466">
        <v>54054</v>
      </c>
      <c r="H76" s="467">
        <v>10959</v>
      </c>
      <c r="I76" s="289">
        <v>6017664</v>
      </c>
      <c r="J76" s="289">
        <v>114335621</v>
      </c>
      <c r="K76" s="468">
        <v>365</v>
      </c>
      <c r="L76" s="289">
        <v>3808057</v>
      </c>
      <c r="M76" s="464">
        <v>16223366</v>
      </c>
      <c r="N76" s="469">
        <v>104129919</v>
      </c>
    </row>
    <row r="77" spans="2:14" hidden="1">
      <c r="B77" s="485" t="s">
        <v>2325</v>
      </c>
      <c r="C77" s="463" t="s">
        <v>2992</v>
      </c>
      <c r="D77" s="463" t="s">
        <v>3150</v>
      </c>
      <c r="E77" s="464">
        <v>81594149</v>
      </c>
      <c r="F77" s="465">
        <v>30</v>
      </c>
      <c r="G77" s="466">
        <v>54054</v>
      </c>
      <c r="H77" s="467">
        <v>10959</v>
      </c>
      <c r="I77" s="289">
        <v>4079707</v>
      </c>
      <c r="J77" s="289">
        <v>77514442</v>
      </c>
      <c r="K77" s="468">
        <v>365</v>
      </c>
      <c r="L77" s="289">
        <v>2581693</v>
      </c>
      <c r="M77" s="464">
        <v>10998719</v>
      </c>
      <c r="N77" s="469">
        <v>70595430</v>
      </c>
    </row>
    <row r="78" spans="2:14" hidden="1">
      <c r="B78" s="485" t="s">
        <v>2325</v>
      </c>
      <c r="C78" s="463" t="s">
        <v>2992</v>
      </c>
      <c r="D78" s="463" t="s">
        <v>3151</v>
      </c>
      <c r="E78" s="464">
        <v>46147932</v>
      </c>
      <c r="F78" s="465">
        <v>20</v>
      </c>
      <c r="G78" s="466">
        <v>50402</v>
      </c>
      <c r="H78" s="467">
        <v>7307</v>
      </c>
      <c r="I78" s="289">
        <v>2307397</v>
      </c>
      <c r="J78" s="289">
        <v>43840535</v>
      </c>
      <c r="K78" s="468">
        <v>365</v>
      </c>
      <c r="L78" s="289">
        <v>2189927</v>
      </c>
      <c r="M78" s="464">
        <v>9329689</v>
      </c>
      <c r="N78" s="469">
        <v>36818243</v>
      </c>
    </row>
    <row r="79" spans="2:14" hidden="1">
      <c r="B79" s="485" t="s">
        <v>2325</v>
      </c>
      <c r="C79" s="463" t="s">
        <v>2992</v>
      </c>
      <c r="D79" s="463" t="s">
        <v>3154</v>
      </c>
      <c r="E79" s="464">
        <v>22450359</v>
      </c>
      <c r="F79" s="465">
        <v>25</v>
      </c>
      <c r="G79" s="466">
        <v>52228</v>
      </c>
      <c r="H79" s="467">
        <v>9133</v>
      </c>
      <c r="I79" s="289">
        <v>1122518</v>
      </c>
      <c r="J79" s="289">
        <v>21327841</v>
      </c>
      <c r="K79" s="468">
        <v>365</v>
      </c>
      <c r="L79" s="289">
        <v>852366</v>
      </c>
      <c r="M79" s="464">
        <v>3631314</v>
      </c>
      <c r="N79" s="469">
        <v>18819045</v>
      </c>
    </row>
    <row r="80" spans="2:14" hidden="1">
      <c r="B80" s="485" t="s">
        <v>2325</v>
      </c>
      <c r="C80" s="463" t="s">
        <v>2992</v>
      </c>
      <c r="D80" s="463" t="s">
        <v>4114</v>
      </c>
      <c r="E80" s="464">
        <v>24007584</v>
      </c>
      <c r="F80" s="465">
        <v>25</v>
      </c>
      <c r="G80" s="466">
        <v>52228</v>
      </c>
      <c r="H80" s="467">
        <v>9133</v>
      </c>
      <c r="I80" s="289">
        <v>1200379</v>
      </c>
      <c r="J80" s="289">
        <v>22807205</v>
      </c>
      <c r="K80" s="468">
        <v>365</v>
      </c>
      <c r="L80" s="289">
        <v>911489</v>
      </c>
      <c r="M80" s="464">
        <v>3883193</v>
      </c>
      <c r="N80" s="469">
        <v>20124391</v>
      </c>
    </row>
    <row r="81" spans="2:14" hidden="1">
      <c r="B81" s="485" t="s">
        <v>2325</v>
      </c>
      <c r="C81" s="463" t="s">
        <v>2992</v>
      </c>
      <c r="D81" s="463" t="s">
        <v>3164</v>
      </c>
      <c r="E81" s="464">
        <v>126173040</v>
      </c>
      <c r="F81" s="465">
        <v>25</v>
      </c>
      <c r="G81" s="466">
        <v>52228</v>
      </c>
      <c r="H81" s="467">
        <v>9133</v>
      </c>
      <c r="I81" s="289">
        <v>6308652</v>
      </c>
      <c r="J81" s="289">
        <v>119864388</v>
      </c>
      <c r="K81" s="468">
        <v>365</v>
      </c>
      <c r="L81" s="289">
        <v>4790376</v>
      </c>
      <c r="M81" s="464">
        <v>20408314</v>
      </c>
      <c r="N81" s="469">
        <v>105764726</v>
      </c>
    </row>
    <row r="82" spans="2:14" hidden="1">
      <c r="B82" s="485" t="s">
        <v>2325</v>
      </c>
      <c r="C82" s="463" t="s">
        <v>2992</v>
      </c>
      <c r="D82" s="463" t="s">
        <v>4115</v>
      </c>
      <c r="E82" s="464">
        <v>6236217</v>
      </c>
      <c r="F82" s="465">
        <v>20</v>
      </c>
      <c r="G82" s="466">
        <v>50402</v>
      </c>
      <c r="H82" s="467">
        <v>7307</v>
      </c>
      <c r="I82" s="289">
        <v>311811</v>
      </c>
      <c r="J82" s="289">
        <v>5924406</v>
      </c>
      <c r="K82" s="468">
        <v>365</v>
      </c>
      <c r="L82" s="289">
        <v>295937</v>
      </c>
      <c r="M82" s="464">
        <v>1260772</v>
      </c>
      <c r="N82" s="469">
        <v>4975445</v>
      </c>
    </row>
    <row r="83" spans="2:14" hidden="1">
      <c r="B83" s="485" t="s">
        <v>2325</v>
      </c>
      <c r="C83" s="463" t="s">
        <v>2992</v>
      </c>
      <c r="D83" s="463" t="s">
        <v>3166</v>
      </c>
      <c r="E83" s="464">
        <v>43403930</v>
      </c>
      <c r="F83" s="465">
        <v>25</v>
      </c>
      <c r="G83" s="466">
        <v>52228</v>
      </c>
      <c r="H83" s="467">
        <v>9133</v>
      </c>
      <c r="I83" s="289">
        <v>2170197</v>
      </c>
      <c r="J83" s="289">
        <v>41233733</v>
      </c>
      <c r="K83" s="468">
        <v>365</v>
      </c>
      <c r="L83" s="289">
        <v>1647905</v>
      </c>
      <c r="M83" s="464">
        <v>7020526</v>
      </c>
      <c r="N83" s="469">
        <v>36383404</v>
      </c>
    </row>
    <row r="84" spans="2:14" hidden="1">
      <c r="B84" s="485" t="s">
        <v>2325</v>
      </c>
      <c r="C84" s="463" t="s">
        <v>2992</v>
      </c>
      <c r="D84" s="463" t="s">
        <v>3157</v>
      </c>
      <c r="E84" s="464">
        <v>26915932</v>
      </c>
      <c r="F84" s="465">
        <v>25</v>
      </c>
      <c r="G84" s="466">
        <v>52228</v>
      </c>
      <c r="H84" s="467">
        <v>9133</v>
      </c>
      <c r="I84" s="289">
        <v>1345797</v>
      </c>
      <c r="J84" s="289">
        <v>25570135</v>
      </c>
      <c r="K84" s="468">
        <v>365</v>
      </c>
      <c r="L84" s="289">
        <v>1021909</v>
      </c>
      <c r="M84" s="464">
        <v>4353613</v>
      </c>
      <c r="N84" s="469">
        <v>22562319</v>
      </c>
    </row>
    <row r="85" spans="2:14" hidden="1">
      <c r="B85" s="485" t="s">
        <v>2325</v>
      </c>
      <c r="C85" s="463" t="s">
        <v>2992</v>
      </c>
      <c r="D85" s="463" t="s">
        <v>3158</v>
      </c>
      <c r="E85" s="464">
        <v>148958756</v>
      </c>
      <c r="F85" s="465">
        <v>20</v>
      </c>
      <c r="G85" s="466">
        <v>50402</v>
      </c>
      <c r="H85" s="467">
        <v>7307</v>
      </c>
      <c r="I85" s="289">
        <v>7447938</v>
      </c>
      <c r="J85" s="289">
        <v>141510818</v>
      </c>
      <c r="K85" s="468">
        <v>365</v>
      </c>
      <c r="L85" s="289">
        <v>7068763</v>
      </c>
      <c r="M85" s="464">
        <v>30114866</v>
      </c>
      <c r="N85" s="469">
        <v>118843890</v>
      </c>
    </row>
    <row r="86" spans="2:14" hidden="1">
      <c r="B86" s="485" t="s">
        <v>2325</v>
      </c>
      <c r="C86" s="463" t="s">
        <v>2992</v>
      </c>
      <c r="D86" s="463" t="s">
        <v>3159</v>
      </c>
      <c r="E86" s="464">
        <v>59583479</v>
      </c>
      <c r="F86" s="465">
        <v>20</v>
      </c>
      <c r="G86" s="466">
        <v>50402</v>
      </c>
      <c r="H86" s="467">
        <v>7307</v>
      </c>
      <c r="I86" s="289">
        <v>2979174</v>
      </c>
      <c r="J86" s="289">
        <v>56604305</v>
      </c>
      <c r="K86" s="468">
        <v>365</v>
      </c>
      <c r="L86" s="289">
        <v>2827504</v>
      </c>
      <c r="M86" s="464">
        <v>12045942</v>
      </c>
      <c r="N86" s="469">
        <v>47537537</v>
      </c>
    </row>
    <row r="87" spans="2:14" hidden="1">
      <c r="B87" s="485" t="s">
        <v>2325</v>
      </c>
      <c r="C87" s="463" t="s">
        <v>2992</v>
      </c>
      <c r="D87" s="463" t="s">
        <v>3160</v>
      </c>
      <c r="E87" s="464">
        <v>161495291</v>
      </c>
      <c r="F87" s="465">
        <v>20</v>
      </c>
      <c r="G87" s="466">
        <v>50402</v>
      </c>
      <c r="H87" s="467">
        <v>7307</v>
      </c>
      <c r="I87" s="289">
        <v>8074765</v>
      </c>
      <c r="J87" s="289">
        <v>153420526</v>
      </c>
      <c r="K87" s="468">
        <v>365</v>
      </c>
      <c r="L87" s="289">
        <v>7663678</v>
      </c>
      <c r="M87" s="464">
        <v>32649367</v>
      </c>
      <c r="N87" s="469">
        <v>128845924</v>
      </c>
    </row>
    <row r="88" spans="2:14" hidden="1">
      <c r="B88" s="485" t="s">
        <v>2325</v>
      </c>
      <c r="C88" s="463" t="s">
        <v>2992</v>
      </c>
      <c r="D88" s="463" t="s">
        <v>3161</v>
      </c>
      <c r="E88" s="464">
        <v>119166962</v>
      </c>
      <c r="F88" s="465">
        <v>20</v>
      </c>
      <c r="G88" s="466">
        <v>50402</v>
      </c>
      <c r="H88" s="467">
        <v>7307</v>
      </c>
      <c r="I88" s="289">
        <v>5958348</v>
      </c>
      <c r="J88" s="289">
        <v>113208614</v>
      </c>
      <c r="K88" s="468">
        <v>365</v>
      </c>
      <c r="L88" s="289">
        <v>5655008</v>
      </c>
      <c r="M88" s="464">
        <v>24091883</v>
      </c>
      <c r="N88" s="469">
        <v>95075079</v>
      </c>
    </row>
    <row r="89" spans="2:14" hidden="1">
      <c r="B89" s="485" t="s">
        <v>2325</v>
      </c>
      <c r="C89" s="463" t="s">
        <v>2992</v>
      </c>
      <c r="D89" s="463" t="s">
        <v>3167</v>
      </c>
      <c r="E89" s="464">
        <v>154917042</v>
      </c>
      <c r="F89" s="465">
        <v>25</v>
      </c>
      <c r="G89" s="466">
        <v>52228</v>
      </c>
      <c r="H89" s="467">
        <v>9133</v>
      </c>
      <c r="I89" s="289">
        <v>7745852</v>
      </c>
      <c r="J89" s="289">
        <v>147171190</v>
      </c>
      <c r="K89" s="468">
        <v>365</v>
      </c>
      <c r="L89" s="289">
        <v>5881691</v>
      </c>
      <c r="M89" s="464">
        <v>25057615</v>
      </c>
      <c r="N89" s="469">
        <v>129859427</v>
      </c>
    </row>
    <row r="90" spans="2:14" ht="27" hidden="1">
      <c r="B90" s="485" t="s">
        <v>2325</v>
      </c>
      <c r="C90" s="463" t="s">
        <v>2992</v>
      </c>
      <c r="D90" s="463" t="s">
        <v>3178</v>
      </c>
      <c r="E90" s="464">
        <v>57245912</v>
      </c>
      <c r="F90" s="465">
        <v>20</v>
      </c>
      <c r="G90" s="466">
        <v>50402</v>
      </c>
      <c r="H90" s="467">
        <v>7307</v>
      </c>
      <c r="I90" s="289">
        <v>2862296</v>
      </c>
      <c r="J90" s="289">
        <v>54383616</v>
      </c>
      <c r="K90" s="468">
        <v>365</v>
      </c>
      <c r="L90" s="289">
        <v>2716576</v>
      </c>
      <c r="M90" s="464">
        <v>11573358</v>
      </c>
      <c r="N90" s="469">
        <v>45672554</v>
      </c>
    </row>
    <row r="91" spans="2:14" ht="27" hidden="1">
      <c r="B91" s="485" t="s">
        <v>2325</v>
      </c>
      <c r="C91" s="463" t="s">
        <v>2992</v>
      </c>
      <c r="D91" s="463" t="s">
        <v>4116</v>
      </c>
      <c r="E91" s="464">
        <v>37820037</v>
      </c>
      <c r="F91" s="465">
        <v>20</v>
      </c>
      <c r="G91" s="466">
        <v>50402</v>
      </c>
      <c r="H91" s="467">
        <v>7307</v>
      </c>
      <c r="I91" s="289">
        <v>1891002</v>
      </c>
      <c r="J91" s="289">
        <v>35929035</v>
      </c>
      <c r="K91" s="468">
        <v>365</v>
      </c>
      <c r="L91" s="289">
        <v>1794731</v>
      </c>
      <c r="M91" s="464">
        <v>7646046</v>
      </c>
      <c r="N91" s="469">
        <v>30173991</v>
      </c>
    </row>
    <row r="92" spans="2:14" hidden="1">
      <c r="B92" s="485" t="s">
        <v>2325</v>
      </c>
      <c r="C92" s="463" t="s">
        <v>2992</v>
      </c>
      <c r="D92" s="463" t="s">
        <v>4117</v>
      </c>
      <c r="E92" s="464">
        <v>357445952</v>
      </c>
      <c r="F92" s="465">
        <v>25</v>
      </c>
      <c r="G92" s="466">
        <v>52228</v>
      </c>
      <c r="H92" s="467">
        <v>9133</v>
      </c>
      <c r="I92" s="289">
        <v>17872298</v>
      </c>
      <c r="J92" s="289">
        <v>339573654</v>
      </c>
      <c r="K92" s="468">
        <v>365</v>
      </c>
      <c r="L92" s="289">
        <v>13571048</v>
      </c>
      <c r="M92" s="464">
        <v>57816383</v>
      </c>
      <c r="N92" s="469">
        <v>299629569</v>
      </c>
    </row>
    <row r="93" spans="2:14" hidden="1">
      <c r="B93" s="485" t="s">
        <v>2325</v>
      </c>
      <c r="C93" s="463" t="s">
        <v>2992</v>
      </c>
      <c r="D93" s="463" t="s">
        <v>4118</v>
      </c>
      <c r="E93" s="464">
        <v>209943933</v>
      </c>
      <c r="F93" s="465">
        <v>20</v>
      </c>
      <c r="G93" s="466">
        <v>50402</v>
      </c>
      <c r="H93" s="467">
        <v>7307</v>
      </c>
      <c r="I93" s="289">
        <v>10497197</v>
      </c>
      <c r="J93" s="289">
        <v>199446736</v>
      </c>
      <c r="K93" s="468">
        <v>365</v>
      </c>
      <c r="L93" s="289">
        <v>9962783</v>
      </c>
      <c r="M93" s="464">
        <v>42444186</v>
      </c>
      <c r="N93" s="469">
        <v>167499747</v>
      </c>
    </row>
    <row r="94" spans="2:14" ht="27" hidden="1">
      <c r="B94" s="485" t="s">
        <v>2325</v>
      </c>
      <c r="C94" s="463" t="s">
        <v>2992</v>
      </c>
      <c r="D94" s="463" t="s">
        <v>3172</v>
      </c>
      <c r="E94" s="464">
        <v>43334605</v>
      </c>
      <c r="F94" s="465">
        <v>25</v>
      </c>
      <c r="G94" s="466">
        <v>52228</v>
      </c>
      <c r="H94" s="467">
        <v>9133</v>
      </c>
      <c r="I94" s="289">
        <v>2166730</v>
      </c>
      <c r="J94" s="289">
        <v>41167875</v>
      </c>
      <c r="K94" s="468">
        <v>365</v>
      </c>
      <c r="L94" s="289">
        <v>1645273</v>
      </c>
      <c r="M94" s="464">
        <v>7009313</v>
      </c>
      <c r="N94" s="469">
        <v>36325292</v>
      </c>
    </row>
    <row r="95" spans="2:14" hidden="1">
      <c r="B95" s="485" t="s">
        <v>2325</v>
      </c>
      <c r="C95" s="463" t="s">
        <v>2992</v>
      </c>
      <c r="D95" s="463" t="s">
        <v>4119</v>
      </c>
      <c r="E95" s="464">
        <v>209739390</v>
      </c>
      <c r="F95" s="465">
        <v>20</v>
      </c>
      <c r="G95" s="466">
        <v>50402</v>
      </c>
      <c r="H95" s="467">
        <v>7307</v>
      </c>
      <c r="I95" s="289">
        <v>10486970</v>
      </c>
      <c r="J95" s="289">
        <v>199252420</v>
      </c>
      <c r="K95" s="468">
        <v>365</v>
      </c>
      <c r="L95" s="289">
        <v>9953077</v>
      </c>
      <c r="M95" s="464">
        <v>42402835</v>
      </c>
      <c r="N95" s="469">
        <v>167336555</v>
      </c>
    </row>
    <row r="96" spans="2:14" ht="27" hidden="1">
      <c r="B96" s="485" t="s">
        <v>2325</v>
      </c>
      <c r="C96" s="463" t="s">
        <v>2992</v>
      </c>
      <c r="D96" s="463" t="s">
        <v>3174</v>
      </c>
      <c r="E96" s="464">
        <v>43334605</v>
      </c>
      <c r="F96" s="465">
        <v>25</v>
      </c>
      <c r="G96" s="466">
        <v>52228</v>
      </c>
      <c r="H96" s="467">
        <v>9133</v>
      </c>
      <c r="I96" s="289">
        <v>2166730</v>
      </c>
      <c r="J96" s="289">
        <v>41167875</v>
      </c>
      <c r="K96" s="468">
        <v>365</v>
      </c>
      <c r="L96" s="289">
        <v>1645273</v>
      </c>
      <c r="M96" s="464">
        <v>7009313</v>
      </c>
      <c r="N96" s="469">
        <v>36325292</v>
      </c>
    </row>
    <row r="97" spans="2:14" hidden="1">
      <c r="B97" s="485" t="s">
        <v>2325</v>
      </c>
      <c r="C97" s="463" t="s">
        <v>2992</v>
      </c>
      <c r="D97" s="463" t="s">
        <v>4120</v>
      </c>
      <c r="E97" s="464">
        <v>120753885</v>
      </c>
      <c r="F97" s="465">
        <v>25</v>
      </c>
      <c r="G97" s="466">
        <v>52228</v>
      </c>
      <c r="H97" s="467">
        <v>9133</v>
      </c>
      <c r="I97" s="289">
        <v>6037694</v>
      </c>
      <c r="J97" s="289">
        <v>114716191</v>
      </c>
      <c r="K97" s="468">
        <v>365</v>
      </c>
      <c r="L97" s="289">
        <v>4584628</v>
      </c>
      <c r="M97" s="464">
        <v>19531772</v>
      </c>
      <c r="N97" s="469">
        <v>101222113</v>
      </c>
    </row>
    <row r="98" spans="2:14" hidden="1">
      <c r="B98" s="485" t="s">
        <v>2325</v>
      </c>
      <c r="C98" s="463" t="s">
        <v>2992</v>
      </c>
      <c r="D98" s="463" t="s">
        <v>3179</v>
      </c>
      <c r="E98" s="464">
        <v>310028343</v>
      </c>
      <c r="F98" s="465">
        <v>25</v>
      </c>
      <c r="G98" s="466">
        <v>52228</v>
      </c>
      <c r="H98" s="467">
        <v>9133</v>
      </c>
      <c r="I98" s="289">
        <v>15501417</v>
      </c>
      <c r="J98" s="289">
        <v>294526926</v>
      </c>
      <c r="K98" s="468">
        <v>365</v>
      </c>
      <c r="L98" s="289">
        <v>11770757</v>
      </c>
      <c r="M98" s="464">
        <v>50146650</v>
      </c>
      <c r="N98" s="469">
        <v>259881693</v>
      </c>
    </row>
    <row r="99" spans="2:14" hidden="1">
      <c r="B99" s="485" t="s">
        <v>2325</v>
      </c>
      <c r="C99" s="463" t="s">
        <v>2992</v>
      </c>
      <c r="D99" s="463" t="s">
        <v>3183</v>
      </c>
      <c r="E99" s="464">
        <v>299337837</v>
      </c>
      <c r="F99" s="465">
        <v>25</v>
      </c>
      <c r="G99" s="466">
        <v>52228</v>
      </c>
      <c r="H99" s="467">
        <v>9133</v>
      </c>
      <c r="I99" s="289">
        <v>14966892</v>
      </c>
      <c r="J99" s="289">
        <v>284370945</v>
      </c>
      <c r="K99" s="468">
        <v>365</v>
      </c>
      <c r="L99" s="289">
        <v>11364874</v>
      </c>
      <c r="M99" s="464">
        <v>48417477</v>
      </c>
      <c r="N99" s="469">
        <v>250920360</v>
      </c>
    </row>
    <row r="100" spans="2:14" hidden="1">
      <c r="B100" s="485" t="s">
        <v>2325</v>
      </c>
      <c r="C100" s="463" t="s">
        <v>2992</v>
      </c>
      <c r="D100" s="463" t="s">
        <v>4121</v>
      </c>
      <c r="E100" s="464">
        <v>75364471</v>
      </c>
      <c r="F100" s="465">
        <v>25</v>
      </c>
      <c r="G100" s="466">
        <v>52228</v>
      </c>
      <c r="H100" s="467">
        <v>9133</v>
      </c>
      <c r="I100" s="289">
        <v>3768224</v>
      </c>
      <c r="J100" s="289">
        <v>71596247</v>
      </c>
      <c r="K100" s="468">
        <v>365</v>
      </c>
      <c r="L100" s="289">
        <v>2861341</v>
      </c>
      <c r="M100" s="464">
        <v>12190097</v>
      </c>
      <c r="N100" s="469">
        <v>63174374</v>
      </c>
    </row>
    <row r="101" spans="2:14" hidden="1">
      <c r="B101" s="485" t="s">
        <v>2325</v>
      </c>
      <c r="C101" s="463" t="s">
        <v>2992</v>
      </c>
      <c r="D101" s="463" t="s">
        <v>4122</v>
      </c>
      <c r="E101" s="464">
        <v>98751370</v>
      </c>
      <c r="F101" s="465">
        <v>20</v>
      </c>
      <c r="G101" s="466">
        <v>50402</v>
      </c>
      <c r="H101" s="467">
        <v>7307</v>
      </c>
      <c r="I101" s="289">
        <v>4937569</v>
      </c>
      <c r="J101" s="289">
        <v>93813801</v>
      </c>
      <c r="K101" s="468">
        <v>365</v>
      </c>
      <c r="L101" s="289">
        <v>4686196</v>
      </c>
      <c r="M101" s="464">
        <v>19964479</v>
      </c>
      <c r="N101" s="469">
        <v>78786891</v>
      </c>
    </row>
    <row r="102" spans="2:14" hidden="1">
      <c r="B102" s="485" t="s">
        <v>2325</v>
      </c>
      <c r="C102" s="463" t="s">
        <v>2992</v>
      </c>
      <c r="D102" s="463" t="s">
        <v>4123</v>
      </c>
      <c r="E102" s="464">
        <v>52583094</v>
      </c>
      <c r="F102" s="465">
        <v>20</v>
      </c>
      <c r="G102" s="466">
        <v>50402</v>
      </c>
      <c r="H102" s="467">
        <v>7307</v>
      </c>
      <c r="I102" s="289">
        <v>2629155</v>
      </c>
      <c r="J102" s="289">
        <v>49953939</v>
      </c>
      <c r="K102" s="468">
        <v>365</v>
      </c>
      <c r="L102" s="289">
        <v>2495304</v>
      </c>
      <c r="M102" s="464">
        <v>10630679</v>
      </c>
      <c r="N102" s="469">
        <v>41952415</v>
      </c>
    </row>
    <row r="103" spans="2:14" hidden="1">
      <c r="B103" s="485" t="s">
        <v>2325</v>
      </c>
      <c r="C103" s="463" t="s">
        <v>2992</v>
      </c>
      <c r="D103" s="463" t="s">
        <v>3212</v>
      </c>
      <c r="E103" s="464">
        <v>6682751</v>
      </c>
      <c r="F103" s="465">
        <v>20</v>
      </c>
      <c r="G103" s="466">
        <v>50402</v>
      </c>
      <c r="H103" s="467">
        <v>7307</v>
      </c>
      <c r="I103" s="289">
        <v>334138</v>
      </c>
      <c r="J103" s="289">
        <v>6348613</v>
      </c>
      <c r="K103" s="468">
        <v>365</v>
      </c>
      <c r="L103" s="289">
        <v>317127</v>
      </c>
      <c r="M103" s="464">
        <v>1351047</v>
      </c>
      <c r="N103" s="469">
        <v>5331704</v>
      </c>
    </row>
    <row r="104" spans="2:14" hidden="1">
      <c r="B104" s="485" t="s">
        <v>2325</v>
      </c>
      <c r="C104" s="463" t="s">
        <v>2992</v>
      </c>
      <c r="D104" s="463" t="s">
        <v>3190</v>
      </c>
      <c r="E104" s="464">
        <v>96571410</v>
      </c>
      <c r="F104" s="465">
        <v>25</v>
      </c>
      <c r="G104" s="466">
        <v>52228</v>
      </c>
      <c r="H104" s="467">
        <v>9133</v>
      </c>
      <c r="I104" s="289">
        <v>4828571</v>
      </c>
      <c r="J104" s="289">
        <v>91742839</v>
      </c>
      <c r="K104" s="468">
        <v>365</v>
      </c>
      <c r="L104" s="289">
        <v>3666499</v>
      </c>
      <c r="M104" s="464">
        <v>15620290</v>
      </c>
      <c r="N104" s="469">
        <v>80951120</v>
      </c>
    </row>
    <row r="105" spans="2:14" hidden="1">
      <c r="B105" s="485" t="s">
        <v>2325</v>
      </c>
      <c r="C105" s="463" t="s">
        <v>2992</v>
      </c>
      <c r="D105" s="463" t="s">
        <v>3191</v>
      </c>
      <c r="E105" s="464">
        <v>472717829</v>
      </c>
      <c r="F105" s="465">
        <v>25</v>
      </c>
      <c r="G105" s="466">
        <v>52228</v>
      </c>
      <c r="H105" s="467">
        <v>9133</v>
      </c>
      <c r="I105" s="289">
        <v>23635891</v>
      </c>
      <c r="J105" s="289">
        <v>449081938</v>
      </c>
      <c r="K105" s="468">
        <v>365</v>
      </c>
      <c r="L105" s="289">
        <v>17947543</v>
      </c>
      <c r="M105" s="464">
        <v>76461450</v>
      </c>
      <c r="N105" s="469">
        <v>396256379</v>
      </c>
    </row>
    <row r="106" spans="2:14" ht="27" hidden="1">
      <c r="B106" s="485" t="s">
        <v>2325</v>
      </c>
      <c r="C106" s="463" t="s">
        <v>2992</v>
      </c>
      <c r="D106" s="463" t="s">
        <v>4124</v>
      </c>
      <c r="E106" s="464">
        <v>41347719</v>
      </c>
      <c r="F106" s="465">
        <v>25</v>
      </c>
      <c r="G106" s="466">
        <v>52228</v>
      </c>
      <c r="H106" s="467">
        <v>9133</v>
      </c>
      <c r="I106" s="289">
        <v>2067386</v>
      </c>
      <c r="J106" s="289">
        <v>39280333</v>
      </c>
      <c r="K106" s="468">
        <v>365</v>
      </c>
      <c r="L106" s="289">
        <v>1569837</v>
      </c>
      <c r="M106" s="464">
        <v>6687936</v>
      </c>
      <c r="N106" s="469">
        <v>34659783</v>
      </c>
    </row>
    <row r="107" spans="2:14" hidden="1">
      <c r="B107" s="485" t="s">
        <v>2325</v>
      </c>
      <c r="C107" s="463" t="s">
        <v>2992</v>
      </c>
      <c r="D107" s="463" t="s">
        <v>3209</v>
      </c>
      <c r="E107" s="464">
        <v>8024731</v>
      </c>
      <c r="F107" s="465">
        <v>10</v>
      </c>
      <c r="G107" s="466">
        <v>46749</v>
      </c>
      <c r="H107" s="467">
        <v>3654</v>
      </c>
      <c r="I107" s="289">
        <v>401237</v>
      </c>
      <c r="J107" s="289">
        <v>7623494</v>
      </c>
      <c r="K107" s="468">
        <v>365</v>
      </c>
      <c r="L107" s="289">
        <v>761515</v>
      </c>
      <c r="M107" s="464">
        <v>3244262</v>
      </c>
      <c r="N107" s="469">
        <v>4780469</v>
      </c>
    </row>
    <row r="108" spans="2:14" hidden="1">
      <c r="B108" s="485" t="s">
        <v>2325</v>
      </c>
      <c r="C108" s="463" t="s">
        <v>2992</v>
      </c>
      <c r="D108" s="463" t="s">
        <v>3163</v>
      </c>
      <c r="E108" s="464">
        <v>759040561</v>
      </c>
      <c r="F108" s="465">
        <v>25</v>
      </c>
      <c r="G108" s="466">
        <v>52228</v>
      </c>
      <c r="H108" s="467">
        <v>9133</v>
      </c>
      <c r="I108" s="289">
        <v>37952028</v>
      </c>
      <c r="J108" s="289">
        <v>721088533</v>
      </c>
      <c r="K108" s="468">
        <v>365</v>
      </c>
      <c r="L108" s="289">
        <v>28818276</v>
      </c>
      <c r="M108" s="464">
        <v>122773751</v>
      </c>
      <c r="N108" s="469">
        <v>636266810</v>
      </c>
    </row>
    <row r="109" spans="2:14" ht="27" hidden="1">
      <c r="B109" s="485" t="s">
        <v>2325</v>
      </c>
      <c r="C109" s="463" t="s">
        <v>2992</v>
      </c>
      <c r="D109" s="463" t="s">
        <v>4146</v>
      </c>
      <c r="E109" s="464">
        <v>169595099</v>
      </c>
      <c r="F109" s="465">
        <v>25</v>
      </c>
      <c r="G109" s="466">
        <v>52228</v>
      </c>
      <c r="H109" s="467">
        <v>9133</v>
      </c>
      <c r="I109" s="289">
        <v>8479755</v>
      </c>
      <c r="J109" s="289">
        <v>161115344</v>
      </c>
      <c r="K109" s="468">
        <v>365</v>
      </c>
      <c r="L109" s="289">
        <v>6438969</v>
      </c>
      <c r="M109" s="464">
        <v>27431772</v>
      </c>
      <c r="N109" s="469">
        <v>142163327</v>
      </c>
    </row>
    <row r="110" spans="2:14" hidden="1">
      <c r="B110" s="485" t="s">
        <v>2325</v>
      </c>
      <c r="C110" s="463" t="s">
        <v>2992</v>
      </c>
      <c r="D110" s="463" t="s">
        <v>4147</v>
      </c>
      <c r="E110" s="464">
        <v>647241622</v>
      </c>
      <c r="F110" s="465">
        <v>25</v>
      </c>
      <c r="G110" s="466">
        <v>52228</v>
      </c>
      <c r="H110" s="467">
        <v>9133</v>
      </c>
      <c r="I110" s="289">
        <v>32362081</v>
      </c>
      <c r="J110" s="289">
        <v>614879541</v>
      </c>
      <c r="K110" s="468">
        <v>365</v>
      </c>
      <c r="L110" s="289">
        <v>24573638</v>
      </c>
      <c r="M110" s="464">
        <v>104690430</v>
      </c>
      <c r="N110" s="469">
        <v>542551192</v>
      </c>
    </row>
    <row r="111" spans="2:14" hidden="1">
      <c r="B111" s="485" t="s">
        <v>2325</v>
      </c>
      <c r="C111" s="463" t="s">
        <v>2992</v>
      </c>
      <c r="D111" s="463" t="s">
        <v>3206</v>
      </c>
      <c r="E111" s="464">
        <v>116004911</v>
      </c>
      <c r="F111" s="465">
        <v>20</v>
      </c>
      <c r="G111" s="466">
        <v>50402</v>
      </c>
      <c r="H111" s="467">
        <v>7307</v>
      </c>
      <c r="I111" s="289">
        <v>5800246</v>
      </c>
      <c r="J111" s="289">
        <v>110204665</v>
      </c>
      <c r="K111" s="468">
        <v>365</v>
      </c>
      <c r="L111" s="289">
        <v>5504955</v>
      </c>
      <c r="M111" s="464">
        <v>23452616</v>
      </c>
      <c r="N111" s="469">
        <v>92552295</v>
      </c>
    </row>
    <row r="112" spans="2:14" hidden="1">
      <c r="B112" s="485" t="s">
        <v>2325</v>
      </c>
      <c r="C112" s="463" t="s">
        <v>2992</v>
      </c>
      <c r="D112" s="463" t="s">
        <v>3213</v>
      </c>
      <c r="E112" s="464">
        <v>40114137</v>
      </c>
      <c r="F112" s="465">
        <v>20</v>
      </c>
      <c r="G112" s="466">
        <v>50402</v>
      </c>
      <c r="H112" s="467">
        <v>7307</v>
      </c>
      <c r="I112" s="289">
        <v>2005707</v>
      </c>
      <c r="J112" s="289">
        <v>38108430</v>
      </c>
      <c r="K112" s="468">
        <v>365</v>
      </c>
      <c r="L112" s="289">
        <v>1903596</v>
      </c>
      <c r="M112" s="464">
        <v>8109840</v>
      </c>
      <c r="N112" s="469">
        <v>32004297</v>
      </c>
    </row>
    <row r="113" spans="2:14" hidden="1">
      <c r="B113" s="485" t="s">
        <v>2325</v>
      </c>
      <c r="C113" s="463" t="s">
        <v>2992</v>
      </c>
      <c r="D113" s="463" t="s">
        <v>3156</v>
      </c>
      <c r="E113" s="464">
        <v>378770022</v>
      </c>
      <c r="F113" s="465">
        <v>20</v>
      </c>
      <c r="G113" s="466">
        <v>50402</v>
      </c>
      <c r="H113" s="467">
        <v>7307</v>
      </c>
      <c r="I113" s="289">
        <v>18938501</v>
      </c>
      <c r="J113" s="289">
        <v>359831521</v>
      </c>
      <c r="K113" s="468">
        <v>365</v>
      </c>
      <c r="L113" s="289">
        <v>17974340</v>
      </c>
      <c r="M113" s="464">
        <v>76575613</v>
      </c>
      <c r="N113" s="469">
        <v>302194409</v>
      </c>
    </row>
    <row r="114" spans="2:14" hidden="1">
      <c r="B114" s="485" t="s">
        <v>2325</v>
      </c>
      <c r="C114" s="463" t="s">
        <v>2992</v>
      </c>
      <c r="D114" s="463" t="s">
        <v>4148</v>
      </c>
      <c r="E114" s="464">
        <v>119296271</v>
      </c>
      <c r="F114" s="465">
        <v>20</v>
      </c>
      <c r="G114" s="466">
        <v>50402</v>
      </c>
      <c r="H114" s="467">
        <v>7307</v>
      </c>
      <c r="I114" s="289">
        <v>5964814</v>
      </c>
      <c r="J114" s="289">
        <v>113331457</v>
      </c>
      <c r="K114" s="468">
        <v>365</v>
      </c>
      <c r="L114" s="289">
        <v>5661144</v>
      </c>
      <c r="M114" s="464">
        <v>24118025</v>
      </c>
      <c r="N114" s="469">
        <v>95178246</v>
      </c>
    </row>
    <row r="115" spans="2:14" hidden="1">
      <c r="B115" s="485" t="s">
        <v>2325</v>
      </c>
      <c r="C115" s="463" t="s">
        <v>2992</v>
      </c>
      <c r="D115" s="463" t="s">
        <v>4149</v>
      </c>
      <c r="E115" s="464">
        <v>437340133</v>
      </c>
      <c r="F115" s="465">
        <v>20</v>
      </c>
      <c r="G115" s="466">
        <v>50402</v>
      </c>
      <c r="H115" s="467">
        <v>7307</v>
      </c>
      <c r="I115" s="289">
        <v>21867007</v>
      </c>
      <c r="J115" s="289">
        <v>415473126</v>
      </c>
      <c r="K115" s="468">
        <v>365</v>
      </c>
      <c r="L115" s="289">
        <v>20753755</v>
      </c>
      <c r="M115" s="464">
        <v>88416683</v>
      </c>
      <c r="N115" s="469">
        <v>348923450</v>
      </c>
    </row>
    <row r="116" spans="2:14" hidden="1">
      <c r="B116" s="485" t="s">
        <v>2325</v>
      </c>
      <c r="C116" s="463" t="s">
        <v>2992</v>
      </c>
      <c r="D116" s="463" t="s">
        <v>4150</v>
      </c>
      <c r="E116" s="464">
        <v>125548290</v>
      </c>
      <c r="F116" s="465">
        <v>20</v>
      </c>
      <c r="G116" s="466">
        <v>50402</v>
      </c>
      <c r="H116" s="467">
        <v>7307</v>
      </c>
      <c r="I116" s="289">
        <v>6277415</v>
      </c>
      <c r="J116" s="289">
        <v>119270875</v>
      </c>
      <c r="K116" s="468">
        <v>365</v>
      </c>
      <c r="L116" s="289">
        <v>5957831</v>
      </c>
      <c r="M116" s="464">
        <v>25381992</v>
      </c>
      <c r="N116" s="469">
        <v>100166298</v>
      </c>
    </row>
    <row r="117" spans="2:14" hidden="1">
      <c r="B117" s="485" t="s">
        <v>2325</v>
      </c>
      <c r="C117" s="463" t="s">
        <v>2992</v>
      </c>
      <c r="D117" s="463" t="s">
        <v>4151</v>
      </c>
      <c r="E117" s="464">
        <v>750801527</v>
      </c>
      <c r="F117" s="465">
        <v>25</v>
      </c>
      <c r="G117" s="466">
        <v>52228</v>
      </c>
      <c r="H117" s="467">
        <v>9133</v>
      </c>
      <c r="I117" s="289">
        <v>37540076</v>
      </c>
      <c r="J117" s="289">
        <v>713261451</v>
      </c>
      <c r="K117" s="468">
        <v>365</v>
      </c>
      <c r="L117" s="289">
        <v>28505467</v>
      </c>
      <c r="M117" s="464">
        <v>121441099</v>
      </c>
      <c r="N117" s="469">
        <v>629360428</v>
      </c>
    </row>
    <row r="118" spans="2:14" hidden="1">
      <c r="B118" s="485" t="s">
        <v>2325</v>
      </c>
      <c r="C118" s="463" t="s">
        <v>2992</v>
      </c>
      <c r="D118" s="463" t="s">
        <v>4152</v>
      </c>
      <c r="E118" s="464">
        <v>878889588</v>
      </c>
      <c r="F118" s="465">
        <v>20</v>
      </c>
      <c r="G118" s="466">
        <v>50402</v>
      </c>
      <c r="H118" s="467">
        <v>7307</v>
      </c>
      <c r="I118" s="289">
        <v>43944479</v>
      </c>
      <c r="J118" s="289">
        <v>834945109</v>
      </c>
      <c r="K118" s="468">
        <v>365</v>
      </c>
      <c r="L118" s="289">
        <v>41707262</v>
      </c>
      <c r="M118" s="464">
        <v>177684363</v>
      </c>
      <c r="N118" s="469">
        <v>701205225</v>
      </c>
    </row>
    <row r="119" spans="2:14" ht="27" hidden="1">
      <c r="B119" s="485" t="s">
        <v>2325</v>
      </c>
      <c r="C119" s="463" t="s">
        <v>2992</v>
      </c>
      <c r="D119" s="463" t="s">
        <v>4153</v>
      </c>
      <c r="E119" s="464">
        <v>442758664</v>
      </c>
      <c r="F119" s="465">
        <v>25</v>
      </c>
      <c r="G119" s="466">
        <v>52228</v>
      </c>
      <c r="H119" s="467">
        <v>9133</v>
      </c>
      <c r="I119" s="289">
        <v>22137933</v>
      </c>
      <c r="J119" s="289">
        <v>420620731</v>
      </c>
      <c r="K119" s="468">
        <v>365</v>
      </c>
      <c r="L119" s="289">
        <v>16810092</v>
      </c>
      <c r="M119" s="464">
        <v>71615597</v>
      </c>
      <c r="N119" s="469">
        <v>371143067</v>
      </c>
    </row>
    <row r="120" spans="2:14" hidden="1">
      <c r="B120" s="485" t="s">
        <v>2325</v>
      </c>
      <c r="C120" s="463" t="s">
        <v>2992</v>
      </c>
      <c r="D120" s="463" t="s">
        <v>3266</v>
      </c>
      <c r="E120" s="464">
        <v>61682938</v>
      </c>
      <c r="F120" s="465">
        <v>20</v>
      </c>
      <c r="G120" s="466">
        <v>50402</v>
      </c>
      <c r="H120" s="467">
        <v>7307</v>
      </c>
      <c r="I120" s="289">
        <v>3084147</v>
      </c>
      <c r="J120" s="289">
        <v>58598791</v>
      </c>
      <c r="K120" s="468">
        <v>365</v>
      </c>
      <c r="L120" s="289">
        <v>2927133</v>
      </c>
      <c r="M120" s="464">
        <v>12470388</v>
      </c>
      <c r="N120" s="469">
        <v>49212550</v>
      </c>
    </row>
    <row r="121" spans="2:14" ht="27" hidden="1">
      <c r="B121" s="485" t="s">
        <v>2325</v>
      </c>
      <c r="C121" s="463" t="s">
        <v>2992</v>
      </c>
      <c r="D121" s="463" t="s">
        <v>4154</v>
      </c>
      <c r="E121" s="464">
        <v>3494370</v>
      </c>
      <c r="F121" s="465">
        <v>15</v>
      </c>
      <c r="G121" s="466">
        <v>48576</v>
      </c>
      <c r="H121" s="467">
        <v>5481</v>
      </c>
      <c r="I121" s="289">
        <v>174719</v>
      </c>
      <c r="J121" s="289">
        <v>3319651</v>
      </c>
      <c r="K121" s="468">
        <v>365</v>
      </c>
      <c r="L121" s="289">
        <v>221068</v>
      </c>
      <c r="M121" s="464">
        <v>941810</v>
      </c>
      <c r="N121" s="469">
        <v>2552560</v>
      </c>
    </row>
    <row r="122" spans="2:14" hidden="1">
      <c r="B122" s="485" t="s">
        <v>2325</v>
      </c>
      <c r="C122" s="463" t="s">
        <v>2992</v>
      </c>
      <c r="D122" s="463" t="s">
        <v>3182</v>
      </c>
      <c r="E122" s="464">
        <v>44766970</v>
      </c>
      <c r="F122" s="465">
        <v>25</v>
      </c>
      <c r="G122" s="466">
        <v>52228</v>
      </c>
      <c r="H122" s="467">
        <v>9133</v>
      </c>
      <c r="I122" s="289">
        <v>2238349</v>
      </c>
      <c r="J122" s="289">
        <v>42528621</v>
      </c>
      <c r="K122" s="468">
        <v>365</v>
      </c>
      <c r="L122" s="289">
        <v>1699655</v>
      </c>
      <c r="M122" s="464">
        <v>7240995</v>
      </c>
      <c r="N122" s="469">
        <v>37525975</v>
      </c>
    </row>
    <row r="123" spans="2:14" ht="27" hidden="1">
      <c r="B123" s="485" t="s">
        <v>2325</v>
      </c>
      <c r="C123" s="463" t="s">
        <v>2992</v>
      </c>
      <c r="D123" s="463" t="s">
        <v>4155</v>
      </c>
      <c r="E123" s="464">
        <v>53799261</v>
      </c>
      <c r="F123" s="465">
        <v>20</v>
      </c>
      <c r="G123" s="466">
        <v>50402</v>
      </c>
      <c r="H123" s="467">
        <v>7307</v>
      </c>
      <c r="I123" s="289">
        <v>2689963</v>
      </c>
      <c r="J123" s="289">
        <v>51109298</v>
      </c>
      <c r="K123" s="468">
        <v>365</v>
      </c>
      <c r="L123" s="289">
        <v>2553017</v>
      </c>
      <c r="M123" s="464">
        <v>10876551</v>
      </c>
      <c r="N123" s="469">
        <v>42922710</v>
      </c>
    </row>
    <row r="124" spans="2:14" hidden="1">
      <c r="B124" s="485" t="s">
        <v>2325</v>
      </c>
      <c r="C124" s="463" t="s">
        <v>2992</v>
      </c>
      <c r="D124" s="463" t="s">
        <v>3199</v>
      </c>
      <c r="E124" s="464">
        <v>21068044</v>
      </c>
      <c r="F124" s="465">
        <v>15</v>
      </c>
      <c r="G124" s="466">
        <v>48576</v>
      </c>
      <c r="H124" s="467">
        <v>5481</v>
      </c>
      <c r="I124" s="289">
        <v>1053402</v>
      </c>
      <c r="J124" s="289">
        <v>20014642</v>
      </c>
      <c r="K124" s="468">
        <v>365</v>
      </c>
      <c r="L124" s="289">
        <v>1332849</v>
      </c>
      <c r="M124" s="464">
        <v>5678301</v>
      </c>
      <c r="N124" s="469">
        <v>15389743</v>
      </c>
    </row>
    <row r="125" spans="2:14" hidden="1">
      <c r="B125" s="485" t="s">
        <v>2325</v>
      </c>
      <c r="C125" s="463" t="s">
        <v>2992</v>
      </c>
      <c r="D125" s="463" t="s">
        <v>3211</v>
      </c>
      <c r="E125" s="464">
        <v>433023989</v>
      </c>
      <c r="F125" s="465">
        <v>25</v>
      </c>
      <c r="G125" s="466">
        <v>52228</v>
      </c>
      <c r="H125" s="467">
        <v>9133</v>
      </c>
      <c r="I125" s="289">
        <v>21651199</v>
      </c>
      <c r="J125" s="289">
        <v>411372790</v>
      </c>
      <c r="K125" s="468">
        <v>365</v>
      </c>
      <c r="L125" s="289">
        <v>16440498</v>
      </c>
      <c r="M125" s="464">
        <v>70041025</v>
      </c>
      <c r="N125" s="469">
        <v>362982964</v>
      </c>
    </row>
    <row r="126" spans="2:14" ht="27" hidden="1">
      <c r="B126" s="485" t="s">
        <v>2325</v>
      </c>
      <c r="C126" s="463" t="s">
        <v>2992</v>
      </c>
      <c r="D126" s="463" t="s">
        <v>3215</v>
      </c>
      <c r="E126" s="464">
        <v>42103850</v>
      </c>
      <c r="F126" s="465">
        <v>15</v>
      </c>
      <c r="G126" s="466">
        <v>48576</v>
      </c>
      <c r="H126" s="467">
        <v>5481</v>
      </c>
      <c r="I126" s="289">
        <v>2105193</v>
      </c>
      <c r="J126" s="289">
        <v>39998657</v>
      </c>
      <c r="K126" s="468">
        <v>365</v>
      </c>
      <c r="L126" s="289">
        <v>2663658</v>
      </c>
      <c r="M126" s="464">
        <v>11347913</v>
      </c>
      <c r="N126" s="469">
        <v>30755937</v>
      </c>
    </row>
    <row r="127" spans="2:14" ht="27" hidden="1">
      <c r="B127" s="485" t="s">
        <v>2325</v>
      </c>
      <c r="C127" s="463" t="s">
        <v>2992</v>
      </c>
      <c r="D127" s="463" t="s">
        <v>3135</v>
      </c>
      <c r="E127" s="464">
        <v>42904417</v>
      </c>
      <c r="F127" s="465">
        <v>20</v>
      </c>
      <c r="G127" s="466">
        <v>50402</v>
      </c>
      <c r="H127" s="467">
        <v>7307</v>
      </c>
      <c r="I127" s="289">
        <v>2145221</v>
      </c>
      <c r="J127" s="289">
        <v>40759196</v>
      </c>
      <c r="K127" s="468">
        <v>365</v>
      </c>
      <c r="L127" s="289">
        <v>2036007</v>
      </c>
      <c r="M127" s="464">
        <v>8673949</v>
      </c>
      <c r="N127" s="469">
        <v>34230468</v>
      </c>
    </row>
    <row r="128" spans="2:14" hidden="1">
      <c r="B128" s="485" t="s">
        <v>2325</v>
      </c>
      <c r="C128" s="463" t="s">
        <v>2992</v>
      </c>
      <c r="D128" s="463" t="s">
        <v>3188</v>
      </c>
      <c r="E128" s="464">
        <v>273922550</v>
      </c>
      <c r="F128" s="465">
        <v>15</v>
      </c>
      <c r="G128" s="466">
        <v>48576</v>
      </c>
      <c r="H128" s="467">
        <v>5481</v>
      </c>
      <c r="I128" s="289">
        <v>13696128</v>
      </c>
      <c r="J128" s="289">
        <v>260226422</v>
      </c>
      <c r="K128" s="468">
        <v>365</v>
      </c>
      <c r="L128" s="289">
        <v>17329437</v>
      </c>
      <c r="M128" s="464">
        <v>73828149</v>
      </c>
      <c r="N128" s="469">
        <v>200094401</v>
      </c>
    </row>
    <row r="129" spans="2:14" hidden="1">
      <c r="B129" s="485" t="s">
        <v>2325</v>
      </c>
      <c r="C129" s="463" t="s">
        <v>2992</v>
      </c>
      <c r="D129" s="463" t="s">
        <v>3195</v>
      </c>
      <c r="E129" s="464">
        <v>98565844</v>
      </c>
      <c r="F129" s="465">
        <v>25</v>
      </c>
      <c r="G129" s="466">
        <v>52228</v>
      </c>
      <c r="H129" s="467">
        <v>9133</v>
      </c>
      <c r="I129" s="289">
        <v>4928292</v>
      </c>
      <c r="J129" s="289">
        <v>93637552</v>
      </c>
      <c r="K129" s="468">
        <v>365</v>
      </c>
      <c r="L129" s="289">
        <v>3742221</v>
      </c>
      <c r="M129" s="464">
        <v>15942887</v>
      </c>
      <c r="N129" s="469">
        <v>82622957</v>
      </c>
    </row>
    <row r="130" spans="2:14" hidden="1">
      <c r="B130" s="485" t="s">
        <v>2325</v>
      </c>
      <c r="C130" s="463" t="s">
        <v>2992</v>
      </c>
      <c r="D130" s="463" t="s">
        <v>3202</v>
      </c>
      <c r="E130" s="464">
        <v>11253112</v>
      </c>
      <c r="F130" s="465">
        <v>15</v>
      </c>
      <c r="G130" s="466">
        <v>48576</v>
      </c>
      <c r="H130" s="467">
        <v>5481</v>
      </c>
      <c r="I130" s="289">
        <v>562656</v>
      </c>
      <c r="J130" s="289">
        <v>10690456</v>
      </c>
      <c r="K130" s="468">
        <v>365</v>
      </c>
      <c r="L130" s="289">
        <v>711917</v>
      </c>
      <c r="M130" s="464">
        <v>3032961</v>
      </c>
      <c r="N130" s="469">
        <v>8220151</v>
      </c>
    </row>
    <row r="131" spans="2:14" hidden="1">
      <c r="B131" s="485" t="s">
        <v>2325</v>
      </c>
      <c r="C131" s="463" t="s">
        <v>2992</v>
      </c>
      <c r="D131" s="463" t="s">
        <v>3203</v>
      </c>
      <c r="E131" s="464">
        <v>8562178</v>
      </c>
      <c r="F131" s="465">
        <v>15</v>
      </c>
      <c r="G131" s="466">
        <v>48576</v>
      </c>
      <c r="H131" s="467">
        <v>5481</v>
      </c>
      <c r="I131" s="289">
        <v>428109</v>
      </c>
      <c r="J131" s="289">
        <v>8134069</v>
      </c>
      <c r="K131" s="468">
        <v>365</v>
      </c>
      <c r="L131" s="289">
        <v>541678</v>
      </c>
      <c r="M131" s="464">
        <v>2307697</v>
      </c>
      <c r="N131" s="469">
        <v>6254481</v>
      </c>
    </row>
    <row r="132" spans="2:14" hidden="1">
      <c r="B132" s="485" t="s">
        <v>2325</v>
      </c>
      <c r="C132" s="463" t="s">
        <v>2992</v>
      </c>
      <c r="D132" s="463" t="s">
        <v>3207</v>
      </c>
      <c r="E132" s="464">
        <v>95501868</v>
      </c>
      <c r="F132" s="465">
        <v>25</v>
      </c>
      <c r="G132" s="466">
        <v>52228</v>
      </c>
      <c r="H132" s="467">
        <v>9133</v>
      </c>
      <c r="I132" s="289">
        <v>4775093</v>
      </c>
      <c r="J132" s="289">
        <v>90726775</v>
      </c>
      <c r="K132" s="468">
        <v>365</v>
      </c>
      <c r="L132" s="289">
        <v>3625892</v>
      </c>
      <c r="M132" s="464">
        <v>15447293</v>
      </c>
      <c r="N132" s="469">
        <v>80054575</v>
      </c>
    </row>
    <row r="133" spans="2:14" hidden="1">
      <c r="B133" s="485" t="s">
        <v>2325</v>
      </c>
      <c r="C133" s="463" t="s">
        <v>2992</v>
      </c>
      <c r="D133" s="463" t="s">
        <v>3193</v>
      </c>
      <c r="E133" s="464">
        <v>256861774</v>
      </c>
      <c r="F133" s="465">
        <v>25</v>
      </c>
      <c r="G133" s="466">
        <v>52228</v>
      </c>
      <c r="H133" s="467">
        <v>9133</v>
      </c>
      <c r="I133" s="289">
        <v>12843089</v>
      </c>
      <c r="J133" s="289">
        <v>244018685</v>
      </c>
      <c r="K133" s="468">
        <v>365</v>
      </c>
      <c r="L133" s="289">
        <v>9752198</v>
      </c>
      <c r="M133" s="464">
        <v>41547035</v>
      </c>
      <c r="N133" s="469">
        <v>215314739</v>
      </c>
    </row>
    <row r="134" spans="2:14" ht="27" hidden="1">
      <c r="B134" s="485" t="s">
        <v>2325</v>
      </c>
      <c r="C134" s="463" t="s">
        <v>2992</v>
      </c>
      <c r="D134" s="463" t="s">
        <v>3136</v>
      </c>
      <c r="E134" s="464">
        <v>43573707</v>
      </c>
      <c r="F134" s="465">
        <v>15</v>
      </c>
      <c r="G134" s="466">
        <v>48576</v>
      </c>
      <c r="H134" s="467">
        <v>5481</v>
      </c>
      <c r="I134" s="289">
        <v>2178685</v>
      </c>
      <c r="J134" s="289">
        <v>41395022</v>
      </c>
      <c r="K134" s="468">
        <v>365</v>
      </c>
      <c r="L134" s="289">
        <v>2756647</v>
      </c>
      <c r="M134" s="464">
        <v>11744072</v>
      </c>
      <c r="N134" s="469">
        <v>31829635</v>
      </c>
    </row>
    <row r="135" spans="2:14" ht="27" hidden="1">
      <c r="B135" s="485" t="s">
        <v>2325</v>
      </c>
      <c r="C135" s="463" t="s">
        <v>2992</v>
      </c>
      <c r="D135" s="463" t="s">
        <v>3140</v>
      </c>
      <c r="E135" s="464">
        <v>4793002</v>
      </c>
      <c r="F135" s="465">
        <v>20</v>
      </c>
      <c r="G135" s="466">
        <v>50402</v>
      </c>
      <c r="H135" s="467">
        <v>7307</v>
      </c>
      <c r="I135" s="289">
        <v>239650</v>
      </c>
      <c r="J135" s="289">
        <v>4553352</v>
      </c>
      <c r="K135" s="468">
        <v>365</v>
      </c>
      <c r="L135" s="289">
        <v>227449</v>
      </c>
      <c r="M135" s="464">
        <v>968996</v>
      </c>
      <c r="N135" s="469">
        <v>3824006</v>
      </c>
    </row>
    <row r="136" spans="2:14" hidden="1">
      <c r="B136" s="485" t="s">
        <v>2325</v>
      </c>
      <c r="C136" s="463" t="s">
        <v>2992</v>
      </c>
      <c r="D136" s="463" t="s">
        <v>3187</v>
      </c>
      <c r="E136" s="464">
        <v>81918418</v>
      </c>
      <c r="F136" s="465">
        <v>20</v>
      </c>
      <c r="G136" s="466">
        <v>50402</v>
      </c>
      <c r="H136" s="467">
        <v>7307</v>
      </c>
      <c r="I136" s="289">
        <v>4095921</v>
      </c>
      <c r="J136" s="289">
        <v>77822497</v>
      </c>
      <c r="K136" s="468">
        <v>365</v>
      </c>
      <c r="L136" s="289">
        <v>3887397</v>
      </c>
      <c r="M136" s="464">
        <v>16561377</v>
      </c>
      <c r="N136" s="469">
        <v>65357041</v>
      </c>
    </row>
    <row r="137" spans="2:14" hidden="1">
      <c r="B137" s="485" t="s">
        <v>2325</v>
      </c>
      <c r="C137" s="463" t="s">
        <v>2992</v>
      </c>
      <c r="D137" s="463" t="s">
        <v>3198</v>
      </c>
      <c r="E137" s="464">
        <v>13943572</v>
      </c>
      <c r="F137" s="465">
        <v>25</v>
      </c>
      <c r="G137" s="466">
        <v>52228</v>
      </c>
      <c r="H137" s="467">
        <v>9133</v>
      </c>
      <c r="I137" s="289">
        <v>697179</v>
      </c>
      <c r="J137" s="289">
        <v>13246393</v>
      </c>
      <c r="K137" s="468">
        <v>365</v>
      </c>
      <c r="L137" s="289">
        <v>529392</v>
      </c>
      <c r="M137" s="464">
        <v>2255354</v>
      </c>
      <c r="N137" s="469">
        <v>11688218</v>
      </c>
    </row>
    <row r="138" spans="2:14" hidden="1">
      <c r="B138" s="485" t="s">
        <v>2325</v>
      </c>
      <c r="C138" s="463" t="s">
        <v>2992</v>
      </c>
      <c r="D138" s="463" t="s">
        <v>3200</v>
      </c>
      <c r="E138" s="464">
        <v>15686431</v>
      </c>
      <c r="F138" s="465">
        <v>25</v>
      </c>
      <c r="G138" s="466">
        <v>52228</v>
      </c>
      <c r="H138" s="467">
        <v>9133</v>
      </c>
      <c r="I138" s="289">
        <v>784322</v>
      </c>
      <c r="J138" s="289">
        <v>14902109</v>
      </c>
      <c r="K138" s="468">
        <v>365</v>
      </c>
      <c r="L138" s="289">
        <v>595562</v>
      </c>
      <c r="M138" s="464">
        <v>2537258</v>
      </c>
      <c r="N138" s="469">
        <v>13149173</v>
      </c>
    </row>
    <row r="139" spans="2:14" hidden="1">
      <c r="B139" s="485" t="s">
        <v>2325</v>
      </c>
      <c r="C139" s="463" t="s">
        <v>2992</v>
      </c>
      <c r="D139" s="463" t="s">
        <v>3201</v>
      </c>
      <c r="E139" s="464">
        <v>11764857</v>
      </c>
      <c r="F139" s="465">
        <v>15</v>
      </c>
      <c r="G139" s="466">
        <v>48576</v>
      </c>
      <c r="H139" s="467">
        <v>5481</v>
      </c>
      <c r="I139" s="289">
        <v>588243</v>
      </c>
      <c r="J139" s="289">
        <v>11176614</v>
      </c>
      <c r="K139" s="468">
        <v>365</v>
      </c>
      <c r="L139" s="289">
        <v>744292</v>
      </c>
      <c r="M139" s="464">
        <v>3170888</v>
      </c>
      <c r="N139" s="469">
        <v>8593969</v>
      </c>
    </row>
    <row r="140" spans="2:14" hidden="1">
      <c r="B140" s="485" t="s">
        <v>2325</v>
      </c>
      <c r="C140" s="463" t="s">
        <v>2992</v>
      </c>
      <c r="D140" s="463" t="s">
        <v>3204</v>
      </c>
      <c r="E140" s="464">
        <v>109369987</v>
      </c>
      <c r="F140" s="465">
        <v>25</v>
      </c>
      <c r="G140" s="466">
        <v>52228</v>
      </c>
      <c r="H140" s="467">
        <v>9133</v>
      </c>
      <c r="I140" s="289">
        <v>5468499</v>
      </c>
      <c r="J140" s="289">
        <v>103901488</v>
      </c>
      <c r="K140" s="468">
        <v>365</v>
      </c>
      <c r="L140" s="289">
        <v>4152419</v>
      </c>
      <c r="M140" s="464">
        <v>17690443</v>
      </c>
      <c r="N140" s="469">
        <v>91679544</v>
      </c>
    </row>
    <row r="141" spans="2:14" hidden="1">
      <c r="B141" s="485" t="s">
        <v>2325</v>
      </c>
      <c r="C141" s="463" t="s">
        <v>2992</v>
      </c>
      <c r="D141" s="463" t="s">
        <v>3692</v>
      </c>
      <c r="E141" s="464">
        <v>5228858</v>
      </c>
      <c r="F141" s="465">
        <v>15</v>
      </c>
      <c r="G141" s="466">
        <v>48576</v>
      </c>
      <c r="H141" s="467">
        <v>5481</v>
      </c>
      <c r="I141" s="289">
        <v>261443</v>
      </c>
      <c r="J141" s="289">
        <v>4967415</v>
      </c>
      <c r="K141" s="468">
        <v>365</v>
      </c>
      <c r="L141" s="289">
        <v>330798</v>
      </c>
      <c r="M141" s="464">
        <v>1409291</v>
      </c>
      <c r="N141" s="469">
        <v>3819567</v>
      </c>
    </row>
    <row r="142" spans="2:14" ht="27" hidden="1">
      <c r="B142" s="485" t="s">
        <v>2325</v>
      </c>
      <c r="C142" s="463" t="s">
        <v>2992</v>
      </c>
      <c r="D142" s="463" t="s">
        <v>4480</v>
      </c>
      <c r="E142" s="464">
        <v>2614428</v>
      </c>
      <c r="F142" s="465">
        <v>10</v>
      </c>
      <c r="G142" s="466">
        <v>46749</v>
      </c>
      <c r="H142" s="467">
        <v>3654</v>
      </c>
      <c r="I142" s="289">
        <v>130721</v>
      </c>
      <c r="J142" s="289">
        <v>2483707</v>
      </c>
      <c r="K142" s="468">
        <v>365</v>
      </c>
      <c r="L142" s="289">
        <v>248099</v>
      </c>
      <c r="M142" s="464">
        <v>1056970</v>
      </c>
      <c r="N142" s="469">
        <v>1557458</v>
      </c>
    </row>
    <row r="143" spans="2:14" ht="27" hidden="1">
      <c r="B143" s="485" t="s">
        <v>2325</v>
      </c>
      <c r="C143" s="463" t="s">
        <v>2992</v>
      </c>
      <c r="D143" s="463" t="s">
        <v>4156</v>
      </c>
      <c r="E143" s="464">
        <v>5664569</v>
      </c>
      <c r="F143" s="465">
        <v>20</v>
      </c>
      <c r="G143" s="466">
        <v>50402</v>
      </c>
      <c r="H143" s="467">
        <v>7307</v>
      </c>
      <c r="I143" s="289">
        <v>283228</v>
      </c>
      <c r="J143" s="289">
        <v>5381341</v>
      </c>
      <c r="K143" s="468">
        <v>365</v>
      </c>
      <c r="L143" s="289">
        <v>268809</v>
      </c>
      <c r="M143" s="464">
        <v>1145201</v>
      </c>
      <c r="N143" s="469">
        <v>4519368</v>
      </c>
    </row>
    <row r="144" spans="2:14" ht="27" hidden="1">
      <c r="B144" s="485" t="s">
        <v>2325</v>
      </c>
      <c r="C144" s="463" t="s">
        <v>2992</v>
      </c>
      <c r="D144" s="463" t="s">
        <v>3139</v>
      </c>
      <c r="E144" s="464">
        <v>12225916</v>
      </c>
      <c r="F144" s="465">
        <v>20</v>
      </c>
      <c r="G144" s="466">
        <v>50402</v>
      </c>
      <c r="H144" s="467">
        <v>7307</v>
      </c>
      <c r="I144" s="289">
        <v>611296</v>
      </c>
      <c r="J144" s="289">
        <v>11614620</v>
      </c>
      <c r="K144" s="468">
        <v>365</v>
      </c>
      <c r="L144" s="289">
        <v>580175</v>
      </c>
      <c r="M144" s="464">
        <v>2471704</v>
      </c>
      <c r="N144" s="469">
        <v>9754212</v>
      </c>
    </row>
    <row r="145" spans="2:14" hidden="1">
      <c r="B145" s="485" t="s">
        <v>2325</v>
      </c>
      <c r="C145" s="463" t="s">
        <v>2992</v>
      </c>
      <c r="D145" s="463" t="s">
        <v>4481</v>
      </c>
      <c r="E145" s="464">
        <v>44046432</v>
      </c>
      <c r="F145" s="465">
        <v>25</v>
      </c>
      <c r="G145" s="466">
        <v>52228</v>
      </c>
      <c r="H145" s="467">
        <v>9133</v>
      </c>
      <c r="I145" s="289">
        <v>2202322</v>
      </c>
      <c r="J145" s="289">
        <v>41844110</v>
      </c>
      <c r="K145" s="468">
        <v>365</v>
      </c>
      <c r="L145" s="289">
        <v>1672298</v>
      </c>
      <c r="M145" s="464">
        <v>7124448</v>
      </c>
      <c r="N145" s="469">
        <v>36921984</v>
      </c>
    </row>
    <row r="146" spans="2:14" hidden="1">
      <c r="B146" s="485" t="s">
        <v>2325</v>
      </c>
      <c r="C146" s="463" t="s">
        <v>2992</v>
      </c>
      <c r="D146" s="463" t="s">
        <v>4482</v>
      </c>
      <c r="E146" s="464">
        <v>8285960</v>
      </c>
      <c r="F146" s="465">
        <v>15</v>
      </c>
      <c r="G146" s="466">
        <v>48576</v>
      </c>
      <c r="H146" s="467">
        <v>5481</v>
      </c>
      <c r="I146" s="289">
        <v>414298</v>
      </c>
      <c r="J146" s="289">
        <v>7871662</v>
      </c>
      <c r="K146" s="468">
        <v>365</v>
      </c>
      <c r="L146" s="289">
        <v>524203</v>
      </c>
      <c r="M146" s="464">
        <v>2233248</v>
      </c>
      <c r="N146" s="469">
        <v>6052712</v>
      </c>
    </row>
    <row r="147" spans="2:14" hidden="1">
      <c r="B147" s="485" t="s">
        <v>2325</v>
      </c>
      <c r="C147" s="463" t="s">
        <v>2992</v>
      </c>
      <c r="D147" s="463" t="s">
        <v>3759</v>
      </c>
      <c r="E147" s="464">
        <v>16781756</v>
      </c>
      <c r="F147" s="465">
        <v>20</v>
      </c>
      <c r="G147" s="466">
        <v>50402</v>
      </c>
      <c r="H147" s="467">
        <v>7307</v>
      </c>
      <c r="I147" s="289">
        <v>839088</v>
      </c>
      <c r="J147" s="289">
        <v>15942668</v>
      </c>
      <c r="K147" s="468">
        <v>365</v>
      </c>
      <c r="L147" s="289">
        <v>796370</v>
      </c>
      <c r="M147" s="464">
        <v>3392754</v>
      </c>
      <c r="N147" s="469">
        <v>13389002</v>
      </c>
    </row>
    <row r="148" spans="2:14" ht="27" hidden="1">
      <c r="B148" s="485" t="s">
        <v>2325</v>
      </c>
      <c r="C148" s="463" t="s">
        <v>2992</v>
      </c>
      <c r="D148" s="463" t="s">
        <v>4224</v>
      </c>
      <c r="E148" s="464">
        <v>218051616</v>
      </c>
      <c r="F148" s="465">
        <v>10</v>
      </c>
      <c r="G148" s="466">
        <v>46749</v>
      </c>
      <c r="H148" s="467">
        <v>3654</v>
      </c>
      <c r="I148" s="289">
        <v>10902581</v>
      </c>
      <c r="J148" s="289">
        <v>207149035</v>
      </c>
      <c r="K148" s="468">
        <v>365</v>
      </c>
      <c r="L148" s="289">
        <v>20692227</v>
      </c>
      <c r="M148" s="464">
        <v>88154556</v>
      </c>
      <c r="N148" s="469">
        <v>129897060</v>
      </c>
    </row>
    <row r="149" spans="2:14" ht="27" hidden="1">
      <c r="B149" s="485" t="s">
        <v>2325</v>
      </c>
      <c r="C149" s="463" t="s">
        <v>3108</v>
      </c>
      <c r="D149" s="463" t="s">
        <v>4483</v>
      </c>
      <c r="E149" s="464">
        <v>383171783</v>
      </c>
      <c r="F149" s="465">
        <v>30</v>
      </c>
      <c r="G149" s="466">
        <v>54054</v>
      </c>
      <c r="H149" s="467">
        <v>10959</v>
      </c>
      <c r="I149" s="289">
        <v>19158589</v>
      </c>
      <c r="J149" s="289">
        <v>364013194</v>
      </c>
      <c r="K149" s="468">
        <v>365</v>
      </c>
      <c r="L149" s="289">
        <v>12123808</v>
      </c>
      <c r="M149" s="464">
        <v>51650744</v>
      </c>
      <c r="N149" s="469">
        <v>331521039</v>
      </c>
    </row>
    <row r="150" spans="2:14" ht="27" hidden="1">
      <c r="B150" s="485" t="s">
        <v>2325</v>
      </c>
      <c r="C150" s="463" t="s">
        <v>3108</v>
      </c>
      <c r="D150" s="463" t="s">
        <v>4157</v>
      </c>
      <c r="E150" s="464">
        <v>793170130</v>
      </c>
      <c r="F150" s="465">
        <v>20</v>
      </c>
      <c r="G150" s="466">
        <v>50402</v>
      </c>
      <c r="H150" s="467">
        <v>7307</v>
      </c>
      <c r="I150" s="289">
        <v>39658507</v>
      </c>
      <c r="J150" s="289">
        <v>753511623</v>
      </c>
      <c r="K150" s="468">
        <v>365</v>
      </c>
      <c r="L150" s="289">
        <v>37639488</v>
      </c>
      <c r="M150" s="464">
        <v>160354531</v>
      </c>
      <c r="N150" s="469">
        <v>632815599</v>
      </c>
    </row>
    <row r="151" spans="2:14" hidden="1">
      <c r="B151" s="485" t="s">
        <v>2325</v>
      </c>
      <c r="C151" s="463" t="s">
        <v>3695</v>
      </c>
      <c r="D151" s="463" t="s">
        <v>3224</v>
      </c>
      <c r="E151" s="464">
        <v>177867572</v>
      </c>
      <c r="F151" s="465">
        <v>20</v>
      </c>
      <c r="G151" s="466">
        <v>50402</v>
      </c>
      <c r="H151" s="467">
        <v>7307</v>
      </c>
      <c r="I151" s="289">
        <v>8893379</v>
      </c>
      <c r="J151" s="289">
        <v>168974193</v>
      </c>
      <c r="K151" s="468">
        <v>365</v>
      </c>
      <c r="L151" s="289">
        <v>8440616</v>
      </c>
      <c r="M151" s="464">
        <v>35959337</v>
      </c>
      <c r="N151" s="469">
        <v>141908235</v>
      </c>
    </row>
    <row r="152" spans="2:14" hidden="1">
      <c r="B152" s="485" t="s">
        <v>2325</v>
      </c>
      <c r="C152" s="463" t="s">
        <v>4210</v>
      </c>
      <c r="D152" s="463" t="s">
        <v>3226</v>
      </c>
      <c r="E152" s="464">
        <v>110756347</v>
      </c>
      <c r="F152" s="465">
        <v>25</v>
      </c>
      <c r="G152" s="466">
        <v>52228</v>
      </c>
      <c r="H152" s="467">
        <v>9133</v>
      </c>
      <c r="I152" s="289">
        <v>5537817</v>
      </c>
      <c r="J152" s="289">
        <v>105218530</v>
      </c>
      <c r="K152" s="468">
        <v>365</v>
      </c>
      <c r="L152" s="289">
        <v>4205055</v>
      </c>
      <c r="M152" s="464">
        <v>17914686</v>
      </c>
      <c r="N152" s="469">
        <v>92841661</v>
      </c>
    </row>
    <row r="153" spans="2:14" ht="40.5" hidden="1">
      <c r="B153" s="485" t="s">
        <v>2325</v>
      </c>
      <c r="C153" s="463" t="s">
        <v>4484</v>
      </c>
      <c r="D153" s="463"/>
      <c r="E153" s="464">
        <v>1026901155</v>
      </c>
      <c r="F153" s="465">
        <v>50</v>
      </c>
      <c r="G153" s="466">
        <v>61359</v>
      </c>
      <c r="H153" s="467">
        <v>18264</v>
      </c>
      <c r="I153" s="289">
        <v>51345058</v>
      </c>
      <c r="J153" s="289">
        <v>975556097</v>
      </c>
      <c r="K153" s="468">
        <v>365</v>
      </c>
      <c r="L153" s="289">
        <v>19496166</v>
      </c>
      <c r="M153" s="464">
        <v>83059008</v>
      </c>
      <c r="N153" s="469">
        <v>943842147</v>
      </c>
    </row>
    <row r="154" spans="2:14" hidden="1">
      <c r="B154" s="485"/>
      <c r="C154" s="463"/>
      <c r="D154" s="463"/>
      <c r="E154" s="463"/>
      <c r="F154" s="465"/>
      <c r="G154" s="463"/>
      <c r="H154" s="463"/>
      <c r="I154" s="463"/>
      <c r="J154" s="463"/>
      <c r="K154" s="463"/>
      <c r="L154" s="463"/>
      <c r="M154" s="463"/>
      <c r="N154" s="470"/>
    </row>
    <row r="155" spans="2:14" hidden="1">
      <c r="B155" s="485" t="s">
        <v>2325</v>
      </c>
      <c r="C155" s="463" t="s">
        <v>3218</v>
      </c>
      <c r="D155" s="463"/>
      <c r="E155" s="464">
        <v>12353718</v>
      </c>
      <c r="F155" s="465">
        <v>15</v>
      </c>
      <c r="G155" s="466">
        <v>48576</v>
      </c>
      <c r="H155" s="467">
        <v>5481</v>
      </c>
      <c r="I155" s="289">
        <v>617686</v>
      </c>
      <c r="J155" s="289">
        <v>11736032</v>
      </c>
      <c r="K155" s="468">
        <v>365</v>
      </c>
      <c r="L155" s="289">
        <v>781546</v>
      </c>
      <c r="M155" s="464">
        <v>3329600</v>
      </c>
      <c r="N155" s="469">
        <v>9024118</v>
      </c>
    </row>
    <row r="156" spans="2:14" hidden="1">
      <c r="B156" s="485" t="s">
        <v>2325</v>
      </c>
      <c r="C156" s="463" t="s">
        <v>3219</v>
      </c>
      <c r="D156" s="463"/>
      <c r="E156" s="464">
        <v>-16622362</v>
      </c>
      <c r="F156" s="465">
        <v>5</v>
      </c>
      <c r="G156" s="466">
        <v>44923</v>
      </c>
      <c r="H156" s="467">
        <v>1828</v>
      </c>
      <c r="I156" s="289">
        <v>-831118</v>
      </c>
      <c r="J156" s="289">
        <v>-15791244</v>
      </c>
      <c r="K156" s="468">
        <v>365</v>
      </c>
      <c r="L156" s="289">
        <v>-3153066</v>
      </c>
      <c r="M156" s="464">
        <v>-13432924</v>
      </c>
      <c r="N156" s="469">
        <v>-3189438</v>
      </c>
    </row>
    <row r="157" spans="2:14" hidden="1">
      <c r="B157" s="485"/>
      <c r="C157" s="463"/>
      <c r="D157" s="463"/>
      <c r="E157" s="463"/>
      <c r="F157" s="465"/>
      <c r="G157" s="466"/>
      <c r="H157" s="467"/>
      <c r="I157" s="289"/>
      <c r="J157" s="289"/>
      <c r="K157" s="468"/>
      <c r="L157" s="289"/>
      <c r="M157" s="464"/>
      <c r="N157" s="469"/>
    </row>
    <row r="158" spans="2:14" hidden="1">
      <c r="B158" s="485" t="s">
        <v>2325</v>
      </c>
      <c r="C158" s="463" t="s">
        <v>3672</v>
      </c>
      <c r="D158" s="463" t="s">
        <v>3672</v>
      </c>
      <c r="E158" s="464">
        <v>10103929</v>
      </c>
      <c r="F158" s="465">
        <v>20</v>
      </c>
      <c r="G158" s="466">
        <v>50402</v>
      </c>
      <c r="H158" s="467">
        <v>7307</v>
      </c>
      <c r="I158" s="289">
        <v>505196</v>
      </c>
      <c r="J158" s="289">
        <v>9598733</v>
      </c>
      <c r="K158" s="468">
        <v>365</v>
      </c>
      <c r="L158" s="289">
        <v>479477</v>
      </c>
      <c r="M158" s="464">
        <v>2042704</v>
      </c>
      <c r="N158" s="469">
        <v>8061225</v>
      </c>
    </row>
    <row r="159" spans="2:14" hidden="1">
      <c r="B159" s="485" t="s">
        <v>2325</v>
      </c>
      <c r="C159" s="463" t="s">
        <v>2992</v>
      </c>
      <c r="D159" s="463" t="s">
        <v>2992</v>
      </c>
      <c r="E159" s="464">
        <v>1135716974</v>
      </c>
      <c r="F159" s="465">
        <v>30</v>
      </c>
      <c r="G159" s="466">
        <v>54054</v>
      </c>
      <c r="H159" s="467">
        <v>10959</v>
      </c>
      <c r="I159" s="289">
        <v>56785849</v>
      </c>
      <c r="J159" s="289">
        <v>1078931125</v>
      </c>
      <c r="K159" s="468">
        <v>365</v>
      </c>
      <c r="L159" s="289">
        <v>35934835</v>
      </c>
      <c r="M159" s="464">
        <v>153092243</v>
      </c>
      <c r="N159" s="469">
        <v>982624731</v>
      </c>
    </row>
    <row r="160" spans="2:14" hidden="1">
      <c r="B160" s="485" t="s">
        <v>2325</v>
      </c>
      <c r="C160" s="463" t="s">
        <v>3222</v>
      </c>
      <c r="D160" s="463" t="s">
        <v>3222</v>
      </c>
      <c r="E160" s="464">
        <v>36319271</v>
      </c>
      <c r="F160" s="465">
        <v>25</v>
      </c>
      <c r="G160" s="466">
        <v>52228</v>
      </c>
      <c r="H160" s="467">
        <v>9133</v>
      </c>
      <c r="I160" s="289">
        <v>1815964</v>
      </c>
      <c r="J160" s="289">
        <v>34503307</v>
      </c>
      <c r="K160" s="468">
        <v>365</v>
      </c>
      <c r="L160" s="289">
        <v>1378923</v>
      </c>
      <c r="M160" s="464">
        <v>5874590</v>
      </c>
      <c r="N160" s="469">
        <v>30444681</v>
      </c>
    </row>
    <row r="161" spans="2:14" hidden="1">
      <c r="B161" s="485" t="s">
        <v>2325</v>
      </c>
      <c r="C161" s="463" t="s">
        <v>3224</v>
      </c>
      <c r="D161" s="463" t="s">
        <v>3224</v>
      </c>
      <c r="E161" s="464">
        <v>34436612</v>
      </c>
      <c r="F161" s="465">
        <v>20</v>
      </c>
      <c r="G161" s="466">
        <v>50402</v>
      </c>
      <c r="H161" s="467">
        <v>7307</v>
      </c>
      <c r="I161" s="289">
        <v>1721831</v>
      </c>
      <c r="J161" s="289">
        <v>32714781</v>
      </c>
      <c r="K161" s="468">
        <v>365</v>
      </c>
      <c r="L161" s="289">
        <v>1634172</v>
      </c>
      <c r="M161" s="464">
        <v>6962020</v>
      </c>
      <c r="N161" s="469">
        <v>27474592</v>
      </c>
    </row>
    <row r="162" spans="2:14" hidden="1">
      <c r="B162" s="485"/>
      <c r="C162" s="463"/>
      <c r="D162" s="463"/>
      <c r="E162" s="463"/>
      <c r="F162" s="465"/>
      <c r="G162" s="466"/>
      <c r="H162" s="467"/>
      <c r="I162" s="289"/>
      <c r="J162" s="289"/>
      <c r="K162" s="468"/>
      <c r="L162" s="289"/>
      <c r="M162" s="464"/>
      <c r="N162" s="469"/>
    </row>
    <row r="163" spans="2:14" hidden="1">
      <c r="B163" s="485"/>
      <c r="C163" s="463"/>
      <c r="D163" s="463"/>
      <c r="E163" s="463"/>
      <c r="F163" s="465"/>
      <c r="G163" s="463"/>
      <c r="H163" s="463"/>
      <c r="I163" s="463"/>
      <c r="J163" s="463"/>
      <c r="K163" s="463"/>
      <c r="L163" s="463"/>
      <c r="M163" s="463"/>
      <c r="N163" s="470"/>
    </row>
    <row r="164" spans="2:14" ht="14.25" hidden="1">
      <c r="B164" s="485"/>
      <c r="C164" s="472" t="s">
        <v>1837</v>
      </c>
      <c r="D164" s="473"/>
      <c r="E164" s="474">
        <f t="shared" ref="E164" si="4">+SUBTOTAL(9,E50:E163)</f>
        <v>15572628531.15</v>
      </c>
      <c r="F164" s="465"/>
      <c r="G164" s="463"/>
      <c r="H164" s="463"/>
      <c r="I164" s="463"/>
      <c r="J164" s="463"/>
      <c r="K164" s="463"/>
      <c r="L164" s="475">
        <f t="shared" ref="L164:N164" si="5">+SUBTOTAL(9,L50:L163)</f>
        <v>624917434</v>
      </c>
      <c r="M164" s="475">
        <f t="shared" si="5"/>
        <v>2662319479</v>
      </c>
      <c r="N164" s="476">
        <f t="shared" si="5"/>
        <v>12910309052.15</v>
      </c>
    </row>
    <row r="165" spans="2:14" hidden="1">
      <c r="B165" s="485"/>
      <c r="C165" s="463"/>
      <c r="D165" s="463"/>
      <c r="E165" s="463"/>
      <c r="F165" s="465"/>
      <c r="G165" s="463"/>
      <c r="H165" s="463"/>
      <c r="I165" s="463"/>
      <c r="J165" s="463"/>
      <c r="K165" s="463"/>
      <c r="L165" s="464"/>
      <c r="M165" s="464"/>
      <c r="N165" s="478"/>
    </row>
    <row r="166" spans="2:14" ht="14.25" hidden="1">
      <c r="B166" s="477" t="s">
        <v>2326</v>
      </c>
      <c r="C166" s="463"/>
      <c r="D166" s="463"/>
      <c r="E166" s="463"/>
      <c r="F166" s="465"/>
      <c r="G166" s="463"/>
      <c r="H166" s="463"/>
      <c r="I166" s="463"/>
      <c r="J166" s="463"/>
      <c r="K166" s="463"/>
      <c r="L166" s="463"/>
      <c r="M166" s="463"/>
      <c r="N166" s="470"/>
    </row>
    <row r="167" spans="2:14" hidden="1">
      <c r="B167" s="485" t="s">
        <v>2326</v>
      </c>
      <c r="C167" s="463" t="s">
        <v>3264</v>
      </c>
      <c r="D167" s="463" t="s">
        <v>4136</v>
      </c>
      <c r="E167" s="464">
        <v>22476900.800000001</v>
      </c>
      <c r="F167" s="465">
        <v>20</v>
      </c>
      <c r="G167" s="466">
        <v>50402</v>
      </c>
      <c r="H167" s="467">
        <v>7307</v>
      </c>
      <c r="I167" s="289">
        <v>1123845</v>
      </c>
      <c r="J167" s="289">
        <v>21353055.800000001</v>
      </c>
      <c r="K167" s="468">
        <v>365</v>
      </c>
      <c r="L167" s="289">
        <v>1066630</v>
      </c>
      <c r="M167" s="464">
        <v>4544136</v>
      </c>
      <c r="N167" s="469">
        <v>17932764.800000001</v>
      </c>
    </row>
    <row r="168" spans="2:14" hidden="1">
      <c r="B168" s="485" t="s">
        <v>2326</v>
      </c>
      <c r="C168" s="463" t="s">
        <v>3264</v>
      </c>
      <c r="D168" s="463" t="s">
        <v>3033</v>
      </c>
      <c r="E168" s="464">
        <v>76483301</v>
      </c>
      <c r="F168" s="465">
        <v>30</v>
      </c>
      <c r="G168" s="466">
        <v>54054</v>
      </c>
      <c r="H168" s="467">
        <v>10959</v>
      </c>
      <c r="I168" s="289">
        <v>3824165</v>
      </c>
      <c r="J168" s="289">
        <v>72659136</v>
      </c>
      <c r="K168" s="468">
        <v>365</v>
      </c>
      <c r="L168" s="289">
        <v>2419982</v>
      </c>
      <c r="M168" s="464">
        <v>10309786</v>
      </c>
      <c r="N168" s="469">
        <v>66173515</v>
      </c>
    </row>
    <row r="169" spans="2:14" hidden="1">
      <c r="B169" s="485" t="s">
        <v>2326</v>
      </c>
      <c r="C169" s="463" t="s">
        <v>3264</v>
      </c>
      <c r="D169" s="463" t="s">
        <v>3270</v>
      </c>
      <c r="E169" s="464">
        <v>97371701</v>
      </c>
      <c r="F169" s="465">
        <v>10</v>
      </c>
      <c r="G169" s="466">
        <v>46749</v>
      </c>
      <c r="H169" s="467">
        <v>3654</v>
      </c>
      <c r="I169" s="289">
        <v>4868585</v>
      </c>
      <c r="J169" s="289">
        <v>92503116</v>
      </c>
      <c r="K169" s="468">
        <v>365</v>
      </c>
      <c r="L169" s="289">
        <v>9240185</v>
      </c>
      <c r="M169" s="464">
        <v>39365720</v>
      </c>
      <c r="N169" s="469">
        <v>58005981</v>
      </c>
    </row>
    <row r="170" spans="2:14" hidden="1">
      <c r="B170" s="485" t="s">
        <v>2326</v>
      </c>
      <c r="C170" s="463" t="s">
        <v>3264</v>
      </c>
      <c r="D170" s="463" t="s">
        <v>3271</v>
      </c>
      <c r="E170" s="464">
        <v>71944815</v>
      </c>
      <c r="F170" s="465">
        <v>10</v>
      </c>
      <c r="G170" s="466">
        <v>46749</v>
      </c>
      <c r="H170" s="467">
        <v>3654</v>
      </c>
      <c r="I170" s="289">
        <v>3597241</v>
      </c>
      <c r="J170" s="289">
        <v>68347574</v>
      </c>
      <c r="K170" s="468">
        <v>365</v>
      </c>
      <c r="L170" s="289">
        <v>6827275</v>
      </c>
      <c r="M170" s="464">
        <v>29086062</v>
      </c>
      <c r="N170" s="469">
        <v>42858753</v>
      </c>
    </row>
    <row r="171" spans="2:14" hidden="1">
      <c r="B171" s="485" t="s">
        <v>2326</v>
      </c>
      <c r="C171" s="463" t="s">
        <v>3264</v>
      </c>
      <c r="D171" s="463" t="s">
        <v>3275</v>
      </c>
      <c r="E171" s="464">
        <v>4482607</v>
      </c>
      <c r="F171" s="465">
        <v>15</v>
      </c>
      <c r="G171" s="466">
        <v>48576</v>
      </c>
      <c r="H171" s="467">
        <v>5481</v>
      </c>
      <c r="I171" s="289">
        <v>224130</v>
      </c>
      <c r="J171" s="289">
        <v>4258477</v>
      </c>
      <c r="K171" s="468">
        <v>365</v>
      </c>
      <c r="L171" s="289">
        <v>283588</v>
      </c>
      <c r="M171" s="464">
        <v>1208163</v>
      </c>
      <c r="N171" s="469">
        <v>3274444</v>
      </c>
    </row>
    <row r="172" spans="2:14" ht="27" hidden="1">
      <c r="B172" s="485" t="s">
        <v>2326</v>
      </c>
      <c r="C172" s="463" t="s">
        <v>3264</v>
      </c>
      <c r="D172" s="463" t="s">
        <v>3267</v>
      </c>
      <c r="E172" s="464">
        <v>223897857</v>
      </c>
      <c r="F172" s="465">
        <v>10</v>
      </c>
      <c r="G172" s="466">
        <v>46749</v>
      </c>
      <c r="H172" s="467">
        <v>3654</v>
      </c>
      <c r="I172" s="289">
        <v>11194893</v>
      </c>
      <c r="J172" s="289">
        <v>212702964</v>
      </c>
      <c r="K172" s="468">
        <v>365</v>
      </c>
      <c r="L172" s="289">
        <v>21247012</v>
      </c>
      <c r="M172" s="464">
        <v>90518092</v>
      </c>
      <c r="N172" s="469">
        <v>133379765</v>
      </c>
    </row>
    <row r="173" spans="2:14" ht="27" hidden="1">
      <c r="B173" s="485" t="s">
        <v>2326</v>
      </c>
      <c r="C173" s="463" t="s">
        <v>3264</v>
      </c>
      <c r="D173" s="463" t="s">
        <v>4174</v>
      </c>
      <c r="E173" s="464">
        <v>156257556</v>
      </c>
      <c r="F173" s="465">
        <v>2</v>
      </c>
      <c r="G173" s="466">
        <v>43827</v>
      </c>
      <c r="H173" s="467">
        <v>732</v>
      </c>
      <c r="I173" s="289">
        <v>7812878</v>
      </c>
      <c r="J173" s="289">
        <v>148444678</v>
      </c>
      <c r="K173" s="471">
        <v>0</v>
      </c>
      <c r="L173" s="289">
        <v>0</v>
      </c>
      <c r="M173" s="464">
        <v>156257556</v>
      </c>
      <c r="N173" s="469">
        <v>0</v>
      </c>
    </row>
    <row r="174" spans="2:14" hidden="1">
      <c r="B174" s="485" t="s">
        <v>2326</v>
      </c>
      <c r="C174" s="463" t="s">
        <v>3264</v>
      </c>
      <c r="D174" s="463" t="s">
        <v>3272</v>
      </c>
      <c r="E174" s="464">
        <v>64361099</v>
      </c>
      <c r="F174" s="465">
        <v>10</v>
      </c>
      <c r="G174" s="466">
        <v>46749</v>
      </c>
      <c r="H174" s="467">
        <v>3654</v>
      </c>
      <c r="I174" s="289">
        <v>3218055</v>
      </c>
      <c r="J174" s="289">
        <v>61143044</v>
      </c>
      <c r="K174" s="468">
        <v>365</v>
      </c>
      <c r="L174" s="289">
        <v>6107611</v>
      </c>
      <c r="M174" s="464">
        <v>26020096</v>
      </c>
      <c r="N174" s="469">
        <v>38341003</v>
      </c>
    </row>
    <row r="175" spans="2:14" hidden="1">
      <c r="B175" s="485" t="s">
        <v>2326</v>
      </c>
      <c r="C175" s="463" t="s">
        <v>3264</v>
      </c>
      <c r="D175" s="463" t="s">
        <v>3273</v>
      </c>
      <c r="E175" s="464">
        <v>273985860</v>
      </c>
      <c r="F175" s="465">
        <v>20</v>
      </c>
      <c r="G175" s="466">
        <v>50402</v>
      </c>
      <c r="H175" s="467">
        <v>7307</v>
      </c>
      <c r="I175" s="289">
        <v>13699293</v>
      </c>
      <c r="J175" s="289">
        <v>260286567</v>
      </c>
      <c r="K175" s="468">
        <v>365</v>
      </c>
      <c r="L175" s="289">
        <v>13001861</v>
      </c>
      <c r="M175" s="464">
        <v>55391489</v>
      </c>
      <c r="N175" s="469">
        <v>218594371</v>
      </c>
    </row>
    <row r="176" spans="2:14" hidden="1">
      <c r="B176" s="485" t="s">
        <v>2326</v>
      </c>
      <c r="C176" s="463" t="s">
        <v>3264</v>
      </c>
      <c r="D176" s="463" t="s">
        <v>4175</v>
      </c>
      <c r="E176" s="464">
        <v>32535836</v>
      </c>
      <c r="F176" s="465">
        <v>15</v>
      </c>
      <c r="G176" s="466">
        <v>48576</v>
      </c>
      <c r="H176" s="467">
        <v>5481</v>
      </c>
      <c r="I176" s="289">
        <v>1626792</v>
      </c>
      <c r="J176" s="289">
        <v>30909044</v>
      </c>
      <c r="K176" s="468">
        <v>365</v>
      </c>
      <c r="L176" s="289">
        <v>2058347</v>
      </c>
      <c r="M176" s="464">
        <v>8769123</v>
      </c>
      <c r="N176" s="469">
        <v>23766713</v>
      </c>
    </row>
    <row r="177" spans="2:14" hidden="1">
      <c r="B177" s="485" t="s">
        <v>2326</v>
      </c>
      <c r="C177" s="463" t="s">
        <v>3264</v>
      </c>
      <c r="D177" s="463" t="s">
        <v>3278</v>
      </c>
      <c r="E177" s="464">
        <v>32680280</v>
      </c>
      <c r="F177" s="465">
        <v>15</v>
      </c>
      <c r="G177" s="466">
        <v>48576</v>
      </c>
      <c r="H177" s="467">
        <v>5481</v>
      </c>
      <c r="I177" s="289">
        <v>1634014</v>
      </c>
      <c r="J177" s="289">
        <v>31046266</v>
      </c>
      <c r="K177" s="468">
        <v>365</v>
      </c>
      <c r="L177" s="289">
        <v>2067485</v>
      </c>
      <c r="M177" s="464">
        <v>8808053</v>
      </c>
      <c r="N177" s="469">
        <v>23872227</v>
      </c>
    </row>
    <row r="178" spans="2:14" hidden="1">
      <c r="B178" s="485" t="s">
        <v>2326</v>
      </c>
      <c r="C178" s="463" t="s">
        <v>3264</v>
      </c>
      <c r="D178" s="463" t="s">
        <v>3274</v>
      </c>
      <c r="E178" s="464">
        <v>9150429</v>
      </c>
      <c r="F178" s="465">
        <v>15</v>
      </c>
      <c r="G178" s="466">
        <v>48576</v>
      </c>
      <c r="H178" s="467">
        <v>5481</v>
      </c>
      <c r="I178" s="289">
        <v>457521</v>
      </c>
      <c r="J178" s="289">
        <v>8692908</v>
      </c>
      <c r="K178" s="468">
        <v>365</v>
      </c>
      <c r="L178" s="289">
        <v>578893</v>
      </c>
      <c r="M178" s="464">
        <v>2466243</v>
      </c>
      <c r="N178" s="469">
        <v>6684186</v>
      </c>
    </row>
    <row r="179" spans="2:14" hidden="1">
      <c r="B179" s="485" t="s">
        <v>2326</v>
      </c>
      <c r="C179" s="463" t="s">
        <v>3264</v>
      </c>
      <c r="D179" s="463" t="s">
        <v>4168</v>
      </c>
      <c r="E179" s="464">
        <v>4357426</v>
      </c>
      <c r="F179" s="465">
        <v>15</v>
      </c>
      <c r="G179" s="466">
        <v>48576</v>
      </c>
      <c r="H179" s="467">
        <v>5481</v>
      </c>
      <c r="I179" s="289">
        <v>217871</v>
      </c>
      <c r="J179" s="289">
        <v>4139555</v>
      </c>
      <c r="K179" s="468">
        <v>365</v>
      </c>
      <c r="L179" s="289">
        <v>275668</v>
      </c>
      <c r="M179" s="464">
        <v>1174421</v>
      </c>
      <c r="N179" s="469">
        <v>3183005</v>
      </c>
    </row>
    <row r="180" spans="2:14" hidden="1">
      <c r="B180" s="485" t="s">
        <v>2326</v>
      </c>
      <c r="C180" s="463" t="s">
        <v>3264</v>
      </c>
      <c r="D180" s="463" t="s">
        <v>3276</v>
      </c>
      <c r="E180" s="464">
        <v>227454539</v>
      </c>
      <c r="F180" s="465">
        <v>25</v>
      </c>
      <c r="G180" s="466">
        <v>52228</v>
      </c>
      <c r="H180" s="467">
        <v>9133</v>
      </c>
      <c r="I180" s="289">
        <v>11372727</v>
      </c>
      <c r="J180" s="289">
        <v>216081812</v>
      </c>
      <c r="K180" s="468">
        <v>365</v>
      </c>
      <c r="L180" s="289">
        <v>8635701</v>
      </c>
      <c r="M180" s="464">
        <v>36790453</v>
      </c>
      <c r="N180" s="469">
        <v>190664086</v>
      </c>
    </row>
    <row r="181" spans="2:14" hidden="1">
      <c r="B181" s="485" t="s">
        <v>2326</v>
      </c>
      <c r="C181" s="463" t="s">
        <v>3264</v>
      </c>
      <c r="D181" s="463" t="s">
        <v>3279</v>
      </c>
      <c r="E181" s="464">
        <v>18693110</v>
      </c>
      <c r="F181" s="465">
        <v>15</v>
      </c>
      <c r="G181" s="466">
        <v>48576</v>
      </c>
      <c r="H181" s="467">
        <v>5481</v>
      </c>
      <c r="I181" s="289">
        <v>934656</v>
      </c>
      <c r="J181" s="289">
        <v>17758454</v>
      </c>
      <c r="K181" s="468">
        <v>365</v>
      </c>
      <c r="L181" s="289">
        <v>1182601</v>
      </c>
      <c r="M181" s="464">
        <v>5038204</v>
      </c>
      <c r="N181" s="469">
        <v>13654906</v>
      </c>
    </row>
    <row r="182" spans="2:14" hidden="1">
      <c r="B182" s="485" t="s">
        <v>2326</v>
      </c>
      <c r="C182" s="463" t="s">
        <v>3281</v>
      </c>
      <c r="D182" s="463" t="s">
        <v>3281</v>
      </c>
      <c r="E182" s="464">
        <v>65360560</v>
      </c>
      <c r="F182" s="465">
        <v>14</v>
      </c>
      <c r="G182" s="466">
        <v>48210</v>
      </c>
      <c r="H182" s="467">
        <v>5115</v>
      </c>
      <c r="I182" s="289">
        <v>3268028</v>
      </c>
      <c r="J182" s="289">
        <v>62092532</v>
      </c>
      <c r="K182" s="468">
        <v>365</v>
      </c>
      <c r="L182" s="289">
        <v>4430845</v>
      </c>
      <c r="M182" s="464">
        <v>18876614</v>
      </c>
      <c r="N182" s="469">
        <v>46483946</v>
      </c>
    </row>
    <row r="183" spans="2:14" ht="40.5" hidden="1">
      <c r="B183" s="485" t="s">
        <v>2326</v>
      </c>
      <c r="C183" s="463" t="s">
        <v>3285</v>
      </c>
      <c r="D183" s="463" t="s">
        <v>3286</v>
      </c>
      <c r="E183" s="464">
        <v>31020364</v>
      </c>
      <c r="F183" s="465">
        <v>30</v>
      </c>
      <c r="G183" s="466">
        <v>54054</v>
      </c>
      <c r="H183" s="467">
        <v>10959</v>
      </c>
      <c r="I183" s="289">
        <v>1551018</v>
      </c>
      <c r="J183" s="289">
        <v>29469346</v>
      </c>
      <c r="K183" s="468">
        <v>365</v>
      </c>
      <c r="L183" s="289">
        <v>981505</v>
      </c>
      <c r="M183" s="464">
        <v>4181480</v>
      </c>
      <c r="N183" s="469">
        <v>26838884</v>
      </c>
    </row>
    <row r="184" spans="2:14" ht="27" hidden="1">
      <c r="B184" s="485" t="s">
        <v>2326</v>
      </c>
      <c r="C184" s="463" t="s">
        <v>2326</v>
      </c>
      <c r="D184" s="463" t="s">
        <v>4126</v>
      </c>
      <c r="E184" s="464">
        <v>23578720</v>
      </c>
      <c r="F184" s="465">
        <v>15</v>
      </c>
      <c r="G184" s="466">
        <v>48576</v>
      </c>
      <c r="H184" s="467">
        <v>5481</v>
      </c>
      <c r="I184" s="289">
        <v>1178936</v>
      </c>
      <c r="J184" s="289">
        <v>22399784</v>
      </c>
      <c r="K184" s="468">
        <v>365</v>
      </c>
      <c r="L184" s="289">
        <v>1491684</v>
      </c>
      <c r="M184" s="464">
        <v>6354983</v>
      </c>
      <c r="N184" s="469">
        <v>17223737</v>
      </c>
    </row>
    <row r="185" spans="2:14" hidden="1">
      <c r="B185" s="485" t="s">
        <v>2326</v>
      </c>
      <c r="C185" s="463" t="s">
        <v>2326</v>
      </c>
      <c r="D185" s="463" t="s">
        <v>3216</v>
      </c>
      <c r="E185" s="464">
        <v>74917962</v>
      </c>
      <c r="F185" s="465">
        <v>20</v>
      </c>
      <c r="G185" s="466">
        <v>50402</v>
      </c>
      <c r="H185" s="467">
        <v>7307</v>
      </c>
      <c r="I185" s="289">
        <v>3745898</v>
      </c>
      <c r="J185" s="289">
        <v>71172064</v>
      </c>
      <c r="K185" s="468">
        <v>365</v>
      </c>
      <c r="L185" s="289">
        <v>3555194</v>
      </c>
      <c r="M185" s="464">
        <v>15146100</v>
      </c>
      <c r="N185" s="469">
        <v>59771862</v>
      </c>
    </row>
    <row r="186" spans="2:14" hidden="1">
      <c r="B186" s="485" t="s">
        <v>2326</v>
      </c>
      <c r="C186" s="463" t="s">
        <v>4237</v>
      </c>
      <c r="D186" s="463" t="s">
        <v>4238</v>
      </c>
      <c r="E186" s="464">
        <v>2535784</v>
      </c>
      <c r="F186" s="465">
        <v>5</v>
      </c>
      <c r="G186" s="466">
        <v>44923</v>
      </c>
      <c r="H186" s="467">
        <v>1828</v>
      </c>
      <c r="I186" s="289">
        <v>126789</v>
      </c>
      <c r="J186" s="289">
        <v>2408995</v>
      </c>
      <c r="K186" s="468">
        <v>365</v>
      </c>
      <c r="L186" s="289">
        <v>481008</v>
      </c>
      <c r="M186" s="464">
        <v>2049226</v>
      </c>
      <c r="N186" s="469">
        <v>486558</v>
      </c>
    </row>
    <row r="187" spans="2:14" ht="27" hidden="1">
      <c r="B187" s="485" t="s">
        <v>2326</v>
      </c>
      <c r="C187" s="463" t="s">
        <v>4237</v>
      </c>
      <c r="D187" s="463" t="s">
        <v>4239</v>
      </c>
      <c r="E187" s="464">
        <v>1694944</v>
      </c>
      <c r="F187" s="465">
        <v>8</v>
      </c>
      <c r="G187" s="466">
        <v>46019</v>
      </c>
      <c r="H187" s="467">
        <v>2924</v>
      </c>
      <c r="I187" s="289">
        <v>84747</v>
      </c>
      <c r="J187" s="289">
        <v>1610197</v>
      </c>
      <c r="K187" s="468">
        <v>365</v>
      </c>
      <c r="L187" s="289">
        <v>200999</v>
      </c>
      <c r="M187" s="464">
        <v>856311</v>
      </c>
      <c r="N187" s="469">
        <v>838633</v>
      </c>
    </row>
    <row r="188" spans="2:14" hidden="1">
      <c r="B188" s="485"/>
      <c r="C188" s="463"/>
      <c r="D188" s="463"/>
      <c r="E188" s="463"/>
      <c r="F188" s="465"/>
      <c r="G188" s="463"/>
      <c r="H188" s="463"/>
      <c r="I188" s="463"/>
      <c r="J188" s="463"/>
      <c r="K188" s="463"/>
      <c r="L188" s="463"/>
      <c r="M188" s="463"/>
      <c r="N188" s="470"/>
    </row>
    <row r="189" spans="2:14" hidden="1">
      <c r="B189" s="485" t="s">
        <v>2326</v>
      </c>
      <c r="C189" s="463" t="s">
        <v>3261</v>
      </c>
      <c r="D189" s="463"/>
      <c r="E189" s="464">
        <v>27724304</v>
      </c>
      <c r="F189" s="465">
        <v>20</v>
      </c>
      <c r="G189" s="466">
        <v>50402</v>
      </c>
      <c r="H189" s="467">
        <v>7307</v>
      </c>
      <c r="I189" s="289">
        <v>1386215</v>
      </c>
      <c r="J189" s="289">
        <v>26338089</v>
      </c>
      <c r="K189" s="468">
        <v>365</v>
      </c>
      <c r="L189" s="289">
        <v>1315643</v>
      </c>
      <c r="M189" s="464">
        <v>5604999</v>
      </c>
      <c r="N189" s="469">
        <v>22119305</v>
      </c>
    </row>
    <row r="190" spans="2:14" hidden="1">
      <c r="B190" s="485"/>
      <c r="C190" s="463"/>
      <c r="D190" s="463"/>
      <c r="E190" s="463"/>
      <c r="F190" s="465"/>
      <c r="G190" s="466"/>
      <c r="H190" s="467"/>
      <c r="I190" s="289"/>
      <c r="J190" s="289"/>
      <c r="K190" s="468"/>
      <c r="L190" s="289"/>
      <c r="M190" s="464"/>
      <c r="N190" s="469"/>
    </row>
    <row r="191" spans="2:14" hidden="1">
      <c r="B191" s="485" t="s">
        <v>2326</v>
      </c>
      <c r="C191" s="463" t="s">
        <v>4237</v>
      </c>
      <c r="D191" s="463"/>
      <c r="E191" s="464">
        <v>956383302</v>
      </c>
      <c r="F191" s="465">
        <v>30</v>
      </c>
      <c r="G191" s="466">
        <v>54054</v>
      </c>
      <c r="H191" s="467">
        <v>10959</v>
      </c>
      <c r="I191" s="289">
        <v>47819165</v>
      </c>
      <c r="J191" s="289">
        <v>908564137</v>
      </c>
      <c r="K191" s="468">
        <v>365</v>
      </c>
      <c r="L191" s="289">
        <v>30260600</v>
      </c>
      <c r="M191" s="464">
        <v>128918446</v>
      </c>
      <c r="N191" s="469">
        <v>827464856</v>
      </c>
    </row>
    <row r="192" spans="2:14" hidden="1">
      <c r="B192" s="485" t="s">
        <v>2326</v>
      </c>
      <c r="C192" s="463" t="s">
        <v>3264</v>
      </c>
      <c r="D192" s="463"/>
      <c r="E192" s="464">
        <v>86946766</v>
      </c>
      <c r="F192" s="465">
        <v>15</v>
      </c>
      <c r="G192" s="466">
        <v>48576</v>
      </c>
      <c r="H192" s="467">
        <v>5481</v>
      </c>
      <c r="I192" s="289">
        <v>4347338</v>
      </c>
      <c r="J192" s="289">
        <v>82599428</v>
      </c>
      <c r="K192" s="468">
        <v>365</v>
      </c>
      <c r="L192" s="289">
        <v>5500600</v>
      </c>
      <c r="M192" s="464">
        <v>23434064</v>
      </c>
      <c r="N192" s="469">
        <v>63512702</v>
      </c>
    </row>
    <row r="193" spans="2:14" hidden="1">
      <c r="B193" s="485"/>
      <c r="C193" s="463"/>
      <c r="D193" s="463"/>
      <c r="E193" s="463"/>
      <c r="F193" s="465"/>
      <c r="G193" s="463"/>
      <c r="H193" s="463"/>
      <c r="I193" s="463"/>
      <c r="J193" s="463"/>
      <c r="K193" s="463"/>
      <c r="L193" s="463"/>
      <c r="M193" s="463"/>
      <c r="N193" s="470"/>
    </row>
    <row r="194" spans="2:14" ht="14.25" hidden="1">
      <c r="B194" s="485"/>
      <c r="C194" s="472" t="s">
        <v>1837</v>
      </c>
      <c r="D194" s="473"/>
      <c r="E194" s="474">
        <f t="shared" ref="E194" si="6">+SUBTOTAL(9,E167:E193)</f>
        <v>2586296022.8000002</v>
      </c>
      <c r="F194" s="465"/>
      <c r="G194" s="463"/>
      <c r="H194" s="463"/>
      <c r="I194" s="463"/>
      <c r="J194" s="463"/>
      <c r="K194" s="463"/>
      <c r="L194" s="475">
        <f t="shared" ref="L194:N194" si="7">+SUBTOTAL(9,L167:L193)</f>
        <v>123210917</v>
      </c>
      <c r="M194" s="475">
        <f t="shared" si="7"/>
        <v>681169820</v>
      </c>
      <c r="N194" s="476">
        <f t="shared" si="7"/>
        <v>1905126202.8</v>
      </c>
    </row>
    <row r="195" spans="2:14" ht="28.5" hidden="1">
      <c r="B195" s="477" t="s">
        <v>4212</v>
      </c>
      <c r="C195" s="463"/>
      <c r="D195" s="463"/>
      <c r="E195" s="463"/>
      <c r="F195" s="465"/>
      <c r="G195" s="463"/>
      <c r="H195" s="463"/>
      <c r="I195" s="463"/>
      <c r="J195" s="463"/>
      <c r="K195" s="463"/>
      <c r="L195" s="464"/>
      <c r="M195" s="464"/>
      <c r="N195" s="478"/>
    </row>
    <row r="196" spans="2:14" ht="27" hidden="1">
      <c r="B196" s="485" t="s">
        <v>4212</v>
      </c>
      <c r="C196" s="463" t="s">
        <v>3290</v>
      </c>
      <c r="D196" s="463" t="s">
        <v>4485</v>
      </c>
      <c r="E196" s="464">
        <v>212630445</v>
      </c>
      <c r="F196" s="465">
        <v>30</v>
      </c>
      <c r="G196" s="466">
        <v>54054</v>
      </c>
      <c r="H196" s="467">
        <v>10959</v>
      </c>
      <c r="I196" s="289">
        <v>10631522</v>
      </c>
      <c r="J196" s="289">
        <v>201998923</v>
      </c>
      <c r="K196" s="468">
        <v>365</v>
      </c>
      <c r="L196" s="289">
        <v>6727768</v>
      </c>
      <c r="M196" s="464">
        <v>28662135</v>
      </c>
      <c r="N196" s="469">
        <v>183968310</v>
      </c>
    </row>
    <row r="197" spans="2:14" ht="27" hidden="1">
      <c r="B197" s="485" t="s">
        <v>4212</v>
      </c>
      <c r="C197" s="463" t="s">
        <v>3290</v>
      </c>
      <c r="D197" s="463" t="s">
        <v>4486</v>
      </c>
      <c r="E197" s="464">
        <v>96497443</v>
      </c>
      <c r="F197" s="465">
        <v>30</v>
      </c>
      <c r="G197" s="466">
        <v>54054</v>
      </c>
      <c r="H197" s="467">
        <v>10959</v>
      </c>
      <c r="I197" s="289">
        <v>4824872</v>
      </c>
      <c r="J197" s="289">
        <v>91672571</v>
      </c>
      <c r="K197" s="468">
        <v>365</v>
      </c>
      <c r="L197" s="289">
        <v>3053243</v>
      </c>
      <c r="M197" s="464">
        <v>13007652</v>
      </c>
      <c r="N197" s="469">
        <v>83489791</v>
      </c>
    </row>
    <row r="198" spans="2:14" ht="27" hidden="1">
      <c r="B198" s="485" t="s">
        <v>4212</v>
      </c>
      <c r="C198" s="463" t="s">
        <v>3290</v>
      </c>
      <c r="D198" s="463" t="s">
        <v>4487</v>
      </c>
      <c r="E198" s="464">
        <v>482121060</v>
      </c>
      <c r="F198" s="465">
        <v>30</v>
      </c>
      <c r="G198" s="466">
        <v>54054</v>
      </c>
      <c r="H198" s="467">
        <v>10959</v>
      </c>
      <c r="I198" s="289">
        <v>24106053</v>
      </c>
      <c r="J198" s="289">
        <v>458015007</v>
      </c>
      <c r="K198" s="468">
        <v>365</v>
      </c>
      <c r="L198" s="289">
        <v>15254629</v>
      </c>
      <c r="M198" s="464">
        <v>64988898</v>
      </c>
      <c r="N198" s="469">
        <v>417132162</v>
      </c>
    </row>
    <row r="199" spans="2:14" ht="27" hidden="1">
      <c r="B199" s="485" t="s">
        <v>4212</v>
      </c>
      <c r="C199" s="463" t="s">
        <v>3290</v>
      </c>
      <c r="D199" s="463" t="s">
        <v>4488</v>
      </c>
      <c r="E199" s="464">
        <v>234840761</v>
      </c>
      <c r="F199" s="465">
        <v>30</v>
      </c>
      <c r="G199" s="466">
        <v>54054</v>
      </c>
      <c r="H199" s="467">
        <v>10959</v>
      </c>
      <c r="I199" s="289">
        <v>11742038</v>
      </c>
      <c r="J199" s="289">
        <v>223098723</v>
      </c>
      <c r="K199" s="468">
        <v>365</v>
      </c>
      <c r="L199" s="289">
        <v>7430517</v>
      </c>
      <c r="M199" s="464">
        <v>31656038</v>
      </c>
      <c r="N199" s="469">
        <v>203184723</v>
      </c>
    </row>
    <row r="200" spans="2:14" ht="27" hidden="1">
      <c r="B200" s="485" t="s">
        <v>4212</v>
      </c>
      <c r="C200" s="463" t="s">
        <v>3290</v>
      </c>
      <c r="D200" s="463" t="s">
        <v>4489</v>
      </c>
      <c r="E200" s="464">
        <v>60284087</v>
      </c>
      <c r="F200" s="465">
        <v>30</v>
      </c>
      <c r="G200" s="466">
        <v>54054</v>
      </c>
      <c r="H200" s="467">
        <v>10959</v>
      </c>
      <c r="I200" s="289">
        <v>3014204</v>
      </c>
      <c r="J200" s="289">
        <v>57269883</v>
      </c>
      <c r="K200" s="468">
        <v>365</v>
      </c>
      <c r="L200" s="289">
        <v>1907428</v>
      </c>
      <c r="M200" s="464">
        <v>8126166</v>
      </c>
      <c r="N200" s="469">
        <v>52157921</v>
      </c>
    </row>
    <row r="201" spans="2:14" ht="14.25" hidden="1" customHeight="1">
      <c r="B201" s="485" t="s">
        <v>4212</v>
      </c>
      <c r="C201" s="463" t="s">
        <v>4268</v>
      </c>
      <c r="D201" s="463" t="s">
        <v>4268</v>
      </c>
      <c r="E201" s="464">
        <v>246613970</v>
      </c>
      <c r="F201" s="465">
        <v>15</v>
      </c>
      <c r="G201" s="466">
        <v>48576</v>
      </c>
      <c r="H201" s="467">
        <v>5481</v>
      </c>
      <c r="I201" s="289">
        <v>12330699</v>
      </c>
      <c r="J201" s="289">
        <v>234283271</v>
      </c>
      <c r="K201" s="468">
        <v>365</v>
      </c>
      <c r="L201" s="289">
        <v>15601787</v>
      </c>
      <c r="M201" s="464">
        <v>66467887</v>
      </c>
      <c r="N201" s="469">
        <v>180146083</v>
      </c>
    </row>
    <row r="202" spans="2:14" ht="14.25" hidden="1" customHeight="1">
      <c r="B202" s="485" t="s">
        <v>4212</v>
      </c>
      <c r="C202" s="463" t="s">
        <v>4242</v>
      </c>
      <c r="D202" s="463" t="s">
        <v>4243</v>
      </c>
      <c r="E202" s="464">
        <v>10902588</v>
      </c>
      <c r="F202" s="465">
        <v>15</v>
      </c>
      <c r="G202" s="466">
        <v>48576</v>
      </c>
      <c r="H202" s="467">
        <v>5481</v>
      </c>
      <c r="I202" s="289">
        <v>545129</v>
      </c>
      <c r="J202" s="289">
        <v>10357459</v>
      </c>
      <c r="K202" s="468">
        <v>365</v>
      </c>
      <c r="L202" s="289">
        <v>689741</v>
      </c>
      <c r="M202" s="464">
        <v>2938486</v>
      </c>
      <c r="N202" s="469">
        <v>7964102</v>
      </c>
    </row>
    <row r="203" spans="2:14" ht="27" hidden="1">
      <c r="B203" s="485" t="s">
        <v>4212</v>
      </c>
      <c r="C203" s="463" t="s">
        <v>3295</v>
      </c>
      <c r="D203" s="463" t="s">
        <v>3299</v>
      </c>
      <c r="E203" s="464">
        <v>1560088</v>
      </c>
      <c r="F203" s="465">
        <v>15</v>
      </c>
      <c r="G203" s="466">
        <v>48576</v>
      </c>
      <c r="H203" s="467">
        <v>5481</v>
      </c>
      <c r="I203" s="289">
        <v>78004</v>
      </c>
      <c r="J203" s="289">
        <v>1482084</v>
      </c>
      <c r="K203" s="468">
        <v>365</v>
      </c>
      <c r="L203" s="289">
        <v>98697</v>
      </c>
      <c r="M203" s="464">
        <v>420477</v>
      </c>
      <c r="N203" s="469">
        <v>1139611</v>
      </c>
    </row>
    <row r="204" spans="2:14" ht="27" hidden="1">
      <c r="B204" s="485" t="s">
        <v>4212</v>
      </c>
      <c r="C204" s="463" t="s">
        <v>3295</v>
      </c>
      <c r="D204" s="463" t="s">
        <v>3302</v>
      </c>
      <c r="E204" s="464">
        <v>12808483</v>
      </c>
      <c r="F204" s="465">
        <v>10</v>
      </c>
      <c r="G204" s="466">
        <v>46749</v>
      </c>
      <c r="H204" s="467">
        <v>3654</v>
      </c>
      <c r="I204" s="289">
        <v>640424</v>
      </c>
      <c r="J204" s="289">
        <v>12168059</v>
      </c>
      <c r="K204" s="468">
        <v>365</v>
      </c>
      <c r="L204" s="289">
        <v>1215474</v>
      </c>
      <c r="M204" s="464">
        <v>5178252</v>
      </c>
      <c r="N204" s="469">
        <v>7630231</v>
      </c>
    </row>
    <row r="205" spans="2:14" ht="27" hidden="1">
      <c r="B205" s="485" t="s">
        <v>4212</v>
      </c>
      <c r="C205" s="463" t="s">
        <v>4232</v>
      </c>
      <c r="D205" s="463" t="s">
        <v>4233</v>
      </c>
      <c r="E205" s="464">
        <v>3742397</v>
      </c>
      <c r="F205" s="465">
        <v>5</v>
      </c>
      <c r="G205" s="466">
        <v>44923</v>
      </c>
      <c r="H205" s="467">
        <v>1828</v>
      </c>
      <c r="I205" s="289">
        <v>187120</v>
      </c>
      <c r="J205" s="289">
        <v>3555277</v>
      </c>
      <c r="K205" s="468">
        <v>365</v>
      </c>
      <c r="L205" s="289">
        <v>709888</v>
      </c>
      <c r="M205" s="464">
        <v>3024318</v>
      </c>
      <c r="N205" s="469">
        <v>718079</v>
      </c>
    </row>
    <row r="206" spans="2:14" ht="27" hidden="1">
      <c r="B206" s="485" t="s">
        <v>4212</v>
      </c>
      <c r="C206" s="463" t="s">
        <v>4232</v>
      </c>
      <c r="D206" s="463" t="s">
        <v>4234</v>
      </c>
      <c r="E206" s="464">
        <v>14071431</v>
      </c>
      <c r="F206" s="465">
        <v>20</v>
      </c>
      <c r="G206" s="466">
        <v>50402</v>
      </c>
      <c r="H206" s="467">
        <v>7307</v>
      </c>
      <c r="I206" s="289">
        <v>703572</v>
      </c>
      <c r="J206" s="289">
        <v>13367859</v>
      </c>
      <c r="K206" s="468">
        <v>365</v>
      </c>
      <c r="L206" s="289">
        <v>667753</v>
      </c>
      <c r="M206" s="464">
        <v>2844810</v>
      </c>
      <c r="N206" s="469">
        <v>11226621</v>
      </c>
    </row>
    <row r="207" spans="2:14" ht="27" hidden="1">
      <c r="B207" s="485" t="s">
        <v>4212</v>
      </c>
      <c r="C207" s="463" t="s">
        <v>4232</v>
      </c>
      <c r="D207" s="463" t="s">
        <v>4235</v>
      </c>
      <c r="E207" s="464">
        <v>15657355</v>
      </c>
      <c r="F207" s="465">
        <v>15</v>
      </c>
      <c r="G207" s="466">
        <v>48576</v>
      </c>
      <c r="H207" s="467">
        <v>5481</v>
      </c>
      <c r="I207" s="289">
        <v>782868</v>
      </c>
      <c r="J207" s="289">
        <v>14874487</v>
      </c>
      <c r="K207" s="468">
        <v>365</v>
      </c>
      <c r="L207" s="289">
        <v>990547</v>
      </c>
      <c r="M207" s="464">
        <v>4220002</v>
      </c>
      <c r="N207" s="469">
        <v>11437353</v>
      </c>
    </row>
    <row r="208" spans="2:14" ht="27" hidden="1">
      <c r="B208" s="485" t="s">
        <v>4212</v>
      </c>
      <c r="C208" s="463" t="s">
        <v>4232</v>
      </c>
      <c r="D208" s="463" t="s">
        <v>3305</v>
      </c>
      <c r="E208" s="464">
        <v>43610350</v>
      </c>
      <c r="F208" s="465">
        <v>20</v>
      </c>
      <c r="G208" s="466">
        <v>50402</v>
      </c>
      <c r="H208" s="467">
        <v>7307</v>
      </c>
      <c r="I208" s="289">
        <v>2180518</v>
      </c>
      <c r="J208" s="289">
        <v>41429832</v>
      </c>
      <c r="K208" s="468">
        <v>365</v>
      </c>
      <c r="L208" s="289">
        <v>2069507</v>
      </c>
      <c r="M208" s="464">
        <v>8816667</v>
      </c>
      <c r="N208" s="469">
        <v>34793683</v>
      </c>
    </row>
    <row r="209" spans="2:14" ht="27" hidden="1">
      <c r="B209" s="485" t="s">
        <v>4212</v>
      </c>
      <c r="C209" s="463" t="s">
        <v>3306</v>
      </c>
      <c r="D209" s="463" t="s">
        <v>4490</v>
      </c>
      <c r="E209" s="464">
        <v>19941355</v>
      </c>
      <c r="F209" s="465">
        <v>10</v>
      </c>
      <c r="G209" s="466">
        <v>46749</v>
      </c>
      <c r="H209" s="467">
        <v>3654</v>
      </c>
      <c r="I209" s="289">
        <v>997068</v>
      </c>
      <c r="J209" s="289">
        <v>18944287</v>
      </c>
      <c r="K209" s="468">
        <v>365</v>
      </c>
      <c r="L209" s="289">
        <v>1892355</v>
      </c>
      <c r="M209" s="464">
        <v>8061950</v>
      </c>
      <c r="N209" s="469">
        <v>11879405</v>
      </c>
    </row>
    <row r="210" spans="2:14" ht="27" hidden="1">
      <c r="B210" s="485" t="s">
        <v>4212</v>
      </c>
      <c r="C210" s="463" t="s">
        <v>3306</v>
      </c>
      <c r="D210" s="463" t="s">
        <v>4491</v>
      </c>
      <c r="E210" s="464">
        <v>22273747</v>
      </c>
      <c r="F210" s="465">
        <v>10</v>
      </c>
      <c r="G210" s="466">
        <v>46749</v>
      </c>
      <c r="H210" s="467">
        <v>3654</v>
      </c>
      <c r="I210" s="289">
        <v>1113687</v>
      </c>
      <c r="J210" s="289">
        <v>21160060</v>
      </c>
      <c r="K210" s="468">
        <v>365</v>
      </c>
      <c r="L210" s="289">
        <v>2113690</v>
      </c>
      <c r="M210" s="464">
        <v>9004898</v>
      </c>
      <c r="N210" s="469">
        <v>13268849</v>
      </c>
    </row>
    <row r="211" spans="2:14" ht="67.5" hidden="1">
      <c r="B211" s="485" t="s">
        <v>4212</v>
      </c>
      <c r="C211" s="463" t="s">
        <v>3306</v>
      </c>
      <c r="D211" s="463" t="s">
        <v>4492</v>
      </c>
      <c r="E211" s="464">
        <v>407937770</v>
      </c>
      <c r="F211" s="465">
        <v>20</v>
      </c>
      <c r="G211" s="466">
        <v>50402</v>
      </c>
      <c r="H211" s="467">
        <v>7307</v>
      </c>
      <c r="I211" s="289">
        <v>20396889</v>
      </c>
      <c r="J211" s="289">
        <v>387540881</v>
      </c>
      <c r="K211" s="468">
        <v>365</v>
      </c>
      <c r="L211" s="289">
        <v>19358481</v>
      </c>
      <c r="M211" s="464">
        <v>82472433</v>
      </c>
      <c r="N211" s="469">
        <v>325465337</v>
      </c>
    </row>
    <row r="212" spans="2:14" ht="27" hidden="1">
      <c r="B212" s="485" t="s">
        <v>4212</v>
      </c>
      <c r="C212" s="463" t="s">
        <v>3306</v>
      </c>
      <c r="D212" s="463" t="s">
        <v>4493</v>
      </c>
      <c r="E212" s="464">
        <v>24992535</v>
      </c>
      <c r="F212" s="465">
        <v>10</v>
      </c>
      <c r="G212" s="466">
        <v>46749</v>
      </c>
      <c r="H212" s="467">
        <v>3654</v>
      </c>
      <c r="I212" s="289">
        <v>1249627</v>
      </c>
      <c r="J212" s="289">
        <v>23742908</v>
      </c>
      <c r="K212" s="468">
        <v>365</v>
      </c>
      <c r="L212" s="289">
        <v>2371692</v>
      </c>
      <c r="M212" s="464">
        <v>10104057</v>
      </c>
      <c r="N212" s="469">
        <v>14888478</v>
      </c>
    </row>
    <row r="213" spans="2:14" ht="27" hidden="1">
      <c r="B213" s="485" t="s">
        <v>4212</v>
      </c>
      <c r="C213" s="463" t="s">
        <v>3306</v>
      </c>
      <c r="D213" s="463" t="s">
        <v>4494</v>
      </c>
      <c r="E213" s="464">
        <v>25423425</v>
      </c>
      <c r="F213" s="465">
        <v>10</v>
      </c>
      <c r="G213" s="466">
        <v>46749</v>
      </c>
      <c r="H213" s="467">
        <v>3654</v>
      </c>
      <c r="I213" s="289">
        <v>1271171</v>
      </c>
      <c r="J213" s="289">
        <v>24152254</v>
      </c>
      <c r="K213" s="468">
        <v>365</v>
      </c>
      <c r="L213" s="289">
        <v>2412581</v>
      </c>
      <c r="M213" s="464">
        <v>10278256</v>
      </c>
      <c r="N213" s="469">
        <v>15145169</v>
      </c>
    </row>
    <row r="214" spans="2:14" ht="27" hidden="1">
      <c r="B214" s="485" t="s">
        <v>4212</v>
      </c>
      <c r="C214" s="463" t="s">
        <v>3306</v>
      </c>
      <c r="D214" s="463" t="s">
        <v>3266</v>
      </c>
      <c r="E214" s="464">
        <v>33593500</v>
      </c>
      <c r="F214" s="465">
        <v>30</v>
      </c>
      <c r="G214" s="466">
        <v>54054</v>
      </c>
      <c r="H214" s="467">
        <v>10959</v>
      </c>
      <c r="I214" s="289">
        <v>1679675</v>
      </c>
      <c r="J214" s="289">
        <v>31913825</v>
      </c>
      <c r="K214" s="468">
        <v>365</v>
      </c>
      <c r="L214" s="289">
        <v>1062921</v>
      </c>
      <c r="M214" s="464">
        <v>4528334</v>
      </c>
      <c r="N214" s="469">
        <v>29065166</v>
      </c>
    </row>
    <row r="215" spans="2:14" ht="27" hidden="1">
      <c r="B215" s="485" t="s">
        <v>4212</v>
      </c>
      <c r="C215" s="463" t="s">
        <v>3306</v>
      </c>
      <c r="D215" s="463" t="s">
        <v>3033</v>
      </c>
      <c r="E215" s="464">
        <v>12377409</v>
      </c>
      <c r="F215" s="465">
        <v>30</v>
      </c>
      <c r="G215" s="466">
        <v>54054</v>
      </c>
      <c r="H215" s="467">
        <v>10959</v>
      </c>
      <c r="I215" s="289">
        <v>618870</v>
      </c>
      <c r="J215" s="289">
        <v>11758539</v>
      </c>
      <c r="K215" s="468">
        <v>365</v>
      </c>
      <c r="L215" s="289">
        <v>391629</v>
      </c>
      <c r="M215" s="464">
        <v>1668447</v>
      </c>
      <c r="N215" s="469">
        <v>10708962</v>
      </c>
    </row>
    <row r="216" spans="2:14" hidden="1">
      <c r="B216" s="485"/>
      <c r="C216" s="463"/>
      <c r="D216" s="463"/>
      <c r="E216" s="463"/>
      <c r="F216" s="465"/>
      <c r="G216" s="463"/>
      <c r="H216" s="463"/>
      <c r="I216" s="463"/>
      <c r="J216" s="463"/>
      <c r="K216" s="463"/>
      <c r="L216" s="463"/>
      <c r="M216" s="463"/>
      <c r="N216" s="470"/>
    </row>
    <row r="217" spans="2:14" ht="27" hidden="1">
      <c r="B217" s="485" t="s">
        <v>4212</v>
      </c>
      <c r="C217" s="463" t="s">
        <v>3294</v>
      </c>
      <c r="D217" s="463"/>
      <c r="E217" s="464">
        <v>23046442</v>
      </c>
      <c r="F217" s="465">
        <v>10</v>
      </c>
      <c r="G217" s="466">
        <v>46749</v>
      </c>
      <c r="H217" s="467">
        <v>3654</v>
      </c>
      <c r="I217" s="289">
        <v>1152322</v>
      </c>
      <c r="J217" s="289">
        <v>21894120</v>
      </c>
      <c r="K217" s="468">
        <v>365</v>
      </c>
      <c r="L217" s="289">
        <v>2187015</v>
      </c>
      <c r="M217" s="464">
        <v>9317283</v>
      </c>
      <c r="N217" s="469">
        <v>13729159</v>
      </c>
    </row>
    <row r="218" spans="2:14" ht="27" hidden="1">
      <c r="B218" s="485" t="s">
        <v>4212</v>
      </c>
      <c r="C218" s="463" t="s">
        <v>3713</v>
      </c>
      <c r="D218" s="463"/>
      <c r="E218" s="464">
        <v>8598940</v>
      </c>
      <c r="F218" s="465">
        <v>15</v>
      </c>
      <c r="G218" s="466">
        <v>48576</v>
      </c>
      <c r="H218" s="467">
        <v>5481</v>
      </c>
      <c r="I218" s="289">
        <v>429947</v>
      </c>
      <c r="J218" s="289">
        <v>8168993</v>
      </c>
      <c r="K218" s="468">
        <v>365</v>
      </c>
      <c r="L218" s="289">
        <v>544003</v>
      </c>
      <c r="M218" s="464">
        <v>2317602</v>
      </c>
      <c r="N218" s="469">
        <v>6281338</v>
      </c>
    </row>
    <row r="219" spans="2:14" ht="27" hidden="1">
      <c r="B219" s="485" t="s">
        <v>4212</v>
      </c>
      <c r="C219" s="463" t="s">
        <v>2302</v>
      </c>
      <c r="D219" s="463"/>
      <c r="E219" s="464">
        <v>1251246</v>
      </c>
      <c r="F219" s="465">
        <v>7</v>
      </c>
      <c r="G219" s="466">
        <v>45654</v>
      </c>
      <c r="H219" s="467">
        <v>2559</v>
      </c>
      <c r="I219" s="289">
        <v>62562</v>
      </c>
      <c r="J219" s="289">
        <v>1188684</v>
      </c>
      <c r="K219" s="468">
        <v>365</v>
      </c>
      <c r="L219" s="289">
        <v>169547</v>
      </c>
      <c r="M219" s="464">
        <v>722316</v>
      </c>
      <c r="N219" s="469">
        <v>528930</v>
      </c>
    </row>
    <row r="220" spans="2:14" ht="27" hidden="1">
      <c r="B220" s="485" t="s">
        <v>4212</v>
      </c>
      <c r="C220" s="463" t="s">
        <v>3318</v>
      </c>
      <c r="D220" s="463"/>
      <c r="E220" s="464">
        <v>3697470</v>
      </c>
      <c r="F220" s="465">
        <v>15</v>
      </c>
      <c r="G220" s="466">
        <v>48576</v>
      </c>
      <c r="H220" s="467">
        <v>5481</v>
      </c>
      <c r="I220" s="289">
        <v>184874</v>
      </c>
      <c r="J220" s="289">
        <v>3512596</v>
      </c>
      <c r="K220" s="468">
        <v>365</v>
      </c>
      <c r="L220" s="289">
        <v>233917</v>
      </c>
      <c r="M220" s="464">
        <v>996551</v>
      </c>
      <c r="N220" s="469">
        <v>2700919</v>
      </c>
    </row>
    <row r="221" spans="2:14" hidden="1">
      <c r="B221" s="485"/>
      <c r="C221" s="463"/>
      <c r="D221" s="463"/>
      <c r="E221" s="463"/>
      <c r="F221" s="465"/>
      <c r="G221" s="466"/>
      <c r="H221" s="467"/>
      <c r="I221" s="289"/>
      <c r="J221" s="289"/>
      <c r="K221" s="468"/>
      <c r="L221" s="289"/>
      <c r="M221" s="464"/>
      <c r="N221" s="469"/>
    </row>
    <row r="222" spans="2:14" ht="27" hidden="1">
      <c r="B222" s="485" t="s">
        <v>4212</v>
      </c>
      <c r="C222" s="463" t="s">
        <v>3288</v>
      </c>
      <c r="D222" s="463"/>
      <c r="E222" s="464">
        <v>137229674</v>
      </c>
      <c r="F222" s="465">
        <v>30</v>
      </c>
      <c r="G222" s="466">
        <v>54054</v>
      </c>
      <c r="H222" s="467">
        <v>10959</v>
      </c>
      <c r="I222" s="289">
        <v>6861484</v>
      </c>
      <c r="J222" s="289">
        <v>130368190</v>
      </c>
      <c r="K222" s="468">
        <v>365</v>
      </c>
      <c r="L222" s="289">
        <v>4342038</v>
      </c>
      <c r="M222" s="464">
        <v>18498271</v>
      </c>
      <c r="N222" s="469">
        <v>118731403</v>
      </c>
    </row>
    <row r="223" spans="2:14" ht="27" hidden="1">
      <c r="B223" s="485" t="s">
        <v>4212</v>
      </c>
      <c r="C223" s="463" t="s">
        <v>4268</v>
      </c>
      <c r="D223" s="463"/>
      <c r="E223" s="464">
        <v>1786668</v>
      </c>
      <c r="F223" s="465">
        <v>15</v>
      </c>
      <c r="G223" s="466">
        <v>48576</v>
      </c>
      <c r="H223" s="467">
        <v>5481</v>
      </c>
      <c r="I223" s="289">
        <v>89333</v>
      </c>
      <c r="J223" s="289">
        <v>1697335</v>
      </c>
      <c r="K223" s="468">
        <v>365</v>
      </c>
      <c r="L223" s="289">
        <v>113032</v>
      </c>
      <c r="M223" s="464">
        <v>481547</v>
      </c>
      <c r="N223" s="469">
        <v>1305121</v>
      </c>
    </row>
    <row r="224" spans="2:14" hidden="1">
      <c r="B224" s="485"/>
      <c r="C224" s="463"/>
      <c r="D224" s="463"/>
      <c r="E224" s="463"/>
      <c r="F224" s="465"/>
      <c r="G224" s="466"/>
      <c r="H224" s="467"/>
      <c r="I224" s="289"/>
      <c r="J224" s="289"/>
      <c r="K224" s="468"/>
      <c r="L224" s="289"/>
      <c r="M224" s="464"/>
      <c r="N224" s="469"/>
    </row>
    <row r="225" spans="2:14" hidden="1">
      <c r="B225" s="485"/>
      <c r="C225" s="463"/>
      <c r="D225" s="463"/>
      <c r="E225" s="463"/>
      <c r="F225" s="465"/>
      <c r="G225" s="463"/>
      <c r="H225" s="463"/>
      <c r="I225" s="463"/>
      <c r="J225" s="463"/>
      <c r="K225" s="463"/>
      <c r="L225" s="463"/>
      <c r="M225" s="463"/>
      <c r="N225" s="470"/>
    </row>
    <row r="226" spans="2:14" ht="14.25" hidden="1">
      <c r="B226" s="485"/>
      <c r="C226" s="472" t="s">
        <v>1837</v>
      </c>
      <c r="D226" s="473"/>
      <c r="E226" s="474">
        <f t="shared" ref="E226" si="8">+SUBTOTAL(9,E196:E225)</f>
        <v>2157490639</v>
      </c>
      <c r="F226" s="465"/>
      <c r="G226" s="463"/>
      <c r="H226" s="463"/>
      <c r="I226" s="463"/>
      <c r="J226" s="463"/>
      <c r="K226" s="463"/>
      <c r="L226" s="475">
        <f>+SUBTOTAL(9,L196:L225)</f>
        <v>93609880</v>
      </c>
      <c r="M226" s="475">
        <f>+SUBTOTAL(9,M196:M225)</f>
        <v>398803733</v>
      </c>
      <c r="N226" s="476">
        <f>+SUBTOTAL(9,N196:N225)</f>
        <v>1758686906</v>
      </c>
    </row>
    <row r="227" spans="2:14" hidden="1">
      <c r="B227" s="485"/>
      <c r="C227" s="463"/>
      <c r="D227" s="463"/>
      <c r="E227" s="463"/>
      <c r="F227" s="465"/>
      <c r="G227" s="463"/>
      <c r="H227" s="463"/>
      <c r="I227" s="463"/>
      <c r="J227" s="463"/>
      <c r="K227" s="463"/>
      <c r="L227" s="464"/>
      <c r="M227" s="464"/>
      <c r="N227" s="478"/>
    </row>
    <row r="228" spans="2:14" ht="14.25" hidden="1">
      <c r="B228" s="477" t="s">
        <v>2328</v>
      </c>
      <c r="C228" s="463"/>
      <c r="D228" s="463"/>
      <c r="E228" s="463"/>
      <c r="F228" s="465"/>
      <c r="G228" s="463"/>
      <c r="H228" s="463"/>
      <c r="I228" s="463"/>
      <c r="J228" s="463"/>
      <c r="K228" s="463"/>
      <c r="L228" s="463"/>
      <c r="M228" s="463"/>
      <c r="N228" s="470"/>
    </row>
    <row r="229" spans="2:14" hidden="1">
      <c r="B229" s="485" t="s">
        <v>2328</v>
      </c>
      <c r="C229" s="463" t="s">
        <v>3319</v>
      </c>
      <c r="D229" s="463" t="s">
        <v>4105</v>
      </c>
      <c r="E229" s="464">
        <v>14895901</v>
      </c>
      <c r="F229" s="465">
        <v>15</v>
      </c>
      <c r="G229" s="466">
        <v>48576</v>
      </c>
      <c r="H229" s="467">
        <v>5481</v>
      </c>
      <c r="I229" s="289">
        <v>744795</v>
      </c>
      <c r="J229" s="289">
        <v>14151106</v>
      </c>
      <c r="K229" s="468">
        <v>365</v>
      </c>
      <c r="L229" s="289">
        <v>942374</v>
      </c>
      <c r="M229" s="464">
        <v>4014772</v>
      </c>
      <c r="N229" s="469">
        <v>10881129</v>
      </c>
    </row>
    <row r="230" spans="2:14" ht="27" hidden="1">
      <c r="B230" s="485" t="s">
        <v>2328</v>
      </c>
      <c r="C230" s="463" t="s">
        <v>3319</v>
      </c>
      <c r="D230" s="463" t="s">
        <v>4106</v>
      </c>
      <c r="E230" s="464">
        <v>116153</v>
      </c>
      <c r="F230" s="465">
        <v>10</v>
      </c>
      <c r="G230" s="466">
        <v>46749</v>
      </c>
      <c r="H230" s="467">
        <v>3654</v>
      </c>
      <c r="I230" s="289">
        <v>5808</v>
      </c>
      <c r="J230" s="289">
        <v>110345</v>
      </c>
      <c r="K230" s="468">
        <v>365</v>
      </c>
      <c r="L230" s="289">
        <v>11022</v>
      </c>
      <c r="M230" s="464">
        <v>46958</v>
      </c>
      <c r="N230" s="469">
        <v>69195</v>
      </c>
    </row>
    <row r="231" spans="2:14" hidden="1">
      <c r="B231" s="485" t="s">
        <v>2328</v>
      </c>
      <c r="C231" s="463" t="s">
        <v>3319</v>
      </c>
      <c r="D231" s="463" t="s">
        <v>3324</v>
      </c>
      <c r="E231" s="464">
        <v>13439475</v>
      </c>
      <c r="F231" s="465">
        <v>10</v>
      </c>
      <c r="G231" s="466">
        <v>46749</v>
      </c>
      <c r="H231" s="467">
        <v>3654</v>
      </c>
      <c r="I231" s="289">
        <v>671974</v>
      </c>
      <c r="J231" s="289">
        <v>12767501</v>
      </c>
      <c r="K231" s="468">
        <v>365</v>
      </c>
      <c r="L231" s="289">
        <v>1275352</v>
      </c>
      <c r="M231" s="464">
        <v>5433350</v>
      </c>
      <c r="N231" s="469">
        <v>8006125</v>
      </c>
    </row>
    <row r="232" spans="2:14" hidden="1">
      <c r="B232" s="485" t="s">
        <v>2328</v>
      </c>
      <c r="C232" s="463" t="s">
        <v>4163</v>
      </c>
      <c r="D232" s="463" t="s">
        <v>4134</v>
      </c>
      <c r="E232" s="464">
        <v>131772275</v>
      </c>
      <c r="F232" s="465">
        <v>20</v>
      </c>
      <c r="G232" s="466">
        <v>50402</v>
      </c>
      <c r="H232" s="467">
        <v>7307</v>
      </c>
      <c r="I232" s="289">
        <v>6588614</v>
      </c>
      <c r="J232" s="289">
        <v>125183661</v>
      </c>
      <c r="K232" s="468">
        <v>365</v>
      </c>
      <c r="L232" s="289">
        <v>6253187</v>
      </c>
      <c r="M232" s="464">
        <v>26640290</v>
      </c>
      <c r="N232" s="469">
        <v>105131985</v>
      </c>
    </row>
    <row r="233" spans="2:14" ht="40.5" hidden="1">
      <c r="B233" s="485" t="s">
        <v>2328</v>
      </c>
      <c r="C233" s="463" t="s">
        <v>3337</v>
      </c>
      <c r="D233" s="463" t="s">
        <v>4495</v>
      </c>
      <c r="E233" s="464">
        <v>7447950</v>
      </c>
      <c r="F233" s="465">
        <v>30</v>
      </c>
      <c r="G233" s="466">
        <v>54054</v>
      </c>
      <c r="H233" s="467">
        <v>10959</v>
      </c>
      <c r="I233" s="289">
        <v>372398</v>
      </c>
      <c r="J233" s="289">
        <v>7075552</v>
      </c>
      <c r="K233" s="468">
        <v>365</v>
      </c>
      <c r="L233" s="289">
        <v>235658</v>
      </c>
      <c r="M233" s="464">
        <v>1003968</v>
      </c>
      <c r="N233" s="469">
        <v>6443982</v>
      </c>
    </row>
    <row r="234" spans="2:14" hidden="1">
      <c r="B234" s="485" t="s">
        <v>2328</v>
      </c>
      <c r="C234" s="463" t="s">
        <v>3348</v>
      </c>
      <c r="D234" s="463" t="s">
        <v>4496</v>
      </c>
      <c r="E234" s="464">
        <v>259853544</v>
      </c>
      <c r="F234" s="465">
        <v>30</v>
      </c>
      <c r="G234" s="466">
        <v>54054</v>
      </c>
      <c r="H234" s="467">
        <v>10959</v>
      </c>
      <c r="I234" s="289">
        <v>12992677</v>
      </c>
      <c r="J234" s="289">
        <v>246860867</v>
      </c>
      <c r="K234" s="468">
        <v>365</v>
      </c>
      <c r="L234" s="289">
        <v>8221938</v>
      </c>
      <c r="M234" s="464">
        <v>35027709</v>
      </c>
      <c r="N234" s="469">
        <v>224825835</v>
      </c>
    </row>
    <row r="235" spans="2:14" hidden="1">
      <c r="B235" s="485" t="s">
        <v>2328</v>
      </c>
      <c r="C235" s="463" t="s">
        <v>3348</v>
      </c>
      <c r="D235" s="463" t="s">
        <v>3346</v>
      </c>
      <c r="E235" s="464">
        <v>453287758</v>
      </c>
      <c r="F235" s="465">
        <v>30</v>
      </c>
      <c r="G235" s="466">
        <v>54054</v>
      </c>
      <c r="H235" s="467">
        <v>10959</v>
      </c>
      <c r="I235" s="289">
        <v>22664388</v>
      </c>
      <c r="J235" s="289">
        <v>430623370</v>
      </c>
      <c r="K235" s="468">
        <v>365</v>
      </c>
      <c r="L235" s="289">
        <v>14342324</v>
      </c>
      <c r="M235" s="464">
        <v>61102230</v>
      </c>
      <c r="N235" s="469">
        <v>392185528</v>
      </c>
    </row>
    <row r="236" spans="2:14" ht="27" hidden="1">
      <c r="B236" s="485" t="s">
        <v>2328</v>
      </c>
      <c r="C236" s="463" t="s">
        <v>3351</v>
      </c>
      <c r="D236" s="463" t="s">
        <v>4497</v>
      </c>
      <c r="E236" s="464">
        <v>13742601</v>
      </c>
      <c r="F236" s="465">
        <v>15</v>
      </c>
      <c r="G236" s="466">
        <v>48576</v>
      </c>
      <c r="H236" s="467">
        <v>5481</v>
      </c>
      <c r="I236" s="289">
        <v>687130</v>
      </c>
      <c r="J236" s="289">
        <v>13055471</v>
      </c>
      <c r="K236" s="468">
        <v>365</v>
      </c>
      <c r="L236" s="289">
        <v>869412</v>
      </c>
      <c r="M236" s="464">
        <v>3703933</v>
      </c>
      <c r="N236" s="469">
        <v>10038668</v>
      </c>
    </row>
    <row r="237" spans="2:14" hidden="1">
      <c r="B237" s="485" t="s">
        <v>2328</v>
      </c>
      <c r="C237" s="463" t="s">
        <v>3351</v>
      </c>
      <c r="D237" s="463" t="s">
        <v>4498</v>
      </c>
      <c r="E237" s="464">
        <v>3585998</v>
      </c>
      <c r="F237" s="465">
        <v>30</v>
      </c>
      <c r="G237" s="466">
        <v>54054</v>
      </c>
      <c r="H237" s="467">
        <v>10959</v>
      </c>
      <c r="I237" s="289">
        <v>179300</v>
      </c>
      <c r="J237" s="289">
        <v>3406698</v>
      </c>
      <c r="K237" s="468">
        <v>365</v>
      </c>
      <c r="L237" s="289">
        <v>113463</v>
      </c>
      <c r="M237" s="464">
        <v>483384</v>
      </c>
      <c r="N237" s="469">
        <v>3102614</v>
      </c>
    </row>
    <row r="238" spans="2:14" hidden="1">
      <c r="B238" s="485" t="s">
        <v>2328</v>
      </c>
      <c r="C238" s="463" t="s">
        <v>3351</v>
      </c>
      <c r="D238" s="463" t="s">
        <v>4499</v>
      </c>
      <c r="E238" s="464">
        <v>2613552102</v>
      </c>
      <c r="F238" s="465">
        <v>30</v>
      </c>
      <c r="G238" s="466">
        <v>54054</v>
      </c>
      <c r="H238" s="467">
        <v>10959</v>
      </c>
      <c r="I238" s="289">
        <v>130677605</v>
      </c>
      <c r="J238" s="289">
        <v>2482874497</v>
      </c>
      <c r="K238" s="468">
        <v>365</v>
      </c>
      <c r="L238" s="289">
        <v>82694515</v>
      </c>
      <c r="M238" s="464">
        <v>352301290</v>
      </c>
      <c r="N238" s="469">
        <v>2261250812</v>
      </c>
    </row>
    <row r="239" spans="2:14" hidden="1">
      <c r="B239" s="485" t="s">
        <v>2328</v>
      </c>
      <c r="C239" s="463" t="s">
        <v>3351</v>
      </c>
      <c r="D239" s="463" t="s">
        <v>4500</v>
      </c>
      <c r="E239" s="464">
        <v>476240462</v>
      </c>
      <c r="F239" s="465">
        <v>50</v>
      </c>
      <c r="G239" s="466">
        <v>61359</v>
      </c>
      <c r="H239" s="467">
        <v>18264</v>
      </c>
      <c r="I239" s="289">
        <v>23812023</v>
      </c>
      <c r="J239" s="289">
        <v>452428439</v>
      </c>
      <c r="K239" s="468">
        <v>365</v>
      </c>
      <c r="L239" s="289">
        <v>9041633</v>
      </c>
      <c r="M239" s="464">
        <v>38519833</v>
      </c>
      <c r="N239" s="469">
        <v>437720629</v>
      </c>
    </row>
    <row r="240" spans="2:14" hidden="1">
      <c r="B240" s="485" t="s">
        <v>2328</v>
      </c>
      <c r="C240" s="463" t="s">
        <v>3351</v>
      </c>
      <c r="D240" s="463" t="s">
        <v>4501</v>
      </c>
      <c r="E240" s="464">
        <v>34942504</v>
      </c>
      <c r="F240" s="465">
        <v>15</v>
      </c>
      <c r="G240" s="466">
        <v>48576</v>
      </c>
      <c r="H240" s="467">
        <v>5481</v>
      </c>
      <c r="I240" s="289">
        <v>1747125</v>
      </c>
      <c r="J240" s="289">
        <v>33195379</v>
      </c>
      <c r="K240" s="468">
        <v>365</v>
      </c>
      <c r="L240" s="289">
        <v>2210603</v>
      </c>
      <c r="M240" s="464">
        <v>9417774</v>
      </c>
      <c r="N240" s="469">
        <v>25524730</v>
      </c>
    </row>
    <row r="241" spans="2:14" ht="40.5" hidden="1">
      <c r="B241" s="485" t="s">
        <v>2328</v>
      </c>
      <c r="C241" s="463" t="s">
        <v>3328</v>
      </c>
      <c r="D241" s="463" t="s">
        <v>4502</v>
      </c>
      <c r="E241" s="464">
        <v>336165136</v>
      </c>
      <c r="F241" s="465">
        <v>30</v>
      </c>
      <c r="G241" s="466">
        <v>54054</v>
      </c>
      <c r="H241" s="467">
        <v>10959</v>
      </c>
      <c r="I241" s="289">
        <v>16808257</v>
      </c>
      <c r="J241" s="289">
        <v>319356879</v>
      </c>
      <c r="K241" s="468">
        <v>365</v>
      </c>
      <c r="L241" s="289">
        <v>10636487</v>
      </c>
      <c r="M241" s="464">
        <v>45314349</v>
      </c>
      <c r="N241" s="469">
        <v>290850787</v>
      </c>
    </row>
    <row r="242" spans="2:14" hidden="1">
      <c r="B242" s="485" t="s">
        <v>2328</v>
      </c>
      <c r="C242" s="463" t="s">
        <v>3362</v>
      </c>
      <c r="D242" s="463" t="s">
        <v>3362</v>
      </c>
      <c r="E242" s="464">
        <v>48275007</v>
      </c>
      <c r="F242" s="465">
        <v>15</v>
      </c>
      <c r="G242" s="466">
        <v>48576</v>
      </c>
      <c r="H242" s="467">
        <v>5481</v>
      </c>
      <c r="I242" s="289">
        <v>2413750</v>
      </c>
      <c r="J242" s="289">
        <v>45861257</v>
      </c>
      <c r="K242" s="468">
        <v>365</v>
      </c>
      <c r="L242" s="289">
        <v>3054070</v>
      </c>
      <c r="M242" s="464">
        <v>13011176</v>
      </c>
      <c r="N242" s="469">
        <v>35263831</v>
      </c>
    </row>
    <row r="243" spans="2:14" hidden="1">
      <c r="B243" s="485" t="s">
        <v>2328</v>
      </c>
      <c r="C243" s="463" t="s">
        <v>4253</v>
      </c>
      <c r="D243" s="463" t="s">
        <v>4254</v>
      </c>
      <c r="E243" s="464">
        <v>564388</v>
      </c>
      <c r="F243" s="465">
        <v>10</v>
      </c>
      <c r="G243" s="466">
        <v>46749</v>
      </c>
      <c r="H243" s="467">
        <v>3654</v>
      </c>
      <c r="I243" s="289">
        <v>28219</v>
      </c>
      <c r="J243" s="289">
        <v>536169</v>
      </c>
      <c r="K243" s="468">
        <v>365</v>
      </c>
      <c r="L243" s="289">
        <v>53558</v>
      </c>
      <c r="M243" s="464">
        <v>228172</v>
      </c>
      <c r="N243" s="469">
        <v>336216</v>
      </c>
    </row>
    <row r="244" spans="2:14" ht="27" hidden="1">
      <c r="B244" s="485" t="s">
        <v>2328</v>
      </c>
      <c r="C244" s="463" t="s">
        <v>4249</v>
      </c>
      <c r="D244" s="463"/>
      <c r="E244" s="464">
        <v>945933488</v>
      </c>
      <c r="F244" s="465">
        <v>50</v>
      </c>
      <c r="G244" s="466">
        <v>61359</v>
      </c>
      <c r="H244" s="467">
        <v>18264</v>
      </c>
      <c r="I244" s="289">
        <v>47296674</v>
      </c>
      <c r="J244" s="289">
        <v>898636814</v>
      </c>
      <c r="K244" s="468">
        <v>365</v>
      </c>
      <c r="L244" s="289">
        <v>17958960</v>
      </c>
      <c r="M244" s="464">
        <v>76510089</v>
      </c>
      <c r="N244" s="469">
        <v>869423399</v>
      </c>
    </row>
    <row r="245" spans="2:14" hidden="1">
      <c r="B245" s="485"/>
      <c r="C245" s="463"/>
      <c r="D245" s="463"/>
      <c r="E245" s="463"/>
      <c r="F245" s="465"/>
      <c r="G245" s="463"/>
      <c r="H245" s="463"/>
      <c r="I245" s="463"/>
      <c r="J245" s="463"/>
      <c r="K245" s="463"/>
      <c r="L245" s="463"/>
      <c r="M245" s="463"/>
      <c r="N245" s="470"/>
    </row>
    <row r="246" spans="2:14" hidden="1">
      <c r="B246" s="485" t="s">
        <v>2328</v>
      </c>
      <c r="C246" s="463" t="s">
        <v>4248</v>
      </c>
      <c r="D246" s="463" t="s">
        <v>3327</v>
      </c>
      <c r="E246" s="464">
        <v>-20399008</v>
      </c>
      <c r="F246" s="465">
        <v>15</v>
      </c>
      <c r="G246" s="466">
        <v>48576</v>
      </c>
      <c r="H246" s="467">
        <v>5481</v>
      </c>
      <c r="I246" s="289">
        <v>-1019950</v>
      </c>
      <c r="J246" s="289">
        <v>-19379058</v>
      </c>
      <c r="K246" s="468">
        <v>365</v>
      </c>
      <c r="L246" s="289">
        <v>-1290523</v>
      </c>
      <c r="M246" s="464">
        <v>-5497982</v>
      </c>
      <c r="N246" s="469">
        <v>-14901026</v>
      </c>
    </row>
    <row r="247" spans="2:14" hidden="1">
      <c r="B247" s="485" t="s">
        <v>2328</v>
      </c>
      <c r="C247" s="463" t="s">
        <v>3334</v>
      </c>
      <c r="D247" s="463"/>
      <c r="E247" s="464">
        <v>8800950</v>
      </c>
      <c r="F247" s="465">
        <v>30</v>
      </c>
      <c r="G247" s="466">
        <v>54054</v>
      </c>
      <c r="H247" s="467">
        <v>10959</v>
      </c>
      <c r="I247" s="289">
        <v>440048</v>
      </c>
      <c r="J247" s="289">
        <v>8360902</v>
      </c>
      <c r="K247" s="468">
        <v>365</v>
      </c>
      <c r="L247" s="289">
        <v>278468</v>
      </c>
      <c r="M247" s="464">
        <v>1186350</v>
      </c>
      <c r="N247" s="469">
        <v>7614600</v>
      </c>
    </row>
    <row r="248" spans="2:14" hidden="1">
      <c r="B248" s="485" t="s">
        <v>2328</v>
      </c>
      <c r="C248" s="463" t="s">
        <v>3335</v>
      </c>
      <c r="D248" s="463"/>
      <c r="E248" s="464">
        <v>8222799</v>
      </c>
      <c r="F248" s="465">
        <v>30</v>
      </c>
      <c r="G248" s="466">
        <v>54054</v>
      </c>
      <c r="H248" s="467">
        <v>10959</v>
      </c>
      <c r="I248" s="289">
        <v>411140</v>
      </c>
      <c r="J248" s="289">
        <v>7811659</v>
      </c>
      <c r="K248" s="468">
        <v>365</v>
      </c>
      <c r="L248" s="289">
        <v>260175</v>
      </c>
      <c r="M248" s="464">
        <v>1108417</v>
      </c>
      <c r="N248" s="469">
        <v>7114382</v>
      </c>
    </row>
    <row r="249" spans="2:14" hidden="1">
      <c r="B249" s="485" t="s">
        <v>2328</v>
      </c>
      <c r="C249" s="463" t="s">
        <v>3334</v>
      </c>
      <c r="D249" s="463"/>
      <c r="E249" s="464">
        <v>106794616</v>
      </c>
      <c r="F249" s="465">
        <v>30</v>
      </c>
      <c r="G249" s="466">
        <v>54054</v>
      </c>
      <c r="H249" s="467">
        <v>10959</v>
      </c>
      <c r="I249" s="289">
        <v>5339731</v>
      </c>
      <c r="J249" s="289">
        <v>101454885</v>
      </c>
      <c r="K249" s="468">
        <v>365</v>
      </c>
      <c r="L249" s="289">
        <v>3379052</v>
      </c>
      <c r="M249" s="464">
        <v>14395688</v>
      </c>
      <c r="N249" s="469">
        <v>92398928</v>
      </c>
    </row>
    <row r="250" spans="2:14" hidden="1">
      <c r="B250" s="485" t="s">
        <v>2328</v>
      </c>
      <c r="C250" s="463" t="s">
        <v>3336</v>
      </c>
      <c r="D250" s="463"/>
      <c r="E250" s="464">
        <v>9119333</v>
      </c>
      <c r="F250" s="465">
        <v>30</v>
      </c>
      <c r="G250" s="466">
        <v>54054</v>
      </c>
      <c r="H250" s="467">
        <v>10959</v>
      </c>
      <c r="I250" s="289">
        <v>455967</v>
      </c>
      <c r="J250" s="289">
        <v>8663366</v>
      </c>
      <c r="K250" s="468">
        <v>365</v>
      </c>
      <c r="L250" s="289">
        <v>288542</v>
      </c>
      <c r="M250" s="464">
        <v>1229267</v>
      </c>
      <c r="N250" s="469">
        <v>7890066</v>
      </c>
    </row>
    <row r="251" spans="2:14" hidden="1">
      <c r="B251" s="485" t="s">
        <v>2328</v>
      </c>
      <c r="C251" s="463" t="s">
        <v>3730</v>
      </c>
      <c r="D251" s="463"/>
      <c r="E251" s="464">
        <v>45370782</v>
      </c>
      <c r="F251" s="465">
        <v>3</v>
      </c>
      <c r="G251" s="466">
        <v>44193</v>
      </c>
      <c r="H251" s="467">
        <v>1098</v>
      </c>
      <c r="I251" s="289">
        <v>2268539</v>
      </c>
      <c r="J251" s="289">
        <v>43102243</v>
      </c>
      <c r="K251" s="471">
        <v>0</v>
      </c>
      <c r="L251" s="289">
        <v>0</v>
      </c>
      <c r="M251" s="464">
        <v>45370782</v>
      </c>
      <c r="N251" s="469">
        <v>0</v>
      </c>
    </row>
    <row r="252" spans="2:14" hidden="1">
      <c r="B252" s="485"/>
      <c r="C252" s="463"/>
      <c r="D252" s="463"/>
      <c r="E252" s="463"/>
      <c r="F252" s="465"/>
      <c r="G252" s="466"/>
      <c r="H252" s="467"/>
      <c r="I252" s="289"/>
      <c r="J252" s="289"/>
      <c r="K252" s="468"/>
      <c r="L252" s="289"/>
      <c r="M252" s="464"/>
      <c r="N252" s="469"/>
    </row>
    <row r="253" spans="2:14" hidden="1">
      <c r="B253" s="485" t="s">
        <v>2328</v>
      </c>
      <c r="C253" s="463" t="s">
        <v>3719</v>
      </c>
      <c r="D253" s="463"/>
      <c r="E253" s="464">
        <v>22761769</v>
      </c>
      <c r="F253" s="465">
        <v>30</v>
      </c>
      <c r="G253" s="466">
        <v>54054</v>
      </c>
      <c r="H253" s="467">
        <v>10959</v>
      </c>
      <c r="I253" s="289">
        <v>1138088</v>
      </c>
      <c r="J253" s="289">
        <v>21623681</v>
      </c>
      <c r="K253" s="468">
        <v>365</v>
      </c>
      <c r="L253" s="289">
        <v>720197</v>
      </c>
      <c r="M253" s="464">
        <v>3068238</v>
      </c>
      <c r="N253" s="469">
        <v>19693531</v>
      </c>
    </row>
    <row r="254" spans="2:14" hidden="1">
      <c r="B254" s="485" t="s">
        <v>2328</v>
      </c>
      <c r="C254" s="463" t="s">
        <v>3337</v>
      </c>
      <c r="D254" s="463"/>
      <c r="E254" s="464">
        <v>42346941</v>
      </c>
      <c r="F254" s="465">
        <v>30</v>
      </c>
      <c r="G254" s="466">
        <v>54054</v>
      </c>
      <c r="H254" s="467">
        <v>10959</v>
      </c>
      <c r="I254" s="289">
        <v>2117347</v>
      </c>
      <c r="J254" s="289">
        <v>40229594</v>
      </c>
      <c r="K254" s="468">
        <v>365</v>
      </c>
      <c r="L254" s="289">
        <v>1339885</v>
      </c>
      <c r="M254" s="464">
        <v>5708277</v>
      </c>
      <c r="N254" s="469">
        <v>36638664</v>
      </c>
    </row>
    <row r="255" spans="2:14" hidden="1">
      <c r="B255" s="485" t="s">
        <v>2328</v>
      </c>
      <c r="C255" s="463" t="s">
        <v>3351</v>
      </c>
      <c r="D255" s="463"/>
      <c r="E255" s="464">
        <v>41053667</v>
      </c>
      <c r="F255" s="465">
        <v>30</v>
      </c>
      <c r="G255" s="466">
        <v>54054</v>
      </c>
      <c r="H255" s="467">
        <v>10959</v>
      </c>
      <c r="I255" s="289">
        <v>2052683</v>
      </c>
      <c r="J255" s="289">
        <v>39000984</v>
      </c>
      <c r="K255" s="468">
        <v>365</v>
      </c>
      <c r="L255" s="289">
        <v>1298965</v>
      </c>
      <c r="M255" s="464">
        <v>5533947</v>
      </c>
      <c r="N255" s="469">
        <v>35519720</v>
      </c>
    </row>
    <row r="256" spans="2:14" hidden="1">
      <c r="B256" s="485"/>
      <c r="C256" s="463"/>
      <c r="D256" s="463"/>
      <c r="E256" s="463"/>
      <c r="F256" s="465"/>
      <c r="G256" s="466"/>
      <c r="H256" s="467"/>
      <c r="I256" s="289"/>
      <c r="J256" s="289"/>
      <c r="K256" s="468"/>
      <c r="L256" s="289"/>
      <c r="M256" s="464"/>
      <c r="N256" s="469"/>
    </row>
    <row r="257" spans="2:14" hidden="1">
      <c r="B257" s="485" t="s">
        <v>2328</v>
      </c>
      <c r="C257" s="463" t="s">
        <v>3337</v>
      </c>
      <c r="D257" s="463"/>
      <c r="E257" s="464">
        <v>240640</v>
      </c>
      <c r="F257" s="465">
        <v>30</v>
      </c>
      <c r="G257" s="466">
        <v>54054</v>
      </c>
      <c r="H257" s="467">
        <v>10959</v>
      </c>
      <c r="I257" s="289">
        <v>12032</v>
      </c>
      <c r="J257" s="289">
        <v>228608</v>
      </c>
      <c r="K257" s="468">
        <v>365</v>
      </c>
      <c r="L257" s="289">
        <v>7614</v>
      </c>
      <c r="M257" s="464">
        <v>32438</v>
      </c>
      <c r="N257" s="469">
        <v>208202</v>
      </c>
    </row>
    <row r="258" spans="2:14" hidden="1">
      <c r="B258" s="485" t="s">
        <v>2328</v>
      </c>
      <c r="C258" s="463" t="s">
        <v>2613</v>
      </c>
      <c r="D258" s="463"/>
      <c r="E258" s="464">
        <v>51577</v>
      </c>
      <c r="F258" s="465">
        <v>3</v>
      </c>
      <c r="G258" s="466">
        <v>44193</v>
      </c>
      <c r="H258" s="467">
        <v>1098</v>
      </c>
      <c r="I258" s="289">
        <v>2579</v>
      </c>
      <c r="J258" s="289">
        <v>48998</v>
      </c>
      <c r="K258" s="471">
        <v>0</v>
      </c>
      <c r="L258" s="289">
        <v>0</v>
      </c>
      <c r="M258" s="464">
        <v>51577</v>
      </c>
      <c r="N258" s="469">
        <v>0</v>
      </c>
    </row>
    <row r="259" spans="2:14" hidden="1">
      <c r="B259" s="485"/>
      <c r="C259" s="463"/>
      <c r="D259" s="463"/>
      <c r="E259" s="463"/>
      <c r="F259" s="465"/>
      <c r="G259" s="466"/>
      <c r="H259" s="467"/>
      <c r="I259" s="289"/>
      <c r="J259" s="289"/>
      <c r="K259" s="468"/>
      <c r="L259" s="289"/>
      <c r="M259" s="464"/>
      <c r="N259" s="469"/>
    </row>
    <row r="260" spans="2:14" hidden="1">
      <c r="B260" s="485"/>
      <c r="C260" s="463"/>
      <c r="D260" s="463"/>
      <c r="E260" s="463"/>
      <c r="F260" s="465"/>
      <c r="G260" s="463"/>
      <c r="H260" s="463"/>
      <c r="I260" s="463"/>
      <c r="J260" s="463"/>
      <c r="K260" s="463"/>
      <c r="L260" s="463"/>
      <c r="M260" s="463"/>
      <c r="N260" s="470"/>
    </row>
    <row r="261" spans="2:14" ht="14.25" hidden="1">
      <c r="B261" s="485"/>
      <c r="C261" s="472" t="s">
        <v>1837</v>
      </c>
      <c r="D261" s="473"/>
      <c r="E261" s="474">
        <f t="shared" ref="E261" si="9">+SUBTOTAL(9,E229:E260)</f>
        <v>5618178808</v>
      </c>
      <c r="F261" s="465"/>
      <c r="G261" s="463"/>
      <c r="H261" s="463"/>
      <c r="I261" s="463"/>
      <c r="J261" s="463"/>
      <c r="K261" s="463"/>
      <c r="L261" s="475">
        <f>+SUBTOTAL(9,L229:L260)</f>
        <v>164196931</v>
      </c>
      <c r="M261" s="475">
        <f>+SUBTOTAL(9,M229:M260)</f>
        <v>744946276</v>
      </c>
      <c r="N261" s="476">
        <f>+SUBTOTAL(9,N229:N260)</f>
        <v>4873232532</v>
      </c>
    </row>
    <row r="262" spans="2:14" hidden="1">
      <c r="B262" s="485"/>
      <c r="C262" s="463"/>
      <c r="D262" s="463"/>
      <c r="E262" s="463"/>
      <c r="F262" s="465"/>
      <c r="G262" s="463"/>
      <c r="H262" s="463"/>
      <c r="I262" s="463"/>
      <c r="J262" s="463"/>
      <c r="K262" s="463"/>
      <c r="L262" s="464"/>
      <c r="M262" s="464"/>
      <c r="N262" s="478"/>
    </row>
    <row r="263" spans="2:14" ht="14.25" hidden="1">
      <c r="B263" s="477" t="s">
        <v>2330</v>
      </c>
      <c r="C263" s="463"/>
      <c r="D263" s="463"/>
      <c r="E263" s="463"/>
      <c r="F263" s="465"/>
      <c r="G263" s="463"/>
      <c r="H263" s="463"/>
      <c r="I263" s="463"/>
      <c r="J263" s="463"/>
      <c r="K263" s="463"/>
      <c r="L263" s="463"/>
      <c r="M263" s="463"/>
      <c r="N263" s="470"/>
    </row>
    <row r="264" spans="2:14" hidden="1">
      <c r="B264" s="485" t="s">
        <v>2330</v>
      </c>
      <c r="C264" s="463" t="s">
        <v>4164</v>
      </c>
      <c r="D264" s="463" t="s">
        <v>4503</v>
      </c>
      <c r="E264" s="464">
        <v>29841908</v>
      </c>
      <c r="F264" s="465">
        <v>25</v>
      </c>
      <c r="G264" s="466">
        <v>52228</v>
      </c>
      <c r="H264" s="467">
        <v>9133</v>
      </c>
      <c r="I264" s="289">
        <v>1492095</v>
      </c>
      <c r="J264" s="289">
        <v>28349813</v>
      </c>
      <c r="K264" s="468">
        <v>365</v>
      </c>
      <c r="L264" s="289">
        <v>1132999</v>
      </c>
      <c r="M264" s="464">
        <v>4826886</v>
      </c>
      <c r="N264" s="469">
        <v>25015022</v>
      </c>
    </row>
    <row r="265" spans="2:14" hidden="1">
      <c r="B265" s="485" t="s">
        <v>2330</v>
      </c>
      <c r="C265" s="463" t="s">
        <v>4164</v>
      </c>
      <c r="D265" s="463" t="s">
        <v>3383</v>
      </c>
      <c r="E265" s="464">
        <v>38977344</v>
      </c>
      <c r="F265" s="465">
        <v>25</v>
      </c>
      <c r="G265" s="466">
        <v>52228</v>
      </c>
      <c r="H265" s="467">
        <v>9133</v>
      </c>
      <c r="I265" s="289">
        <v>1948867</v>
      </c>
      <c r="J265" s="289">
        <v>37028477</v>
      </c>
      <c r="K265" s="468">
        <v>365</v>
      </c>
      <c r="L265" s="289">
        <v>1479842</v>
      </c>
      <c r="M265" s="464">
        <v>6304532</v>
      </c>
      <c r="N265" s="469">
        <v>32672812</v>
      </c>
    </row>
    <row r="266" spans="2:14" hidden="1">
      <c r="B266" s="485" t="s">
        <v>2330</v>
      </c>
      <c r="C266" s="463" t="s">
        <v>3694</v>
      </c>
      <c r="D266" s="463" t="s">
        <v>3222</v>
      </c>
      <c r="E266" s="464">
        <v>99030876</v>
      </c>
      <c r="F266" s="465">
        <v>25</v>
      </c>
      <c r="G266" s="466">
        <v>52228</v>
      </c>
      <c r="H266" s="467">
        <v>9133</v>
      </c>
      <c r="I266" s="289">
        <v>4951544</v>
      </c>
      <c r="J266" s="289">
        <v>94079332</v>
      </c>
      <c r="K266" s="468">
        <v>365</v>
      </c>
      <c r="L266" s="289">
        <v>3759877</v>
      </c>
      <c r="M266" s="464">
        <v>16018106</v>
      </c>
      <c r="N266" s="469">
        <v>83012770</v>
      </c>
    </row>
    <row r="267" spans="2:14" ht="67.5" hidden="1">
      <c r="B267" s="485" t="s">
        <v>2330</v>
      </c>
      <c r="C267" s="463" t="s">
        <v>3389</v>
      </c>
      <c r="D267" s="463" t="s">
        <v>4504</v>
      </c>
      <c r="E267" s="464">
        <v>1020876959</v>
      </c>
      <c r="F267" s="465">
        <v>30</v>
      </c>
      <c r="G267" s="466">
        <v>54054</v>
      </c>
      <c r="H267" s="467">
        <v>10959</v>
      </c>
      <c r="I267" s="289">
        <v>51043848</v>
      </c>
      <c r="J267" s="289">
        <v>969833111</v>
      </c>
      <c r="K267" s="468">
        <v>365</v>
      </c>
      <c r="L267" s="289">
        <v>32301221</v>
      </c>
      <c r="M267" s="464">
        <v>137612052</v>
      </c>
      <c r="N267" s="469">
        <v>883264907</v>
      </c>
    </row>
    <row r="268" spans="2:14" ht="67.5" hidden="1">
      <c r="B268" s="485" t="s">
        <v>2330</v>
      </c>
      <c r="C268" s="463" t="s">
        <v>3389</v>
      </c>
      <c r="D268" s="463" t="s">
        <v>4505</v>
      </c>
      <c r="E268" s="464">
        <v>411432374</v>
      </c>
      <c r="F268" s="465">
        <v>30</v>
      </c>
      <c r="G268" s="466">
        <v>54054</v>
      </c>
      <c r="H268" s="467">
        <v>10959</v>
      </c>
      <c r="I268" s="289">
        <v>20571619</v>
      </c>
      <c r="J268" s="289">
        <v>390860755</v>
      </c>
      <c r="K268" s="468">
        <v>365</v>
      </c>
      <c r="L268" s="289">
        <v>13017992</v>
      </c>
      <c r="M268" s="464">
        <v>55460213</v>
      </c>
      <c r="N268" s="469">
        <v>355972161</v>
      </c>
    </row>
    <row r="269" spans="2:14" hidden="1">
      <c r="B269" s="485" t="s">
        <v>2330</v>
      </c>
      <c r="C269" s="463" t="s">
        <v>3402</v>
      </c>
      <c r="D269" s="463" t="s">
        <v>4142</v>
      </c>
      <c r="E269" s="464">
        <v>16315354</v>
      </c>
      <c r="F269" s="465">
        <v>15</v>
      </c>
      <c r="G269" s="466">
        <v>48576</v>
      </c>
      <c r="H269" s="467">
        <v>5481</v>
      </c>
      <c r="I269" s="289">
        <v>815768</v>
      </c>
      <c r="J269" s="289">
        <v>15499586</v>
      </c>
      <c r="K269" s="468">
        <v>365</v>
      </c>
      <c r="L269" s="289">
        <v>1032175</v>
      </c>
      <c r="M269" s="464">
        <v>4397347</v>
      </c>
      <c r="N269" s="469">
        <v>11918007</v>
      </c>
    </row>
    <row r="270" spans="2:14" hidden="1">
      <c r="B270" s="485" t="s">
        <v>2330</v>
      </c>
      <c r="C270" s="463" t="s">
        <v>3402</v>
      </c>
      <c r="D270" s="463" t="s">
        <v>4506</v>
      </c>
      <c r="E270" s="464">
        <v>14299243</v>
      </c>
      <c r="F270" s="465">
        <v>20</v>
      </c>
      <c r="G270" s="466">
        <v>50402</v>
      </c>
      <c r="H270" s="467">
        <v>7307</v>
      </c>
      <c r="I270" s="289">
        <v>714962</v>
      </c>
      <c r="J270" s="289">
        <v>13584281</v>
      </c>
      <c r="K270" s="468">
        <v>365</v>
      </c>
      <c r="L270" s="289">
        <v>678563</v>
      </c>
      <c r="M270" s="464">
        <v>2890864</v>
      </c>
      <c r="N270" s="469">
        <v>11408379</v>
      </c>
    </row>
    <row r="271" spans="2:14" hidden="1">
      <c r="B271" s="485" t="s">
        <v>2330</v>
      </c>
      <c r="C271" s="463" t="s">
        <v>3402</v>
      </c>
      <c r="D271" s="463" t="s">
        <v>4143</v>
      </c>
      <c r="E271" s="464">
        <v>65221782</v>
      </c>
      <c r="F271" s="465">
        <v>20</v>
      </c>
      <c r="G271" s="466">
        <v>50402</v>
      </c>
      <c r="H271" s="467">
        <v>7307</v>
      </c>
      <c r="I271" s="289">
        <v>3261089</v>
      </c>
      <c r="J271" s="289">
        <v>61960693</v>
      </c>
      <c r="K271" s="468">
        <v>365</v>
      </c>
      <c r="L271" s="289">
        <v>3095067</v>
      </c>
      <c r="M271" s="464">
        <v>13185833</v>
      </c>
      <c r="N271" s="469">
        <v>52035949</v>
      </c>
    </row>
    <row r="272" spans="2:14" ht="27" hidden="1">
      <c r="B272" s="485" t="s">
        <v>2330</v>
      </c>
      <c r="C272" s="463" t="s">
        <v>3402</v>
      </c>
      <c r="D272" s="463" t="s">
        <v>4507</v>
      </c>
      <c r="E272" s="464">
        <v>43367301</v>
      </c>
      <c r="F272" s="465">
        <v>15</v>
      </c>
      <c r="G272" s="466">
        <v>48576</v>
      </c>
      <c r="H272" s="467">
        <v>5481</v>
      </c>
      <c r="I272" s="289">
        <v>2168365</v>
      </c>
      <c r="J272" s="289">
        <v>41198936</v>
      </c>
      <c r="K272" s="468">
        <v>365</v>
      </c>
      <c r="L272" s="289">
        <v>2743589</v>
      </c>
      <c r="M272" s="464">
        <v>11688441</v>
      </c>
      <c r="N272" s="469">
        <v>31678860</v>
      </c>
    </row>
    <row r="273" spans="2:14" hidden="1">
      <c r="B273" s="485" t="s">
        <v>2330</v>
      </c>
      <c r="C273" s="463" t="s">
        <v>3402</v>
      </c>
      <c r="D273" s="463" t="s">
        <v>3402</v>
      </c>
      <c r="E273" s="464">
        <v>28572569</v>
      </c>
      <c r="F273" s="465">
        <v>20</v>
      </c>
      <c r="G273" s="466">
        <v>50402</v>
      </c>
      <c r="H273" s="467">
        <v>7307</v>
      </c>
      <c r="I273" s="289">
        <v>1428628</v>
      </c>
      <c r="J273" s="289">
        <v>27143941</v>
      </c>
      <c r="K273" s="468">
        <v>365</v>
      </c>
      <c r="L273" s="289">
        <v>1355897</v>
      </c>
      <c r="M273" s="464">
        <v>5776493</v>
      </c>
      <c r="N273" s="469">
        <v>22796076</v>
      </c>
    </row>
    <row r="274" spans="2:14" ht="27" hidden="1">
      <c r="B274" s="485" t="s">
        <v>2330</v>
      </c>
      <c r="C274" s="463" t="s">
        <v>3402</v>
      </c>
      <c r="D274" s="463" t="s">
        <v>4508</v>
      </c>
      <c r="E274" s="464">
        <v>46329728</v>
      </c>
      <c r="F274" s="465">
        <v>15</v>
      </c>
      <c r="G274" s="466">
        <v>48576</v>
      </c>
      <c r="H274" s="467">
        <v>5481</v>
      </c>
      <c r="I274" s="289">
        <v>2316486</v>
      </c>
      <c r="J274" s="289">
        <v>44013242</v>
      </c>
      <c r="K274" s="468">
        <v>365</v>
      </c>
      <c r="L274" s="289">
        <v>2931004</v>
      </c>
      <c r="M274" s="464">
        <v>12486880</v>
      </c>
      <c r="N274" s="469">
        <v>33842848</v>
      </c>
    </row>
    <row r="275" spans="2:14" ht="40.5" hidden="1">
      <c r="B275" s="485" t="s">
        <v>2330</v>
      </c>
      <c r="C275" s="463" t="s">
        <v>3402</v>
      </c>
      <c r="D275" s="463" t="s">
        <v>4207</v>
      </c>
      <c r="E275" s="464">
        <v>59390802</v>
      </c>
      <c r="F275" s="465">
        <v>20</v>
      </c>
      <c r="G275" s="466">
        <v>50402</v>
      </c>
      <c r="H275" s="467">
        <v>7307</v>
      </c>
      <c r="I275" s="289">
        <v>2969540</v>
      </c>
      <c r="J275" s="289">
        <v>56421262</v>
      </c>
      <c r="K275" s="468">
        <v>365</v>
      </c>
      <c r="L275" s="289">
        <v>2818361</v>
      </c>
      <c r="M275" s="464">
        <v>12006989</v>
      </c>
      <c r="N275" s="469">
        <v>47383813</v>
      </c>
    </row>
    <row r="276" spans="2:14" ht="27" hidden="1">
      <c r="B276" s="485" t="s">
        <v>2330</v>
      </c>
      <c r="C276" s="463" t="s">
        <v>3402</v>
      </c>
      <c r="D276" s="463" t="s">
        <v>4208</v>
      </c>
      <c r="E276" s="464">
        <v>48641950</v>
      </c>
      <c r="F276" s="465">
        <v>20</v>
      </c>
      <c r="G276" s="466">
        <v>50402</v>
      </c>
      <c r="H276" s="467">
        <v>7307</v>
      </c>
      <c r="I276" s="289">
        <v>2432098</v>
      </c>
      <c r="J276" s="289">
        <v>46209852</v>
      </c>
      <c r="K276" s="468">
        <v>365</v>
      </c>
      <c r="L276" s="289">
        <v>2308279</v>
      </c>
      <c r="M276" s="464">
        <v>9833901</v>
      </c>
      <c r="N276" s="469">
        <v>38808049</v>
      </c>
    </row>
    <row r="277" spans="2:14" hidden="1">
      <c r="B277" s="485" t="s">
        <v>2330</v>
      </c>
      <c r="C277" s="463" t="s">
        <v>3402</v>
      </c>
      <c r="D277" s="463" t="s">
        <v>4209</v>
      </c>
      <c r="E277" s="464">
        <v>26861734</v>
      </c>
      <c r="F277" s="465">
        <v>20</v>
      </c>
      <c r="G277" s="466">
        <v>50402</v>
      </c>
      <c r="H277" s="467">
        <v>7307</v>
      </c>
      <c r="I277" s="289">
        <v>1343087</v>
      </c>
      <c r="J277" s="289">
        <v>25518647</v>
      </c>
      <c r="K277" s="468">
        <v>365</v>
      </c>
      <c r="L277" s="289">
        <v>1274710</v>
      </c>
      <c r="M277" s="464">
        <v>5430613</v>
      </c>
      <c r="N277" s="469">
        <v>21431121</v>
      </c>
    </row>
    <row r="278" spans="2:14" ht="27" hidden="1">
      <c r="B278" s="485" t="s">
        <v>2330</v>
      </c>
      <c r="C278" s="463" t="s">
        <v>3402</v>
      </c>
      <c r="D278" s="463" t="s">
        <v>4236</v>
      </c>
      <c r="E278" s="464">
        <v>30626664</v>
      </c>
      <c r="F278" s="465">
        <v>20</v>
      </c>
      <c r="G278" s="466">
        <v>50402</v>
      </c>
      <c r="H278" s="467">
        <v>7307</v>
      </c>
      <c r="I278" s="289">
        <v>1531333</v>
      </c>
      <c r="J278" s="289">
        <v>29095331</v>
      </c>
      <c r="K278" s="468">
        <v>365</v>
      </c>
      <c r="L278" s="289">
        <v>1453373</v>
      </c>
      <c r="M278" s="464">
        <v>6191767</v>
      </c>
      <c r="N278" s="469">
        <v>24434897</v>
      </c>
    </row>
    <row r="279" spans="2:14" hidden="1">
      <c r="B279" s="485" t="s">
        <v>2330</v>
      </c>
      <c r="C279" s="463" t="s">
        <v>4509</v>
      </c>
      <c r="D279" s="463" t="s">
        <v>4509</v>
      </c>
      <c r="E279" s="464">
        <v>72035365</v>
      </c>
      <c r="F279" s="465">
        <v>20</v>
      </c>
      <c r="G279" s="466">
        <v>50402</v>
      </c>
      <c r="H279" s="467">
        <v>7307</v>
      </c>
      <c r="I279" s="289">
        <v>3601768</v>
      </c>
      <c r="J279" s="289">
        <v>68433597</v>
      </c>
      <c r="K279" s="468">
        <v>365</v>
      </c>
      <c r="L279" s="289">
        <v>3418402</v>
      </c>
      <c r="M279" s="464">
        <v>14563329</v>
      </c>
      <c r="N279" s="469">
        <v>57472036</v>
      </c>
    </row>
    <row r="280" spans="2:14" hidden="1">
      <c r="B280" s="485"/>
      <c r="C280" s="463"/>
      <c r="D280" s="463"/>
      <c r="E280" s="463"/>
      <c r="F280" s="465"/>
      <c r="G280" s="463"/>
      <c r="H280" s="463"/>
      <c r="I280" s="463"/>
      <c r="J280" s="463"/>
      <c r="K280" s="463"/>
      <c r="L280" s="463"/>
      <c r="M280" s="463"/>
      <c r="N280" s="470"/>
    </row>
    <row r="281" spans="2:14" hidden="1">
      <c r="B281" s="485" t="s">
        <v>2330</v>
      </c>
      <c r="C281" s="463" t="s">
        <v>3391</v>
      </c>
      <c r="D281" s="463"/>
      <c r="E281" s="464">
        <v>-2498435</v>
      </c>
      <c r="F281" s="465">
        <v>15</v>
      </c>
      <c r="G281" s="466">
        <v>48576</v>
      </c>
      <c r="H281" s="467">
        <v>5481</v>
      </c>
      <c r="I281" s="289">
        <v>-124922</v>
      </c>
      <c r="J281" s="289">
        <v>-2373513</v>
      </c>
      <c r="K281" s="468">
        <v>365</v>
      </c>
      <c r="L281" s="289">
        <v>-158061</v>
      </c>
      <c r="M281" s="464">
        <v>-673383</v>
      </c>
      <c r="N281" s="469">
        <v>-1825052</v>
      </c>
    </row>
    <row r="282" spans="2:14" hidden="1">
      <c r="B282" s="485" t="s">
        <v>2330</v>
      </c>
      <c r="C282" s="463" t="s">
        <v>3392</v>
      </c>
      <c r="D282" s="463"/>
      <c r="E282" s="464">
        <v>142065998</v>
      </c>
      <c r="F282" s="465">
        <v>30</v>
      </c>
      <c r="G282" s="466">
        <v>54054</v>
      </c>
      <c r="H282" s="467">
        <v>10959</v>
      </c>
      <c r="I282" s="289">
        <v>7103300</v>
      </c>
      <c r="J282" s="289">
        <v>134962698</v>
      </c>
      <c r="K282" s="468">
        <v>365</v>
      </c>
      <c r="L282" s="289">
        <v>4495062</v>
      </c>
      <c r="M282" s="464">
        <v>19150195</v>
      </c>
      <c r="N282" s="469">
        <v>122915803</v>
      </c>
    </row>
    <row r="283" spans="2:14" hidden="1">
      <c r="B283" s="485" t="s">
        <v>2330</v>
      </c>
      <c r="C283" s="463" t="s">
        <v>3393</v>
      </c>
      <c r="D283" s="463"/>
      <c r="E283" s="464">
        <v>81218935</v>
      </c>
      <c r="F283" s="465">
        <v>30</v>
      </c>
      <c r="G283" s="466">
        <v>54054</v>
      </c>
      <c r="H283" s="467">
        <v>10959</v>
      </c>
      <c r="I283" s="289">
        <v>4060947</v>
      </c>
      <c r="J283" s="289">
        <v>77157988</v>
      </c>
      <c r="K283" s="468">
        <v>365</v>
      </c>
      <c r="L283" s="289">
        <v>2569821</v>
      </c>
      <c r="M283" s="464">
        <v>10948141</v>
      </c>
      <c r="N283" s="469">
        <v>70270794</v>
      </c>
    </row>
    <row r="284" spans="2:14" ht="27" hidden="1">
      <c r="B284" s="485" t="s">
        <v>2330</v>
      </c>
      <c r="C284" s="463" t="s">
        <v>3394</v>
      </c>
      <c r="D284" s="463"/>
      <c r="E284" s="464">
        <v>134637569</v>
      </c>
      <c r="F284" s="465">
        <v>20</v>
      </c>
      <c r="G284" s="466">
        <v>50402</v>
      </c>
      <c r="H284" s="467">
        <v>7307</v>
      </c>
      <c r="I284" s="289">
        <v>6731878</v>
      </c>
      <c r="J284" s="289">
        <v>127905691</v>
      </c>
      <c r="K284" s="468">
        <v>365</v>
      </c>
      <c r="L284" s="289">
        <v>6389158</v>
      </c>
      <c r="M284" s="464">
        <v>27219564</v>
      </c>
      <c r="N284" s="469">
        <v>107418005</v>
      </c>
    </row>
    <row r="285" spans="2:14" ht="27" hidden="1">
      <c r="B285" s="485" t="s">
        <v>2330</v>
      </c>
      <c r="C285" s="463" t="s">
        <v>3395</v>
      </c>
      <c r="D285" s="463"/>
      <c r="E285" s="464">
        <v>53621914</v>
      </c>
      <c r="F285" s="465">
        <v>30</v>
      </c>
      <c r="G285" s="466">
        <v>54054</v>
      </c>
      <c r="H285" s="467">
        <v>10959</v>
      </c>
      <c r="I285" s="289">
        <v>2681096</v>
      </c>
      <c r="J285" s="289">
        <v>50940818</v>
      </c>
      <c r="K285" s="468">
        <v>365</v>
      </c>
      <c r="L285" s="289">
        <v>1696633</v>
      </c>
      <c r="M285" s="464">
        <v>7228121</v>
      </c>
      <c r="N285" s="469">
        <v>46393793</v>
      </c>
    </row>
    <row r="286" spans="2:14" hidden="1">
      <c r="B286" s="485" t="s">
        <v>2330</v>
      </c>
      <c r="C286" s="463" t="s">
        <v>3396</v>
      </c>
      <c r="D286" s="463"/>
      <c r="E286" s="464">
        <v>-67277349</v>
      </c>
      <c r="F286" s="465">
        <v>10</v>
      </c>
      <c r="G286" s="466">
        <v>46749</v>
      </c>
      <c r="H286" s="467">
        <v>3654</v>
      </c>
      <c r="I286" s="289">
        <v>-3363867</v>
      </c>
      <c r="J286" s="289">
        <v>-63913482</v>
      </c>
      <c r="K286" s="468">
        <v>365</v>
      </c>
      <c r="L286" s="289">
        <v>-6384352</v>
      </c>
      <c r="M286" s="464">
        <v>-27199088</v>
      </c>
      <c r="N286" s="469">
        <v>-40078261</v>
      </c>
    </row>
    <row r="287" spans="2:14" hidden="1">
      <c r="B287" s="485" t="s">
        <v>2330</v>
      </c>
      <c r="C287" s="463" t="s">
        <v>3397</v>
      </c>
      <c r="D287" s="463"/>
      <c r="E287" s="464">
        <v>-8800078</v>
      </c>
      <c r="F287" s="465">
        <v>8</v>
      </c>
      <c r="G287" s="466">
        <v>46019</v>
      </c>
      <c r="H287" s="467">
        <v>2924</v>
      </c>
      <c r="I287" s="289">
        <v>-440004</v>
      </c>
      <c r="J287" s="289">
        <v>-8360074</v>
      </c>
      <c r="K287" s="468">
        <v>365</v>
      </c>
      <c r="L287" s="289">
        <v>-1043580</v>
      </c>
      <c r="M287" s="464">
        <v>-4445937</v>
      </c>
      <c r="N287" s="469">
        <v>-4354141</v>
      </c>
    </row>
    <row r="288" spans="2:14" hidden="1">
      <c r="B288" s="485" t="s">
        <v>2330</v>
      </c>
      <c r="C288" s="463" t="s">
        <v>3398</v>
      </c>
      <c r="D288" s="463"/>
      <c r="E288" s="464">
        <v>105974345</v>
      </c>
      <c r="F288" s="465">
        <v>5</v>
      </c>
      <c r="G288" s="466">
        <v>44923</v>
      </c>
      <c r="H288" s="467">
        <v>1828</v>
      </c>
      <c r="I288" s="289">
        <v>5298717</v>
      </c>
      <c r="J288" s="289">
        <v>100675628</v>
      </c>
      <c r="K288" s="468">
        <v>365</v>
      </c>
      <c r="L288" s="289">
        <v>20102081</v>
      </c>
      <c r="M288" s="464">
        <v>85640372</v>
      </c>
      <c r="N288" s="469">
        <v>20333973</v>
      </c>
    </row>
    <row r="289" spans="2:14" hidden="1">
      <c r="B289" s="485" t="s">
        <v>2330</v>
      </c>
      <c r="C289" s="463" t="s">
        <v>4252</v>
      </c>
      <c r="D289" s="463"/>
      <c r="E289" s="464">
        <v>200185061</v>
      </c>
      <c r="F289" s="465">
        <v>20</v>
      </c>
      <c r="G289" s="466">
        <v>50402</v>
      </c>
      <c r="H289" s="467">
        <v>7307</v>
      </c>
      <c r="I289" s="289">
        <v>10009253</v>
      </c>
      <c r="J289" s="289">
        <v>190175808</v>
      </c>
      <c r="K289" s="468">
        <v>365</v>
      </c>
      <c r="L289" s="289">
        <v>9499681</v>
      </c>
      <c r="M289" s="464">
        <v>40471244</v>
      </c>
      <c r="N289" s="469">
        <v>159713817</v>
      </c>
    </row>
    <row r="290" spans="2:14" hidden="1">
      <c r="B290" s="485" t="s">
        <v>2330</v>
      </c>
      <c r="C290" s="463" t="s">
        <v>3436</v>
      </c>
      <c r="D290" s="463"/>
      <c r="E290" s="464">
        <v>40458892</v>
      </c>
      <c r="F290" s="465">
        <v>10</v>
      </c>
      <c r="G290" s="466">
        <v>46749</v>
      </c>
      <c r="H290" s="467">
        <v>3654</v>
      </c>
      <c r="I290" s="289">
        <v>2022945</v>
      </c>
      <c r="J290" s="289">
        <v>38435947</v>
      </c>
      <c r="K290" s="468">
        <v>365</v>
      </c>
      <c r="L290" s="289">
        <v>3839387</v>
      </c>
      <c r="M290" s="464">
        <v>16356841</v>
      </c>
      <c r="N290" s="469">
        <v>24102051</v>
      </c>
    </row>
    <row r="291" spans="2:14" hidden="1">
      <c r="B291" s="485" t="s">
        <v>2330</v>
      </c>
      <c r="C291" s="463" t="s">
        <v>3437</v>
      </c>
      <c r="D291" s="463"/>
      <c r="E291" s="464">
        <v>11451331</v>
      </c>
      <c r="F291" s="465">
        <v>20</v>
      </c>
      <c r="G291" s="466">
        <v>50402</v>
      </c>
      <c r="H291" s="467">
        <v>7307</v>
      </c>
      <c r="I291" s="289">
        <v>572567</v>
      </c>
      <c r="J291" s="289">
        <v>10878764</v>
      </c>
      <c r="K291" s="468">
        <v>365</v>
      </c>
      <c r="L291" s="289">
        <v>543417</v>
      </c>
      <c r="M291" s="464">
        <v>2315106</v>
      </c>
      <c r="N291" s="469">
        <v>9136225</v>
      </c>
    </row>
    <row r="292" spans="2:14" hidden="1">
      <c r="B292" s="485" t="s">
        <v>2330</v>
      </c>
      <c r="C292" s="463" t="s">
        <v>3426</v>
      </c>
      <c r="D292" s="463"/>
      <c r="E292" s="464">
        <v>-13063720</v>
      </c>
      <c r="F292" s="465">
        <v>10</v>
      </c>
      <c r="G292" s="466">
        <v>46749</v>
      </c>
      <c r="H292" s="467">
        <v>3654</v>
      </c>
      <c r="I292" s="289">
        <v>-653186</v>
      </c>
      <c r="J292" s="289">
        <v>-12410534</v>
      </c>
      <c r="K292" s="468">
        <v>365</v>
      </c>
      <c r="L292" s="289">
        <v>-1239695</v>
      </c>
      <c r="M292" s="464">
        <v>-5281440</v>
      </c>
      <c r="N292" s="469">
        <v>-7782280</v>
      </c>
    </row>
    <row r="293" spans="2:14" hidden="1">
      <c r="B293" s="485" t="s">
        <v>2330</v>
      </c>
      <c r="C293" s="463" t="s">
        <v>3427</v>
      </c>
      <c r="D293" s="463"/>
      <c r="E293" s="464">
        <v>-3265928</v>
      </c>
      <c r="F293" s="465">
        <v>10</v>
      </c>
      <c r="G293" s="466">
        <v>46749</v>
      </c>
      <c r="H293" s="467">
        <v>3654</v>
      </c>
      <c r="I293" s="289">
        <v>-163296</v>
      </c>
      <c r="J293" s="289">
        <v>-3102632</v>
      </c>
      <c r="K293" s="468">
        <v>365</v>
      </c>
      <c r="L293" s="289">
        <v>-309924</v>
      </c>
      <c r="M293" s="464">
        <v>-1320361</v>
      </c>
      <c r="N293" s="469">
        <v>-1945567</v>
      </c>
    </row>
    <row r="294" spans="2:14" hidden="1">
      <c r="B294" s="485" t="s">
        <v>2330</v>
      </c>
      <c r="C294" s="463" t="s">
        <v>3428</v>
      </c>
      <c r="D294" s="463"/>
      <c r="E294" s="464">
        <v>-4082412</v>
      </c>
      <c r="F294" s="465">
        <v>10</v>
      </c>
      <c r="G294" s="466">
        <v>46749</v>
      </c>
      <c r="H294" s="467">
        <v>3654</v>
      </c>
      <c r="I294" s="289">
        <v>-204121</v>
      </c>
      <c r="J294" s="289">
        <v>-3878291</v>
      </c>
      <c r="K294" s="468">
        <v>365</v>
      </c>
      <c r="L294" s="289">
        <v>-387405</v>
      </c>
      <c r="M294" s="464">
        <v>-1650451</v>
      </c>
      <c r="N294" s="469">
        <v>-2431961</v>
      </c>
    </row>
    <row r="295" spans="2:14" ht="27" hidden="1">
      <c r="B295" s="485" t="s">
        <v>2330</v>
      </c>
      <c r="C295" s="463" t="s">
        <v>3429</v>
      </c>
      <c r="D295" s="463"/>
      <c r="E295" s="464">
        <v>-1632968</v>
      </c>
      <c r="F295" s="465">
        <v>10</v>
      </c>
      <c r="G295" s="466">
        <v>46749</v>
      </c>
      <c r="H295" s="467">
        <v>3654</v>
      </c>
      <c r="I295" s="289">
        <v>-81648</v>
      </c>
      <c r="J295" s="289">
        <v>-1551320</v>
      </c>
      <c r="K295" s="468">
        <v>365</v>
      </c>
      <c r="L295" s="289">
        <v>-154962</v>
      </c>
      <c r="M295" s="464">
        <v>-660181</v>
      </c>
      <c r="N295" s="469">
        <v>-972787</v>
      </c>
    </row>
    <row r="296" spans="2:14" hidden="1">
      <c r="B296" s="485"/>
      <c r="C296" s="463"/>
      <c r="D296" s="463"/>
      <c r="E296" s="463"/>
      <c r="F296" s="465"/>
      <c r="G296" s="463"/>
      <c r="H296" s="463"/>
      <c r="I296" s="463"/>
      <c r="J296" s="463"/>
      <c r="K296" s="463"/>
      <c r="L296" s="463"/>
      <c r="M296" s="463"/>
      <c r="N296" s="470"/>
    </row>
    <row r="297" spans="2:14" hidden="1">
      <c r="B297" s="485" t="s">
        <v>2330</v>
      </c>
      <c r="C297" s="463" t="s">
        <v>3389</v>
      </c>
      <c r="D297" s="463"/>
      <c r="E297" s="464">
        <v>260646136</v>
      </c>
      <c r="F297" s="465">
        <v>30</v>
      </c>
      <c r="G297" s="466">
        <v>54054</v>
      </c>
      <c r="H297" s="467">
        <v>10959</v>
      </c>
      <c r="I297" s="289">
        <v>13032307</v>
      </c>
      <c r="J297" s="289">
        <v>247613829</v>
      </c>
      <c r="K297" s="468">
        <v>365</v>
      </c>
      <c r="L297" s="289">
        <v>8247016</v>
      </c>
      <c r="M297" s="464">
        <v>35134547</v>
      </c>
      <c r="N297" s="469">
        <v>225511589</v>
      </c>
    </row>
    <row r="298" spans="2:14" hidden="1">
      <c r="B298" s="485" t="s">
        <v>2330</v>
      </c>
      <c r="C298" s="463" t="s">
        <v>4270</v>
      </c>
      <c r="D298" s="463"/>
      <c r="E298" s="464">
        <v>46531432</v>
      </c>
      <c r="F298" s="465">
        <v>15</v>
      </c>
      <c r="G298" s="466">
        <v>48576</v>
      </c>
      <c r="H298" s="467">
        <v>5481</v>
      </c>
      <c r="I298" s="289">
        <v>2326572</v>
      </c>
      <c r="J298" s="289">
        <v>44204860</v>
      </c>
      <c r="K298" s="468">
        <v>365</v>
      </c>
      <c r="L298" s="289">
        <v>2943765</v>
      </c>
      <c r="M298" s="464">
        <v>12541245</v>
      </c>
      <c r="N298" s="469">
        <v>33990187</v>
      </c>
    </row>
    <row r="299" spans="2:14" hidden="1">
      <c r="B299" s="485"/>
      <c r="C299" s="463"/>
      <c r="D299" s="463"/>
      <c r="E299" s="463"/>
      <c r="F299" s="465"/>
      <c r="G299" s="463"/>
      <c r="H299" s="463"/>
      <c r="I299" s="463"/>
      <c r="J299" s="463"/>
      <c r="K299" s="463"/>
      <c r="L299" s="463"/>
      <c r="M299" s="463"/>
      <c r="N299" s="470"/>
    </row>
    <row r="300" spans="2:14" hidden="1">
      <c r="B300" s="485" t="s">
        <v>2330</v>
      </c>
      <c r="C300" s="463" t="s">
        <v>3430</v>
      </c>
      <c r="D300" s="463"/>
      <c r="E300" s="464">
        <v>2230996</v>
      </c>
      <c r="F300" s="465">
        <v>25</v>
      </c>
      <c r="G300" s="466">
        <v>52228</v>
      </c>
      <c r="H300" s="467">
        <v>9133</v>
      </c>
      <c r="I300" s="289">
        <v>111550</v>
      </c>
      <c r="J300" s="289">
        <v>2119446</v>
      </c>
      <c r="K300" s="468">
        <v>365</v>
      </c>
      <c r="L300" s="289">
        <v>84704</v>
      </c>
      <c r="M300" s="464">
        <v>360862</v>
      </c>
      <c r="N300" s="469">
        <v>1870134</v>
      </c>
    </row>
    <row r="301" spans="2:14" hidden="1">
      <c r="B301" s="485"/>
      <c r="C301" s="463"/>
      <c r="D301" s="463"/>
      <c r="E301" s="463"/>
      <c r="F301" s="465"/>
      <c r="G301" s="463"/>
      <c r="H301" s="463"/>
      <c r="I301" s="463"/>
      <c r="J301" s="463"/>
      <c r="K301" s="463"/>
      <c r="L301" s="463"/>
      <c r="M301" s="463"/>
      <c r="N301" s="470"/>
    </row>
    <row r="302" spans="2:14" ht="14.25" hidden="1">
      <c r="B302" s="485"/>
      <c r="C302" s="472" t="s">
        <v>1837</v>
      </c>
      <c r="D302" s="473"/>
      <c r="E302" s="474">
        <f t="shared" ref="E302" si="10">+SUBTOTAL(9,E264:E301)</f>
        <v>3030223672</v>
      </c>
      <c r="F302" s="465"/>
      <c r="G302" s="463"/>
      <c r="H302" s="463"/>
      <c r="I302" s="463"/>
      <c r="J302" s="463"/>
      <c r="K302" s="463"/>
      <c r="L302" s="475">
        <f t="shared" ref="L302:N302" si="11">+SUBTOTAL(9,L264:L301)</f>
        <v>125534097</v>
      </c>
      <c r="M302" s="475">
        <f t="shared" si="11"/>
        <v>534809643</v>
      </c>
      <c r="N302" s="476">
        <f t="shared" si="11"/>
        <v>2495414029</v>
      </c>
    </row>
    <row r="303" spans="2:14" hidden="1">
      <c r="B303" s="485"/>
      <c r="C303" s="463"/>
      <c r="D303" s="463"/>
      <c r="E303" s="463"/>
      <c r="F303" s="465"/>
      <c r="G303" s="463"/>
      <c r="H303" s="463"/>
      <c r="I303" s="463"/>
      <c r="J303" s="463"/>
      <c r="K303" s="463"/>
      <c r="L303" s="463"/>
      <c r="M303" s="464"/>
      <c r="N303" s="478"/>
    </row>
    <row r="304" spans="2:14" ht="14.25" hidden="1">
      <c r="B304" s="477" t="s">
        <v>2331</v>
      </c>
      <c r="C304" s="463"/>
      <c r="D304" s="463"/>
      <c r="E304" s="463"/>
      <c r="F304" s="465"/>
      <c r="G304" s="463"/>
      <c r="H304" s="463"/>
      <c r="I304" s="463"/>
      <c r="J304" s="463"/>
      <c r="K304" s="463"/>
      <c r="L304" s="463"/>
      <c r="M304" s="463"/>
      <c r="N304" s="470"/>
    </row>
    <row r="305" spans="2:14" hidden="1">
      <c r="B305" s="485" t="s">
        <v>2331</v>
      </c>
      <c r="C305" s="463" t="s">
        <v>2331</v>
      </c>
      <c r="D305" s="463"/>
      <c r="E305" s="464">
        <v>51837505</v>
      </c>
      <c r="F305" s="465">
        <v>25</v>
      </c>
      <c r="G305" s="466">
        <v>52228</v>
      </c>
      <c r="H305" s="467">
        <v>9133</v>
      </c>
      <c r="I305" s="289">
        <v>2591875</v>
      </c>
      <c r="J305" s="289">
        <v>49245630</v>
      </c>
      <c r="K305" s="468">
        <v>365</v>
      </c>
      <c r="L305" s="289">
        <v>1968100</v>
      </c>
      <c r="M305" s="464">
        <v>8384645</v>
      </c>
      <c r="N305" s="469">
        <v>43452860</v>
      </c>
    </row>
    <row r="306" spans="2:14" hidden="1">
      <c r="B306" s="485"/>
      <c r="C306" s="463"/>
      <c r="D306" s="463"/>
      <c r="E306" s="463"/>
      <c r="F306" s="465"/>
      <c r="G306" s="463"/>
      <c r="H306" s="463"/>
      <c r="I306" s="463"/>
      <c r="J306" s="463"/>
      <c r="K306" s="463"/>
      <c r="L306" s="463"/>
      <c r="M306" s="463"/>
      <c r="N306" s="470"/>
    </row>
    <row r="307" spans="2:14" ht="14.25" hidden="1">
      <c r="B307" s="485"/>
      <c r="C307" s="472" t="s">
        <v>1837</v>
      </c>
      <c r="D307" s="473"/>
      <c r="E307" s="474">
        <f t="shared" ref="E307" si="12">+SUBTOTAL(9,E305:E306)</f>
        <v>51837505</v>
      </c>
      <c r="F307" s="465"/>
      <c r="G307" s="463"/>
      <c r="H307" s="463"/>
      <c r="I307" s="463"/>
      <c r="J307" s="463"/>
      <c r="K307" s="463"/>
      <c r="L307" s="475">
        <f t="shared" ref="L307:N307" si="13">+SUBTOTAL(9,L305:L306)</f>
        <v>1968100</v>
      </c>
      <c r="M307" s="475">
        <f t="shared" si="13"/>
        <v>8384645</v>
      </c>
      <c r="N307" s="476">
        <f t="shared" si="13"/>
        <v>43452860</v>
      </c>
    </row>
    <row r="308" spans="2:14" ht="14.25" hidden="1">
      <c r="B308" s="477" t="s">
        <v>2332</v>
      </c>
      <c r="C308" s="463"/>
      <c r="D308" s="463"/>
      <c r="E308" s="463"/>
      <c r="F308" s="465"/>
      <c r="G308" s="463"/>
      <c r="H308" s="463"/>
      <c r="I308" s="463"/>
      <c r="J308" s="463"/>
      <c r="K308" s="463"/>
      <c r="L308" s="463"/>
      <c r="M308" s="464"/>
      <c r="N308" s="464"/>
    </row>
    <row r="309" spans="2:14" hidden="1">
      <c r="B309" s="485" t="s">
        <v>2332</v>
      </c>
      <c r="C309" s="463" t="s">
        <v>4161</v>
      </c>
      <c r="D309" s="463" t="s">
        <v>4133</v>
      </c>
      <c r="E309" s="464">
        <v>112629455</v>
      </c>
      <c r="F309" s="465">
        <v>30</v>
      </c>
      <c r="G309" s="466">
        <v>54054</v>
      </c>
      <c r="H309" s="467">
        <v>10959</v>
      </c>
      <c r="I309" s="289">
        <v>5631473</v>
      </c>
      <c r="J309" s="289">
        <v>106997982</v>
      </c>
      <c r="K309" s="468">
        <v>365</v>
      </c>
      <c r="L309" s="289">
        <v>3563670</v>
      </c>
      <c r="M309" s="464">
        <v>15182211</v>
      </c>
      <c r="N309" s="469">
        <v>97447244</v>
      </c>
    </row>
    <row r="310" spans="2:14" ht="27" hidden="1">
      <c r="B310" s="485" t="s">
        <v>2332</v>
      </c>
      <c r="C310" s="463" t="s">
        <v>3453</v>
      </c>
      <c r="D310" s="463" t="s">
        <v>4510</v>
      </c>
      <c r="E310" s="464">
        <v>33749105.399999999</v>
      </c>
      <c r="F310" s="465">
        <v>30</v>
      </c>
      <c r="G310" s="466">
        <v>54054</v>
      </c>
      <c r="H310" s="467">
        <v>10959</v>
      </c>
      <c r="I310" s="289">
        <v>1687455</v>
      </c>
      <c r="J310" s="289">
        <v>32061650.399999999</v>
      </c>
      <c r="K310" s="468">
        <v>365</v>
      </c>
      <c r="L310" s="289">
        <v>1067844</v>
      </c>
      <c r="M310" s="464">
        <v>4549308</v>
      </c>
      <c r="N310" s="469">
        <v>29199797.399999999</v>
      </c>
    </row>
    <row r="311" spans="2:14" hidden="1">
      <c r="B311" s="485" t="s">
        <v>2332</v>
      </c>
      <c r="C311" s="463" t="s">
        <v>3453</v>
      </c>
      <c r="D311" s="463" t="s">
        <v>3455</v>
      </c>
      <c r="E311" s="464">
        <v>1276151814</v>
      </c>
      <c r="F311" s="465">
        <v>30</v>
      </c>
      <c r="G311" s="466">
        <v>54054</v>
      </c>
      <c r="H311" s="467">
        <v>10959</v>
      </c>
      <c r="I311" s="289">
        <v>63807591</v>
      </c>
      <c r="J311" s="289">
        <v>1212344223</v>
      </c>
      <c r="K311" s="468">
        <v>365</v>
      </c>
      <c r="L311" s="289">
        <v>40378286</v>
      </c>
      <c r="M311" s="464">
        <v>172022562</v>
      </c>
      <c r="N311" s="469">
        <v>1104129252</v>
      </c>
    </row>
    <row r="312" spans="2:14" hidden="1">
      <c r="B312" s="485" t="s">
        <v>2332</v>
      </c>
      <c r="C312" s="463" t="s">
        <v>3453</v>
      </c>
      <c r="D312" s="463" t="s">
        <v>3456</v>
      </c>
      <c r="E312" s="464">
        <v>1257311895</v>
      </c>
      <c r="F312" s="465">
        <v>30</v>
      </c>
      <c r="G312" s="466">
        <v>54054</v>
      </c>
      <c r="H312" s="467">
        <v>10959</v>
      </c>
      <c r="I312" s="289">
        <v>62865595</v>
      </c>
      <c r="J312" s="289">
        <v>1194446300</v>
      </c>
      <c r="K312" s="468">
        <v>365</v>
      </c>
      <c r="L312" s="289">
        <v>39782179</v>
      </c>
      <c r="M312" s="464">
        <v>169482981</v>
      </c>
      <c r="N312" s="469">
        <v>1087828914</v>
      </c>
    </row>
    <row r="313" spans="2:14" hidden="1">
      <c r="B313" s="485" t="s">
        <v>2332</v>
      </c>
      <c r="C313" s="463" t="s">
        <v>3453</v>
      </c>
      <c r="D313" s="463" t="s">
        <v>3033</v>
      </c>
      <c r="E313" s="464">
        <v>217277265</v>
      </c>
      <c r="F313" s="465">
        <v>30</v>
      </c>
      <c r="G313" s="466">
        <v>54054</v>
      </c>
      <c r="H313" s="467">
        <v>10959</v>
      </c>
      <c r="I313" s="289">
        <v>10863863</v>
      </c>
      <c r="J313" s="289">
        <v>206413402</v>
      </c>
      <c r="K313" s="468">
        <v>365</v>
      </c>
      <c r="L313" s="289">
        <v>6874796</v>
      </c>
      <c r="M313" s="464">
        <v>29288514</v>
      </c>
      <c r="N313" s="469">
        <v>187988751</v>
      </c>
    </row>
    <row r="314" spans="2:14" ht="27" hidden="1">
      <c r="B314" s="485" t="s">
        <v>2332</v>
      </c>
      <c r="C314" s="463" t="s">
        <v>3453</v>
      </c>
      <c r="D314" s="463" t="s">
        <v>4511</v>
      </c>
      <c r="E314" s="464">
        <v>13447537</v>
      </c>
      <c r="F314" s="465">
        <v>10</v>
      </c>
      <c r="G314" s="466">
        <v>46749</v>
      </c>
      <c r="H314" s="467">
        <v>3654</v>
      </c>
      <c r="I314" s="289">
        <v>672377</v>
      </c>
      <c r="J314" s="289">
        <v>12775160</v>
      </c>
      <c r="K314" s="468">
        <v>365</v>
      </c>
      <c r="L314" s="289">
        <v>1276118</v>
      </c>
      <c r="M314" s="464">
        <v>5436612</v>
      </c>
      <c r="N314" s="469">
        <v>8010925</v>
      </c>
    </row>
    <row r="315" spans="2:14" hidden="1">
      <c r="B315" s="485" t="s">
        <v>2332</v>
      </c>
      <c r="C315" s="463" t="s">
        <v>3453</v>
      </c>
      <c r="D315" s="463" t="s">
        <v>3470</v>
      </c>
      <c r="E315" s="464">
        <v>43406438</v>
      </c>
      <c r="F315" s="465">
        <v>20</v>
      </c>
      <c r="G315" s="466">
        <v>50402</v>
      </c>
      <c r="H315" s="467">
        <v>7307</v>
      </c>
      <c r="I315" s="289">
        <v>2170322</v>
      </c>
      <c r="J315" s="289">
        <v>41236116</v>
      </c>
      <c r="K315" s="468">
        <v>365</v>
      </c>
      <c r="L315" s="289">
        <v>2059831</v>
      </c>
      <c r="M315" s="464">
        <v>8775444</v>
      </c>
      <c r="N315" s="469">
        <v>34630994</v>
      </c>
    </row>
    <row r="316" spans="2:14" hidden="1">
      <c r="B316" s="485" t="s">
        <v>2332</v>
      </c>
      <c r="C316" s="463" t="s">
        <v>3453</v>
      </c>
      <c r="D316" s="463" t="s">
        <v>3457</v>
      </c>
      <c r="E316" s="464">
        <v>223193600</v>
      </c>
      <c r="F316" s="465">
        <v>30</v>
      </c>
      <c r="G316" s="466">
        <v>54054</v>
      </c>
      <c r="H316" s="467">
        <v>10959</v>
      </c>
      <c r="I316" s="289">
        <v>11159680</v>
      </c>
      <c r="J316" s="289">
        <v>212033920</v>
      </c>
      <c r="K316" s="468">
        <v>365</v>
      </c>
      <c r="L316" s="289">
        <v>7061993</v>
      </c>
      <c r="M316" s="464">
        <v>30086025</v>
      </c>
      <c r="N316" s="469">
        <v>193107575</v>
      </c>
    </row>
    <row r="317" spans="2:14" hidden="1">
      <c r="B317" s="485" t="s">
        <v>2332</v>
      </c>
      <c r="C317" s="463" t="s">
        <v>3453</v>
      </c>
      <c r="D317" s="463" t="s">
        <v>3464</v>
      </c>
      <c r="E317" s="464">
        <v>84207562</v>
      </c>
      <c r="F317" s="465">
        <v>15</v>
      </c>
      <c r="G317" s="466">
        <v>48576</v>
      </c>
      <c r="H317" s="467">
        <v>5481</v>
      </c>
      <c r="I317" s="289">
        <v>4210378</v>
      </c>
      <c r="J317" s="289">
        <v>79997184</v>
      </c>
      <c r="K317" s="468">
        <v>365</v>
      </c>
      <c r="L317" s="289">
        <v>5327307</v>
      </c>
      <c r="M317" s="464">
        <v>22695788</v>
      </c>
      <c r="N317" s="469">
        <v>61511774</v>
      </c>
    </row>
    <row r="318" spans="2:14" hidden="1">
      <c r="B318" s="485" t="s">
        <v>2332</v>
      </c>
      <c r="C318" s="463" t="s">
        <v>3453</v>
      </c>
      <c r="D318" s="463" t="s">
        <v>3465</v>
      </c>
      <c r="E318" s="464">
        <v>26176992</v>
      </c>
      <c r="F318" s="465">
        <v>10</v>
      </c>
      <c r="G318" s="466">
        <v>46749</v>
      </c>
      <c r="H318" s="467">
        <v>3654</v>
      </c>
      <c r="I318" s="289">
        <v>1308850</v>
      </c>
      <c r="J318" s="289">
        <v>24868142</v>
      </c>
      <c r="K318" s="468">
        <v>365</v>
      </c>
      <c r="L318" s="289">
        <v>2484092</v>
      </c>
      <c r="M318" s="464">
        <v>10582913</v>
      </c>
      <c r="N318" s="469">
        <v>15594079</v>
      </c>
    </row>
    <row r="319" spans="2:14" hidden="1">
      <c r="B319" s="485" t="s">
        <v>2332</v>
      </c>
      <c r="C319" s="463" t="s">
        <v>3453</v>
      </c>
      <c r="D319" s="463" t="s">
        <v>3466</v>
      </c>
      <c r="E319" s="464">
        <v>44791336</v>
      </c>
      <c r="F319" s="465">
        <v>25</v>
      </c>
      <c r="G319" s="466">
        <v>52228</v>
      </c>
      <c r="H319" s="467">
        <v>9133</v>
      </c>
      <c r="I319" s="289">
        <v>2239567</v>
      </c>
      <c r="J319" s="289">
        <v>42551769</v>
      </c>
      <c r="K319" s="468">
        <v>365</v>
      </c>
      <c r="L319" s="289">
        <v>1700580</v>
      </c>
      <c r="M319" s="464">
        <v>7244937</v>
      </c>
      <c r="N319" s="469">
        <v>37546399</v>
      </c>
    </row>
    <row r="320" spans="2:14" ht="27" hidden="1">
      <c r="B320" s="485" t="s">
        <v>2332</v>
      </c>
      <c r="C320" s="463" t="s">
        <v>3453</v>
      </c>
      <c r="D320" s="463" t="s">
        <v>4512</v>
      </c>
      <c r="E320" s="464">
        <v>44791336</v>
      </c>
      <c r="F320" s="465">
        <v>25</v>
      </c>
      <c r="G320" s="466">
        <v>52228</v>
      </c>
      <c r="H320" s="467">
        <v>9133</v>
      </c>
      <c r="I320" s="289">
        <v>2239567</v>
      </c>
      <c r="J320" s="289">
        <v>42551769</v>
      </c>
      <c r="K320" s="468">
        <v>365</v>
      </c>
      <c r="L320" s="289">
        <v>1700580</v>
      </c>
      <c r="M320" s="464">
        <v>7244937</v>
      </c>
      <c r="N320" s="469">
        <v>37546399</v>
      </c>
    </row>
    <row r="321" spans="2:14" hidden="1">
      <c r="B321" s="485" t="s">
        <v>2332</v>
      </c>
      <c r="C321" s="463" t="s">
        <v>3453</v>
      </c>
      <c r="D321" s="463" t="s">
        <v>3469</v>
      </c>
      <c r="E321" s="464">
        <v>189797829</v>
      </c>
      <c r="F321" s="465">
        <v>30</v>
      </c>
      <c r="G321" s="466">
        <v>54054</v>
      </c>
      <c r="H321" s="467">
        <v>10959</v>
      </c>
      <c r="I321" s="289">
        <v>9489891</v>
      </c>
      <c r="J321" s="289">
        <v>180307938</v>
      </c>
      <c r="K321" s="468">
        <v>365</v>
      </c>
      <c r="L321" s="289">
        <v>6005329</v>
      </c>
      <c r="M321" s="464">
        <v>25584347</v>
      </c>
      <c r="N321" s="469">
        <v>164213482</v>
      </c>
    </row>
    <row r="322" spans="2:14" hidden="1">
      <c r="B322" s="485" t="s">
        <v>2332</v>
      </c>
      <c r="C322" s="463" t="s">
        <v>3453</v>
      </c>
      <c r="D322" s="463" t="s">
        <v>3459</v>
      </c>
      <c r="E322" s="464">
        <v>21405170</v>
      </c>
      <c r="F322" s="465">
        <v>10</v>
      </c>
      <c r="G322" s="466">
        <v>46749</v>
      </c>
      <c r="H322" s="467">
        <v>3654</v>
      </c>
      <c r="I322" s="289">
        <v>1070259</v>
      </c>
      <c r="J322" s="289">
        <v>20334911</v>
      </c>
      <c r="K322" s="468">
        <v>365</v>
      </c>
      <c r="L322" s="289">
        <v>2031265</v>
      </c>
      <c r="M322" s="464">
        <v>8653745</v>
      </c>
      <c r="N322" s="469">
        <v>12751425</v>
      </c>
    </row>
    <row r="323" spans="2:14" hidden="1">
      <c r="B323" s="485" t="s">
        <v>2332</v>
      </c>
      <c r="C323" s="463" t="s">
        <v>3453</v>
      </c>
      <c r="D323" s="463" t="s">
        <v>4170</v>
      </c>
      <c r="E323" s="464">
        <v>21405170</v>
      </c>
      <c r="F323" s="465">
        <v>10</v>
      </c>
      <c r="G323" s="466">
        <v>46749</v>
      </c>
      <c r="H323" s="467">
        <v>3654</v>
      </c>
      <c r="I323" s="289">
        <v>1070259</v>
      </c>
      <c r="J323" s="289">
        <v>20334911</v>
      </c>
      <c r="K323" s="468">
        <v>365</v>
      </c>
      <c r="L323" s="289">
        <v>2031265</v>
      </c>
      <c r="M323" s="464">
        <v>8653745</v>
      </c>
      <c r="N323" s="469">
        <v>12751425</v>
      </c>
    </row>
    <row r="324" spans="2:14" hidden="1">
      <c r="B324" s="485" t="s">
        <v>2332</v>
      </c>
      <c r="C324" s="463" t="s">
        <v>3453</v>
      </c>
      <c r="D324" s="463" t="s">
        <v>3461</v>
      </c>
      <c r="E324" s="464">
        <v>7705878</v>
      </c>
      <c r="F324" s="465">
        <v>5</v>
      </c>
      <c r="G324" s="466">
        <v>44923</v>
      </c>
      <c r="H324" s="467">
        <v>1828</v>
      </c>
      <c r="I324" s="289">
        <v>385294</v>
      </c>
      <c r="J324" s="289">
        <v>7320584</v>
      </c>
      <c r="K324" s="468">
        <v>365</v>
      </c>
      <c r="L324" s="289">
        <v>1461714</v>
      </c>
      <c r="M324" s="464">
        <v>6227302</v>
      </c>
      <c r="N324" s="469">
        <v>1478576</v>
      </c>
    </row>
    <row r="325" spans="2:14" hidden="1">
      <c r="B325" s="485" t="s">
        <v>2332</v>
      </c>
      <c r="C325" s="463" t="s">
        <v>3453</v>
      </c>
      <c r="D325" s="463" t="s">
        <v>4171</v>
      </c>
      <c r="E325" s="464">
        <v>67558938</v>
      </c>
      <c r="F325" s="465">
        <v>10</v>
      </c>
      <c r="G325" s="466">
        <v>46749</v>
      </c>
      <c r="H325" s="467">
        <v>3654</v>
      </c>
      <c r="I325" s="289">
        <v>3377947</v>
      </c>
      <c r="J325" s="289">
        <v>64180991</v>
      </c>
      <c r="K325" s="468">
        <v>365</v>
      </c>
      <c r="L325" s="289">
        <v>6411073</v>
      </c>
      <c r="M325" s="464">
        <v>27312928</v>
      </c>
      <c r="N325" s="469">
        <v>40246010</v>
      </c>
    </row>
    <row r="326" spans="2:14" ht="27" hidden="1">
      <c r="B326" s="485" t="s">
        <v>2332</v>
      </c>
      <c r="C326" s="463" t="s">
        <v>3453</v>
      </c>
      <c r="D326" s="463" t="s">
        <v>4228</v>
      </c>
      <c r="E326" s="464">
        <v>5233253</v>
      </c>
      <c r="F326" s="465">
        <v>5</v>
      </c>
      <c r="G326" s="466">
        <v>44923</v>
      </c>
      <c r="H326" s="467">
        <v>1828</v>
      </c>
      <c r="I326" s="289">
        <v>261663</v>
      </c>
      <c r="J326" s="289">
        <v>4971590</v>
      </c>
      <c r="K326" s="468">
        <v>365</v>
      </c>
      <c r="L326" s="289">
        <v>992686</v>
      </c>
      <c r="M326" s="464">
        <v>4229115</v>
      </c>
      <c r="N326" s="469">
        <v>1004138</v>
      </c>
    </row>
    <row r="327" spans="2:14" hidden="1">
      <c r="B327" s="485" t="s">
        <v>2332</v>
      </c>
      <c r="C327" s="463" t="s">
        <v>4172</v>
      </c>
      <c r="D327" s="463" t="s">
        <v>4513</v>
      </c>
      <c r="E327" s="464">
        <v>178266327</v>
      </c>
      <c r="F327" s="465">
        <v>25</v>
      </c>
      <c r="G327" s="466">
        <v>52228</v>
      </c>
      <c r="H327" s="467">
        <v>9133</v>
      </c>
      <c r="I327" s="289">
        <v>8913316</v>
      </c>
      <c r="J327" s="289">
        <v>169353011</v>
      </c>
      <c r="K327" s="468">
        <v>365</v>
      </c>
      <c r="L327" s="289">
        <v>6768187</v>
      </c>
      <c r="M327" s="464">
        <v>28834331</v>
      </c>
      <c r="N327" s="469">
        <v>149431996</v>
      </c>
    </row>
    <row r="328" spans="2:14" hidden="1">
      <c r="B328" s="485" t="s">
        <v>2332</v>
      </c>
      <c r="C328" s="463" t="s">
        <v>4172</v>
      </c>
      <c r="D328" s="463" t="s">
        <v>4514</v>
      </c>
      <c r="E328" s="464">
        <v>178266327</v>
      </c>
      <c r="F328" s="465">
        <v>25</v>
      </c>
      <c r="G328" s="466">
        <v>52228</v>
      </c>
      <c r="H328" s="467">
        <v>9133</v>
      </c>
      <c r="I328" s="289">
        <v>8913316</v>
      </c>
      <c r="J328" s="289">
        <v>169353011</v>
      </c>
      <c r="K328" s="468">
        <v>365</v>
      </c>
      <c r="L328" s="289">
        <v>6768187</v>
      </c>
      <c r="M328" s="464">
        <v>28834331</v>
      </c>
      <c r="N328" s="469">
        <v>149431996</v>
      </c>
    </row>
    <row r="329" spans="2:14" hidden="1">
      <c r="B329" s="485" t="s">
        <v>2332</v>
      </c>
      <c r="C329" s="463" t="s">
        <v>4172</v>
      </c>
      <c r="D329" s="463" t="s">
        <v>4515</v>
      </c>
      <c r="E329" s="464">
        <v>178266327</v>
      </c>
      <c r="F329" s="465">
        <v>25</v>
      </c>
      <c r="G329" s="466">
        <v>52228</v>
      </c>
      <c r="H329" s="467">
        <v>9133</v>
      </c>
      <c r="I329" s="289">
        <v>8913316</v>
      </c>
      <c r="J329" s="289">
        <v>169353011</v>
      </c>
      <c r="K329" s="468">
        <v>365</v>
      </c>
      <c r="L329" s="289">
        <v>6768187</v>
      </c>
      <c r="M329" s="464">
        <v>28834331</v>
      </c>
      <c r="N329" s="469">
        <v>149431996</v>
      </c>
    </row>
    <row r="330" spans="2:14" hidden="1">
      <c r="B330" s="485" t="s">
        <v>2332</v>
      </c>
      <c r="C330" s="463" t="s">
        <v>4172</v>
      </c>
      <c r="D330" s="463" t="s">
        <v>4516</v>
      </c>
      <c r="E330" s="464">
        <v>13553937</v>
      </c>
      <c r="F330" s="465">
        <v>25</v>
      </c>
      <c r="G330" s="466">
        <v>52228</v>
      </c>
      <c r="H330" s="467">
        <v>9133</v>
      </c>
      <c r="I330" s="289">
        <v>677697</v>
      </c>
      <c r="J330" s="289">
        <v>12876240</v>
      </c>
      <c r="K330" s="468">
        <v>365</v>
      </c>
      <c r="L330" s="289">
        <v>514598</v>
      </c>
      <c r="M330" s="464">
        <v>2192329</v>
      </c>
      <c r="N330" s="469">
        <v>11361608</v>
      </c>
    </row>
    <row r="331" spans="2:14" ht="27" hidden="1">
      <c r="B331" s="485" t="s">
        <v>2332</v>
      </c>
      <c r="C331" s="463" t="s">
        <v>4172</v>
      </c>
      <c r="D331" s="463" t="s">
        <v>4517</v>
      </c>
      <c r="E331" s="464">
        <v>179807172</v>
      </c>
      <c r="F331" s="465">
        <v>15</v>
      </c>
      <c r="G331" s="466">
        <v>48576</v>
      </c>
      <c r="H331" s="467">
        <v>5481</v>
      </c>
      <c r="I331" s="289">
        <v>8990359</v>
      </c>
      <c r="J331" s="289">
        <v>170816813</v>
      </c>
      <c r="K331" s="468">
        <v>365</v>
      </c>
      <c r="L331" s="289">
        <v>11375321</v>
      </c>
      <c r="M331" s="464">
        <v>48461985</v>
      </c>
      <c r="N331" s="469">
        <v>131345187</v>
      </c>
    </row>
    <row r="332" spans="2:14" hidden="1">
      <c r="B332" s="485" t="s">
        <v>2332</v>
      </c>
      <c r="C332" s="463" t="s">
        <v>4173</v>
      </c>
      <c r="D332" s="463" t="s">
        <v>4518</v>
      </c>
      <c r="E332" s="464">
        <v>60690060</v>
      </c>
      <c r="F332" s="465">
        <v>15</v>
      </c>
      <c r="G332" s="466">
        <v>48576</v>
      </c>
      <c r="H332" s="467">
        <v>5481</v>
      </c>
      <c r="I332" s="289">
        <v>3034503</v>
      </c>
      <c r="J332" s="289">
        <v>57655557</v>
      </c>
      <c r="K332" s="468">
        <v>365</v>
      </c>
      <c r="L332" s="289">
        <v>3839496</v>
      </c>
      <c r="M332" s="464">
        <v>16357305</v>
      </c>
      <c r="N332" s="469">
        <v>44332755</v>
      </c>
    </row>
    <row r="333" spans="2:14" hidden="1">
      <c r="B333" s="485" t="s">
        <v>2332</v>
      </c>
      <c r="C333" s="463" t="s">
        <v>4173</v>
      </c>
      <c r="D333" s="463" t="s">
        <v>4519</v>
      </c>
      <c r="E333" s="464">
        <v>75843307</v>
      </c>
      <c r="F333" s="465">
        <v>15</v>
      </c>
      <c r="G333" s="466">
        <v>48576</v>
      </c>
      <c r="H333" s="467">
        <v>5481</v>
      </c>
      <c r="I333" s="289">
        <v>3792165</v>
      </c>
      <c r="J333" s="289">
        <v>72051142</v>
      </c>
      <c r="K333" s="468">
        <v>365</v>
      </c>
      <c r="L333" s="289">
        <v>4798151</v>
      </c>
      <c r="M333" s="464">
        <v>20441438</v>
      </c>
      <c r="N333" s="469">
        <v>55401869</v>
      </c>
    </row>
    <row r="334" spans="2:14" hidden="1">
      <c r="B334" s="485" t="s">
        <v>2332</v>
      </c>
      <c r="C334" s="463" t="s">
        <v>4173</v>
      </c>
      <c r="D334" s="463" t="s">
        <v>4520</v>
      </c>
      <c r="E334" s="464">
        <v>69151305</v>
      </c>
      <c r="F334" s="465">
        <v>15</v>
      </c>
      <c r="G334" s="466">
        <v>48576</v>
      </c>
      <c r="H334" s="467">
        <v>5481</v>
      </c>
      <c r="I334" s="289">
        <v>3457565</v>
      </c>
      <c r="J334" s="289">
        <v>65693740</v>
      </c>
      <c r="K334" s="468">
        <v>365</v>
      </c>
      <c r="L334" s="289">
        <v>4374788</v>
      </c>
      <c r="M334" s="464">
        <v>18637796</v>
      </c>
      <c r="N334" s="469">
        <v>50513509</v>
      </c>
    </row>
    <row r="335" spans="2:14" hidden="1">
      <c r="B335" s="485" t="s">
        <v>2332</v>
      </c>
      <c r="C335" s="463" t="s">
        <v>4173</v>
      </c>
      <c r="D335" s="463" t="s">
        <v>4521</v>
      </c>
      <c r="E335" s="464">
        <v>69086378</v>
      </c>
      <c r="F335" s="465">
        <v>15</v>
      </c>
      <c r="G335" s="466">
        <v>48576</v>
      </c>
      <c r="H335" s="467">
        <v>5481</v>
      </c>
      <c r="I335" s="289">
        <v>3454319</v>
      </c>
      <c r="J335" s="289">
        <v>65632059</v>
      </c>
      <c r="K335" s="468">
        <v>365</v>
      </c>
      <c r="L335" s="289">
        <v>4370681</v>
      </c>
      <c r="M335" s="464">
        <v>18620298</v>
      </c>
      <c r="N335" s="469">
        <v>50466080</v>
      </c>
    </row>
    <row r="336" spans="2:14" hidden="1">
      <c r="B336" s="485" t="s">
        <v>2332</v>
      </c>
      <c r="C336" s="463" t="s">
        <v>3488</v>
      </c>
      <c r="D336" s="463" t="s">
        <v>3488</v>
      </c>
      <c r="E336" s="464">
        <v>276976491</v>
      </c>
      <c r="F336" s="465">
        <v>30</v>
      </c>
      <c r="G336" s="466">
        <v>54054</v>
      </c>
      <c r="H336" s="467">
        <v>10959</v>
      </c>
      <c r="I336" s="289">
        <v>13848825</v>
      </c>
      <c r="J336" s="289">
        <v>263127666</v>
      </c>
      <c r="K336" s="468">
        <v>365</v>
      </c>
      <c r="L336" s="289">
        <v>8763719</v>
      </c>
      <c r="M336" s="464">
        <v>37335844</v>
      </c>
      <c r="N336" s="469">
        <v>239640647</v>
      </c>
    </row>
    <row r="337" spans="2:14" ht="94.5" hidden="1">
      <c r="B337" s="485" t="s">
        <v>2332</v>
      </c>
      <c r="C337" s="463" t="s">
        <v>3488</v>
      </c>
      <c r="D337" s="463" t="s">
        <v>4522</v>
      </c>
      <c r="E337" s="464">
        <v>1813713150</v>
      </c>
      <c r="F337" s="465">
        <v>30</v>
      </c>
      <c r="G337" s="466">
        <v>54054</v>
      </c>
      <c r="H337" s="467">
        <v>10959</v>
      </c>
      <c r="I337" s="289">
        <v>90685658</v>
      </c>
      <c r="J337" s="289">
        <v>1723027492</v>
      </c>
      <c r="K337" s="468">
        <v>365</v>
      </c>
      <c r="L337" s="289">
        <v>57387082</v>
      </c>
      <c r="M337" s="464">
        <v>244484692</v>
      </c>
      <c r="N337" s="469">
        <v>1569228458</v>
      </c>
    </row>
    <row r="338" spans="2:14" hidden="1">
      <c r="B338" s="485" t="s">
        <v>2332</v>
      </c>
      <c r="C338" s="463" t="s">
        <v>3488</v>
      </c>
      <c r="D338" s="463" t="s">
        <v>4523</v>
      </c>
      <c r="E338" s="464">
        <v>11802523</v>
      </c>
      <c r="F338" s="465">
        <v>20</v>
      </c>
      <c r="G338" s="466">
        <v>50402</v>
      </c>
      <c r="H338" s="467">
        <v>7307</v>
      </c>
      <c r="I338" s="289">
        <v>590126</v>
      </c>
      <c r="J338" s="289">
        <v>11212397</v>
      </c>
      <c r="K338" s="468">
        <v>365</v>
      </c>
      <c r="L338" s="289">
        <v>560083</v>
      </c>
      <c r="M338" s="464">
        <v>2386106</v>
      </c>
      <c r="N338" s="469">
        <v>9416417</v>
      </c>
    </row>
    <row r="339" spans="2:14" ht="27" hidden="1">
      <c r="B339" s="485" t="s">
        <v>2332</v>
      </c>
      <c r="C339" s="463" t="s">
        <v>3488</v>
      </c>
      <c r="D339" s="463" t="s">
        <v>4524</v>
      </c>
      <c r="E339" s="464">
        <v>8134767</v>
      </c>
      <c r="F339" s="465">
        <v>15</v>
      </c>
      <c r="G339" s="466">
        <v>48576</v>
      </c>
      <c r="H339" s="467">
        <v>5481</v>
      </c>
      <c r="I339" s="289">
        <v>406738</v>
      </c>
      <c r="J339" s="289">
        <v>7728029</v>
      </c>
      <c r="K339" s="468">
        <v>365</v>
      </c>
      <c r="L339" s="289">
        <v>514638</v>
      </c>
      <c r="M339" s="464">
        <v>2192499</v>
      </c>
      <c r="N339" s="469">
        <v>5942268</v>
      </c>
    </row>
    <row r="340" spans="2:14" ht="27" hidden="1">
      <c r="B340" s="485" t="s">
        <v>2332</v>
      </c>
      <c r="C340" s="463" t="s">
        <v>3488</v>
      </c>
      <c r="D340" s="463" t="s">
        <v>4525</v>
      </c>
      <c r="E340" s="464">
        <v>51979680</v>
      </c>
      <c r="F340" s="465">
        <v>15</v>
      </c>
      <c r="G340" s="466">
        <v>48576</v>
      </c>
      <c r="H340" s="467">
        <v>5481</v>
      </c>
      <c r="I340" s="289">
        <v>2598984</v>
      </c>
      <c r="J340" s="289">
        <v>49380696</v>
      </c>
      <c r="K340" s="468">
        <v>365</v>
      </c>
      <c r="L340" s="289">
        <v>3288443</v>
      </c>
      <c r="M340" s="464">
        <v>14009668</v>
      </c>
      <c r="N340" s="469">
        <v>37970012</v>
      </c>
    </row>
    <row r="341" spans="2:14" hidden="1">
      <c r="B341" s="485" t="s">
        <v>2332</v>
      </c>
      <c r="C341" s="463" t="s">
        <v>3488</v>
      </c>
      <c r="D341" s="463" t="s">
        <v>4526</v>
      </c>
      <c r="E341" s="464">
        <v>2556092</v>
      </c>
      <c r="F341" s="465">
        <v>10</v>
      </c>
      <c r="G341" s="466">
        <v>46749</v>
      </c>
      <c r="H341" s="467">
        <v>3654</v>
      </c>
      <c r="I341" s="289">
        <v>127805</v>
      </c>
      <c r="J341" s="289">
        <v>2428287</v>
      </c>
      <c r="K341" s="468">
        <v>365</v>
      </c>
      <c r="L341" s="289">
        <v>242563</v>
      </c>
      <c r="M341" s="464">
        <v>1033384</v>
      </c>
      <c r="N341" s="469">
        <v>1522708</v>
      </c>
    </row>
    <row r="342" spans="2:14" hidden="1">
      <c r="B342" s="485" t="s">
        <v>2332</v>
      </c>
      <c r="C342" s="463" t="s">
        <v>3496</v>
      </c>
      <c r="D342" s="463" t="s">
        <v>4139</v>
      </c>
      <c r="E342" s="464">
        <v>40286489</v>
      </c>
      <c r="F342" s="465">
        <v>20</v>
      </c>
      <c r="G342" s="466">
        <v>50402</v>
      </c>
      <c r="H342" s="467">
        <v>7307</v>
      </c>
      <c r="I342" s="289">
        <v>2014324</v>
      </c>
      <c r="J342" s="289">
        <v>38272165</v>
      </c>
      <c r="K342" s="468">
        <v>365</v>
      </c>
      <c r="L342" s="289">
        <v>1911775</v>
      </c>
      <c r="M342" s="464">
        <v>8144686</v>
      </c>
      <c r="N342" s="469">
        <v>32141803</v>
      </c>
    </row>
    <row r="343" spans="2:14" hidden="1">
      <c r="B343" s="485" t="s">
        <v>2332</v>
      </c>
      <c r="C343" s="463" t="s">
        <v>3496</v>
      </c>
      <c r="D343" s="463" t="s">
        <v>4176</v>
      </c>
      <c r="E343" s="464">
        <v>171632499</v>
      </c>
      <c r="F343" s="465">
        <v>25</v>
      </c>
      <c r="G343" s="466">
        <v>52228</v>
      </c>
      <c r="H343" s="467">
        <v>9133</v>
      </c>
      <c r="I343" s="289">
        <v>8581625</v>
      </c>
      <c r="J343" s="289">
        <v>163050874</v>
      </c>
      <c r="K343" s="468">
        <v>365</v>
      </c>
      <c r="L343" s="289">
        <v>6516322</v>
      </c>
      <c r="M343" s="464">
        <v>27761317</v>
      </c>
      <c r="N343" s="469">
        <v>143871182</v>
      </c>
    </row>
    <row r="344" spans="2:14" hidden="1">
      <c r="B344" s="485" t="s">
        <v>2332</v>
      </c>
      <c r="C344" s="463" t="s">
        <v>3496</v>
      </c>
      <c r="D344" s="463" t="s">
        <v>4140</v>
      </c>
      <c r="E344" s="464">
        <v>11161983</v>
      </c>
      <c r="F344" s="465">
        <v>25</v>
      </c>
      <c r="G344" s="466">
        <v>52228</v>
      </c>
      <c r="H344" s="467">
        <v>9133</v>
      </c>
      <c r="I344" s="289">
        <v>558099</v>
      </c>
      <c r="J344" s="289">
        <v>10603884</v>
      </c>
      <c r="K344" s="468">
        <v>365</v>
      </c>
      <c r="L344" s="289">
        <v>423784</v>
      </c>
      <c r="M344" s="464">
        <v>1805436</v>
      </c>
      <c r="N344" s="469">
        <v>9356547</v>
      </c>
    </row>
    <row r="345" spans="2:14" ht="27" hidden="1">
      <c r="B345" s="485" t="s">
        <v>2332</v>
      </c>
      <c r="C345" s="463" t="s">
        <v>3496</v>
      </c>
      <c r="D345" s="463" t="s">
        <v>4527</v>
      </c>
      <c r="E345" s="464">
        <v>17386893</v>
      </c>
      <c r="F345" s="465">
        <v>25</v>
      </c>
      <c r="G345" s="466">
        <v>52228</v>
      </c>
      <c r="H345" s="467">
        <v>9133</v>
      </c>
      <c r="I345" s="289">
        <v>869345</v>
      </c>
      <c r="J345" s="289">
        <v>16517548</v>
      </c>
      <c r="K345" s="468">
        <v>365</v>
      </c>
      <c r="L345" s="289">
        <v>660123</v>
      </c>
      <c r="M345" s="464">
        <v>2812305</v>
      </c>
      <c r="N345" s="469">
        <v>14574588</v>
      </c>
    </row>
    <row r="346" spans="2:14" hidden="1">
      <c r="B346" s="485" t="s">
        <v>2332</v>
      </c>
      <c r="C346" s="463" t="s">
        <v>3496</v>
      </c>
      <c r="D346" s="463" t="s">
        <v>3519</v>
      </c>
      <c r="E346" s="464">
        <v>8952524</v>
      </c>
      <c r="F346" s="465">
        <v>20</v>
      </c>
      <c r="G346" s="466">
        <v>50402</v>
      </c>
      <c r="H346" s="467">
        <v>7307</v>
      </c>
      <c r="I346" s="289">
        <v>447626</v>
      </c>
      <c r="J346" s="289">
        <v>8504898</v>
      </c>
      <c r="K346" s="468">
        <v>365</v>
      </c>
      <c r="L346" s="289">
        <v>424838</v>
      </c>
      <c r="M346" s="464">
        <v>1809925</v>
      </c>
      <c r="N346" s="469">
        <v>7142599</v>
      </c>
    </row>
    <row r="347" spans="2:14" ht="40.5" hidden="1">
      <c r="B347" s="485" t="s">
        <v>2332</v>
      </c>
      <c r="C347" s="463" t="s">
        <v>3496</v>
      </c>
      <c r="D347" s="463" t="s">
        <v>4141</v>
      </c>
      <c r="E347" s="464">
        <v>126151198</v>
      </c>
      <c r="F347" s="465">
        <v>25</v>
      </c>
      <c r="G347" s="466">
        <v>52228</v>
      </c>
      <c r="H347" s="467">
        <v>9133</v>
      </c>
      <c r="I347" s="289">
        <v>6307560</v>
      </c>
      <c r="J347" s="289">
        <v>119843638</v>
      </c>
      <c r="K347" s="468">
        <v>365</v>
      </c>
      <c r="L347" s="289">
        <v>4789546</v>
      </c>
      <c r="M347" s="464">
        <v>20404779</v>
      </c>
      <c r="N347" s="469">
        <v>105746419</v>
      </c>
    </row>
    <row r="348" spans="2:14" hidden="1">
      <c r="B348" s="485" t="s">
        <v>2332</v>
      </c>
      <c r="C348" s="463" t="s">
        <v>3496</v>
      </c>
      <c r="D348" s="463" t="s">
        <v>3524</v>
      </c>
      <c r="E348" s="464">
        <v>24534182</v>
      </c>
      <c r="F348" s="465">
        <v>25</v>
      </c>
      <c r="G348" s="466">
        <v>52228</v>
      </c>
      <c r="H348" s="467">
        <v>9133</v>
      </c>
      <c r="I348" s="289">
        <v>1226709</v>
      </c>
      <c r="J348" s="289">
        <v>23307473</v>
      </c>
      <c r="K348" s="468">
        <v>365</v>
      </c>
      <c r="L348" s="289">
        <v>931482</v>
      </c>
      <c r="M348" s="464">
        <v>3968369</v>
      </c>
      <c r="N348" s="469">
        <v>20565813</v>
      </c>
    </row>
    <row r="349" spans="2:14" hidden="1">
      <c r="B349" s="485" t="s">
        <v>2332</v>
      </c>
      <c r="C349" s="463" t="s">
        <v>3496</v>
      </c>
      <c r="D349" s="463" t="s">
        <v>4528</v>
      </c>
      <c r="E349" s="464">
        <v>156473034</v>
      </c>
      <c r="F349" s="465">
        <v>30</v>
      </c>
      <c r="G349" s="466">
        <v>54054</v>
      </c>
      <c r="H349" s="467">
        <v>10959</v>
      </c>
      <c r="I349" s="289">
        <v>7823652</v>
      </c>
      <c r="J349" s="289">
        <v>148649382</v>
      </c>
      <c r="K349" s="468">
        <v>365</v>
      </c>
      <c r="L349" s="289">
        <v>4950910</v>
      </c>
      <c r="M349" s="464">
        <v>21092233</v>
      </c>
      <c r="N349" s="469">
        <v>135380801</v>
      </c>
    </row>
    <row r="350" spans="2:14" ht="27" hidden="1">
      <c r="B350" s="485" t="s">
        <v>2332</v>
      </c>
      <c r="C350" s="463" t="s">
        <v>3496</v>
      </c>
      <c r="D350" s="463" t="s">
        <v>4529</v>
      </c>
      <c r="E350" s="464">
        <v>13412727</v>
      </c>
      <c r="F350" s="465">
        <v>10</v>
      </c>
      <c r="G350" s="466">
        <v>46749</v>
      </c>
      <c r="H350" s="467">
        <v>3654</v>
      </c>
      <c r="I350" s="289">
        <v>670636</v>
      </c>
      <c r="J350" s="289">
        <v>12742091</v>
      </c>
      <c r="K350" s="468">
        <v>365</v>
      </c>
      <c r="L350" s="289">
        <v>1272814</v>
      </c>
      <c r="M350" s="464">
        <v>5422536</v>
      </c>
      <c r="N350" s="469">
        <v>7990191</v>
      </c>
    </row>
    <row r="351" spans="2:14" hidden="1">
      <c r="B351" s="485" t="s">
        <v>2332</v>
      </c>
      <c r="C351" s="463" t="s">
        <v>3496</v>
      </c>
      <c r="D351" s="463" t="s">
        <v>4530</v>
      </c>
      <c r="E351" s="464">
        <v>165089566</v>
      </c>
      <c r="F351" s="465">
        <v>25</v>
      </c>
      <c r="G351" s="466">
        <v>52228</v>
      </c>
      <c r="H351" s="467">
        <v>9133</v>
      </c>
      <c r="I351" s="289">
        <v>8254478</v>
      </c>
      <c r="J351" s="289">
        <v>156835088</v>
      </c>
      <c r="K351" s="468">
        <v>365</v>
      </c>
      <c r="L351" s="289">
        <v>6267908</v>
      </c>
      <c r="M351" s="464">
        <v>26703006</v>
      </c>
      <c r="N351" s="469">
        <v>138386560</v>
      </c>
    </row>
    <row r="352" spans="2:14" ht="27" hidden="1">
      <c r="B352" s="485" t="s">
        <v>2332</v>
      </c>
      <c r="C352" s="463" t="s">
        <v>3496</v>
      </c>
      <c r="D352" s="463" t="s">
        <v>4531</v>
      </c>
      <c r="E352" s="464">
        <v>94580974</v>
      </c>
      <c r="F352" s="465">
        <v>25</v>
      </c>
      <c r="G352" s="466">
        <v>52228</v>
      </c>
      <c r="H352" s="467">
        <v>9133</v>
      </c>
      <c r="I352" s="289">
        <v>4729049</v>
      </c>
      <c r="J352" s="289">
        <v>89851925</v>
      </c>
      <c r="K352" s="468">
        <v>365</v>
      </c>
      <c r="L352" s="289">
        <v>3590929</v>
      </c>
      <c r="M352" s="464">
        <v>15298341</v>
      </c>
      <c r="N352" s="469">
        <v>79282633</v>
      </c>
    </row>
    <row r="353" spans="2:14" hidden="1">
      <c r="B353" s="485" t="s">
        <v>2332</v>
      </c>
      <c r="C353" s="463" t="s">
        <v>3496</v>
      </c>
      <c r="D353" s="463" t="s">
        <v>3504</v>
      </c>
      <c r="E353" s="464">
        <v>49967385</v>
      </c>
      <c r="F353" s="465">
        <v>15</v>
      </c>
      <c r="G353" s="466">
        <v>48576</v>
      </c>
      <c r="H353" s="467">
        <v>5481</v>
      </c>
      <c r="I353" s="289">
        <v>2498369</v>
      </c>
      <c r="J353" s="289">
        <v>47469016</v>
      </c>
      <c r="K353" s="468">
        <v>365</v>
      </c>
      <c r="L353" s="289">
        <v>3161137</v>
      </c>
      <c r="M353" s="464">
        <v>13467309</v>
      </c>
      <c r="N353" s="469">
        <v>36500076</v>
      </c>
    </row>
    <row r="354" spans="2:14" hidden="1">
      <c r="B354" s="485" t="s">
        <v>2332</v>
      </c>
      <c r="C354" s="463" t="s">
        <v>3496</v>
      </c>
      <c r="D354" s="463" t="s">
        <v>3503</v>
      </c>
      <c r="E354" s="464">
        <v>196300209</v>
      </c>
      <c r="F354" s="465">
        <v>15</v>
      </c>
      <c r="G354" s="466">
        <v>48576</v>
      </c>
      <c r="H354" s="467">
        <v>5481</v>
      </c>
      <c r="I354" s="289">
        <v>9815010</v>
      </c>
      <c r="J354" s="289">
        <v>186485199</v>
      </c>
      <c r="K354" s="468">
        <v>365</v>
      </c>
      <c r="L354" s="289">
        <v>12418737</v>
      </c>
      <c r="M354" s="464">
        <v>52907222</v>
      </c>
      <c r="N354" s="469">
        <v>143392987</v>
      </c>
    </row>
    <row r="355" spans="2:14" ht="27" hidden="1">
      <c r="B355" s="485" t="s">
        <v>2332</v>
      </c>
      <c r="C355" s="463" t="s">
        <v>3496</v>
      </c>
      <c r="D355" s="463" t="s">
        <v>3542</v>
      </c>
      <c r="E355" s="464">
        <v>75397058</v>
      </c>
      <c r="F355" s="465">
        <v>10</v>
      </c>
      <c r="G355" s="466">
        <v>46749</v>
      </c>
      <c r="H355" s="467">
        <v>3654</v>
      </c>
      <c r="I355" s="289">
        <v>3769853</v>
      </c>
      <c r="J355" s="289">
        <v>71627205</v>
      </c>
      <c r="K355" s="468">
        <v>365</v>
      </c>
      <c r="L355" s="289">
        <v>7154880</v>
      </c>
      <c r="M355" s="464">
        <v>30481749</v>
      </c>
      <c r="N355" s="469">
        <v>44915309</v>
      </c>
    </row>
    <row r="356" spans="2:14" hidden="1">
      <c r="B356" s="485" t="s">
        <v>2332</v>
      </c>
      <c r="C356" s="463" t="s">
        <v>3496</v>
      </c>
      <c r="D356" s="463" t="s">
        <v>4177</v>
      </c>
      <c r="E356" s="464">
        <v>44811069</v>
      </c>
      <c r="F356" s="465">
        <v>20</v>
      </c>
      <c r="G356" s="466">
        <v>50402</v>
      </c>
      <c r="H356" s="467">
        <v>7307</v>
      </c>
      <c r="I356" s="289">
        <v>2240553</v>
      </c>
      <c r="J356" s="289">
        <v>42570516</v>
      </c>
      <c r="K356" s="468">
        <v>365</v>
      </c>
      <c r="L356" s="289">
        <v>2126487</v>
      </c>
      <c r="M356" s="464">
        <v>9059417</v>
      </c>
      <c r="N356" s="469">
        <v>35751652</v>
      </c>
    </row>
    <row r="357" spans="2:14" hidden="1">
      <c r="B357" s="485" t="s">
        <v>2332</v>
      </c>
      <c r="C357" s="463" t="s">
        <v>3496</v>
      </c>
      <c r="D357" s="463" t="s">
        <v>4178</v>
      </c>
      <c r="E357" s="464">
        <v>36137126</v>
      </c>
      <c r="F357" s="465">
        <v>30</v>
      </c>
      <c r="G357" s="466">
        <v>54054</v>
      </c>
      <c r="H357" s="467">
        <v>10959</v>
      </c>
      <c r="I357" s="289">
        <v>1806856</v>
      </c>
      <c r="J357" s="289">
        <v>34330270</v>
      </c>
      <c r="K357" s="468">
        <v>365</v>
      </c>
      <c r="L357" s="289">
        <v>1143403</v>
      </c>
      <c r="M357" s="464">
        <v>4871209</v>
      </c>
      <c r="N357" s="469">
        <v>31265917</v>
      </c>
    </row>
    <row r="358" spans="2:14" hidden="1">
      <c r="B358" s="485" t="s">
        <v>2332</v>
      </c>
      <c r="C358" s="463" t="s">
        <v>3496</v>
      </c>
      <c r="D358" s="463" t="s">
        <v>3515</v>
      </c>
      <c r="E358" s="464">
        <v>10300667</v>
      </c>
      <c r="F358" s="465">
        <v>25</v>
      </c>
      <c r="G358" s="466">
        <v>52228</v>
      </c>
      <c r="H358" s="467">
        <v>9133</v>
      </c>
      <c r="I358" s="289">
        <v>515033</v>
      </c>
      <c r="J358" s="289">
        <v>9785634</v>
      </c>
      <c r="K358" s="468">
        <v>365</v>
      </c>
      <c r="L358" s="289">
        <v>391082</v>
      </c>
      <c r="M358" s="464">
        <v>1666117</v>
      </c>
      <c r="N358" s="469">
        <v>8634550</v>
      </c>
    </row>
    <row r="359" spans="2:14" hidden="1">
      <c r="B359" s="485" t="s">
        <v>2332</v>
      </c>
      <c r="C359" s="463" t="s">
        <v>3496</v>
      </c>
      <c r="D359" s="463" t="s">
        <v>3516</v>
      </c>
      <c r="E359" s="464">
        <v>26635420</v>
      </c>
      <c r="F359" s="465">
        <v>20</v>
      </c>
      <c r="G359" s="466">
        <v>50402</v>
      </c>
      <c r="H359" s="467">
        <v>7307</v>
      </c>
      <c r="I359" s="289">
        <v>1331771</v>
      </c>
      <c r="J359" s="289">
        <v>25303649</v>
      </c>
      <c r="K359" s="468">
        <v>365</v>
      </c>
      <c r="L359" s="289">
        <v>1263970</v>
      </c>
      <c r="M359" s="464">
        <v>5384859</v>
      </c>
      <c r="N359" s="469">
        <v>21250561</v>
      </c>
    </row>
    <row r="360" spans="2:14" hidden="1">
      <c r="B360" s="485" t="s">
        <v>2332</v>
      </c>
      <c r="C360" s="463" t="s">
        <v>3496</v>
      </c>
      <c r="D360" s="463" t="s">
        <v>3518</v>
      </c>
      <c r="E360" s="464">
        <v>4461427</v>
      </c>
      <c r="F360" s="465">
        <v>25</v>
      </c>
      <c r="G360" s="466">
        <v>52228</v>
      </c>
      <c r="H360" s="467">
        <v>9133</v>
      </c>
      <c r="I360" s="289">
        <v>223071</v>
      </c>
      <c r="J360" s="289">
        <v>4238356</v>
      </c>
      <c r="K360" s="468">
        <v>365</v>
      </c>
      <c r="L360" s="289">
        <v>169386</v>
      </c>
      <c r="M360" s="464">
        <v>721631</v>
      </c>
      <c r="N360" s="469">
        <v>3739796</v>
      </c>
    </row>
    <row r="361" spans="2:14" hidden="1">
      <c r="B361" s="485" t="s">
        <v>2332</v>
      </c>
      <c r="C361" s="463" t="s">
        <v>3496</v>
      </c>
      <c r="D361" s="463" t="s">
        <v>4179</v>
      </c>
      <c r="E361" s="464">
        <v>8922857</v>
      </c>
      <c r="F361" s="465">
        <v>5</v>
      </c>
      <c r="G361" s="466">
        <v>44923</v>
      </c>
      <c r="H361" s="467">
        <v>1828</v>
      </c>
      <c r="I361" s="289">
        <v>446143</v>
      </c>
      <c r="J361" s="289">
        <v>8476714</v>
      </c>
      <c r="K361" s="468">
        <v>365</v>
      </c>
      <c r="L361" s="289">
        <v>1692561</v>
      </c>
      <c r="M361" s="464">
        <v>7210773</v>
      </c>
      <c r="N361" s="469">
        <v>1712084</v>
      </c>
    </row>
    <row r="362" spans="2:14" hidden="1">
      <c r="B362" s="485" t="s">
        <v>2332</v>
      </c>
      <c r="C362" s="463" t="s">
        <v>3496</v>
      </c>
      <c r="D362" s="463" t="s">
        <v>3520</v>
      </c>
      <c r="E362" s="464">
        <v>6668146</v>
      </c>
      <c r="F362" s="465">
        <v>10</v>
      </c>
      <c r="G362" s="466">
        <v>46749</v>
      </c>
      <c r="H362" s="467">
        <v>3654</v>
      </c>
      <c r="I362" s="289">
        <v>333407</v>
      </c>
      <c r="J362" s="289">
        <v>6334739</v>
      </c>
      <c r="K362" s="468">
        <v>365</v>
      </c>
      <c r="L362" s="289">
        <v>632780</v>
      </c>
      <c r="M362" s="464">
        <v>2695817</v>
      </c>
      <c r="N362" s="469">
        <v>3972329</v>
      </c>
    </row>
    <row r="363" spans="2:14" hidden="1">
      <c r="B363" s="485" t="s">
        <v>2332</v>
      </c>
      <c r="C363" s="463" t="s">
        <v>3496</v>
      </c>
      <c r="D363" s="463" t="s">
        <v>4180</v>
      </c>
      <c r="E363" s="464">
        <v>11153431</v>
      </c>
      <c r="F363" s="465">
        <v>5</v>
      </c>
      <c r="G363" s="466">
        <v>44923</v>
      </c>
      <c r="H363" s="467">
        <v>1828</v>
      </c>
      <c r="I363" s="289">
        <v>557672</v>
      </c>
      <c r="J363" s="289">
        <v>10595759</v>
      </c>
      <c r="K363" s="468">
        <v>365</v>
      </c>
      <c r="L363" s="289">
        <v>2115674</v>
      </c>
      <c r="M363" s="464">
        <v>9013351</v>
      </c>
      <c r="N363" s="469">
        <v>2140080</v>
      </c>
    </row>
    <row r="364" spans="2:14" hidden="1">
      <c r="B364" s="485" t="s">
        <v>2332</v>
      </c>
      <c r="C364" s="463" t="s">
        <v>3496</v>
      </c>
      <c r="D364" s="463" t="s">
        <v>3554</v>
      </c>
      <c r="E364" s="464">
        <v>178454634</v>
      </c>
      <c r="F364" s="465">
        <v>25</v>
      </c>
      <c r="G364" s="466">
        <v>52228</v>
      </c>
      <c r="H364" s="467">
        <v>9133</v>
      </c>
      <c r="I364" s="289">
        <v>8922732</v>
      </c>
      <c r="J364" s="289">
        <v>169531902</v>
      </c>
      <c r="K364" s="468">
        <v>365</v>
      </c>
      <c r="L364" s="289">
        <v>6775336</v>
      </c>
      <c r="M364" s="464">
        <v>28864788</v>
      </c>
      <c r="N364" s="469">
        <v>149589846</v>
      </c>
    </row>
    <row r="365" spans="2:14" ht="27" hidden="1">
      <c r="B365" s="485" t="s">
        <v>2332</v>
      </c>
      <c r="C365" s="463" t="s">
        <v>3496</v>
      </c>
      <c r="D365" s="463" t="s">
        <v>4181</v>
      </c>
      <c r="E365" s="464">
        <v>44492913</v>
      </c>
      <c r="F365" s="465">
        <v>30</v>
      </c>
      <c r="G365" s="466">
        <v>54054</v>
      </c>
      <c r="H365" s="467">
        <v>10959</v>
      </c>
      <c r="I365" s="289">
        <v>2224646</v>
      </c>
      <c r="J365" s="289">
        <v>42268267</v>
      </c>
      <c r="K365" s="468">
        <v>365</v>
      </c>
      <c r="L365" s="289">
        <v>1407785</v>
      </c>
      <c r="M365" s="464">
        <v>5997550</v>
      </c>
      <c r="N365" s="469">
        <v>38495363</v>
      </c>
    </row>
    <row r="366" spans="2:14" ht="27" hidden="1">
      <c r="B366" s="485" t="s">
        <v>2332</v>
      </c>
      <c r="C366" s="463" t="s">
        <v>3496</v>
      </c>
      <c r="D366" s="463" t="s">
        <v>4182</v>
      </c>
      <c r="E366" s="464">
        <v>40152297</v>
      </c>
      <c r="F366" s="465">
        <v>15</v>
      </c>
      <c r="G366" s="466">
        <v>48576</v>
      </c>
      <c r="H366" s="467">
        <v>5481</v>
      </c>
      <c r="I366" s="289">
        <v>2007615</v>
      </c>
      <c r="J366" s="289">
        <v>38144682</v>
      </c>
      <c r="K366" s="468">
        <v>365</v>
      </c>
      <c r="L366" s="289">
        <v>2540195</v>
      </c>
      <c r="M366" s="464">
        <v>10821926</v>
      </c>
      <c r="N366" s="469">
        <v>29330371</v>
      </c>
    </row>
    <row r="367" spans="2:14" ht="27" hidden="1">
      <c r="B367" s="485" t="s">
        <v>2332</v>
      </c>
      <c r="C367" s="463" t="s">
        <v>3496</v>
      </c>
      <c r="D367" s="463" t="s">
        <v>4183</v>
      </c>
      <c r="E367" s="464">
        <v>98150173</v>
      </c>
      <c r="F367" s="465">
        <v>15</v>
      </c>
      <c r="G367" s="466">
        <v>48576</v>
      </c>
      <c r="H367" s="467">
        <v>5481</v>
      </c>
      <c r="I367" s="289">
        <v>4907509</v>
      </c>
      <c r="J367" s="289">
        <v>93242664</v>
      </c>
      <c r="K367" s="468">
        <v>365</v>
      </c>
      <c r="L367" s="289">
        <v>6209373</v>
      </c>
      <c r="M367" s="464">
        <v>26453630</v>
      </c>
      <c r="N367" s="469">
        <v>71696543</v>
      </c>
    </row>
    <row r="368" spans="2:14" ht="27" hidden="1">
      <c r="B368" s="485" t="s">
        <v>2332</v>
      </c>
      <c r="C368" s="463" t="s">
        <v>3496</v>
      </c>
      <c r="D368" s="463" t="s">
        <v>3560</v>
      </c>
      <c r="E368" s="464">
        <v>7138258</v>
      </c>
      <c r="F368" s="465">
        <v>10</v>
      </c>
      <c r="G368" s="466">
        <v>46749</v>
      </c>
      <c r="H368" s="467">
        <v>3654</v>
      </c>
      <c r="I368" s="289">
        <v>356913</v>
      </c>
      <c r="J368" s="289">
        <v>6781345</v>
      </c>
      <c r="K368" s="468">
        <v>365</v>
      </c>
      <c r="L368" s="289">
        <v>677392</v>
      </c>
      <c r="M368" s="464">
        <v>2885876</v>
      </c>
      <c r="N368" s="469">
        <v>4252382</v>
      </c>
    </row>
    <row r="369" spans="2:14" hidden="1">
      <c r="B369" s="485" t="s">
        <v>2332</v>
      </c>
      <c r="C369" s="463" t="s">
        <v>3496</v>
      </c>
      <c r="D369" s="463" t="s">
        <v>3548</v>
      </c>
      <c r="E369" s="464">
        <v>22386107</v>
      </c>
      <c r="F369" s="465">
        <v>15</v>
      </c>
      <c r="G369" s="466">
        <v>48576</v>
      </c>
      <c r="H369" s="467">
        <v>5481</v>
      </c>
      <c r="I369" s="289">
        <v>1119305</v>
      </c>
      <c r="J369" s="289">
        <v>21266802</v>
      </c>
      <c r="K369" s="468">
        <v>365</v>
      </c>
      <c r="L369" s="289">
        <v>1416235</v>
      </c>
      <c r="M369" s="464">
        <v>6033549</v>
      </c>
      <c r="N369" s="469">
        <v>16352558</v>
      </c>
    </row>
    <row r="370" spans="2:14" hidden="1">
      <c r="B370" s="485" t="s">
        <v>2332</v>
      </c>
      <c r="C370" s="463" t="s">
        <v>3496</v>
      </c>
      <c r="D370" s="463" t="s">
        <v>4140</v>
      </c>
      <c r="E370" s="464">
        <v>6143459</v>
      </c>
      <c r="F370" s="465">
        <v>25</v>
      </c>
      <c r="G370" s="466">
        <v>52228</v>
      </c>
      <c r="H370" s="467">
        <v>9133</v>
      </c>
      <c r="I370" s="289">
        <v>307173</v>
      </c>
      <c r="J370" s="289">
        <v>5836286</v>
      </c>
      <c r="K370" s="468">
        <v>365</v>
      </c>
      <c r="L370" s="289">
        <v>233247</v>
      </c>
      <c r="M370" s="464">
        <v>993696</v>
      </c>
      <c r="N370" s="469">
        <v>5149763</v>
      </c>
    </row>
    <row r="371" spans="2:14" ht="27" hidden="1">
      <c r="B371" s="485" t="s">
        <v>2332</v>
      </c>
      <c r="C371" s="463" t="s">
        <v>3496</v>
      </c>
      <c r="D371" s="463" t="s">
        <v>4184</v>
      </c>
      <c r="E371" s="464">
        <v>2403814</v>
      </c>
      <c r="F371" s="465">
        <v>25</v>
      </c>
      <c r="G371" s="466">
        <v>52228</v>
      </c>
      <c r="H371" s="467">
        <v>9133</v>
      </c>
      <c r="I371" s="289">
        <v>120191</v>
      </c>
      <c r="J371" s="289">
        <v>2283623</v>
      </c>
      <c r="K371" s="468">
        <v>365</v>
      </c>
      <c r="L371" s="289">
        <v>91265</v>
      </c>
      <c r="M371" s="464">
        <v>388814</v>
      </c>
      <c r="N371" s="469">
        <v>2015000</v>
      </c>
    </row>
    <row r="372" spans="2:14" hidden="1">
      <c r="B372" s="485" t="s">
        <v>2332</v>
      </c>
      <c r="C372" s="463" t="s">
        <v>3496</v>
      </c>
      <c r="D372" s="463" t="s">
        <v>4185</v>
      </c>
      <c r="E372" s="464">
        <v>793004681</v>
      </c>
      <c r="F372" s="465">
        <v>30</v>
      </c>
      <c r="G372" s="466">
        <v>54054</v>
      </c>
      <c r="H372" s="467">
        <v>10959</v>
      </c>
      <c r="I372" s="289">
        <v>39650234</v>
      </c>
      <c r="J372" s="289">
        <v>753354447</v>
      </c>
      <c r="K372" s="468">
        <v>365</v>
      </c>
      <c r="L372" s="289">
        <v>25091192</v>
      </c>
      <c r="M372" s="464">
        <v>106895352</v>
      </c>
      <c r="N372" s="469">
        <v>686109329</v>
      </c>
    </row>
    <row r="373" spans="2:14" hidden="1">
      <c r="B373" s="485" t="s">
        <v>2332</v>
      </c>
      <c r="C373" s="463" t="s">
        <v>3496</v>
      </c>
      <c r="D373" s="463" t="s">
        <v>4186</v>
      </c>
      <c r="E373" s="464">
        <v>942983854</v>
      </c>
      <c r="F373" s="465">
        <v>30</v>
      </c>
      <c r="G373" s="466">
        <v>54054</v>
      </c>
      <c r="H373" s="467">
        <v>10959</v>
      </c>
      <c r="I373" s="289">
        <v>47149193</v>
      </c>
      <c r="J373" s="289">
        <v>895834661</v>
      </c>
      <c r="K373" s="468">
        <v>365</v>
      </c>
      <c r="L373" s="289">
        <v>29836632</v>
      </c>
      <c r="M373" s="464">
        <v>127112227</v>
      </c>
      <c r="N373" s="469">
        <v>815871627</v>
      </c>
    </row>
    <row r="374" spans="2:14" hidden="1">
      <c r="B374" s="485" t="s">
        <v>2332</v>
      </c>
      <c r="C374" s="463" t="s">
        <v>3496</v>
      </c>
      <c r="D374" s="463" t="s">
        <v>4187</v>
      </c>
      <c r="E374" s="464">
        <v>942983854</v>
      </c>
      <c r="F374" s="465">
        <v>30</v>
      </c>
      <c r="G374" s="466">
        <v>54054</v>
      </c>
      <c r="H374" s="467">
        <v>10959</v>
      </c>
      <c r="I374" s="289">
        <v>47149193</v>
      </c>
      <c r="J374" s="289">
        <v>895834661</v>
      </c>
      <c r="K374" s="468">
        <v>365</v>
      </c>
      <c r="L374" s="289">
        <v>29836632</v>
      </c>
      <c r="M374" s="464">
        <v>127112227</v>
      </c>
      <c r="N374" s="469">
        <v>815871627</v>
      </c>
    </row>
    <row r="375" spans="2:14" hidden="1">
      <c r="B375" s="485" t="s">
        <v>2332</v>
      </c>
      <c r="C375" s="463" t="s">
        <v>3496</v>
      </c>
      <c r="D375" s="463" t="s">
        <v>4188</v>
      </c>
      <c r="E375" s="464">
        <v>318230990</v>
      </c>
      <c r="F375" s="465">
        <v>30</v>
      </c>
      <c r="G375" s="466">
        <v>54054</v>
      </c>
      <c r="H375" s="467">
        <v>10959</v>
      </c>
      <c r="I375" s="289">
        <v>15911550</v>
      </c>
      <c r="J375" s="289">
        <v>302319440</v>
      </c>
      <c r="K375" s="468">
        <v>365</v>
      </c>
      <c r="L375" s="289">
        <v>10069039</v>
      </c>
      <c r="M375" s="464">
        <v>42896864</v>
      </c>
      <c r="N375" s="469">
        <v>275334126</v>
      </c>
    </row>
    <row r="376" spans="2:14" hidden="1">
      <c r="B376" s="485" t="s">
        <v>2332</v>
      </c>
      <c r="C376" s="463" t="s">
        <v>3496</v>
      </c>
      <c r="D376" s="463" t="s">
        <v>4189</v>
      </c>
      <c r="E376" s="464">
        <v>164398023</v>
      </c>
      <c r="F376" s="465">
        <v>25</v>
      </c>
      <c r="G376" s="466">
        <v>52228</v>
      </c>
      <c r="H376" s="467">
        <v>9133</v>
      </c>
      <c r="I376" s="289">
        <v>8219901</v>
      </c>
      <c r="J376" s="289">
        <v>156178122</v>
      </c>
      <c r="K376" s="468">
        <v>365</v>
      </c>
      <c r="L376" s="289">
        <v>6241653</v>
      </c>
      <c r="M376" s="464">
        <v>26591151</v>
      </c>
      <c r="N376" s="469">
        <v>137806872</v>
      </c>
    </row>
    <row r="377" spans="2:14" ht="27" hidden="1">
      <c r="B377" s="485" t="s">
        <v>2332</v>
      </c>
      <c r="C377" s="463" t="s">
        <v>3496</v>
      </c>
      <c r="D377" s="463" t="s">
        <v>4190</v>
      </c>
      <c r="E377" s="464">
        <v>62755628</v>
      </c>
      <c r="F377" s="465">
        <v>20</v>
      </c>
      <c r="G377" s="466">
        <v>50402</v>
      </c>
      <c r="H377" s="467">
        <v>7307</v>
      </c>
      <c r="I377" s="289">
        <v>3137781</v>
      </c>
      <c r="J377" s="289">
        <v>59617847</v>
      </c>
      <c r="K377" s="468">
        <v>365</v>
      </c>
      <c r="L377" s="289">
        <v>2978037</v>
      </c>
      <c r="M377" s="464">
        <v>12687253</v>
      </c>
      <c r="N377" s="469">
        <v>50068375</v>
      </c>
    </row>
    <row r="378" spans="2:14" ht="27" hidden="1">
      <c r="B378" s="485" t="s">
        <v>2332</v>
      </c>
      <c r="C378" s="463" t="s">
        <v>3496</v>
      </c>
      <c r="D378" s="463" t="s">
        <v>4191</v>
      </c>
      <c r="E378" s="464">
        <v>62755628</v>
      </c>
      <c r="F378" s="465">
        <v>20</v>
      </c>
      <c r="G378" s="466">
        <v>50402</v>
      </c>
      <c r="H378" s="467">
        <v>7307</v>
      </c>
      <c r="I378" s="289">
        <v>3137781</v>
      </c>
      <c r="J378" s="289">
        <v>59617847</v>
      </c>
      <c r="K378" s="468">
        <v>365</v>
      </c>
      <c r="L378" s="289">
        <v>2978037</v>
      </c>
      <c r="M378" s="464">
        <v>12687253</v>
      </c>
      <c r="N378" s="469">
        <v>50068375</v>
      </c>
    </row>
    <row r="379" spans="2:14" ht="27" hidden="1">
      <c r="B379" s="485" t="s">
        <v>2332</v>
      </c>
      <c r="C379" s="463" t="s">
        <v>3496</v>
      </c>
      <c r="D379" s="463" t="s">
        <v>4192</v>
      </c>
      <c r="E379" s="464">
        <v>62755628</v>
      </c>
      <c r="F379" s="465">
        <v>20</v>
      </c>
      <c r="G379" s="466">
        <v>50402</v>
      </c>
      <c r="H379" s="467">
        <v>7307</v>
      </c>
      <c r="I379" s="289">
        <v>3137781</v>
      </c>
      <c r="J379" s="289">
        <v>59617847</v>
      </c>
      <c r="K379" s="468">
        <v>365</v>
      </c>
      <c r="L379" s="289">
        <v>2978037</v>
      </c>
      <c r="M379" s="464">
        <v>12687253</v>
      </c>
      <c r="N379" s="469">
        <v>50068375</v>
      </c>
    </row>
    <row r="380" spans="2:14" hidden="1">
      <c r="B380" s="485" t="s">
        <v>2332</v>
      </c>
      <c r="C380" s="463" t="s">
        <v>3496</v>
      </c>
      <c r="D380" s="463" t="s">
        <v>3552</v>
      </c>
      <c r="E380" s="464">
        <v>62755628</v>
      </c>
      <c r="F380" s="465">
        <v>25</v>
      </c>
      <c r="G380" s="466">
        <v>52228</v>
      </c>
      <c r="H380" s="467">
        <v>9133</v>
      </c>
      <c r="I380" s="289">
        <v>3137781</v>
      </c>
      <c r="J380" s="289">
        <v>59617847</v>
      </c>
      <c r="K380" s="468">
        <v>365</v>
      </c>
      <c r="L380" s="289">
        <v>2382625</v>
      </c>
      <c r="M380" s="464">
        <v>10150636</v>
      </c>
      <c r="N380" s="469">
        <v>52604992</v>
      </c>
    </row>
    <row r="381" spans="2:14" hidden="1">
      <c r="B381" s="485" t="s">
        <v>2332</v>
      </c>
      <c r="C381" s="463" t="s">
        <v>3496</v>
      </c>
      <c r="D381" s="463" t="s">
        <v>3514</v>
      </c>
      <c r="E381" s="464">
        <v>18786955</v>
      </c>
      <c r="F381" s="465">
        <v>10</v>
      </c>
      <c r="G381" s="466">
        <v>46749</v>
      </c>
      <c r="H381" s="467">
        <v>3654</v>
      </c>
      <c r="I381" s="289">
        <v>939348</v>
      </c>
      <c r="J381" s="289">
        <v>17847607</v>
      </c>
      <c r="K381" s="468">
        <v>365</v>
      </c>
      <c r="L381" s="289">
        <v>1782807</v>
      </c>
      <c r="M381" s="464">
        <v>7595246</v>
      </c>
      <c r="N381" s="469">
        <v>11191709</v>
      </c>
    </row>
    <row r="382" spans="2:14" hidden="1">
      <c r="B382" s="485" t="s">
        <v>2332</v>
      </c>
      <c r="C382" s="463" t="s">
        <v>3496</v>
      </c>
      <c r="D382" s="463" t="s">
        <v>4193</v>
      </c>
      <c r="E382" s="464">
        <v>156769390</v>
      </c>
      <c r="F382" s="465">
        <v>30</v>
      </c>
      <c r="G382" s="466">
        <v>54054</v>
      </c>
      <c r="H382" s="467">
        <v>10959</v>
      </c>
      <c r="I382" s="289">
        <v>7838470</v>
      </c>
      <c r="J382" s="289">
        <v>148930920</v>
      </c>
      <c r="K382" s="468">
        <v>365</v>
      </c>
      <c r="L382" s="289">
        <v>4960287</v>
      </c>
      <c r="M382" s="464">
        <v>21132182</v>
      </c>
      <c r="N382" s="469">
        <v>135637208</v>
      </c>
    </row>
    <row r="383" spans="2:14" hidden="1">
      <c r="B383" s="485" t="s">
        <v>2332</v>
      </c>
      <c r="C383" s="463" t="s">
        <v>3496</v>
      </c>
      <c r="D383" s="463" t="s">
        <v>4194</v>
      </c>
      <c r="E383" s="464">
        <v>164384097</v>
      </c>
      <c r="F383" s="465">
        <v>25</v>
      </c>
      <c r="G383" s="466">
        <v>52228</v>
      </c>
      <c r="H383" s="467">
        <v>9133</v>
      </c>
      <c r="I383" s="289">
        <v>8219205</v>
      </c>
      <c r="J383" s="289">
        <v>156164892</v>
      </c>
      <c r="K383" s="468">
        <v>365</v>
      </c>
      <c r="L383" s="289">
        <v>6241124</v>
      </c>
      <c r="M383" s="464">
        <v>26588898</v>
      </c>
      <c r="N383" s="469">
        <v>137795199</v>
      </c>
    </row>
    <row r="384" spans="2:14" hidden="1">
      <c r="B384" s="485" t="s">
        <v>2332</v>
      </c>
      <c r="C384" s="463" t="s">
        <v>3496</v>
      </c>
      <c r="D384" s="463" t="s">
        <v>4195</v>
      </c>
      <c r="E384" s="464">
        <v>164384097</v>
      </c>
      <c r="F384" s="465">
        <v>25</v>
      </c>
      <c r="G384" s="466">
        <v>52228</v>
      </c>
      <c r="H384" s="467">
        <v>9133</v>
      </c>
      <c r="I384" s="289">
        <v>8219205</v>
      </c>
      <c r="J384" s="289">
        <v>156164892</v>
      </c>
      <c r="K384" s="468">
        <v>365</v>
      </c>
      <c r="L384" s="289">
        <v>6241124</v>
      </c>
      <c r="M384" s="464">
        <v>26588898</v>
      </c>
      <c r="N384" s="469">
        <v>137795199</v>
      </c>
    </row>
    <row r="385" spans="2:14" hidden="1">
      <c r="B385" s="485" t="s">
        <v>2332</v>
      </c>
      <c r="C385" s="463" t="s">
        <v>3496</v>
      </c>
      <c r="D385" s="463" t="s">
        <v>4196</v>
      </c>
      <c r="E385" s="464">
        <v>447912788</v>
      </c>
      <c r="F385" s="465">
        <v>25</v>
      </c>
      <c r="G385" s="466">
        <v>52228</v>
      </c>
      <c r="H385" s="467">
        <v>9133</v>
      </c>
      <c r="I385" s="289">
        <v>22395639</v>
      </c>
      <c r="J385" s="289">
        <v>425517149</v>
      </c>
      <c r="K385" s="468">
        <v>365</v>
      </c>
      <c r="L385" s="289">
        <v>17005777</v>
      </c>
      <c r="M385" s="464">
        <v>72449269</v>
      </c>
      <c r="N385" s="469">
        <v>375463519</v>
      </c>
    </row>
    <row r="386" spans="2:14" hidden="1">
      <c r="B386" s="485" t="s">
        <v>2332</v>
      </c>
      <c r="C386" s="463" t="s">
        <v>3496</v>
      </c>
      <c r="D386" s="463" t="s">
        <v>4197</v>
      </c>
      <c r="E386" s="464">
        <v>380725927</v>
      </c>
      <c r="F386" s="465">
        <v>25</v>
      </c>
      <c r="G386" s="466">
        <v>52228</v>
      </c>
      <c r="H386" s="467">
        <v>9133</v>
      </c>
      <c r="I386" s="289">
        <v>19036296</v>
      </c>
      <c r="J386" s="289">
        <v>361689631</v>
      </c>
      <c r="K386" s="468">
        <v>365</v>
      </c>
      <c r="L386" s="289">
        <v>14454912</v>
      </c>
      <c r="M386" s="464">
        <v>61581886</v>
      </c>
      <c r="N386" s="469">
        <v>319144041</v>
      </c>
    </row>
    <row r="387" spans="2:14" hidden="1">
      <c r="B387" s="485" t="s">
        <v>2332</v>
      </c>
      <c r="C387" s="463" t="s">
        <v>3496</v>
      </c>
      <c r="D387" s="463" t="s">
        <v>4198</v>
      </c>
      <c r="E387" s="464">
        <v>380725927</v>
      </c>
      <c r="F387" s="465">
        <v>25</v>
      </c>
      <c r="G387" s="466">
        <v>52228</v>
      </c>
      <c r="H387" s="467">
        <v>9133</v>
      </c>
      <c r="I387" s="289">
        <v>19036296</v>
      </c>
      <c r="J387" s="289">
        <v>361689631</v>
      </c>
      <c r="K387" s="468">
        <v>365</v>
      </c>
      <c r="L387" s="289">
        <v>14454912</v>
      </c>
      <c r="M387" s="464">
        <v>61581886</v>
      </c>
      <c r="N387" s="469">
        <v>319144041</v>
      </c>
    </row>
    <row r="388" spans="2:14" hidden="1">
      <c r="B388" s="485" t="s">
        <v>2332</v>
      </c>
      <c r="C388" s="463" t="s">
        <v>3496</v>
      </c>
      <c r="D388" s="463" t="s">
        <v>4199</v>
      </c>
      <c r="E388" s="464">
        <v>44791336</v>
      </c>
      <c r="F388" s="465">
        <v>10</v>
      </c>
      <c r="G388" s="466">
        <v>46749</v>
      </c>
      <c r="H388" s="467">
        <v>3654</v>
      </c>
      <c r="I388" s="289">
        <v>2239567</v>
      </c>
      <c r="J388" s="289">
        <v>42551769</v>
      </c>
      <c r="K388" s="468">
        <v>365</v>
      </c>
      <c r="L388" s="289">
        <v>4250519</v>
      </c>
      <c r="M388" s="464">
        <v>18108375</v>
      </c>
      <c r="N388" s="469">
        <v>26682961</v>
      </c>
    </row>
    <row r="389" spans="2:14" hidden="1">
      <c r="B389" s="485" t="s">
        <v>2332</v>
      </c>
      <c r="C389" s="463" t="s">
        <v>3496</v>
      </c>
      <c r="D389" s="463" t="s">
        <v>4200</v>
      </c>
      <c r="E389" s="464">
        <v>44791336</v>
      </c>
      <c r="F389" s="465">
        <v>10</v>
      </c>
      <c r="G389" s="466">
        <v>46749</v>
      </c>
      <c r="H389" s="467">
        <v>3654</v>
      </c>
      <c r="I389" s="289">
        <v>2239567</v>
      </c>
      <c r="J389" s="289">
        <v>42551769</v>
      </c>
      <c r="K389" s="468">
        <v>365</v>
      </c>
      <c r="L389" s="289">
        <v>4250519</v>
      </c>
      <c r="M389" s="464">
        <v>18108375</v>
      </c>
      <c r="N389" s="469">
        <v>26682961</v>
      </c>
    </row>
    <row r="390" spans="2:14" hidden="1">
      <c r="B390" s="485" t="s">
        <v>2332</v>
      </c>
      <c r="C390" s="463" t="s">
        <v>3496</v>
      </c>
      <c r="D390" s="463" t="s">
        <v>3546</v>
      </c>
      <c r="E390" s="464">
        <v>22395670</v>
      </c>
      <c r="F390" s="465">
        <v>15</v>
      </c>
      <c r="G390" s="466">
        <v>48576</v>
      </c>
      <c r="H390" s="467">
        <v>5481</v>
      </c>
      <c r="I390" s="289">
        <v>1119784</v>
      </c>
      <c r="J390" s="289">
        <v>21275886</v>
      </c>
      <c r="K390" s="468">
        <v>365</v>
      </c>
      <c r="L390" s="289">
        <v>1416840</v>
      </c>
      <c r="M390" s="464">
        <v>6036126</v>
      </c>
      <c r="N390" s="469">
        <v>16359544</v>
      </c>
    </row>
    <row r="391" spans="2:14" hidden="1">
      <c r="B391" s="485" t="s">
        <v>2332</v>
      </c>
      <c r="C391" s="463" t="s">
        <v>3496</v>
      </c>
      <c r="D391" s="463" t="s">
        <v>3547</v>
      </c>
      <c r="E391" s="464">
        <v>22395670</v>
      </c>
      <c r="F391" s="465">
        <v>15</v>
      </c>
      <c r="G391" s="466">
        <v>48576</v>
      </c>
      <c r="H391" s="467">
        <v>5481</v>
      </c>
      <c r="I391" s="289">
        <v>1119784</v>
      </c>
      <c r="J391" s="289">
        <v>21275886</v>
      </c>
      <c r="K391" s="468">
        <v>365</v>
      </c>
      <c r="L391" s="289">
        <v>1416840</v>
      </c>
      <c r="M391" s="464">
        <v>6036126</v>
      </c>
      <c r="N391" s="469">
        <v>16359544</v>
      </c>
    </row>
    <row r="392" spans="2:14" hidden="1">
      <c r="B392" s="485" t="s">
        <v>2332</v>
      </c>
      <c r="C392" s="463" t="s">
        <v>3496</v>
      </c>
      <c r="D392" s="463" t="s">
        <v>4201</v>
      </c>
      <c r="E392" s="464">
        <v>174294554</v>
      </c>
      <c r="F392" s="465">
        <v>10</v>
      </c>
      <c r="G392" s="466">
        <v>46749</v>
      </c>
      <c r="H392" s="467">
        <v>3654</v>
      </c>
      <c r="I392" s="289">
        <v>8714728</v>
      </c>
      <c r="J392" s="289">
        <v>165579826</v>
      </c>
      <c r="K392" s="468">
        <v>365</v>
      </c>
      <c r="L392" s="289">
        <v>16539857</v>
      </c>
      <c r="M392" s="464">
        <v>70464322</v>
      </c>
      <c r="N392" s="469">
        <v>103830232</v>
      </c>
    </row>
    <row r="393" spans="2:14" hidden="1">
      <c r="B393" s="485" t="s">
        <v>2332</v>
      </c>
      <c r="C393" s="463" t="s">
        <v>3496</v>
      </c>
      <c r="D393" s="463" t="s">
        <v>3505</v>
      </c>
      <c r="E393" s="464">
        <v>43573707</v>
      </c>
      <c r="F393" s="465">
        <v>20</v>
      </c>
      <c r="G393" s="466">
        <v>50402</v>
      </c>
      <c r="H393" s="467">
        <v>7307</v>
      </c>
      <c r="I393" s="289">
        <v>2178685</v>
      </c>
      <c r="J393" s="289">
        <v>41395022</v>
      </c>
      <c r="K393" s="468">
        <v>365</v>
      </c>
      <c r="L393" s="289">
        <v>2067768</v>
      </c>
      <c r="M393" s="464">
        <v>8809258</v>
      </c>
      <c r="N393" s="469">
        <v>34764449</v>
      </c>
    </row>
    <row r="394" spans="2:14" hidden="1">
      <c r="B394" s="485" t="s">
        <v>2332</v>
      </c>
      <c r="C394" s="463" t="s">
        <v>3496</v>
      </c>
      <c r="D394" s="463" t="s">
        <v>4202</v>
      </c>
      <c r="E394" s="464">
        <v>38344716</v>
      </c>
      <c r="F394" s="465">
        <v>20</v>
      </c>
      <c r="G394" s="466">
        <v>50402</v>
      </c>
      <c r="H394" s="467">
        <v>7307</v>
      </c>
      <c r="I394" s="289">
        <v>1917236</v>
      </c>
      <c r="J394" s="289">
        <v>36427480</v>
      </c>
      <c r="K394" s="468">
        <v>365</v>
      </c>
      <c r="L394" s="289">
        <v>1819629</v>
      </c>
      <c r="M394" s="464">
        <v>7752118</v>
      </c>
      <c r="N394" s="469">
        <v>30592598</v>
      </c>
    </row>
    <row r="395" spans="2:14" ht="27" hidden="1">
      <c r="B395" s="485" t="s">
        <v>2332</v>
      </c>
      <c r="C395" s="463" t="s">
        <v>3496</v>
      </c>
      <c r="D395" s="463" t="s">
        <v>4203</v>
      </c>
      <c r="E395" s="464">
        <v>156865126</v>
      </c>
      <c r="F395" s="465">
        <v>25</v>
      </c>
      <c r="G395" s="466">
        <v>52228</v>
      </c>
      <c r="H395" s="467">
        <v>9133</v>
      </c>
      <c r="I395" s="289">
        <v>7843256</v>
      </c>
      <c r="J395" s="289">
        <v>149021870</v>
      </c>
      <c r="K395" s="468">
        <v>365</v>
      </c>
      <c r="L395" s="289">
        <v>5955653</v>
      </c>
      <c r="M395" s="464">
        <v>25372714</v>
      </c>
      <c r="N395" s="469">
        <v>131492412</v>
      </c>
    </row>
    <row r="396" spans="2:14" ht="27" hidden="1">
      <c r="B396" s="485" t="s">
        <v>2332</v>
      </c>
      <c r="C396" s="463" t="s">
        <v>3496</v>
      </c>
      <c r="D396" s="463" t="s">
        <v>4204</v>
      </c>
      <c r="E396" s="464">
        <v>126363692</v>
      </c>
      <c r="F396" s="465">
        <v>20</v>
      </c>
      <c r="G396" s="466">
        <v>50402</v>
      </c>
      <c r="H396" s="467">
        <v>7307</v>
      </c>
      <c r="I396" s="289">
        <v>6318185</v>
      </c>
      <c r="J396" s="289">
        <v>120045507</v>
      </c>
      <c r="K396" s="468">
        <v>365</v>
      </c>
      <c r="L396" s="289">
        <v>5996525</v>
      </c>
      <c r="M396" s="464">
        <v>25546840</v>
      </c>
      <c r="N396" s="469">
        <v>100816852</v>
      </c>
    </row>
    <row r="397" spans="2:14" hidden="1">
      <c r="B397" s="485" t="s">
        <v>2332</v>
      </c>
      <c r="C397" s="463" t="s">
        <v>3496</v>
      </c>
      <c r="D397" s="463" t="s">
        <v>3523</v>
      </c>
      <c r="E397" s="464">
        <v>21786855</v>
      </c>
      <c r="F397" s="465">
        <v>10</v>
      </c>
      <c r="G397" s="466">
        <v>46749</v>
      </c>
      <c r="H397" s="467">
        <v>3654</v>
      </c>
      <c r="I397" s="289">
        <v>1089343</v>
      </c>
      <c r="J397" s="289">
        <v>20697512</v>
      </c>
      <c r="K397" s="468">
        <v>365</v>
      </c>
      <c r="L397" s="289">
        <v>2067485</v>
      </c>
      <c r="M397" s="464">
        <v>8808053</v>
      </c>
      <c r="N397" s="469">
        <v>12978802</v>
      </c>
    </row>
    <row r="398" spans="2:14" hidden="1">
      <c r="B398" s="485" t="s">
        <v>2332</v>
      </c>
      <c r="C398" s="463" t="s">
        <v>3496</v>
      </c>
      <c r="D398" s="463" t="s">
        <v>4205</v>
      </c>
      <c r="E398" s="464">
        <v>39216278</v>
      </c>
      <c r="F398" s="465">
        <v>15</v>
      </c>
      <c r="G398" s="466">
        <v>48576</v>
      </c>
      <c r="H398" s="467">
        <v>5481</v>
      </c>
      <c r="I398" s="289">
        <v>1960814</v>
      </c>
      <c r="J398" s="289">
        <v>37255464</v>
      </c>
      <c r="K398" s="468">
        <v>365</v>
      </c>
      <c r="L398" s="289">
        <v>2480979</v>
      </c>
      <c r="M398" s="464">
        <v>10569650</v>
      </c>
      <c r="N398" s="469">
        <v>28646628</v>
      </c>
    </row>
    <row r="399" spans="2:14" hidden="1">
      <c r="B399" s="485" t="s">
        <v>2332</v>
      </c>
      <c r="C399" s="463" t="s">
        <v>3496</v>
      </c>
      <c r="D399" s="463" t="s">
        <v>4206</v>
      </c>
      <c r="E399" s="464">
        <v>17431739</v>
      </c>
      <c r="F399" s="465">
        <v>10</v>
      </c>
      <c r="G399" s="466">
        <v>46749</v>
      </c>
      <c r="H399" s="467">
        <v>3654</v>
      </c>
      <c r="I399" s="289">
        <v>871587</v>
      </c>
      <c r="J399" s="289">
        <v>16560152</v>
      </c>
      <c r="K399" s="468">
        <v>365</v>
      </c>
      <c r="L399" s="289">
        <v>1654202</v>
      </c>
      <c r="M399" s="464">
        <v>7047354</v>
      </c>
      <c r="N399" s="469">
        <v>10384385</v>
      </c>
    </row>
    <row r="400" spans="2:14" hidden="1">
      <c r="B400" s="485" t="s">
        <v>2332</v>
      </c>
      <c r="C400" s="463" t="s">
        <v>3496</v>
      </c>
      <c r="D400" s="463" t="s">
        <v>4229</v>
      </c>
      <c r="E400" s="464">
        <v>87220563</v>
      </c>
      <c r="F400" s="465">
        <v>10</v>
      </c>
      <c r="G400" s="466">
        <v>46749</v>
      </c>
      <c r="H400" s="467">
        <v>3654</v>
      </c>
      <c r="I400" s="289">
        <v>4361028</v>
      </c>
      <c r="J400" s="289">
        <v>82859535</v>
      </c>
      <c r="K400" s="468">
        <v>365</v>
      </c>
      <c r="L400" s="289">
        <v>8276883</v>
      </c>
      <c r="M400" s="464">
        <v>35261789</v>
      </c>
      <c r="N400" s="469">
        <v>51958774</v>
      </c>
    </row>
    <row r="401" spans="2:14" hidden="1">
      <c r="B401" s="485" t="s">
        <v>2332</v>
      </c>
      <c r="C401" s="463" t="s">
        <v>3496</v>
      </c>
      <c r="D401" s="463" t="s">
        <v>4230</v>
      </c>
      <c r="E401" s="464">
        <v>4361091</v>
      </c>
      <c r="F401" s="465">
        <v>10</v>
      </c>
      <c r="G401" s="466">
        <v>46749</v>
      </c>
      <c r="H401" s="467">
        <v>3654</v>
      </c>
      <c r="I401" s="289">
        <v>218055</v>
      </c>
      <c r="J401" s="289">
        <v>4143036</v>
      </c>
      <c r="K401" s="468">
        <v>365</v>
      </c>
      <c r="L401" s="289">
        <v>413850</v>
      </c>
      <c r="M401" s="464">
        <v>1763115</v>
      </c>
      <c r="N401" s="469">
        <v>2597976</v>
      </c>
    </row>
    <row r="402" spans="2:14" hidden="1">
      <c r="B402" s="485" t="s">
        <v>2332</v>
      </c>
      <c r="C402" s="463" t="s">
        <v>3496</v>
      </c>
      <c r="D402" s="463" t="s">
        <v>4231</v>
      </c>
      <c r="E402" s="464">
        <v>17444084</v>
      </c>
      <c r="F402" s="465">
        <v>15</v>
      </c>
      <c r="G402" s="466">
        <v>48576</v>
      </c>
      <c r="H402" s="467">
        <v>5481</v>
      </c>
      <c r="I402" s="289">
        <v>872204</v>
      </c>
      <c r="J402" s="289">
        <v>16571880</v>
      </c>
      <c r="K402" s="468">
        <v>365</v>
      </c>
      <c r="L402" s="289">
        <v>1103583</v>
      </c>
      <c r="M402" s="464">
        <v>4701565</v>
      </c>
      <c r="N402" s="469">
        <v>12742519</v>
      </c>
    </row>
    <row r="403" spans="2:14" hidden="1">
      <c r="B403" s="485" t="s">
        <v>2332</v>
      </c>
      <c r="C403" s="463" t="s">
        <v>3440</v>
      </c>
      <c r="D403" s="463" t="s">
        <v>3440</v>
      </c>
      <c r="E403" s="464">
        <v>141180295</v>
      </c>
      <c r="F403" s="465">
        <v>30</v>
      </c>
      <c r="G403" s="466">
        <v>54054</v>
      </c>
      <c r="H403" s="467">
        <v>10959</v>
      </c>
      <c r="I403" s="289">
        <v>7059015</v>
      </c>
      <c r="J403" s="289">
        <v>134121280</v>
      </c>
      <c r="K403" s="468">
        <v>365</v>
      </c>
      <c r="L403" s="289">
        <v>4467038</v>
      </c>
      <c r="M403" s="464">
        <v>19030805</v>
      </c>
      <c r="N403" s="469">
        <v>122149490</v>
      </c>
    </row>
    <row r="404" spans="2:14" hidden="1">
      <c r="B404" s="485" t="s">
        <v>2333</v>
      </c>
      <c r="C404" s="463" t="s">
        <v>3441</v>
      </c>
      <c r="D404" s="463" t="s">
        <v>3266</v>
      </c>
      <c r="E404" s="464">
        <v>37990314</v>
      </c>
      <c r="F404" s="465">
        <v>30</v>
      </c>
      <c r="G404" s="466">
        <v>54054</v>
      </c>
      <c r="H404" s="467">
        <v>10959</v>
      </c>
      <c r="I404" s="289">
        <v>1899516</v>
      </c>
      <c r="J404" s="289">
        <v>36090798</v>
      </c>
      <c r="K404" s="468">
        <v>365</v>
      </c>
      <c r="L404" s="289">
        <v>1202039</v>
      </c>
      <c r="M404" s="464">
        <v>5121015</v>
      </c>
      <c r="N404" s="469">
        <v>32869299</v>
      </c>
    </row>
    <row r="405" spans="2:14" hidden="1">
      <c r="B405" s="485" t="s">
        <v>2333</v>
      </c>
      <c r="C405" s="463" t="s">
        <v>3441</v>
      </c>
      <c r="D405" s="463" t="s">
        <v>3444</v>
      </c>
      <c r="E405" s="464">
        <v>89525615</v>
      </c>
      <c r="F405" s="465">
        <v>20</v>
      </c>
      <c r="G405" s="466">
        <v>50402</v>
      </c>
      <c r="H405" s="467">
        <v>7307</v>
      </c>
      <c r="I405" s="289">
        <v>4476281</v>
      </c>
      <c r="J405" s="289">
        <v>85049334</v>
      </c>
      <c r="K405" s="468">
        <v>365</v>
      </c>
      <c r="L405" s="289">
        <v>4248393</v>
      </c>
      <c r="M405" s="464">
        <v>18099318</v>
      </c>
      <c r="N405" s="469">
        <v>71426297</v>
      </c>
    </row>
    <row r="406" spans="2:14" hidden="1">
      <c r="B406" s="485" t="s">
        <v>2333</v>
      </c>
      <c r="C406" s="463" t="s">
        <v>3441</v>
      </c>
      <c r="D406" s="463" t="s">
        <v>3445</v>
      </c>
      <c r="E406" s="464">
        <v>55207442</v>
      </c>
      <c r="F406" s="465">
        <v>25</v>
      </c>
      <c r="G406" s="466">
        <v>52228</v>
      </c>
      <c r="H406" s="467">
        <v>9133</v>
      </c>
      <c r="I406" s="289">
        <v>2760372</v>
      </c>
      <c r="J406" s="289">
        <v>52447070</v>
      </c>
      <c r="K406" s="468">
        <v>365</v>
      </c>
      <c r="L406" s="289">
        <v>2096045</v>
      </c>
      <c r="M406" s="464">
        <v>8929726</v>
      </c>
      <c r="N406" s="469">
        <v>46277716</v>
      </c>
    </row>
    <row r="407" spans="2:14" ht="27" hidden="1">
      <c r="B407" s="485" t="s">
        <v>2333</v>
      </c>
      <c r="C407" s="463" t="s">
        <v>3441</v>
      </c>
      <c r="D407" s="463" t="s">
        <v>4130</v>
      </c>
      <c r="E407" s="464">
        <v>55207442</v>
      </c>
      <c r="F407" s="465">
        <v>25</v>
      </c>
      <c r="G407" s="466">
        <v>52228</v>
      </c>
      <c r="H407" s="467">
        <v>9133</v>
      </c>
      <c r="I407" s="289">
        <v>2760372</v>
      </c>
      <c r="J407" s="289">
        <v>52447070</v>
      </c>
      <c r="K407" s="468">
        <v>365</v>
      </c>
      <c r="L407" s="289">
        <v>2096045</v>
      </c>
      <c r="M407" s="464">
        <v>8929726</v>
      </c>
      <c r="N407" s="469">
        <v>46277716</v>
      </c>
    </row>
    <row r="408" spans="2:14" hidden="1">
      <c r="B408" s="485" t="s">
        <v>2333</v>
      </c>
      <c r="C408" s="463" t="s">
        <v>3441</v>
      </c>
      <c r="D408" s="463" t="s">
        <v>4131</v>
      </c>
      <c r="E408" s="464">
        <v>45359659</v>
      </c>
      <c r="F408" s="465">
        <v>25</v>
      </c>
      <c r="G408" s="466">
        <v>52228</v>
      </c>
      <c r="H408" s="467">
        <v>9133</v>
      </c>
      <c r="I408" s="289">
        <v>2267983</v>
      </c>
      <c r="J408" s="289">
        <v>43091676</v>
      </c>
      <c r="K408" s="468">
        <v>365</v>
      </c>
      <c r="L408" s="289">
        <v>1722157</v>
      </c>
      <c r="M408" s="464">
        <v>7336860</v>
      </c>
      <c r="N408" s="469">
        <v>38022799</v>
      </c>
    </row>
    <row r="409" spans="2:14" hidden="1">
      <c r="B409" s="485" t="s">
        <v>2333</v>
      </c>
      <c r="C409" s="463" t="s">
        <v>3441</v>
      </c>
      <c r="D409" s="463" t="s">
        <v>3443</v>
      </c>
      <c r="E409" s="464">
        <v>89525613</v>
      </c>
      <c r="F409" s="465">
        <v>30</v>
      </c>
      <c r="G409" s="466">
        <v>54054</v>
      </c>
      <c r="H409" s="467">
        <v>10959</v>
      </c>
      <c r="I409" s="289">
        <v>4476281</v>
      </c>
      <c r="J409" s="289">
        <v>85049332</v>
      </c>
      <c r="K409" s="468">
        <v>365</v>
      </c>
      <c r="L409" s="289">
        <v>2832650</v>
      </c>
      <c r="M409" s="464">
        <v>12067864</v>
      </c>
      <c r="N409" s="469">
        <v>77457749</v>
      </c>
    </row>
    <row r="410" spans="2:14" ht="27" hidden="1">
      <c r="B410" s="485" t="s">
        <v>2333</v>
      </c>
      <c r="C410" s="463" t="s">
        <v>3441</v>
      </c>
      <c r="D410" s="463" t="s">
        <v>3756</v>
      </c>
      <c r="E410" s="464">
        <v>35810223</v>
      </c>
      <c r="F410" s="465">
        <v>25</v>
      </c>
      <c r="G410" s="466">
        <v>52228</v>
      </c>
      <c r="H410" s="467">
        <v>9133</v>
      </c>
      <c r="I410" s="289">
        <v>1790511</v>
      </c>
      <c r="J410" s="289">
        <v>34019712</v>
      </c>
      <c r="K410" s="468">
        <v>365</v>
      </c>
      <c r="L410" s="289">
        <v>1359597</v>
      </c>
      <c r="M410" s="464">
        <v>5792255</v>
      </c>
      <c r="N410" s="469">
        <v>30017968</v>
      </c>
    </row>
    <row r="411" spans="2:14" hidden="1">
      <c r="B411" s="485" t="s">
        <v>2333</v>
      </c>
      <c r="C411" s="463" t="s">
        <v>3441</v>
      </c>
      <c r="D411" s="463" t="s">
        <v>4159</v>
      </c>
      <c r="E411" s="464">
        <v>69371286</v>
      </c>
      <c r="F411" s="465">
        <v>15</v>
      </c>
      <c r="G411" s="466">
        <v>48576</v>
      </c>
      <c r="H411" s="467">
        <v>5481</v>
      </c>
      <c r="I411" s="289">
        <v>3468564</v>
      </c>
      <c r="J411" s="289">
        <v>65902722</v>
      </c>
      <c r="K411" s="468">
        <v>365</v>
      </c>
      <c r="L411" s="289">
        <v>4388705</v>
      </c>
      <c r="M411" s="464">
        <v>18697086</v>
      </c>
      <c r="N411" s="469">
        <v>50674200</v>
      </c>
    </row>
    <row r="412" spans="2:14" hidden="1">
      <c r="B412" s="485" t="s">
        <v>2333</v>
      </c>
      <c r="C412" s="463" t="s">
        <v>3441</v>
      </c>
      <c r="D412" s="463" t="s">
        <v>4160</v>
      </c>
      <c r="E412" s="464">
        <v>267682088</v>
      </c>
      <c r="F412" s="465">
        <v>25</v>
      </c>
      <c r="G412" s="466">
        <v>52228</v>
      </c>
      <c r="H412" s="467">
        <v>9133</v>
      </c>
      <c r="I412" s="289">
        <v>13384104</v>
      </c>
      <c r="J412" s="289">
        <v>254297984</v>
      </c>
      <c r="K412" s="468">
        <v>365</v>
      </c>
      <c r="L412" s="289">
        <v>10163009</v>
      </c>
      <c r="M412" s="464">
        <v>43297203</v>
      </c>
      <c r="N412" s="469">
        <v>224384885</v>
      </c>
    </row>
    <row r="413" spans="2:14" hidden="1">
      <c r="B413" s="485" t="s">
        <v>2333</v>
      </c>
      <c r="C413" s="463" t="s">
        <v>3441</v>
      </c>
      <c r="D413" s="463" t="s">
        <v>3449</v>
      </c>
      <c r="E413" s="464">
        <v>40152295</v>
      </c>
      <c r="F413" s="465">
        <v>10</v>
      </c>
      <c r="G413" s="466">
        <v>46749</v>
      </c>
      <c r="H413" s="467">
        <v>3654</v>
      </c>
      <c r="I413" s="289">
        <v>2007615</v>
      </c>
      <c r="J413" s="289">
        <v>38144680</v>
      </c>
      <c r="K413" s="468">
        <v>365</v>
      </c>
      <c r="L413" s="289">
        <v>3810292</v>
      </c>
      <c r="M413" s="464">
        <v>16232888</v>
      </c>
      <c r="N413" s="469">
        <v>23919407</v>
      </c>
    </row>
    <row r="414" spans="2:14" hidden="1">
      <c r="B414" s="485" t="s">
        <v>2333</v>
      </c>
      <c r="C414" s="463" t="s">
        <v>4225</v>
      </c>
      <c r="D414" s="463" t="s">
        <v>4226</v>
      </c>
      <c r="E414" s="464">
        <v>21805175</v>
      </c>
      <c r="F414" s="465">
        <v>25</v>
      </c>
      <c r="G414" s="466">
        <v>52228</v>
      </c>
      <c r="H414" s="467">
        <v>9133</v>
      </c>
      <c r="I414" s="289">
        <v>1090259</v>
      </c>
      <c r="J414" s="289">
        <v>20714916</v>
      </c>
      <c r="K414" s="468">
        <v>365</v>
      </c>
      <c r="L414" s="289">
        <v>827871</v>
      </c>
      <c r="M414" s="464">
        <v>3526957</v>
      </c>
      <c r="N414" s="469">
        <v>18278218</v>
      </c>
    </row>
    <row r="415" spans="2:14" hidden="1">
      <c r="B415" s="485" t="s">
        <v>2333</v>
      </c>
      <c r="C415" s="463" t="s">
        <v>4225</v>
      </c>
      <c r="D415" s="463" t="s">
        <v>4227</v>
      </c>
      <c r="E415" s="464">
        <v>13082996</v>
      </c>
      <c r="F415" s="465">
        <v>10</v>
      </c>
      <c r="G415" s="466">
        <v>46749</v>
      </c>
      <c r="H415" s="467">
        <v>3654</v>
      </c>
      <c r="I415" s="289">
        <v>654150</v>
      </c>
      <c r="J415" s="289">
        <v>12428846</v>
      </c>
      <c r="K415" s="468">
        <v>365</v>
      </c>
      <c r="L415" s="289">
        <v>1241524</v>
      </c>
      <c r="M415" s="464">
        <v>5289232</v>
      </c>
      <c r="N415" s="469">
        <v>7793764</v>
      </c>
    </row>
    <row r="416" spans="2:14" ht="27" hidden="1">
      <c r="B416" s="485" t="s">
        <v>2332</v>
      </c>
      <c r="C416" s="463" t="s">
        <v>4244</v>
      </c>
      <c r="D416" s="463"/>
      <c r="E416" s="464">
        <v>796189512</v>
      </c>
      <c r="F416" s="465">
        <v>40</v>
      </c>
      <c r="G416" s="466">
        <v>57707</v>
      </c>
      <c r="H416" s="467">
        <v>14612</v>
      </c>
      <c r="I416" s="289">
        <v>39809476</v>
      </c>
      <c r="J416" s="289">
        <v>756380036</v>
      </c>
      <c r="K416" s="468">
        <v>365</v>
      </c>
      <c r="L416" s="289">
        <v>18893972</v>
      </c>
      <c r="M416" s="464">
        <v>80493497</v>
      </c>
      <c r="N416" s="469">
        <v>715696015</v>
      </c>
    </row>
    <row r="417" spans="2:14" hidden="1">
      <c r="B417" s="485"/>
      <c r="C417" s="463"/>
      <c r="D417" s="463"/>
      <c r="E417" s="463"/>
      <c r="F417" s="465"/>
      <c r="G417" s="463"/>
      <c r="H417" s="463"/>
      <c r="I417" s="463"/>
      <c r="J417" s="463"/>
      <c r="K417" s="463"/>
      <c r="L417" s="463"/>
      <c r="M417" s="463"/>
      <c r="N417" s="470"/>
    </row>
    <row r="418" spans="2:14" hidden="1">
      <c r="B418" s="485" t="s">
        <v>2332</v>
      </c>
      <c r="C418" s="463" t="s">
        <v>3562</v>
      </c>
      <c r="D418" s="463"/>
      <c r="E418" s="464">
        <v>3426389</v>
      </c>
      <c r="F418" s="465">
        <v>10</v>
      </c>
      <c r="G418" s="466">
        <v>46749</v>
      </c>
      <c r="H418" s="467">
        <v>3654</v>
      </c>
      <c r="I418" s="289">
        <v>171319</v>
      </c>
      <c r="J418" s="289">
        <v>3255070</v>
      </c>
      <c r="K418" s="468">
        <v>365</v>
      </c>
      <c r="L418" s="289">
        <v>325151</v>
      </c>
      <c r="M418" s="464">
        <v>1385231</v>
      </c>
      <c r="N418" s="469">
        <v>2041158</v>
      </c>
    </row>
    <row r="419" spans="2:14" hidden="1">
      <c r="B419" s="485" t="s">
        <v>2332</v>
      </c>
      <c r="C419" s="463" t="s">
        <v>3563</v>
      </c>
      <c r="D419" s="463"/>
      <c r="E419" s="464">
        <v>-8732632</v>
      </c>
      <c r="F419" s="465">
        <v>5</v>
      </c>
      <c r="G419" s="466">
        <v>44923</v>
      </c>
      <c r="H419" s="467">
        <v>1828</v>
      </c>
      <c r="I419" s="289">
        <v>-436632</v>
      </c>
      <c r="J419" s="289">
        <v>-8296000</v>
      </c>
      <c r="K419" s="468">
        <v>365</v>
      </c>
      <c r="L419" s="289">
        <v>-1656477</v>
      </c>
      <c r="M419" s="464">
        <v>-7057046</v>
      </c>
      <c r="N419" s="469">
        <v>-1675586</v>
      </c>
    </row>
    <row r="420" spans="2:14" hidden="1">
      <c r="B420" s="485" t="s">
        <v>2332</v>
      </c>
      <c r="C420" s="463" t="s">
        <v>3397</v>
      </c>
      <c r="D420" s="463"/>
      <c r="E420" s="464">
        <v>2629759</v>
      </c>
      <c r="F420" s="465">
        <v>8</v>
      </c>
      <c r="G420" s="466">
        <v>46019</v>
      </c>
      <c r="H420" s="467">
        <v>2924</v>
      </c>
      <c r="I420" s="289">
        <v>131488</v>
      </c>
      <c r="J420" s="289">
        <v>2498271</v>
      </c>
      <c r="K420" s="468">
        <v>365</v>
      </c>
      <c r="L420" s="289">
        <v>311857</v>
      </c>
      <c r="M420" s="464">
        <v>1328596</v>
      </c>
      <c r="N420" s="469">
        <v>1301163</v>
      </c>
    </row>
    <row r="421" spans="2:14" hidden="1">
      <c r="B421" s="485" t="s">
        <v>2332</v>
      </c>
      <c r="C421" s="463" t="s">
        <v>3780</v>
      </c>
      <c r="D421" s="463"/>
      <c r="E421" s="464">
        <v>39071986</v>
      </c>
      <c r="F421" s="465">
        <v>25</v>
      </c>
      <c r="G421" s="466">
        <v>52228</v>
      </c>
      <c r="H421" s="467">
        <v>9133</v>
      </c>
      <c r="I421" s="289">
        <v>1953599</v>
      </c>
      <c r="J421" s="289">
        <v>37118387</v>
      </c>
      <c r="K421" s="468">
        <v>365</v>
      </c>
      <c r="L421" s="289">
        <v>1483435</v>
      </c>
      <c r="M421" s="464">
        <v>6319839</v>
      </c>
      <c r="N421" s="469">
        <v>32752147</v>
      </c>
    </row>
    <row r="422" spans="2:14" hidden="1">
      <c r="B422" s="485"/>
      <c r="C422" s="463"/>
      <c r="D422" s="463"/>
      <c r="E422" s="463"/>
      <c r="F422" s="465"/>
      <c r="G422" s="466"/>
      <c r="H422" s="467"/>
      <c r="I422" s="289"/>
      <c r="J422" s="289"/>
      <c r="K422" s="468"/>
      <c r="L422" s="289"/>
      <c r="M422" s="464"/>
      <c r="N422" s="469"/>
    </row>
    <row r="423" spans="2:14" hidden="1">
      <c r="B423" s="485" t="s">
        <v>2332</v>
      </c>
      <c r="C423" s="463" t="s">
        <v>4225</v>
      </c>
      <c r="D423" s="463"/>
      <c r="E423" s="464">
        <v>52367616</v>
      </c>
      <c r="F423" s="465">
        <v>25</v>
      </c>
      <c r="G423" s="466">
        <v>52228</v>
      </c>
      <c r="H423" s="467">
        <v>9133</v>
      </c>
      <c r="I423" s="289">
        <v>2618381</v>
      </c>
      <c r="J423" s="289">
        <v>49749235</v>
      </c>
      <c r="K423" s="468">
        <v>365</v>
      </c>
      <c r="L423" s="289">
        <v>1988226</v>
      </c>
      <c r="M423" s="464">
        <v>8470387</v>
      </c>
      <c r="N423" s="469">
        <v>43897229</v>
      </c>
    </row>
    <row r="424" spans="2:14" hidden="1">
      <c r="B424" s="485" t="s">
        <v>2332</v>
      </c>
      <c r="C424" s="463" t="s">
        <v>3488</v>
      </c>
      <c r="D424" s="463"/>
      <c r="E424" s="464">
        <v>27473245</v>
      </c>
      <c r="F424" s="465">
        <v>30</v>
      </c>
      <c r="G424" s="466">
        <v>54054</v>
      </c>
      <c r="H424" s="467">
        <v>10959</v>
      </c>
      <c r="I424" s="289">
        <v>1373662</v>
      </c>
      <c r="J424" s="289">
        <v>26099583</v>
      </c>
      <c r="K424" s="468">
        <v>365</v>
      </c>
      <c r="L424" s="289">
        <v>869272</v>
      </c>
      <c r="M424" s="464">
        <v>3703336</v>
      </c>
      <c r="N424" s="469">
        <v>23769909</v>
      </c>
    </row>
    <row r="425" spans="2:14" hidden="1">
      <c r="B425" s="485" t="s">
        <v>2332</v>
      </c>
      <c r="C425" s="463" t="s">
        <v>3496</v>
      </c>
      <c r="D425" s="463"/>
      <c r="E425" s="464">
        <v>533353988</v>
      </c>
      <c r="F425" s="465">
        <v>20</v>
      </c>
      <c r="G425" s="466">
        <v>50402</v>
      </c>
      <c r="H425" s="467">
        <v>7307</v>
      </c>
      <c r="I425" s="289">
        <v>26667699</v>
      </c>
      <c r="J425" s="289">
        <v>506686289</v>
      </c>
      <c r="K425" s="468">
        <v>365</v>
      </c>
      <c r="L425" s="289">
        <v>25310045</v>
      </c>
      <c r="M425" s="464">
        <v>107827725</v>
      </c>
      <c r="N425" s="469">
        <v>425526263</v>
      </c>
    </row>
    <row r="426" spans="2:14" hidden="1">
      <c r="B426" s="485"/>
      <c r="C426" s="463"/>
      <c r="D426" s="463"/>
      <c r="E426" s="463"/>
      <c r="F426" s="465"/>
      <c r="G426" s="466"/>
      <c r="H426" s="467"/>
      <c r="I426" s="289"/>
      <c r="J426" s="289"/>
      <c r="K426" s="468"/>
      <c r="L426" s="289"/>
      <c r="M426" s="464"/>
      <c r="N426" s="469"/>
    </row>
    <row r="427" spans="2:14" hidden="1">
      <c r="B427" s="485"/>
      <c r="C427" s="463"/>
      <c r="D427" s="463"/>
      <c r="E427" s="463"/>
      <c r="F427" s="465"/>
      <c r="G427" s="463"/>
      <c r="H427" s="463"/>
      <c r="I427" s="463"/>
      <c r="J427" s="463"/>
      <c r="K427" s="463"/>
      <c r="L427" s="463"/>
      <c r="M427" s="463"/>
      <c r="N427" s="470"/>
    </row>
    <row r="428" spans="2:14" ht="14.25" hidden="1">
      <c r="B428" s="485"/>
      <c r="C428" s="472" t="s">
        <v>1837</v>
      </c>
      <c r="D428" s="473"/>
      <c r="E428" s="474">
        <f t="shared" ref="E428" si="14">+SUBTOTAL(9,E309:E427)</f>
        <v>16953342753.4</v>
      </c>
      <c r="F428" s="465"/>
      <c r="G428" s="463"/>
      <c r="H428" s="463"/>
      <c r="I428" s="463"/>
      <c r="J428" s="463"/>
      <c r="K428" s="463"/>
      <c r="L428" s="475">
        <f>+SUBTOTAL(9,L309:L427)</f>
        <v>661130893</v>
      </c>
      <c r="M428" s="475">
        <f>+SUBTOTAL(9,M309:M427)</f>
        <v>2816598728</v>
      </c>
      <c r="N428" s="476">
        <f>+SUBTOTAL(9,N309:N427)</f>
        <v>14136744025.4</v>
      </c>
    </row>
    <row r="429" spans="2:14" ht="14.25" hidden="1">
      <c r="B429" s="477" t="s">
        <v>2333</v>
      </c>
      <c r="C429" s="463"/>
      <c r="D429" s="463"/>
      <c r="E429" s="463"/>
      <c r="F429" s="465"/>
      <c r="G429" s="463"/>
      <c r="H429" s="463"/>
      <c r="I429" s="463"/>
      <c r="J429" s="463"/>
      <c r="K429" s="463"/>
      <c r="L429" s="463"/>
      <c r="M429" s="464"/>
      <c r="N429" s="478"/>
    </row>
    <row r="430" spans="2:14" ht="27" hidden="1">
      <c r="B430" s="485" t="s">
        <v>2333</v>
      </c>
      <c r="C430" s="463" t="s">
        <v>3569</v>
      </c>
      <c r="D430" s="463" t="s">
        <v>4127</v>
      </c>
      <c r="E430" s="464">
        <v>59800411</v>
      </c>
      <c r="F430" s="465">
        <v>15</v>
      </c>
      <c r="G430" s="466">
        <v>48576</v>
      </c>
      <c r="H430" s="467">
        <v>5481</v>
      </c>
      <c r="I430" s="289">
        <v>2990021</v>
      </c>
      <c r="J430" s="289">
        <v>56810390</v>
      </c>
      <c r="K430" s="468">
        <v>365</v>
      </c>
      <c r="L430" s="289">
        <v>3783213</v>
      </c>
      <c r="M430" s="464">
        <v>16117524</v>
      </c>
      <c r="N430" s="469">
        <v>43682887</v>
      </c>
    </row>
    <row r="431" spans="2:14" ht="40.5" hidden="1">
      <c r="B431" s="485" t="s">
        <v>2333</v>
      </c>
      <c r="C431" s="463" t="s">
        <v>3569</v>
      </c>
      <c r="D431" s="463" t="s">
        <v>4128</v>
      </c>
      <c r="E431" s="464">
        <v>75746091</v>
      </c>
      <c r="F431" s="465">
        <v>20</v>
      </c>
      <c r="G431" s="466">
        <v>50402</v>
      </c>
      <c r="H431" s="467">
        <v>7307</v>
      </c>
      <c r="I431" s="289">
        <v>3787305</v>
      </c>
      <c r="J431" s="289">
        <v>71958786</v>
      </c>
      <c r="K431" s="468">
        <v>365</v>
      </c>
      <c r="L431" s="289">
        <v>3594493</v>
      </c>
      <c r="M431" s="464">
        <v>15313524</v>
      </c>
      <c r="N431" s="469">
        <v>60432567</v>
      </c>
    </row>
    <row r="432" spans="2:14" hidden="1">
      <c r="B432" s="485" t="s">
        <v>2333</v>
      </c>
      <c r="C432" s="463" t="s">
        <v>3569</v>
      </c>
      <c r="D432" s="463" t="s">
        <v>4129</v>
      </c>
      <c r="E432" s="464">
        <v>30284561</v>
      </c>
      <c r="F432" s="465">
        <v>15</v>
      </c>
      <c r="G432" s="466">
        <v>48576</v>
      </c>
      <c r="H432" s="467">
        <v>5481</v>
      </c>
      <c r="I432" s="289">
        <v>1514228</v>
      </c>
      <c r="J432" s="289">
        <v>28770333</v>
      </c>
      <c r="K432" s="468">
        <v>365</v>
      </c>
      <c r="L432" s="289">
        <v>1915923</v>
      </c>
      <c r="M432" s="464">
        <v>8162357</v>
      </c>
      <c r="N432" s="469">
        <v>22122204</v>
      </c>
    </row>
    <row r="433" spans="2:14" hidden="1">
      <c r="B433" s="485" t="s">
        <v>2333</v>
      </c>
      <c r="C433" s="463" t="s">
        <v>3569</v>
      </c>
      <c r="D433" s="463" t="s">
        <v>3570</v>
      </c>
      <c r="E433" s="464">
        <v>258707779</v>
      </c>
      <c r="F433" s="465">
        <v>25</v>
      </c>
      <c r="G433" s="466">
        <v>52228</v>
      </c>
      <c r="H433" s="467">
        <v>9133</v>
      </c>
      <c r="I433" s="289">
        <v>12935389</v>
      </c>
      <c r="J433" s="289">
        <v>245772390</v>
      </c>
      <c r="K433" s="468">
        <v>365</v>
      </c>
      <c r="L433" s="289">
        <v>9822284</v>
      </c>
      <c r="M433" s="464">
        <v>41845622</v>
      </c>
      <c r="N433" s="469">
        <v>216862157</v>
      </c>
    </row>
    <row r="434" spans="2:14" hidden="1">
      <c r="B434" s="485" t="s">
        <v>2333</v>
      </c>
      <c r="C434" s="463" t="s">
        <v>3569</v>
      </c>
      <c r="D434" s="463" t="s">
        <v>3578</v>
      </c>
      <c r="E434" s="464">
        <v>25686121</v>
      </c>
      <c r="F434" s="465">
        <v>20</v>
      </c>
      <c r="G434" s="466">
        <v>50402</v>
      </c>
      <c r="H434" s="467">
        <v>7307</v>
      </c>
      <c r="I434" s="289">
        <v>1284306</v>
      </c>
      <c r="J434" s="289">
        <v>24401815</v>
      </c>
      <c r="K434" s="468">
        <v>365</v>
      </c>
      <c r="L434" s="289">
        <v>1218922</v>
      </c>
      <c r="M434" s="464">
        <v>5192941</v>
      </c>
      <c r="N434" s="469">
        <v>20493180</v>
      </c>
    </row>
    <row r="435" spans="2:14" ht="27" hidden="1">
      <c r="B435" s="485" t="s">
        <v>2333</v>
      </c>
      <c r="C435" s="463" t="s">
        <v>3569</v>
      </c>
      <c r="D435" s="463" t="s">
        <v>3788</v>
      </c>
      <c r="E435" s="464">
        <v>69735437</v>
      </c>
      <c r="F435" s="465">
        <v>20</v>
      </c>
      <c r="G435" s="466">
        <v>50402</v>
      </c>
      <c r="H435" s="467">
        <v>7307</v>
      </c>
      <c r="I435" s="289">
        <v>3486772</v>
      </c>
      <c r="J435" s="289">
        <v>66248665</v>
      </c>
      <c r="K435" s="468">
        <v>365</v>
      </c>
      <c r="L435" s="289">
        <v>3309260</v>
      </c>
      <c r="M435" s="464">
        <v>14098354</v>
      </c>
      <c r="N435" s="469">
        <v>55637083</v>
      </c>
    </row>
    <row r="436" spans="2:14" ht="27" hidden="1">
      <c r="B436" s="485" t="s">
        <v>2333</v>
      </c>
      <c r="C436" s="463" t="s">
        <v>4240</v>
      </c>
      <c r="D436" s="463" t="s">
        <v>4241</v>
      </c>
      <c r="E436" s="464">
        <v>43610350</v>
      </c>
      <c r="F436" s="465">
        <v>20</v>
      </c>
      <c r="G436" s="466">
        <v>50402</v>
      </c>
      <c r="H436" s="467">
        <v>7307</v>
      </c>
      <c r="I436" s="289">
        <v>2180518</v>
      </c>
      <c r="J436" s="289">
        <v>41429832</v>
      </c>
      <c r="K436" s="468">
        <v>365</v>
      </c>
      <c r="L436" s="289">
        <v>2069507</v>
      </c>
      <c r="M436" s="464">
        <v>8816667</v>
      </c>
      <c r="N436" s="469">
        <v>34793683</v>
      </c>
    </row>
    <row r="437" spans="2:14" hidden="1">
      <c r="B437" s="485" t="s">
        <v>2333</v>
      </c>
      <c r="C437" s="463" t="s">
        <v>3584</v>
      </c>
      <c r="D437" s="463" t="s">
        <v>4132</v>
      </c>
      <c r="E437" s="464">
        <v>27306332</v>
      </c>
      <c r="F437" s="465">
        <v>25</v>
      </c>
      <c r="G437" s="466">
        <v>52228</v>
      </c>
      <c r="H437" s="467">
        <v>9133</v>
      </c>
      <c r="I437" s="289">
        <v>1365317</v>
      </c>
      <c r="J437" s="289">
        <v>25941015</v>
      </c>
      <c r="K437" s="468">
        <v>365</v>
      </c>
      <c r="L437" s="289">
        <v>1036732</v>
      </c>
      <c r="M437" s="464">
        <v>4416762</v>
      </c>
      <c r="N437" s="469">
        <v>22889570</v>
      </c>
    </row>
    <row r="438" spans="2:14" ht="40.5" hidden="1">
      <c r="B438" s="485" t="s">
        <v>2333</v>
      </c>
      <c r="C438" s="463" t="s">
        <v>3566</v>
      </c>
      <c r="D438" s="463" t="s">
        <v>4211</v>
      </c>
      <c r="E438" s="464">
        <v>17646055</v>
      </c>
      <c r="F438" s="465">
        <v>15</v>
      </c>
      <c r="G438" s="466">
        <v>48576</v>
      </c>
      <c r="H438" s="467">
        <v>5481</v>
      </c>
      <c r="I438" s="289">
        <v>882303</v>
      </c>
      <c r="J438" s="289">
        <v>16763752</v>
      </c>
      <c r="K438" s="468">
        <v>365</v>
      </c>
      <c r="L438" s="289">
        <v>1116360</v>
      </c>
      <c r="M438" s="464">
        <v>4756000</v>
      </c>
      <c r="N438" s="469">
        <v>12890055</v>
      </c>
    </row>
    <row r="439" spans="2:14" hidden="1">
      <c r="B439" s="485"/>
      <c r="C439" s="463"/>
      <c r="D439" s="463"/>
      <c r="E439" s="463"/>
      <c r="F439" s="465"/>
      <c r="G439" s="463"/>
      <c r="H439" s="463"/>
      <c r="I439" s="463"/>
      <c r="J439" s="463"/>
      <c r="K439" s="463"/>
      <c r="L439" s="463"/>
      <c r="M439" s="463"/>
      <c r="N439" s="470"/>
    </row>
    <row r="440" spans="2:14" hidden="1">
      <c r="B440" s="485" t="s">
        <v>2333</v>
      </c>
      <c r="C440" s="463" t="s">
        <v>3584</v>
      </c>
      <c r="D440" s="463"/>
      <c r="E440" s="464">
        <v>133158854</v>
      </c>
      <c r="F440" s="465">
        <v>25</v>
      </c>
      <c r="G440" s="466">
        <v>52228</v>
      </c>
      <c r="H440" s="467">
        <v>9133</v>
      </c>
      <c r="I440" s="289">
        <v>6657943</v>
      </c>
      <c r="J440" s="289">
        <v>126500911</v>
      </c>
      <c r="K440" s="468">
        <v>365</v>
      </c>
      <c r="L440" s="289">
        <v>5055604</v>
      </c>
      <c r="M440" s="464">
        <v>21538258</v>
      </c>
      <c r="N440" s="469">
        <v>111620596</v>
      </c>
    </row>
    <row r="441" spans="2:14" hidden="1">
      <c r="B441" s="485"/>
      <c r="C441" s="463"/>
      <c r="D441" s="463"/>
      <c r="E441" s="463"/>
      <c r="F441" s="465"/>
      <c r="G441" s="466"/>
      <c r="H441" s="467"/>
      <c r="I441" s="289"/>
      <c r="J441" s="289"/>
      <c r="K441" s="468"/>
      <c r="L441" s="289"/>
      <c r="M441" s="464"/>
      <c r="N441" s="469"/>
    </row>
    <row r="442" spans="2:14" hidden="1">
      <c r="B442" s="485" t="s">
        <v>2333</v>
      </c>
      <c r="C442" s="463" t="s">
        <v>3569</v>
      </c>
      <c r="D442" s="463"/>
      <c r="E442" s="464">
        <v>47403950</v>
      </c>
      <c r="F442" s="465">
        <v>20</v>
      </c>
      <c r="G442" s="466">
        <v>50402</v>
      </c>
      <c r="H442" s="467">
        <v>7307</v>
      </c>
      <c r="I442" s="289">
        <v>2370198</v>
      </c>
      <c r="J442" s="289">
        <v>45033752</v>
      </c>
      <c r="K442" s="468">
        <v>365</v>
      </c>
      <c r="L442" s="289">
        <v>2249531</v>
      </c>
      <c r="M442" s="464">
        <v>9583618</v>
      </c>
      <c r="N442" s="469">
        <v>37820332</v>
      </c>
    </row>
    <row r="443" spans="2:14" hidden="1">
      <c r="B443" s="485" t="s">
        <v>2333</v>
      </c>
      <c r="C443" s="463" t="s">
        <v>3584</v>
      </c>
      <c r="D443" s="463"/>
      <c r="E443" s="464">
        <v>78513473</v>
      </c>
      <c r="F443" s="465">
        <v>25</v>
      </c>
      <c r="G443" s="466">
        <v>52228</v>
      </c>
      <c r="H443" s="467">
        <v>9133</v>
      </c>
      <c r="I443" s="289">
        <v>3925674</v>
      </c>
      <c r="J443" s="289">
        <v>74587799</v>
      </c>
      <c r="K443" s="468">
        <v>365</v>
      </c>
      <c r="L443" s="289">
        <v>2980899</v>
      </c>
      <c r="M443" s="464">
        <v>12699445</v>
      </c>
      <c r="N443" s="469">
        <v>65814028</v>
      </c>
    </row>
    <row r="444" spans="2:14" hidden="1">
      <c r="B444" s="485"/>
      <c r="C444" s="463"/>
      <c r="D444" s="463"/>
      <c r="E444" s="463"/>
      <c r="F444" s="465"/>
      <c r="G444" s="466"/>
      <c r="H444" s="467"/>
      <c r="I444" s="289"/>
      <c r="J444" s="289"/>
      <c r="K444" s="468"/>
      <c r="L444" s="289"/>
      <c r="M444" s="464"/>
      <c r="N444" s="469"/>
    </row>
    <row r="445" spans="2:14" hidden="1">
      <c r="B445" s="485"/>
      <c r="C445" s="463"/>
      <c r="D445" s="463"/>
      <c r="E445" s="463"/>
      <c r="F445" s="465"/>
      <c r="G445" s="463"/>
      <c r="H445" s="463"/>
      <c r="I445" s="463"/>
      <c r="J445" s="463"/>
      <c r="K445" s="463"/>
      <c r="L445" s="463"/>
      <c r="M445" s="463"/>
      <c r="N445" s="470"/>
    </row>
    <row r="446" spans="2:14" ht="14.25" hidden="1">
      <c r="B446" s="485"/>
      <c r="C446" s="472" t="s">
        <v>1837</v>
      </c>
      <c r="D446" s="473"/>
      <c r="E446" s="474">
        <f t="shared" ref="E446" si="15">+SUBTOTAL(9,E430:E445)</f>
        <v>867599414</v>
      </c>
      <c r="F446" s="465"/>
      <c r="G446" s="463"/>
      <c r="H446" s="463"/>
      <c r="I446" s="463"/>
      <c r="J446" s="463"/>
      <c r="K446" s="463"/>
      <c r="L446" s="475">
        <f>+SUBTOTAL(9,L430:L445)</f>
        <v>38152728</v>
      </c>
      <c r="M446" s="475">
        <f t="shared" ref="M446:N446" si="16">+SUBTOTAL(9,M430:M445)</f>
        <v>162541072</v>
      </c>
      <c r="N446" s="476">
        <f t="shared" si="16"/>
        <v>705058342</v>
      </c>
    </row>
    <row r="447" spans="2:14" hidden="1">
      <c r="B447" s="485"/>
      <c r="C447" s="463"/>
      <c r="D447" s="463"/>
      <c r="E447" s="463"/>
      <c r="F447" s="465"/>
      <c r="G447" s="463"/>
      <c r="H447" s="463"/>
      <c r="I447" s="463"/>
      <c r="J447" s="463"/>
      <c r="K447" s="463"/>
      <c r="L447" s="463"/>
      <c r="M447" s="464"/>
      <c r="N447" s="478"/>
    </row>
    <row r="448" spans="2:14" ht="14.25" hidden="1">
      <c r="B448" s="477" t="s">
        <v>2334</v>
      </c>
      <c r="C448" s="463"/>
      <c r="D448" s="463"/>
      <c r="E448" s="463"/>
      <c r="F448" s="465"/>
      <c r="G448" s="463"/>
      <c r="H448" s="463"/>
      <c r="I448" s="463"/>
      <c r="J448" s="463"/>
      <c r="K448" s="463"/>
      <c r="L448" s="463"/>
      <c r="M448" s="463"/>
      <c r="N448" s="470"/>
    </row>
    <row r="449" spans="2:14" ht="40.5" hidden="1">
      <c r="B449" s="485" t="s">
        <v>2334</v>
      </c>
      <c r="C449" s="463" t="s">
        <v>3797</v>
      </c>
      <c r="D449" s="463" t="s">
        <v>4162</v>
      </c>
      <c r="E449" s="464">
        <v>7491830</v>
      </c>
      <c r="F449" s="465">
        <v>15</v>
      </c>
      <c r="G449" s="466">
        <v>48576</v>
      </c>
      <c r="H449" s="467">
        <v>5481</v>
      </c>
      <c r="I449" s="289">
        <v>374592</v>
      </c>
      <c r="J449" s="289">
        <v>7117238</v>
      </c>
      <c r="K449" s="468">
        <v>365</v>
      </c>
      <c r="L449" s="289">
        <v>473963</v>
      </c>
      <c r="M449" s="464">
        <v>2019213</v>
      </c>
      <c r="N449" s="469">
        <v>5472617</v>
      </c>
    </row>
    <row r="450" spans="2:14" ht="67.5" hidden="1">
      <c r="B450" s="485" t="s">
        <v>2334</v>
      </c>
      <c r="C450" s="463" t="s">
        <v>3604</v>
      </c>
      <c r="D450" s="463" t="s">
        <v>4144</v>
      </c>
      <c r="E450" s="464">
        <v>53181426</v>
      </c>
      <c r="F450" s="465">
        <v>20</v>
      </c>
      <c r="G450" s="466">
        <v>50402</v>
      </c>
      <c r="H450" s="467">
        <v>7307</v>
      </c>
      <c r="I450" s="289">
        <v>2659071</v>
      </c>
      <c r="J450" s="289">
        <v>50522355</v>
      </c>
      <c r="K450" s="468">
        <v>365</v>
      </c>
      <c r="L450" s="289">
        <v>2523698</v>
      </c>
      <c r="M450" s="464">
        <v>10751645</v>
      </c>
      <c r="N450" s="469">
        <v>42429781</v>
      </c>
    </row>
    <row r="451" spans="2:14" hidden="1">
      <c r="B451" s="485" t="s">
        <v>2334</v>
      </c>
      <c r="C451" s="463" t="s">
        <v>3604</v>
      </c>
      <c r="D451" s="463" t="s">
        <v>3610</v>
      </c>
      <c r="E451" s="464">
        <v>17481908</v>
      </c>
      <c r="F451" s="465">
        <v>20</v>
      </c>
      <c r="G451" s="466">
        <v>50402</v>
      </c>
      <c r="H451" s="467">
        <v>7307</v>
      </c>
      <c r="I451" s="289">
        <v>874095</v>
      </c>
      <c r="J451" s="289">
        <v>16607813</v>
      </c>
      <c r="K451" s="468">
        <v>365</v>
      </c>
      <c r="L451" s="289">
        <v>829595</v>
      </c>
      <c r="M451" s="464">
        <v>3534302</v>
      </c>
      <c r="N451" s="469">
        <v>13947606</v>
      </c>
    </row>
    <row r="452" spans="2:14" hidden="1">
      <c r="B452" s="485"/>
      <c r="C452" s="463"/>
      <c r="D452" s="463"/>
      <c r="E452" s="463"/>
      <c r="F452" s="465"/>
      <c r="G452" s="463"/>
      <c r="H452" s="463"/>
      <c r="I452" s="463"/>
      <c r="J452" s="463"/>
      <c r="K452" s="463"/>
      <c r="L452" s="463"/>
      <c r="M452" s="463"/>
      <c r="N452" s="470"/>
    </row>
    <row r="453" spans="2:14" hidden="1">
      <c r="B453" s="485" t="s">
        <v>2334</v>
      </c>
      <c r="C453" s="463" t="s">
        <v>3797</v>
      </c>
      <c r="D453" s="463"/>
      <c r="E453" s="464">
        <v>3587146</v>
      </c>
      <c r="F453" s="465">
        <v>15</v>
      </c>
      <c r="G453" s="466">
        <v>48576</v>
      </c>
      <c r="H453" s="467">
        <v>5481</v>
      </c>
      <c r="I453" s="289">
        <v>179357</v>
      </c>
      <c r="J453" s="289">
        <v>3407789</v>
      </c>
      <c r="K453" s="468">
        <v>365</v>
      </c>
      <c r="L453" s="289">
        <v>226937</v>
      </c>
      <c r="M453" s="464">
        <v>966814</v>
      </c>
      <c r="N453" s="469">
        <v>2620332</v>
      </c>
    </row>
    <row r="454" spans="2:14" hidden="1">
      <c r="B454" s="485" t="s">
        <v>2334</v>
      </c>
      <c r="C454" s="463" t="s">
        <v>3604</v>
      </c>
      <c r="D454" s="463"/>
      <c r="E454" s="464">
        <v>4961560</v>
      </c>
      <c r="F454" s="465">
        <v>25</v>
      </c>
      <c r="G454" s="466">
        <v>52228</v>
      </c>
      <c r="H454" s="467">
        <v>9133</v>
      </c>
      <c r="I454" s="289">
        <v>248078</v>
      </c>
      <c r="J454" s="289">
        <v>4713482</v>
      </c>
      <c r="K454" s="468">
        <v>365</v>
      </c>
      <c r="L454" s="289">
        <v>188374</v>
      </c>
      <c r="M454" s="464">
        <v>802525</v>
      </c>
      <c r="N454" s="469">
        <v>4159035</v>
      </c>
    </row>
    <row r="455" spans="2:14" hidden="1">
      <c r="B455" s="485"/>
      <c r="C455" s="463"/>
      <c r="D455" s="463"/>
      <c r="E455" s="463"/>
      <c r="F455" s="465"/>
      <c r="G455" s="463"/>
      <c r="H455" s="463"/>
      <c r="I455" s="463"/>
      <c r="J455" s="463"/>
      <c r="K455" s="463"/>
      <c r="L455" s="463"/>
      <c r="M455" s="463"/>
      <c r="N455" s="470"/>
    </row>
    <row r="456" spans="2:14" ht="27" hidden="1">
      <c r="B456" s="485" t="s">
        <v>2334</v>
      </c>
      <c r="C456" s="463" t="s">
        <v>3612</v>
      </c>
      <c r="D456" s="463"/>
      <c r="E456" s="464">
        <v>204099</v>
      </c>
      <c r="F456" s="465">
        <v>10</v>
      </c>
      <c r="G456" s="466">
        <v>46749</v>
      </c>
      <c r="H456" s="467">
        <v>3654</v>
      </c>
      <c r="I456" s="289">
        <v>10205</v>
      </c>
      <c r="J456" s="289">
        <v>193894</v>
      </c>
      <c r="K456" s="468">
        <v>365</v>
      </c>
      <c r="L456" s="289">
        <v>19368</v>
      </c>
      <c r="M456" s="464">
        <v>82513</v>
      </c>
      <c r="N456" s="469">
        <v>121586</v>
      </c>
    </row>
    <row r="457" spans="2:14" hidden="1">
      <c r="B457" s="485" t="s">
        <v>2334</v>
      </c>
      <c r="C457" s="463" t="s">
        <v>4273</v>
      </c>
      <c r="D457" s="463"/>
      <c r="E457" s="464">
        <v>891642</v>
      </c>
      <c r="F457" s="465">
        <v>25</v>
      </c>
      <c r="G457" s="466">
        <v>52228</v>
      </c>
      <c r="H457" s="467">
        <v>9133</v>
      </c>
      <c r="I457" s="289">
        <v>44582</v>
      </c>
      <c r="J457" s="289">
        <v>847060</v>
      </c>
      <c r="K457" s="468">
        <v>365</v>
      </c>
      <c r="L457" s="289">
        <v>33853</v>
      </c>
      <c r="M457" s="464">
        <v>144222</v>
      </c>
      <c r="N457" s="469">
        <v>747420</v>
      </c>
    </row>
    <row r="458" spans="2:14" hidden="1">
      <c r="B458" s="485"/>
      <c r="C458" s="463"/>
      <c r="D458" s="463"/>
      <c r="E458" s="463"/>
      <c r="F458" s="465"/>
      <c r="G458" s="463"/>
      <c r="H458" s="463"/>
      <c r="I458" s="463"/>
      <c r="J458" s="463"/>
      <c r="K458" s="463"/>
      <c r="L458" s="463"/>
      <c r="M458" s="463"/>
      <c r="N458" s="470"/>
    </row>
    <row r="459" spans="2:14" ht="14.25" hidden="1">
      <c r="B459" s="485"/>
      <c r="C459" s="472" t="s">
        <v>1837</v>
      </c>
      <c r="D459" s="473"/>
      <c r="E459" s="474">
        <f t="shared" ref="E459" si="17">+SUBTOTAL(9,E449:E458)</f>
        <v>87799611</v>
      </c>
      <c r="F459" s="465"/>
      <c r="G459" s="463"/>
      <c r="H459" s="463"/>
      <c r="I459" s="463"/>
      <c r="J459" s="463"/>
      <c r="K459" s="463"/>
      <c r="L459" s="475">
        <f t="shared" ref="L459:N459" si="18">+SUBTOTAL(9,L449:L458)</f>
        <v>4295788</v>
      </c>
      <c r="M459" s="475">
        <f t="shared" si="18"/>
        <v>18301234</v>
      </c>
      <c r="N459" s="476">
        <f t="shared" si="18"/>
        <v>69498377</v>
      </c>
    </row>
    <row r="460" spans="2:14" ht="14.25" hidden="1">
      <c r="B460" s="477" t="s">
        <v>4213</v>
      </c>
      <c r="C460" s="463"/>
      <c r="D460" s="463"/>
      <c r="E460" s="463"/>
      <c r="F460" s="465"/>
      <c r="G460" s="463"/>
      <c r="H460" s="463"/>
      <c r="I460" s="463"/>
      <c r="J460" s="463"/>
      <c r="K460" s="463"/>
      <c r="L460" s="479"/>
      <c r="M460" s="464"/>
      <c r="N460" s="478"/>
    </row>
    <row r="461" spans="2:14" ht="27" hidden="1">
      <c r="B461" s="485" t="s">
        <v>4213</v>
      </c>
      <c r="C461" s="463" t="s">
        <v>4103</v>
      </c>
      <c r="D461" s="463" t="s">
        <v>4137</v>
      </c>
      <c r="E461" s="464">
        <v>41066</v>
      </c>
      <c r="F461" s="465">
        <v>5</v>
      </c>
      <c r="G461" s="466">
        <v>44923</v>
      </c>
      <c r="H461" s="467">
        <v>1828</v>
      </c>
      <c r="I461" s="289">
        <v>2053</v>
      </c>
      <c r="J461" s="289">
        <v>39013</v>
      </c>
      <c r="K461" s="468">
        <v>365</v>
      </c>
      <c r="L461" s="289">
        <v>7790</v>
      </c>
      <c r="M461" s="464">
        <v>33187</v>
      </c>
      <c r="N461" s="469">
        <v>7879</v>
      </c>
    </row>
    <row r="462" spans="2:14" ht="27" hidden="1">
      <c r="B462" s="485" t="s">
        <v>4213</v>
      </c>
      <c r="C462" s="463" t="s">
        <v>4103</v>
      </c>
      <c r="D462" s="463" t="s">
        <v>4138</v>
      </c>
      <c r="E462" s="464">
        <v>82119</v>
      </c>
      <c r="F462" s="465">
        <v>5</v>
      </c>
      <c r="G462" s="466">
        <v>44923</v>
      </c>
      <c r="H462" s="467">
        <v>1828</v>
      </c>
      <c r="I462" s="289">
        <v>4106</v>
      </c>
      <c r="J462" s="289">
        <v>78013</v>
      </c>
      <c r="K462" s="468">
        <v>365</v>
      </c>
      <c r="L462" s="289">
        <v>15577</v>
      </c>
      <c r="M462" s="464">
        <v>66363</v>
      </c>
      <c r="N462" s="469">
        <v>15756</v>
      </c>
    </row>
    <row r="463" spans="2:14" hidden="1">
      <c r="B463" s="485"/>
      <c r="C463" s="463"/>
      <c r="D463" s="463"/>
      <c r="E463" s="463"/>
      <c r="F463" s="465"/>
      <c r="G463" s="466"/>
      <c r="H463" s="467"/>
      <c r="I463" s="289"/>
      <c r="J463" s="289"/>
      <c r="K463" s="468"/>
      <c r="L463" s="289"/>
      <c r="M463" s="464"/>
      <c r="N463" s="469"/>
    </row>
    <row r="464" spans="2:14" hidden="1">
      <c r="B464" s="485" t="s">
        <v>4213</v>
      </c>
      <c r="C464" s="463" t="s">
        <v>4103</v>
      </c>
      <c r="D464" s="463"/>
      <c r="E464" s="464">
        <v>177479752</v>
      </c>
      <c r="F464" s="465">
        <v>5</v>
      </c>
      <c r="G464" s="466">
        <v>44923</v>
      </c>
      <c r="H464" s="467">
        <v>1828</v>
      </c>
      <c r="I464" s="289">
        <v>8873988</v>
      </c>
      <c r="J464" s="289">
        <v>168605764</v>
      </c>
      <c r="K464" s="468">
        <v>365</v>
      </c>
      <c r="L464" s="289">
        <v>33665812</v>
      </c>
      <c r="M464" s="464">
        <v>143425582</v>
      </c>
      <c r="N464" s="469">
        <v>34054170</v>
      </c>
    </row>
    <row r="465" spans="2:14" hidden="1">
      <c r="B465" s="485"/>
      <c r="C465" s="463"/>
      <c r="D465" s="463"/>
      <c r="E465" s="463"/>
      <c r="F465" s="465"/>
      <c r="G465" s="466"/>
      <c r="H465" s="467"/>
      <c r="I465" s="289"/>
      <c r="J465" s="289"/>
      <c r="K465" s="468"/>
      <c r="L465" s="289"/>
      <c r="M465" s="464"/>
      <c r="N465" s="469"/>
    </row>
    <row r="466" spans="2:14" ht="27" hidden="1">
      <c r="B466" s="485" t="s">
        <v>4213</v>
      </c>
      <c r="C466" s="463" t="s">
        <v>4214</v>
      </c>
      <c r="D466" s="463" t="s">
        <v>4214</v>
      </c>
      <c r="E466" s="464">
        <v>360970779</v>
      </c>
      <c r="F466" s="465">
        <v>5</v>
      </c>
      <c r="G466" s="466">
        <v>44923</v>
      </c>
      <c r="H466" s="467">
        <v>1828</v>
      </c>
      <c r="I466" s="289">
        <v>18048539</v>
      </c>
      <c r="J466" s="289">
        <v>342922240</v>
      </c>
      <c r="K466" s="468">
        <v>365</v>
      </c>
      <c r="L466" s="289">
        <v>68471891</v>
      </c>
      <c r="M466" s="464">
        <v>291709016</v>
      </c>
      <c r="N466" s="469">
        <v>69261763</v>
      </c>
    </row>
    <row r="467" spans="2:14" ht="27" hidden="1">
      <c r="B467" s="485" t="s">
        <v>4213</v>
      </c>
      <c r="C467" s="463" t="s">
        <v>4215</v>
      </c>
      <c r="D467" s="463" t="s">
        <v>4215</v>
      </c>
      <c r="E467" s="464">
        <v>13075665</v>
      </c>
      <c r="F467" s="465">
        <v>5</v>
      </c>
      <c r="G467" s="466">
        <v>44923</v>
      </c>
      <c r="H467" s="467">
        <v>1828</v>
      </c>
      <c r="I467" s="289">
        <v>653783</v>
      </c>
      <c r="J467" s="289">
        <v>12421882</v>
      </c>
      <c r="K467" s="468">
        <v>365</v>
      </c>
      <c r="L467" s="289">
        <v>2480299</v>
      </c>
      <c r="M467" s="464">
        <v>10566754</v>
      </c>
      <c r="N467" s="469">
        <v>2508911</v>
      </c>
    </row>
    <row r="468" spans="2:14" ht="27" hidden="1">
      <c r="B468" s="485" t="s">
        <v>4213</v>
      </c>
      <c r="C468" s="463" t="s">
        <v>4216</v>
      </c>
      <c r="D468" s="463" t="s">
        <v>4216</v>
      </c>
      <c r="E468" s="464">
        <v>368328673</v>
      </c>
      <c r="F468" s="465">
        <v>5</v>
      </c>
      <c r="G468" s="466">
        <v>44923</v>
      </c>
      <c r="H468" s="467">
        <v>1828</v>
      </c>
      <c r="I468" s="289">
        <v>18416434</v>
      </c>
      <c r="J468" s="289">
        <v>349912239</v>
      </c>
      <c r="K468" s="468">
        <v>365</v>
      </c>
      <c r="L468" s="289">
        <v>69867597</v>
      </c>
      <c r="M468" s="464">
        <v>297655105</v>
      </c>
      <c r="N468" s="469">
        <v>70673568</v>
      </c>
    </row>
    <row r="469" spans="2:14" ht="27" hidden="1">
      <c r="B469" s="485" t="s">
        <v>4213</v>
      </c>
      <c r="C469" s="463" t="s">
        <v>4217</v>
      </c>
      <c r="D469" s="463" t="s">
        <v>4217</v>
      </c>
      <c r="E469" s="464">
        <v>12603606</v>
      </c>
      <c r="F469" s="465">
        <v>5</v>
      </c>
      <c r="G469" s="466">
        <v>44923</v>
      </c>
      <c r="H469" s="467">
        <v>1828</v>
      </c>
      <c r="I469" s="289">
        <v>630180</v>
      </c>
      <c r="J469" s="289">
        <v>11973426</v>
      </c>
      <c r="K469" s="468">
        <v>365</v>
      </c>
      <c r="L469" s="289">
        <v>2390755</v>
      </c>
      <c r="M469" s="464">
        <v>10185271</v>
      </c>
      <c r="N469" s="469">
        <v>2418335</v>
      </c>
    </row>
    <row r="470" spans="2:14" ht="27" hidden="1">
      <c r="B470" s="485" t="s">
        <v>4213</v>
      </c>
      <c r="C470" s="463" t="s">
        <v>4218</v>
      </c>
      <c r="D470" s="463" t="s">
        <v>4218</v>
      </c>
      <c r="E470" s="464">
        <v>1148350</v>
      </c>
      <c r="F470" s="465">
        <v>5</v>
      </c>
      <c r="G470" s="466">
        <v>44923</v>
      </c>
      <c r="H470" s="467">
        <v>1828</v>
      </c>
      <c r="I470" s="289">
        <v>57418</v>
      </c>
      <c r="J470" s="289">
        <v>1090932</v>
      </c>
      <c r="K470" s="468">
        <v>365</v>
      </c>
      <c r="L470" s="289">
        <v>217828</v>
      </c>
      <c r="M470" s="464">
        <v>928007</v>
      </c>
      <c r="N470" s="469">
        <v>220343</v>
      </c>
    </row>
    <row r="471" spans="2:14" ht="27" hidden="1">
      <c r="B471" s="485" t="s">
        <v>4213</v>
      </c>
      <c r="C471" s="463" t="s">
        <v>4219</v>
      </c>
      <c r="D471" s="463" t="s">
        <v>4219</v>
      </c>
      <c r="E471" s="464">
        <v>10265943</v>
      </c>
      <c r="F471" s="465">
        <v>5</v>
      </c>
      <c r="G471" s="466">
        <v>44923</v>
      </c>
      <c r="H471" s="467">
        <v>1828</v>
      </c>
      <c r="I471" s="289">
        <v>513297</v>
      </c>
      <c r="J471" s="289">
        <v>9752646</v>
      </c>
      <c r="K471" s="468">
        <v>365</v>
      </c>
      <c r="L471" s="289">
        <v>1947328</v>
      </c>
      <c r="M471" s="464">
        <v>8296151</v>
      </c>
      <c r="N471" s="469">
        <v>1969792</v>
      </c>
    </row>
    <row r="472" spans="2:14" ht="27" hidden="1">
      <c r="B472" s="485" t="s">
        <v>4213</v>
      </c>
      <c r="C472" s="463" t="s">
        <v>4220</v>
      </c>
      <c r="D472" s="463" t="s">
        <v>4220</v>
      </c>
      <c r="E472" s="464">
        <v>337732</v>
      </c>
      <c r="F472" s="465">
        <v>5</v>
      </c>
      <c r="G472" s="466">
        <v>44923</v>
      </c>
      <c r="H472" s="467">
        <v>1828</v>
      </c>
      <c r="I472" s="289">
        <v>16887</v>
      </c>
      <c r="J472" s="289">
        <v>320845</v>
      </c>
      <c r="K472" s="468">
        <v>365</v>
      </c>
      <c r="L472" s="289">
        <v>64064</v>
      </c>
      <c r="M472" s="464">
        <v>272930</v>
      </c>
      <c r="N472" s="469">
        <v>64802</v>
      </c>
    </row>
    <row r="473" spans="2:14" hidden="1">
      <c r="B473" s="485"/>
      <c r="C473" s="463"/>
      <c r="D473" s="463"/>
      <c r="E473" s="463"/>
      <c r="F473" s="465"/>
      <c r="G473" s="463"/>
      <c r="H473" s="463"/>
      <c r="I473" s="463"/>
      <c r="J473" s="463"/>
      <c r="K473" s="463"/>
      <c r="L473" s="463"/>
      <c r="M473" s="463"/>
      <c r="N473" s="470"/>
    </row>
    <row r="474" spans="2:14" ht="14.25" hidden="1">
      <c r="B474" s="485"/>
      <c r="C474" s="472" t="s">
        <v>1837</v>
      </c>
      <c r="D474" s="473"/>
      <c r="E474" s="474">
        <f t="shared" ref="E474" si="19">+SUBTOTAL(9,E461:E473)</f>
        <v>944333685</v>
      </c>
      <c r="F474" s="465"/>
      <c r="G474" s="463"/>
      <c r="H474" s="463"/>
      <c r="I474" s="463"/>
      <c r="J474" s="463"/>
      <c r="K474" s="463"/>
      <c r="L474" s="475">
        <f>+SUBTOTAL(9,L461:L473)</f>
        <v>179128941</v>
      </c>
      <c r="M474" s="475">
        <f>+SUBTOTAL(9,M461:M473)</f>
        <v>763138366</v>
      </c>
      <c r="N474" s="476">
        <f>+SUBTOTAL(9,N461:N473)</f>
        <v>181195319</v>
      </c>
    </row>
    <row r="475" spans="2:14" ht="28.5" hidden="1">
      <c r="B475" s="477" t="s">
        <v>4278</v>
      </c>
      <c r="C475" s="463"/>
      <c r="D475" s="463"/>
      <c r="E475" s="463"/>
      <c r="F475" s="465"/>
      <c r="G475" s="463"/>
      <c r="H475" s="463"/>
      <c r="I475" s="463"/>
      <c r="J475" s="463"/>
      <c r="K475" s="463"/>
      <c r="L475" s="463"/>
      <c r="M475" s="464"/>
      <c r="N475" s="478"/>
    </row>
    <row r="476" spans="2:14" ht="27" hidden="1">
      <c r="B476" s="485" t="s">
        <v>4276</v>
      </c>
      <c r="C476" s="463"/>
      <c r="D476" s="463"/>
      <c r="E476" s="289">
        <v>23367782</v>
      </c>
      <c r="F476" s="465">
        <v>25</v>
      </c>
      <c r="G476" s="466">
        <v>52228</v>
      </c>
      <c r="H476" s="467">
        <v>9133</v>
      </c>
      <c r="I476" s="289">
        <v>1168389</v>
      </c>
      <c r="J476" s="289">
        <v>22199393</v>
      </c>
      <c r="K476" s="468">
        <v>365</v>
      </c>
      <c r="L476" s="289">
        <v>887198</v>
      </c>
      <c r="M476" s="464">
        <v>3551223</v>
      </c>
      <c r="N476" s="469">
        <v>19816559</v>
      </c>
    </row>
    <row r="477" spans="2:14" ht="27" hidden="1">
      <c r="B477" s="485" t="s">
        <v>4284</v>
      </c>
      <c r="C477" s="463"/>
      <c r="D477" s="463"/>
      <c r="E477" s="289">
        <v>7929853</v>
      </c>
      <c r="F477" s="465">
        <v>25</v>
      </c>
      <c r="G477" s="466">
        <v>52228</v>
      </c>
      <c r="H477" s="467">
        <v>9133</v>
      </c>
      <c r="I477" s="289">
        <v>396493</v>
      </c>
      <c r="J477" s="289">
        <v>7533360</v>
      </c>
      <c r="K477" s="468">
        <v>365</v>
      </c>
      <c r="L477" s="289">
        <v>301070</v>
      </c>
      <c r="M477" s="464">
        <v>1130044</v>
      </c>
      <c r="N477" s="469">
        <v>6799809</v>
      </c>
    </row>
    <row r="478" spans="2:14" ht="27" hidden="1">
      <c r="B478" s="485" t="s">
        <v>4305</v>
      </c>
      <c r="C478" s="463"/>
      <c r="D478" s="463"/>
      <c r="E478" s="289">
        <v>9184113</v>
      </c>
      <c r="F478" s="465">
        <v>25</v>
      </c>
      <c r="G478" s="466">
        <v>52228</v>
      </c>
      <c r="H478" s="467">
        <v>9133</v>
      </c>
      <c r="I478" s="289">
        <v>459206</v>
      </c>
      <c r="J478" s="289">
        <v>8724907</v>
      </c>
      <c r="K478" s="468">
        <v>365</v>
      </c>
      <c r="L478" s="289">
        <v>348691</v>
      </c>
      <c r="M478" s="464">
        <v>1220896</v>
      </c>
      <c r="N478" s="469">
        <v>7963217</v>
      </c>
    </row>
    <row r="479" spans="2:14" ht="27" hidden="1">
      <c r="B479" s="485" t="s">
        <v>4316</v>
      </c>
      <c r="C479" s="463"/>
      <c r="D479" s="463"/>
      <c r="E479" s="289">
        <v>-6871463</v>
      </c>
      <c r="F479" s="465">
        <v>25</v>
      </c>
      <c r="G479" s="466">
        <v>52228</v>
      </c>
      <c r="H479" s="467">
        <v>9133</v>
      </c>
      <c r="I479" s="289">
        <v>-343573</v>
      </c>
      <c r="J479" s="289">
        <v>-6527890</v>
      </c>
      <c r="K479" s="468">
        <v>365</v>
      </c>
      <c r="L479" s="289">
        <v>-260887</v>
      </c>
      <c r="M479" s="464">
        <v>-847704</v>
      </c>
      <c r="N479" s="469">
        <v>-6023759</v>
      </c>
    </row>
    <row r="480" spans="2:14" ht="27" hidden="1">
      <c r="B480" s="485" t="s">
        <v>4331</v>
      </c>
      <c r="C480" s="463"/>
      <c r="D480" s="463"/>
      <c r="E480" s="289">
        <v>72687333</v>
      </c>
      <c r="F480" s="465">
        <v>25</v>
      </c>
      <c r="G480" s="466">
        <v>52228</v>
      </c>
      <c r="H480" s="467">
        <v>9133</v>
      </c>
      <c r="I480" s="289">
        <v>3634367</v>
      </c>
      <c r="J480" s="289">
        <v>69052966</v>
      </c>
      <c r="K480" s="468">
        <v>365</v>
      </c>
      <c r="L480" s="289">
        <v>2759699</v>
      </c>
      <c r="M480" s="464">
        <v>8286658</v>
      </c>
      <c r="N480" s="469">
        <v>64400675</v>
      </c>
    </row>
    <row r="481" spans="2:14" ht="27" hidden="1">
      <c r="B481" s="486" t="s">
        <v>4381</v>
      </c>
      <c r="C481" s="463"/>
      <c r="D481" s="463"/>
      <c r="E481" s="289">
        <v>2263267</v>
      </c>
      <c r="F481" s="465">
        <v>25</v>
      </c>
      <c r="G481" s="466">
        <v>52228</v>
      </c>
      <c r="H481" s="467">
        <v>9133</v>
      </c>
      <c r="I481" s="289">
        <v>113163</v>
      </c>
      <c r="J481" s="289">
        <v>2150104</v>
      </c>
      <c r="K481" s="468">
        <v>365</v>
      </c>
      <c r="L481" s="289">
        <v>85929</v>
      </c>
      <c r="M481" s="464">
        <v>214940</v>
      </c>
      <c r="N481" s="469">
        <v>2048327</v>
      </c>
    </row>
    <row r="482" spans="2:14" ht="27" hidden="1">
      <c r="B482" s="486" t="s">
        <v>4389</v>
      </c>
      <c r="C482" s="463"/>
      <c r="D482" s="463"/>
      <c r="E482" s="289">
        <v>1746662</v>
      </c>
      <c r="F482" s="465">
        <v>25</v>
      </c>
      <c r="G482" s="466">
        <v>52228</v>
      </c>
      <c r="H482" s="467">
        <v>9133</v>
      </c>
      <c r="I482" s="289">
        <v>87333</v>
      </c>
      <c r="J482" s="289">
        <v>1659329</v>
      </c>
      <c r="K482" s="468">
        <v>365</v>
      </c>
      <c r="L482" s="289">
        <v>66315</v>
      </c>
      <c r="M482" s="464">
        <v>149163</v>
      </c>
      <c r="N482" s="469">
        <v>1597499</v>
      </c>
    </row>
    <row r="483" spans="2:14" ht="27" hidden="1">
      <c r="B483" s="486" t="s">
        <v>4414</v>
      </c>
      <c r="C483" s="463"/>
      <c r="D483" s="463"/>
      <c r="E483" s="289">
        <v>93841852</v>
      </c>
      <c r="F483" s="465">
        <v>25</v>
      </c>
      <c r="G483" s="466">
        <v>52228</v>
      </c>
      <c r="H483" s="467">
        <v>9133</v>
      </c>
      <c r="I483" s="289">
        <v>4692093</v>
      </c>
      <c r="J483" s="289">
        <v>89149759</v>
      </c>
      <c r="K483" s="468">
        <v>365</v>
      </c>
      <c r="L483" s="289">
        <v>3562867</v>
      </c>
      <c r="M483" s="464">
        <v>7125734</v>
      </c>
      <c r="N483" s="469">
        <v>86716118</v>
      </c>
    </row>
    <row r="484" spans="2:14" ht="27" hidden="1">
      <c r="B484" s="486" t="s">
        <v>4416</v>
      </c>
      <c r="C484" s="463"/>
      <c r="D484" s="463"/>
      <c r="E484" s="289">
        <v>8810307</v>
      </c>
      <c r="F484" s="465">
        <v>25</v>
      </c>
      <c r="G484" s="466">
        <v>52228</v>
      </c>
      <c r="H484" s="467">
        <v>9133</v>
      </c>
      <c r="I484" s="289">
        <v>440515</v>
      </c>
      <c r="J484" s="289">
        <v>8369792</v>
      </c>
      <c r="K484" s="468">
        <v>365</v>
      </c>
      <c r="L484" s="289">
        <v>334498</v>
      </c>
      <c r="M484" s="464">
        <v>585601</v>
      </c>
      <c r="N484" s="469">
        <v>8224706</v>
      </c>
    </row>
    <row r="485" spans="2:14" ht="27" hidden="1">
      <c r="B485" s="486" t="s">
        <v>4460</v>
      </c>
      <c r="C485" s="463"/>
      <c r="D485" s="463"/>
      <c r="E485" s="289">
        <v>-30531903</v>
      </c>
      <c r="F485" s="465">
        <v>25</v>
      </c>
      <c r="G485" s="466">
        <v>52228</v>
      </c>
      <c r="H485" s="467">
        <v>9133</v>
      </c>
      <c r="I485" s="289">
        <v>-1526595</v>
      </c>
      <c r="J485" s="289">
        <v>-29005308</v>
      </c>
      <c r="K485" s="468">
        <v>365</v>
      </c>
      <c r="L485" s="289">
        <v>-1159196</v>
      </c>
      <c r="M485" s="464">
        <v>-1737206</v>
      </c>
      <c r="N485" s="469">
        <v>-28794697</v>
      </c>
    </row>
    <row r="486" spans="2:14" ht="27" hidden="1">
      <c r="B486" s="486" t="s">
        <v>4536</v>
      </c>
      <c r="C486" s="463"/>
      <c r="D486" s="463"/>
      <c r="E486" s="289">
        <v>-11326533</v>
      </c>
      <c r="F486" s="465">
        <v>25</v>
      </c>
      <c r="G486" s="466">
        <v>52228</v>
      </c>
      <c r="H486" s="467">
        <v>9133</v>
      </c>
      <c r="I486" s="289">
        <v>-566327</v>
      </c>
      <c r="J486" s="289">
        <v>-10760206</v>
      </c>
      <c r="K486" s="468">
        <v>365</v>
      </c>
      <c r="L486" s="289">
        <v>-430031</v>
      </c>
      <c r="M486" s="464">
        <v>-536066</v>
      </c>
      <c r="N486" s="469">
        <v>-10790467</v>
      </c>
    </row>
    <row r="487" spans="2:14" ht="27" hidden="1">
      <c r="B487" s="486" t="s">
        <v>4565</v>
      </c>
      <c r="C487" s="463"/>
      <c r="D487" s="463"/>
      <c r="E487" s="289">
        <v>5142025</v>
      </c>
      <c r="F487" s="465">
        <v>25</v>
      </c>
      <c r="G487" s="466">
        <v>52228</v>
      </c>
      <c r="H487" s="467">
        <v>9133</v>
      </c>
      <c r="I487" s="289">
        <v>257101</v>
      </c>
      <c r="J487" s="289">
        <v>4884924</v>
      </c>
      <c r="K487" s="468">
        <v>365</v>
      </c>
      <c r="L487" s="289">
        <v>195226</v>
      </c>
      <c r="M487" s="464">
        <v>195226</v>
      </c>
      <c r="N487" s="469">
        <v>4946799</v>
      </c>
    </row>
    <row r="488" spans="2:14" ht="27" hidden="1">
      <c r="B488" s="486" t="s">
        <v>4595</v>
      </c>
      <c r="C488" s="463"/>
      <c r="D488" s="463"/>
      <c r="E488" s="289">
        <v>18197159</v>
      </c>
      <c r="F488" s="465">
        <v>25</v>
      </c>
      <c r="G488" s="466">
        <v>52228</v>
      </c>
      <c r="H488" s="467">
        <v>9133</v>
      </c>
      <c r="I488" s="289">
        <v>909858</v>
      </c>
      <c r="J488" s="289">
        <v>17287301</v>
      </c>
      <c r="K488" s="468">
        <v>274</v>
      </c>
      <c r="L488" s="289">
        <v>518638</v>
      </c>
      <c r="M488" s="464">
        <v>518638</v>
      </c>
      <c r="N488" s="469">
        <v>17678521</v>
      </c>
    </row>
    <row r="489" spans="2:14" ht="27" hidden="1">
      <c r="B489" s="486" t="s">
        <v>4620</v>
      </c>
      <c r="C489" s="463"/>
      <c r="D489" s="463"/>
      <c r="E489" s="289">
        <v>-1358795</v>
      </c>
      <c r="F489" s="465">
        <v>25</v>
      </c>
      <c r="G489" s="466">
        <v>52228</v>
      </c>
      <c r="H489" s="467">
        <v>9133</v>
      </c>
      <c r="I489" s="289">
        <v>-67940</v>
      </c>
      <c r="J489" s="289">
        <v>-1290855</v>
      </c>
      <c r="K489" s="468">
        <v>182</v>
      </c>
      <c r="L489" s="289">
        <v>-25724</v>
      </c>
      <c r="M489" s="464">
        <v>-25724</v>
      </c>
      <c r="N489" s="469">
        <v>-1333071</v>
      </c>
    </row>
    <row r="490" spans="2:14" ht="27" hidden="1">
      <c r="B490" s="486" t="s">
        <v>4633</v>
      </c>
      <c r="C490" s="463"/>
      <c r="D490" s="463"/>
      <c r="E490" s="289">
        <v>2802172</v>
      </c>
      <c r="F490" s="465">
        <v>25</v>
      </c>
      <c r="G490" s="466">
        <v>52228</v>
      </c>
      <c r="H490" s="467">
        <v>9133</v>
      </c>
      <c r="I490" s="289">
        <v>140109</v>
      </c>
      <c r="J490" s="289">
        <v>2662063</v>
      </c>
      <c r="K490" s="468">
        <v>90</v>
      </c>
      <c r="L490" s="289">
        <v>26233</v>
      </c>
      <c r="M490" s="464">
        <v>26233</v>
      </c>
      <c r="N490" s="469">
        <v>2775939</v>
      </c>
    </row>
    <row r="491" spans="2:14" ht="27" hidden="1">
      <c r="B491" s="486" t="s">
        <v>4654</v>
      </c>
      <c r="C491" s="463"/>
      <c r="D491" s="463"/>
      <c r="E491" s="289">
        <v>22582480</v>
      </c>
      <c r="F491" s="465">
        <v>25</v>
      </c>
      <c r="G491" s="466">
        <v>52228</v>
      </c>
      <c r="H491" s="467">
        <v>9133</v>
      </c>
      <c r="I491" s="289">
        <v>1129124</v>
      </c>
      <c r="J491" s="289">
        <v>21453356</v>
      </c>
      <c r="K491" s="468">
        <v>0</v>
      </c>
      <c r="L491" s="289">
        <v>0</v>
      </c>
      <c r="M491" s="464">
        <v>0</v>
      </c>
      <c r="N491" s="469">
        <v>22582480</v>
      </c>
    </row>
    <row r="492" spans="2:14" hidden="1">
      <c r="B492" s="486"/>
      <c r="C492" s="463"/>
      <c r="D492" s="463"/>
      <c r="E492" s="289"/>
      <c r="F492" s="465"/>
      <c r="G492" s="466"/>
      <c r="H492" s="467"/>
      <c r="I492" s="289"/>
      <c r="J492" s="289"/>
      <c r="K492" s="468"/>
      <c r="L492" s="289"/>
      <c r="M492" s="464"/>
      <c r="N492" s="469"/>
    </row>
    <row r="493" spans="2:14" hidden="1">
      <c r="B493" s="485"/>
      <c r="C493" s="463"/>
      <c r="D493" s="463"/>
      <c r="E493" s="463"/>
      <c r="F493" s="465"/>
      <c r="G493" s="466"/>
      <c r="H493" s="467"/>
      <c r="I493" s="289">
        <f>ROUND(E493*5%,)</f>
        <v>0</v>
      </c>
      <c r="J493" s="289">
        <f>+E493-I493</f>
        <v>0</v>
      </c>
      <c r="K493" s="463"/>
      <c r="L493" s="463"/>
      <c r="M493" s="463"/>
      <c r="N493" s="470"/>
    </row>
    <row r="494" spans="2:14" ht="14.25" hidden="1">
      <c r="B494" s="485"/>
      <c r="C494" s="472" t="s">
        <v>1837</v>
      </c>
      <c r="D494" s="473"/>
      <c r="E494" s="474">
        <f t="shared" ref="E494" si="20">+SUBTOTAL(9,E476:E493)</f>
        <v>218466311</v>
      </c>
      <c r="F494" s="465"/>
      <c r="G494" s="463"/>
      <c r="H494" s="463"/>
      <c r="I494" s="463"/>
      <c r="J494" s="463"/>
      <c r="K494" s="463"/>
      <c r="L494" s="475">
        <f>+SUBTOTAL(9,L476:L493)</f>
        <v>7210526</v>
      </c>
      <c r="M494" s="475">
        <f>+SUBTOTAL(9,M476:M493)</f>
        <v>19857656</v>
      </c>
      <c r="N494" s="476">
        <f>+SUBTOTAL(9,N476:N493)</f>
        <v>198608655</v>
      </c>
    </row>
    <row r="495" spans="2:14" hidden="1">
      <c r="B495" s="485"/>
      <c r="C495" s="463"/>
      <c r="D495" s="463"/>
      <c r="E495" s="463"/>
      <c r="F495" s="465"/>
      <c r="G495" s="463"/>
      <c r="H495" s="463"/>
      <c r="I495" s="463"/>
      <c r="J495" s="463"/>
      <c r="K495" s="463"/>
      <c r="L495" s="463"/>
      <c r="M495" s="464"/>
      <c r="N495" s="464"/>
    </row>
    <row r="496" spans="2:14" ht="14.25" hidden="1">
      <c r="B496" s="485"/>
      <c r="C496" s="472" t="s">
        <v>754</v>
      </c>
      <c r="D496" s="473"/>
      <c r="E496" s="474">
        <f t="shared" ref="E496" si="21">+SUBTOTAL(9,E7:E495)</f>
        <v>50701078438.490005</v>
      </c>
      <c r="F496" s="465"/>
      <c r="G496" s="463"/>
      <c r="H496" s="463"/>
      <c r="I496" s="463"/>
      <c r="J496" s="463"/>
      <c r="K496" s="463"/>
      <c r="L496" s="475">
        <f>+SUBTOTAL(9,L7:L495)</f>
        <v>2216762821</v>
      </c>
      <c r="M496" s="475">
        <f>+SUBTOTAL(9,M7:M495)</f>
        <v>9467202619</v>
      </c>
      <c r="N496" s="476">
        <f>+SUBTOTAL(9,N7:N495)</f>
        <v>41233875819.490005</v>
      </c>
    </row>
    <row r="497" spans="2:14" ht="14.25">
      <c r="B497" s="477" t="s">
        <v>2968</v>
      </c>
      <c r="C497" s="463"/>
      <c r="D497" s="463"/>
      <c r="E497" s="463"/>
      <c r="F497" s="465"/>
      <c r="G497" s="463"/>
      <c r="H497" s="463"/>
      <c r="I497" s="463"/>
      <c r="J497" s="463"/>
      <c r="K497" s="463"/>
      <c r="L497" s="463"/>
      <c r="M497" s="464"/>
      <c r="N497" s="478"/>
    </row>
    <row r="498" spans="2:14" ht="27">
      <c r="B498" s="485" t="s">
        <v>2968</v>
      </c>
      <c r="C498" s="463" t="s">
        <v>3614</v>
      </c>
      <c r="D498" s="463" t="s">
        <v>4245</v>
      </c>
      <c r="E498" s="464">
        <v>1023862337</v>
      </c>
      <c r="F498" s="465">
        <v>40</v>
      </c>
      <c r="G498" s="466">
        <v>57707</v>
      </c>
      <c r="H498" s="467">
        <v>14612</v>
      </c>
      <c r="I498" s="289">
        <v>51193117</v>
      </c>
      <c r="J498" s="289">
        <v>972669220</v>
      </c>
      <c r="K498" s="468">
        <v>365</v>
      </c>
      <c r="L498" s="289">
        <v>24296761</v>
      </c>
      <c r="M498" s="464">
        <v>103510858</v>
      </c>
      <c r="N498" s="469">
        <v>920351479</v>
      </c>
    </row>
    <row r="499" spans="2:14" ht="27">
      <c r="B499" s="485" t="s">
        <v>2968</v>
      </c>
      <c r="C499" s="463" t="s">
        <v>3616</v>
      </c>
      <c r="D499" s="463" t="s">
        <v>4246</v>
      </c>
      <c r="E499" s="464">
        <v>386967571</v>
      </c>
      <c r="F499" s="465">
        <v>40</v>
      </c>
      <c r="G499" s="466">
        <v>57707</v>
      </c>
      <c r="H499" s="467">
        <v>14612</v>
      </c>
      <c r="I499" s="289">
        <v>19348379</v>
      </c>
      <c r="J499" s="289">
        <v>367619192</v>
      </c>
      <c r="K499" s="468">
        <v>365</v>
      </c>
      <c r="L499" s="289">
        <v>9182932</v>
      </c>
      <c r="M499" s="464">
        <v>39121807</v>
      </c>
      <c r="N499" s="469">
        <v>347845764</v>
      </c>
    </row>
    <row r="500" spans="2:14" ht="27">
      <c r="B500" s="485" t="s">
        <v>2968</v>
      </c>
      <c r="C500" s="463" t="s">
        <v>3619</v>
      </c>
      <c r="D500" s="463" t="s">
        <v>4247</v>
      </c>
      <c r="E500" s="464">
        <v>774080734</v>
      </c>
      <c r="F500" s="465">
        <v>25</v>
      </c>
      <c r="G500" s="466">
        <v>52228</v>
      </c>
      <c r="H500" s="467">
        <v>9133</v>
      </c>
      <c r="I500" s="289">
        <v>38704037</v>
      </c>
      <c r="J500" s="289">
        <v>735376697</v>
      </c>
      <c r="K500" s="468">
        <v>365</v>
      </c>
      <c r="L500" s="289">
        <v>29389302</v>
      </c>
      <c r="M500" s="464">
        <v>125206479</v>
      </c>
      <c r="N500" s="469">
        <v>648874255</v>
      </c>
    </row>
    <row r="501" spans="2:14">
      <c r="B501" s="485"/>
      <c r="C501" s="463"/>
      <c r="D501" s="463"/>
      <c r="E501" s="463"/>
      <c r="F501" s="465"/>
      <c r="G501" s="463"/>
      <c r="H501" s="463"/>
      <c r="I501" s="463"/>
      <c r="J501" s="463"/>
      <c r="K501" s="463"/>
      <c r="L501" s="479"/>
      <c r="M501" s="463"/>
      <c r="N501" s="470"/>
    </row>
    <row r="502" spans="2:14">
      <c r="B502" s="485" t="s">
        <v>2968</v>
      </c>
      <c r="C502" s="463" t="s">
        <v>3614</v>
      </c>
      <c r="D502" s="463"/>
      <c r="E502" s="464">
        <v>-11019190</v>
      </c>
      <c r="F502" s="465">
        <v>40</v>
      </c>
      <c r="G502" s="466">
        <v>57707</v>
      </c>
      <c r="H502" s="467">
        <v>14612</v>
      </c>
      <c r="I502" s="289">
        <v>-550960</v>
      </c>
      <c r="J502" s="289">
        <v>-10468230</v>
      </c>
      <c r="K502" s="468">
        <v>365</v>
      </c>
      <c r="L502" s="289">
        <v>-261491</v>
      </c>
      <c r="M502" s="464">
        <v>-1114023</v>
      </c>
      <c r="N502" s="469">
        <v>-9905167</v>
      </c>
    </row>
    <row r="503" spans="2:14">
      <c r="B503" s="485" t="s">
        <v>2968</v>
      </c>
      <c r="C503" s="463" t="s">
        <v>3616</v>
      </c>
      <c r="D503" s="463"/>
      <c r="E503" s="464">
        <v>167512760</v>
      </c>
      <c r="F503" s="465">
        <v>40</v>
      </c>
      <c r="G503" s="466">
        <v>57707</v>
      </c>
      <c r="H503" s="467">
        <v>14612</v>
      </c>
      <c r="I503" s="289">
        <v>8375638</v>
      </c>
      <c r="J503" s="289">
        <v>159137122</v>
      </c>
      <c r="K503" s="468">
        <v>365</v>
      </c>
      <c r="L503" s="289">
        <v>3975161</v>
      </c>
      <c r="M503" s="464">
        <v>16935275</v>
      </c>
      <c r="N503" s="469">
        <v>150577485</v>
      </c>
    </row>
    <row r="504" spans="2:14">
      <c r="B504" s="485" t="s">
        <v>2968</v>
      </c>
      <c r="C504" s="463" t="s">
        <v>3619</v>
      </c>
      <c r="D504" s="463"/>
      <c r="E504" s="464">
        <v>242997457</v>
      </c>
      <c r="F504" s="465">
        <v>25</v>
      </c>
      <c r="G504" s="466">
        <v>52228</v>
      </c>
      <c r="H504" s="467">
        <v>9133</v>
      </c>
      <c r="I504" s="289">
        <v>12149873</v>
      </c>
      <c r="J504" s="289">
        <v>230847584</v>
      </c>
      <c r="K504" s="468">
        <v>365</v>
      </c>
      <c r="L504" s="289">
        <v>9225815</v>
      </c>
      <c r="M504" s="464">
        <v>39304499</v>
      </c>
      <c r="N504" s="469">
        <v>203692958</v>
      </c>
    </row>
    <row r="505" spans="2:14">
      <c r="B505" s="485" t="s">
        <v>2968</v>
      </c>
      <c r="C505" s="463" t="s">
        <v>3623</v>
      </c>
      <c r="D505" s="463"/>
      <c r="E505" s="464">
        <v>159779147</v>
      </c>
      <c r="F505" s="465">
        <v>30</v>
      </c>
      <c r="G505" s="466">
        <v>54054</v>
      </c>
      <c r="H505" s="467">
        <v>10959</v>
      </c>
      <c r="I505" s="289">
        <v>7988957</v>
      </c>
      <c r="J505" s="289">
        <v>151790190</v>
      </c>
      <c r="K505" s="468">
        <v>365</v>
      </c>
      <c r="L505" s="289">
        <v>5055518</v>
      </c>
      <c r="M505" s="464">
        <v>21537892</v>
      </c>
      <c r="N505" s="469">
        <v>138241255</v>
      </c>
    </row>
    <row r="506" spans="2:14">
      <c r="B506" s="485" t="s">
        <v>2968</v>
      </c>
      <c r="C506" s="463" t="s">
        <v>3626</v>
      </c>
      <c r="D506" s="463"/>
      <c r="E506" s="464">
        <v>1909481</v>
      </c>
      <c r="F506" s="465">
        <v>30</v>
      </c>
      <c r="G506" s="466">
        <v>54054</v>
      </c>
      <c r="H506" s="467">
        <v>10959</v>
      </c>
      <c r="I506" s="289">
        <v>95474</v>
      </c>
      <c r="J506" s="289">
        <v>1814007</v>
      </c>
      <c r="K506" s="468">
        <v>365</v>
      </c>
      <c r="L506" s="289">
        <v>60417</v>
      </c>
      <c r="M506" s="464">
        <v>257394</v>
      </c>
      <c r="N506" s="469">
        <v>1652087</v>
      </c>
    </row>
    <row r="507" spans="2:14">
      <c r="B507" s="485" t="s">
        <v>2968</v>
      </c>
      <c r="C507" s="463" t="s">
        <v>3630</v>
      </c>
      <c r="D507" s="463"/>
      <c r="E507" s="464">
        <v>45095560</v>
      </c>
      <c r="F507" s="465">
        <v>40</v>
      </c>
      <c r="G507" s="466">
        <v>57707</v>
      </c>
      <c r="H507" s="467">
        <v>14612</v>
      </c>
      <c r="I507" s="289">
        <v>2254778</v>
      </c>
      <c r="J507" s="289">
        <v>42840782</v>
      </c>
      <c r="K507" s="468">
        <v>365</v>
      </c>
      <c r="L507" s="289">
        <v>1070140</v>
      </c>
      <c r="M507" s="464">
        <v>4559090</v>
      </c>
      <c r="N507" s="469">
        <v>40536470</v>
      </c>
    </row>
    <row r="508" spans="2:14">
      <c r="B508" s="485" t="s">
        <v>2968</v>
      </c>
      <c r="C508" s="463" t="s">
        <v>2479</v>
      </c>
      <c r="D508" s="463"/>
      <c r="E508" s="464">
        <v>214429693</v>
      </c>
      <c r="F508" s="465">
        <v>40</v>
      </c>
      <c r="G508" s="466">
        <v>57707</v>
      </c>
      <c r="H508" s="467">
        <v>14612</v>
      </c>
      <c r="I508" s="289">
        <v>10721485</v>
      </c>
      <c r="J508" s="289">
        <v>203708208</v>
      </c>
      <c r="K508" s="468">
        <v>365</v>
      </c>
      <c r="L508" s="289">
        <v>5088523</v>
      </c>
      <c r="M508" s="464">
        <v>21678502</v>
      </c>
      <c r="N508" s="469">
        <v>192751191</v>
      </c>
    </row>
    <row r="509" spans="2:14">
      <c r="B509" s="485"/>
      <c r="C509" s="463"/>
      <c r="D509" s="463"/>
      <c r="E509" s="463"/>
      <c r="F509" s="465"/>
      <c r="G509" s="463"/>
      <c r="H509" s="463"/>
      <c r="I509" s="463"/>
      <c r="J509" s="463"/>
      <c r="K509" s="463"/>
      <c r="L509" s="463"/>
      <c r="M509" s="463"/>
      <c r="N509" s="470"/>
    </row>
    <row r="510" spans="2:14">
      <c r="B510" s="485" t="s">
        <v>2968</v>
      </c>
      <c r="C510" s="463" t="s">
        <v>4255</v>
      </c>
      <c r="D510" s="463"/>
      <c r="E510" s="464">
        <v>91092815</v>
      </c>
      <c r="F510" s="465">
        <v>40</v>
      </c>
      <c r="G510" s="466">
        <v>57707</v>
      </c>
      <c r="H510" s="467">
        <v>14612</v>
      </c>
      <c r="I510" s="289">
        <v>4554641</v>
      </c>
      <c r="J510" s="289">
        <v>86538174</v>
      </c>
      <c r="K510" s="468">
        <v>365</v>
      </c>
      <c r="L510" s="289">
        <v>2161678</v>
      </c>
      <c r="M510" s="464">
        <v>9209340</v>
      </c>
      <c r="N510" s="469">
        <v>81883475</v>
      </c>
    </row>
    <row r="511" spans="2:14">
      <c r="B511" s="485"/>
      <c r="C511" s="463"/>
      <c r="D511" s="463"/>
      <c r="E511" s="463"/>
      <c r="F511" s="465"/>
      <c r="G511" s="463"/>
      <c r="H511" s="463"/>
      <c r="I511" s="463"/>
      <c r="J511" s="463"/>
      <c r="K511" s="463"/>
      <c r="L511" s="463"/>
      <c r="M511" s="463"/>
      <c r="N511" s="470"/>
    </row>
    <row r="512" spans="2:14" ht="28.5">
      <c r="B512" s="477" t="s">
        <v>4279</v>
      </c>
      <c r="C512" s="463"/>
      <c r="D512" s="463"/>
      <c r="E512" s="463"/>
      <c r="F512" s="465"/>
      <c r="G512" s="463"/>
      <c r="H512" s="463"/>
      <c r="I512" s="463"/>
      <c r="J512" s="463"/>
      <c r="K512" s="463"/>
      <c r="L512" s="463"/>
      <c r="M512" s="463"/>
      <c r="N512" s="470"/>
    </row>
    <row r="513" spans="2:14" ht="27">
      <c r="B513" s="485" t="s">
        <v>4275</v>
      </c>
      <c r="C513" s="463"/>
      <c r="D513" s="463"/>
      <c r="E513" s="289">
        <v>982438</v>
      </c>
      <c r="F513" s="465">
        <v>30</v>
      </c>
      <c r="G513" s="466">
        <v>54054</v>
      </c>
      <c r="H513" s="467">
        <v>10959</v>
      </c>
      <c r="I513" s="289">
        <v>49122</v>
      </c>
      <c r="J513" s="289">
        <v>933316</v>
      </c>
      <c r="K513" s="468">
        <v>365</v>
      </c>
      <c r="L513" s="289">
        <v>31085</v>
      </c>
      <c r="M513" s="464">
        <v>124425</v>
      </c>
      <c r="N513" s="469">
        <v>858013</v>
      </c>
    </row>
    <row r="514" spans="2:14" ht="27">
      <c r="B514" s="485" t="s">
        <v>4282</v>
      </c>
      <c r="C514" s="463"/>
      <c r="D514" s="463"/>
      <c r="E514" s="289">
        <v>0</v>
      </c>
      <c r="F514" s="465">
        <v>30</v>
      </c>
      <c r="G514" s="466">
        <v>54054</v>
      </c>
      <c r="H514" s="467">
        <v>10959</v>
      </c>
      <c r="I514" s="289">
        <v>0</v>
      </c>
      <c r="J514" s="289">
        <v>0</v>
      </c>
      <c r="K514" s="468">
        <v>365</v>
      </c>
      <c r="L514" s="289">
        <v>0</v>
      </c>
      <c r="M514" s="464">
        <v>0</v>
      </c>
      <c r="N514" s="469">
        <v>0</v>
      </c>
    </row>
    <row r="515" spans="2:14" ht="27">
      <c r="B515" s="485" t="s">
        <v>4306</v>
      </c>
      <c r="C515" s="463"/>
      <c r="D515" s="463"/>
      <c r="E515" s="289">
        <v>56</v>
      </c>
      <c r="F515" s="465">
        <v>30</v>
      </c>
      <c r="G515" s="466">
        <v>54054</v>
      </c>
      <c r="H515" s="467">
        <v>10959</v>
      </c>
      <c r="I515" s="289">
        <v>3</v>
      </c>
      <c r="J515" s="289">
        <v>53</v>
      </c>
      <c r="K515" s="468">
        <v>365</v>
      </c>
      <c r="L515" s="289">
        <v>2</v>
      </c>
      <c r="M515" s="464">
        <v>7</v>
      </c>
      <c r="N515" s="469">
        <v>49</v>
      </c>
    </row>
    <row r="516" spans="2:14" ht="27">
      <c r="B516" s="485" t="s">
        <v>4332</v>
      </c>
      <c r="C516" s="463"/>
      <c r="D516" s="463"/>
      <c r="E516" s="289">
        <v>4458121</v>
      </c>
      <c r="F516" s="465">
        <v>30</v>
      </c>
      <c r="G516" s="466">
        <v>54054</v>
      </c>
      <c r="H516" s="467">
        <v>10959</v>
      </c>
      <c r="I516" s="289">
        <v>222906</v>
      </c>
      <c r="J516" s="289">
        <v>4235215</v>
      </c>
      <c r="K516" s="468">
        <v>365</v>
      </c>
      <c r="L516" s="289">
        <v>141058</v>
      </c>
      <c r="M516" s="464">
        <v>423560</v>
      </c>
      <c r="N516" s="469">
        <v>4034561</v>
      </c>
    </row>
    <row r="517" spans="2:14" ht="27">
      <c r="B517" s="485" t="s">
        <v>4413</v>
      </c>
      <c r="C517" s="463"/>
      <c r="D517" s="463"/>
      <c r="E517" s="289">
        <v>5260345</v>
      </c>
      <c r="F517" s="465">
        <v>30</v>
      </c>
      <c r="G517" s="466">
        <v>54054</v>
      </c>
      <c r="H517" s="467">
        <v>10959</v>
      </c>
      <c r="I517" s="289">
        <v>263017</v>
      </c>
      <c r="J517" s="289">
        <v>4997328</v>
      </c>
      <c r="K517" s="468">
        <v>365</v>
      </c>
      <c r="L517" s="289">
        <v>166441</v>
      </c>
      <c r="M517" s="464">
        <v>332882</v>
      </c>
      <c r="N517" s="469">
        <v>4927463</v>
      </c>
    </row>
    <row r="518" spans="2:14" ht="27">
      <c r="B518" s="485" t="s">
        <v>4429</v>
      </c>
      <c r="C518" s="463"/>
      <c r="D518" s="463"/>
      <c r="E518" s="292">
        <v>473633</v>
      </c>
      <c r="F518" s="465">
        <v>30</v>
      </c>
      <c r="G518" s="466">
        <v>54054</v>
      </c>
      <c r="H518" s="467">
        <v>10959</v>
      </c>
      <c r="I518" s="289">
        <v>23682</v>
      </c>
      <c r="J518" s="289">
        <v>449951</v>
      </c>
      <c r="K518" s="468">
        <v>365</v>
      </c>
      <c r="L518" s="289">
        <v>14986</v>
      </c>
      <c r="M518" s="464">
        <v>26236</v>
      </c>
      <c r="N518" s="469">
        <v>447397</v>
      </c>
    </row>
    <row r="519" spans="2:14" ht="27">
      <c r="B519" s="485" t="s">
        <v>4461</v>
      </c>
      <c r="C519" s="463"/>
      <c r="D519" s="463"/>
      <c r="E519" s="292">
        <v>-1641345</v>
      </c>
      <c r="F519" s="465">
        <v>30</v>
      </c>
      <c r="G519" s="466">
        <v>54054</v>
      </c>
      <c r="H519" s="467">
        <v>10959</v>
      </c>
      <c r="I519" s="289">
        <v>-82067</v>
      </c>
      <c r="J519" s="289">
        <v>-1559278</v>
      </c>
      <c r="K519" s="468">
        <v>365</v>
      </c>
      <c r="L519" s="289">
        <v>-51933</v>
      </c>
      <c r="M519" s="464">
        <v>-77828</v>
      </c>
      <c r="N519" s="469">
        <v>-1563517</v>
      </c>
    </row>
    <row r="520" spans="2:14" ht="27">
      <c r="B520" s="485" t="s">
        <v>4537</v>
      </c>
      <c r="C520" s="463"/>
      <c r="D520" s="463"/>
      <c r="E520" s="289">
        <v>-608896</v>
      </c>
      <c r="F520" s="465">
        <v>30</v>
      </c>
      <c r="G520" s="466">
        <v>54054</v>
      </c>
      <c r="H520" s="467">
        <v>10959</v>
      </c>
      <c r="I520" s="289">
        <v>-30445</v>
      </c>
      <c r="J520" s="289">
        <v>-578451</v>
      </c>
      <c r="K520" s="468">
        <v>365</v>
      </c>
      <c r="L520" s="289">
        <v>-19266</v>
      </c>
      <c r="M520" s="464">
        <v>-24016</v>
      </c>
      <c r="N520" s="469">
        <v>-584880</v>
      </c>
    </row>
    <row r="521" spans="2:14" ht="27">
      <c r="B521" s="485" t="s">
        <v>4566</v>
      </c>
      <c r="C521" s="463"/>
      <c r="D521" s="463"/>
      <c r="E521" s="289">
        <v>276427</v>
      </c>
      <c r="F521" s="465">
        <v>30</v>
      </c>
      <c r="G521" s="466">
        <v>54054</v>
      </c>
      <c r="H521" s="467">
        <v>10959</v>
      </c>
      <c r="I521" s="289">
        <v>13821</v>
      </c>
      <c r="J521" s="289">
        <v>262606</v>
      </c>
      <c r="K521" s="468">
        <v>365</v>
      </c>
      <c r="L521" s="289">
        <v>8746</v>
      </c>
      <c r="M521" s="464">
        <v>8746</v>
      </c>
      <c r="N521" s="469">
        <v>267681</v>
      </c>
    </row>
    <row r="522" spans="2:14" ht="27">
      <c r="B522" s="485" t="s">
        <v>4596</v>
      </c>
      <c r="C522" s="463"/>
      <c r="D522" s="463"/>
      <c r="E522" s="289">
        <v>978249</v>
      </c>
      <c r="F522" s="465">
        <v>30</v>
      </c>
      <c r="G522" s="466">
        <v>54054</v>
      </c>
      <c r="H522" s="467">
        <v>10959</v>
      </c>
      <c r="I522" s="289">
        <v>48912</v>
      </c>
      <c r="J522" s="289">
        <v>929337</v>
      </c>
      <c r="K522" s="468">
        <v>274</v>
      </c>
      <c r="L522" s="289">
        <v>23236</v>
      </c>
      <c r="M522" s="464">
        <v>23236</v>
      </c>
      <c r="N522" s="469">
        <v>955013</v>
      </c>
    </row>
    <row r="523" spans="2:14" ht="27">
      <c r="B523" s="485" t="s">
        <v>4621</v>
      </c>
      <c r="C523" s="463"/>
      <c r="D523" s="463"/>
      <c r="E523" s="289">
        <v>-73047</v>
      </c>
      <c r="F523" s="465">
        <v>30</v>
      </c>
      <c r="G523" s="466">
        <v>54054</v>
      </c>
      <c r="H523" s="467">
        <v>10959</v>
      </c>
      <c r="I523" s="289">
        <v>-3652</v>
      </c>
      <c r="J523" s="289">
        <v>-69395</v>
      </c>
      <c r="K523" s="468">
        <v>182</v>
      </c>
      <c r="L523" s="289">
        <v>-1152</v>
      </c>
      <c r="M523" s="464">
        <v>-1152</v>
      </c>
      <c r="N523" s="469">
        <v>-71895</v>
      </c>
    </row>
    <row r="524" spans="2:14" ht="27">
      <c r="B524" s="485" t="s">
        <v>4634</v>
      </c>
      <c r="C524" s="463"/>
      <c r="D524" s="463"/>
      <c r="E524" s="289">
        <v>150652</v>
      </c>
      <c r="F524" s="465">
        <v>30</v>
      </c>
      <c r="G524" s="466">
        <v>54054</v>
      </c>
      <c r="H524" s="467">
        <v>10959</v>
      </c>
      <c r="I524" s="289">
        <v>7533</v>
      </c>
      <c r="J524" s="289">
        <v>143119</v>
      </c>
      <c r="K524" s="468">
        <v>90</v>
      </c>
      <c r="L524" s="289">
        <v>1175</v>
      </c>
      <c r="M524" s="464">
        <v>1175</v>
      </c>
      <c r="N524" s="469">
        <v>149477</v>
      </c>
    </row>
    <row r="525" spans="2:14" ht="27">
      <c r="B525" s="485" t="s">
        <v>4653</v>
      </c>
      <c r="C525" s="463"/>
      <c r="D525" s="463"/>
      <c r="E525" s="289">
        <v>1213941</v>
      </c>
      <c r="F525" s="465">
        <v>30</v>
      </c>
      <c r="G525" s="466">
        <v>54054</v>
      </c>
      <c r="H525" s="467">
        <v>10959</v>
      </c>
      <c r="I525" s="289">
        <v>60697</v>
      </c>
      <c r="J525" s="289">
        <v>1153244</v>
      </c>
      <c r="K525" s="471">
        <v>0</v>
      </c>
      <c r="L525" s="289">
        <v>0</v>
      </c>
      <c r="M525" s="464">
        <v>0</v>
      </c>
      <c r="N525" s="469">
        <v>1213941</v>
      </c>
    </row>
    <row r="526" spans="2:14">
      <c r="B526" s="485"/>
      <c r="C526" s="463"/>
      <c r="D526" s="463"/>
      <c r="E526" s="289"/>
      <c r="F526" s="465"/>
      <c r="G526" s="466"/>
      <c r="H526" s="467"/>
      <c r="I526" s="289"/>
      <c r="J526" s="289"/>
      <c r="K526" s="468"/>
      <c r="L526" s="289"/>
      <c r="M526" s="464"/>
      <c r="N526" s="469"/>
    </row>
    <row r="527" spans="2:14">
      <c r="B527" s="485"/>
      <c r="C527" s="463"/>
      <c r="D527" s="463"/>
      <c r="E527" s="463"/>
      <c r="F527" s="465"/>
      <c r="G527" s="463"/>
      <c r="H527" s="463"/>
      <c r="I527" s="463"/>
      <c r="J527" s="463"/>
      <c r="K527" s="463"/>
      <c r="L527" s="463"/>
      <c r="M527" s="463"/>
      <c r="N527" s="470"/>
    </row>
    <row r="528" spans="2:14" ht="14.25">
      <c r="B528" s="485"/>
      <c r="C528" s="472" t="s">
        <v>754</v>
      </c>
      <c r="D528" s="473"/>
      <c r="E528" s="474">
        <f t="shared" ref="E528" si="22">+SUBTOTAL(9,E498:E527)</f>
        <v>3108178939</v>
      </c>
      <c r="F528" s="465"/>
      <c r="G528" s="463"/>
      <c r="H528" s="463"/>
      <c r="I528" s="463"/>
      <c r="J528" s="463"/>
      <c r="K528" s="463"/>
      <c r="L528" s="475">
        <f>+SUBTOTAL(9,L498:L527)</f>
        <v>89559134</v>
      </c>
      <c r="M528" s="475">
        <f>+SUBTOTAL(9,M498:M527)</f>
        <v>381044384</v>
      </c>
      <c r="N528" s="476">
        <f>+SUBTOTAL(9,N498:N527)</f>
        <v>2727134555</v>
      </c>
    </row>
    <row r="529" spans="2:14" ht="14.25">
      <c r="B529" s="477" t="s">
        <v>4271</v>
      </c>
      <c r="C529" s="480"/>
      <c r="D529" s="463"/>
      <c r="E529" s="464"/>
      <c r="F529" s="465"/>
      <c r="G529" s="463"/>
      <c r="H529" s="463"/>
      <c r="I529" s="463"/>
      <c r="J529" s="463"/>
      <c r="K529" s="463"/>
      <c r="L529" s="481"/>
      <c r="M529" s="481"/>
      <c r="N529" s="482"/>
    </row>
    <row r="530" spans="2:14" ht="14.25">
      <c r="B530" s="477" t="s">
        <v>4271</v>
      </c>
      <c r="C530" s="480"/>
      <c r="D530" s="463"/>
      <c r="E530" s="463"/>
      <c r="F530" s="465"/>
      <c r="G530" s="463"/>
      <c r="H530" s="463"/>
      <c r="I530" s="463"/>
      <c r="J530" s="463"/>
      <c r="K530" s="463"/>
      <c r="L530" s="481"/>
      <c r="M530" s="481"/>
      <c r="N530" s="483"/>
    </row>
    <row r="531" spans="2:14">
      <c r="B531" s="485" t="s">
        <v>4271</v>
      </c>
      <c r="C531" s="463" t="s">
        <v>2339</v>
      </c>
      <c r="D531" s="463"/>
      <c r="E531" s="464">
        <v>372594891</v>
      </c>
      <c r="F531" s="465">
        <v>25</v>
      </c>
      <c r="G531" s="466">
        <v>52228</v>
      </c>
      <c r="H531" s="467">
        <v>9133</v>
      </c>
      <c r="I531" s="289">
        <v>18629745</v>
      </c>
      <c r="J531" s="289">
        <v>353965146</v>
      </c>
      <c r="K531" s="468">
        <v>365</v>
      </c>
      <c r="L531" s="289">
        <v>14146204</v>
      </c>
      <c r="M531" s="464">
        <v>60266704</v>
      </c>
      <c r="N531" s="469">
        <v>312328187</v>
      </c>
    </row>
    <row r="532" spans="2:14" ht="27">
      <c r="B532" s="485" t="s">
        <v>4271</v>
      </c>
      <c r="C532" s="463" t="s">
        <v>4272</v>
      </c>
      <c r="D532" s="463"/>
      <c r="E532" s="464">
        <v>583074286</v>
      </c>
      <c r="F532" s="465">
        <v>10</v>
      </c>
      <c r="G532" s="466">
        <v>46749</v>
      </c>
      <c r="H532" s="467">
        <v>3654</v>
      </c>
      <c r="I532" s="289">
        <v>29153714</v>
      </c>
      <c r="J532" s="289">
        <v>553920572</v>
      </c>
      <c r="K532" s="468">
        <v>365</v>
      </c>
      <c r="L532" s="289">
        <v>55331420</v>
      </c>
      <c r="M532" s="464">
        <v>235727009</v>
      </c>
      <c r="N532" s="469">
        <v>347347277</v>
      </c>
    </row>
    <row r="533" spans="2:14" ht="27">
      <c r="B533" s="485" t="s">
        <v>4271</v>
      </c>
      <c r="C533" s="463" t="s">
        <v>4474</v>
      </c>
      <c r="D533" s="463"/>
      <c r="E533" s="464">
        <v>573829432</v>
      </c>
      <c r="F533" s="465">
        <v>25</v>
      </c>
      <c r="G533" s="466">
        <v>52228</v>
      </c>
      <c r="H533" s="467">
        <v>9133</v>
      </c>
      <c r="I533" s="289">
        <v>28691472</v>
      </c>
      <c r="J533" s="289">
        <v>545137960</v>
      </c>
      <c r="K533" s="468">
        <v>365</v>
      </c>
      <c r="L533" s="289">
        <v>21786418</v>
      </c>
      <c r="M533" s="464">
        <v>92816110</v>
      </c>
      <c r="N533" s="469">
        <v>481013322</v>
      </c>
    </row>
    <row r="534" spans="2:14" ht="14.25">
      <c r="B534" s="485"/>
      <c r="C534" s="463"/>
      <c r="D534" s="463"/>
      <c r="E534" s="463"/>
      <c r="F534" s="465"/>
      <c r="G534" s="463"/>
      <c r="H534" s="463"/>
      <c r="I534" s="463"/>
      <c r="J534" s="463"/>
      <c r="K534" s="463"/>
      <c r="L534" s="481"/>
      <c r="M534" s="481"/>
      <c r="N534" s="483"/>
    </row>
    <row r="535" spans="2:14" ht="27">
      <c r="B535" s="485" t="s">
        <v>4271</v>
      </c>
      <c r="C535" s="463" t="s">
        <v>4272</v>
      </c>
      <c r="D535" s="463"/>
      <c r="E535" s="464">
        <v>228176200</v>
      </c>
      <c r="F535" s="465">
        <v>10</v>
      </c>
      <c r="G535" s="466">
        <v>46749</v>
      </c>
      <c r="H535" s="467">
        <v>3654</v>
      </c>
      <c r="I535" s="289">
        <v>11408810</v>
      </c>
      <c r="J535" s="289">
        <v>216767390</v>
      </c>
      <c r="K535" s="468">
        <v>365</v>
      </c>
      <c r="L535" s="289">
        <v>21653010</v>
      </c>
      <c r="M535" s="464">
        <v>92247755</v>
      </c>
      <c r="N535" s="469">
        <v>135928445</v>
      </c>
    </row>
    <row r="536" spans="2:14">
      <c r="B536" s="485" t="s">
        <v>4271</v>
      </c>
      <c r="C536" s="463" t="s">
        <v>3649</v>
      </c>
      <c r="D536" s="463"/>
      <c r="E536" s="464">
        <v>69176</v>
      </c>
      <c r="F536" s="465">
        <v>3</v>
      </c>
      <c r="G536" s="466">
        <v>44193</v>
      </c>
      <c r="H536" s="467">
        <v>1098</v>
      </c>
      <c r="I536" s="289">
        <v>3459</v>
      </c>
      <c r="J536" s="289">
        <v>65717</v>
      </c>
      <c r="K536" s="471">
        <v>0</v>
      </c>
      <c r="L536" s="289">
        <v>0</v>
      </c>
      <c r="M536" s="464">
        <v>69176</v>
      </c>
      <c r="N536" s="469">
        <v>0</v>
      </c>
    </row>
    <row r="537" spans="2:14">
      <c r="B537" s="485"/>
      <c r="C537" s="463"/>
      <c r="D537" s="463"/>
      <c r="E537" s="463"/>
      <c r="F537" s="465"/>
      <c r="G537" s="466"/>
      <c r="H537" s="467"/>
      <c r="I537" s="289"/>
      <c r="J537" s="289"/>
      <c r="K537" s="468"/>
      <c r="L537" s="289"/>
      <c r="M537" s="464"/>
      <c r="N537" s="469"/>
    </row>
    <row r="538" spans="2:14" ht="14.25">
      <c r="B538" s="485"/>
      <c r="C538" s="480"/>
      <c r="D538" s="463"/>
      <c r="E538" s="463"/>
      <c r="F538" s="465"/>
      <c r="G538" s="463"/>
      <c r="H538" s="463"/>
      <c r="I538" s="463"/>
      <c r="J538" s="463"/>
      <c r="K538" s="463"/>
      <c r="L538" s="481"/>
      <c r="M538" s="481"/>
      <c r="N538" s="483"/>
    </row>
    <row r="539" spans="2:14" ht="14.25">
      <c r="B539" s="485"/>
      <c r="C539" s="472" t="s">
        <v>1837</v>
      </c>
      <c r="D539" s="473"/>
      <c r="E539" s="474">
        <f t="shared" ref="E539" si="23">+SUBTOTAL(9,E531:E538)</f>
        <v>1757743985</v>
      </c>
      <c r="F539" s="465"/>
      <c r="G539" s="463"/>
      <c r="H539" s="463"/>
      <c r="I539" s="463"/>
      <c r="J539" s="463"/>
      <c r="K539" s="463"/>
      <c r="L539" s="475">
        <f>+SUBTOTAL(9,L531:L538)</f>
        <v>112917052</v>
      </c>
      <c r="M539" s="475">
        <f>+SUBTOTAL(9,M531:M538)</f>
        <v>481126754</v>
      </c>
      <c r="N539" s="476">
        <f>+SUBTOTAL(9,N531:N538)</f>
        <v>1276617231</v>
      </c>
    </row>
    <row r="540" spans="2:14" ht="14.25">
      <c r="B540" s="477" t="s">
        <v>2336</v>
      </c>
      <c r="C540" s="463"/>
      <c r="D540" s="463"/>
      <c r="E540" s="463"/>
      <c r="F540" s="465"/>
      <c r="G540" s="463"/>
      <c r="H540" s="463"/>
      <c r="I540" s="463"/>
      <c r="J540" s="463"/>
      <c r="K540" s="463"/>
      <c r="L540" s="463"/>
      <c r="M540" s="481"/>
      <c r="N540" s="482"/>
    </row>
    <row r="541" spans="2:14" ht="27">
      <c r="B541" s="485" t="s">
        <v>2336</v>
      </c>
      <c r="C541" s="463" t="s">
        <v>3651</v>
      </c>
      <c r="D541" s="463"/>
      <c r="E541" s="464">
        <v>7195495</v>
      </c>
      <c r="F541" s="465">
        <v>2</v>
      </c>
      <c r="G541" s="466">
        <v>43827</v>
      </c>
      <c r="H541" s="467">
        <v>732</v>
      </c>
      <c r="I541" s="289">
        <v>359775</v>
      </c>
      <c r="J541" s="289">
        <v>6835720</v>
      </c>
      <c r="K541" s="471">
        <v>0</v>
      </c>
      <c r="L541" s="289">
        <v>0</v>
      </c>
      <c r="M541" s="464">
        <v>7195495</v>
      </c>
      <c r="N541" s="469">
        <v>0</v>
      </c>
    </row>
    <row r="542" spans="2:14">
      <c r="B542" s="485"/>
      <c r="C542" s="463"/>
      <c r="D542" s="463"/>
      <c r="E542" s="463"/>
      <c r="F542" s="465"/>
      <c r="G542" s="463"/>
      <c r="H542" s="463"/>
      <c r="I542" s="463"/>
      <c r="J542" s="463"/>
      <c r="K542" s="463"/>
      <c r="L542" s="463"/>
      <c r="M542" s="463"/>
      <c r="N542" s="470"/>
    </row>
    <row r="543" spans="2:14" ht="14.25">
      <c r="B543" s="485"/>
      <c r="C543" s="472" t="s">
        <v>1837</v>
      </c>
      <c r="D543" s="473"/>
      <c r="E543" s="474">
        <f t="shared" ref="E543" si="24">+SUBTOTAL(9,E541:E542)</f>
        <v>7195495</v>
      </c>
      <c r="F543" s="465"/>
      <c r="G543" s="463"/>
      <c r="H543" s="463"/>
      <c r="I543" s="463"/>
      <c r="J543" s="463"/>
      <c r="K543" s="463"/>
      <c r="L543" s="475">
        <f t="shared" ref="L543:N543" si="25">+SUBTOTAL(9,L541:L542)</f>
        <v>0</v>
      </c>
      <c r="M543" s="475">
        <f t="shared" si="25"/>
        <v>7195495</v>
      </c>
      <c r="N543" s="476">
        <f t="shared" si="25"/>
        <v>0</v>
      </c>
    </row>
    <row r="544" spans="2:14" ht="28.5">
      <c r="B544" s="477" t="s">
        <v>4280</v>
      </c>
      <c r="C544" s="463"/>
      <c r="D544" s="463"/>
      <c r="E544" s="463"/>
      <c r="F544" s="465"/>
      <c r="G544" s="466"/>
      <c r="H544" s="467"/>
      <c r="I544" s="289"/>
      <c r="J544" s="289"/>
      <c r="K544" s="468"/>
      <c r="L544" s="289"/>
      <c r="M544" s="481"/>
      <c r="N544" s="481"/>
    </row>
    <row r="545" spans="2:14" ht="27.75">
      <c r="B545" s="485" t="s">
        <v>4277</v>
      </c>
      <c r="C545" s="480"/>
      <c r="D545" s="463"/>
      <c r="E545" s="289">
        <v>559930</v>
      </c>
      <c r="F545" s="465">
        <v>30</v>
      </c>
      <c r="G545" s="466">
        <v>54054</v>
      </c>
      <c r="H545" s="467">
        <v>10959</v>
      </c>
      <c r="I545" s="289">
        <v>27997</v>
      </c>
      <c r="J545" s="289">
        <v>531933</v>
      </c>
      <c r="K545" s="468">
        <v>365</v>
      </c>
      <c r="L545" s="289">
        <v>17717</v>
      </c>
      <c r="M545" s="464">
        <v>70916</v>
      </c>
      <c r="N545" s="469">
        <v>489014</v>
      </c>
    </row>
    <row r="546" spans="2:14" ht="27.75">
      <c r="B546" s="485" t="s">
        <v>4283</v>
      </c>
      <c r="C546" s="480"/>
      <c r="D546" s="463"/>
      <c r="E546" s="289">
        <v>0</v>
      </c>
      <c r="F546" s="465">
        <v>30</v>
      </c>
      <c r="G546" s="466">
        <v>54054</v>
      </c>
      <c r="H546" s="467">
        <v>10959</v>
      </c>
      <c r="I546" s="289">
        <v>0</v>
      </c>
      <c r="J546" s="289">
        <v>0</v>
      </c>
      <c r="K546" s="468">
        <v>365</v>
      </c>
      <c r="L546" s="289">
        <v>0</v>
      </c>
      <c r="M546" s="464">
        <v>0</v>
      </c>
      <c r="N546" s="469">
        <v>0</v>
      </c>
    </row>
    <row r="547" spans="2:14" ht="27.75">
      <c r="B547" s="485" t="s">
        <v>4307</v>
      </c>
      <c r="C547" s="480"/>
      <c r="D547" s="463"/>
      <c r="E547" s="289">
        <v>32</v>
      </c>
      <c r="F547" s="465">
        <v>30</v>
      </c>
      <c r="G547" s="466">
        <v>54054</v>
      </c>
      <c r="H547" s="467">
        <v>10959</v>
      </c>
      <c r="I547" s="289">
        <v>2</v>
      </c>
      <c r="J547" s="289">
        <v>30</v>
      </c>
      <c r="K547" s="468">
        <v>365</v>
      </c>
      <c r="L547" s="289">
        <v>1</v>
      </c>
      <c r="M547" s="464">
        <v>3</v>
      </c>
      <c r="N547" s="469">
        <v>29</v>
      </c>
    </row>
    <row r="548" spans="2:14" ht="27.75">
      <c r="B548" s="485" t="s">
        <v>4333</v>
      </c>
      <c r="C548" s="480"/>
      <c r="D548" s="463"/>
      <c r="E548" s="289">
        <v>2540864</v>
      </c>
      <c r="F548" s="465">
        <v>30</v>
      </c>
      <c r="G548" s="466">
        <v>54054</v>
      </c>
      <c r="H548" s="467">
        <v>10959</v>
      </c>
      <c r="I548" s="289">
        <v>127043</v>
      </c>
      <c r="J548" s="289">
        <v>2413821</v>
      </c>
      <c r="K548" s="468">
        <v>365</v>
      </c>
      <c r="L548" s="289">
        <v>80395</v>
      </c>
      <c r="M548" s="464">
        <v>241405</v>
      </c>
      <c r="N548" s="469">
        <v>2299459</v>
      </c>
    </row>
    <row r="549" spans="2:14" ht="27.75">
      <c r="B549" s="485" t="s">
        <v>4333</v>
      </c>
      <c r="C549" s="480"/>
      <c r="D549" s="463"/>
      <c r="E549" s="289">
        <v>2998084</v>
      </c>
      <c r="F549" s="465">
        <v>30</v>
      </c>
      <c r="G549" s="466">
        <v>54054</v>
      </c>
      <c r="H549" s="467">
        <v>10959</v>
      </c>
      <c r="I549" s="289">
        <v>149904</v>
      </c>
      <c r="J549" s="289">
        <v>2848180</v>
      </c>
      <c r="K549" s="468">
        <v>365</v>
      </c>
      <c r="L549" s="289">
        <v>94861</v>
      </c>
      <c r="M549" s="464">
        <v>189722</v>
      </c>
      <c r="N549" s="469">
        <v>2808362</v>
      </c>
    </row>
    <row r="550" spans="2:14" ht="27.75">
      <c r="B550" s="485" t="s">
        <v>4430</v>
      </c>
      <c r="C550" s="480"/>
      <c r="D550" s="463"/>
      <c r="E550" s="289">
        <v>269943</v>
      </c>
      <c r="F550" s="465">
        <v>30</v>
      </c>
      <c r="G550" s="466">
        <v>54054</v>
      </c>
      <c r="H550" s="467">
        <v>10959</v>
      </c>
      <c r="I550" s="289">
        <v>13497</v>
      </c>
      <c r="J550" s="289">
        <v>256446</v>
      </c>
      <c r="K550" s="468">
        <v>365</v>
      </c>
      <c r="L550" s="289">
        <v>8541</v>
      </c>
      <c r="M550" s="464">
        <v>14953</v>
      </c>
      <c r="N550" s="469">
        <v>254990</v>
      </c>
    </row>
    <row r="551" spans="2:14" ht="27.75">
      <c r="B551" s="485" t="s">
        <v>4462</v>
      </c>
      <c r="C551" s="480"/>
      <c r="D551" s="463"/>
      <c r="E551" s="289">
        <v>-935469</v>
      </c>
      <c r="F551" s="465">
        <v>30</v>
      </c>
      <c r="G551" s="466">
        <v>54054</v>
      </c>
      <c r="H551" s="467">
        <v>10959</v>
      </c>
      <c r="I551" s="289">
        <v>-46773</v>
      </c>
      <c r="J551" s="289">
        <v>-888696</v>
      </c>
      <c r="K551" s="468">
        <v>365</v>
      </c>
      <c r="L551" s="289">
        <v>-29599</v>
      </c>
      <c r="M551" s="464">
        <v>-44358</v>
      </c>
      <c r="N551" s="469">
        <v>-891111</v>
      </c>
    </row>
    <row r="552" spans="2:14" ht="27.75">
      <c r="B552" s="485" t="s">
        <v>4538</v>
      </c>
      <c r="C552" s="480"/>
      <c r="D552" s="463"/>
      <c r="E552" s="289">
        <v>-347035</v>
      </c>
      <c r="F552" s="465">
        <v>30</v>
      </c>
      <c r="G552" s="466">
        <v>54054</v>
      </c>
      <c r="H552" s="467">
        <v>10959</v>
      </c>
      <c r="I552" s="289">
        <v>-17352</v>
      </c>
      <c r="J552" s="289">
        <v>-329683</v>
      </c>
      <c r="K552" s="468">
        <v>365</v>
      </c>
      <c r="L552" s="289">
        <v>-10980</v>
      </c>
      <c r="M552" s="464">
        <v>-13687</v>
      </c>
      <c r="N552" s="469">
        <v>-333348</v>
      </c>
    </row>
    <row r="553" spans="2:14" ht="27.75">
      <c r="B553" s="485" t="s">
        <v>4567</v>
      </c>
      <c r="C553" s="480"/>
      <c r="D553" s="463"/>
      <c r="E553" s="289">
        <v>157547</v>
      </c>
      <c r="F553" s="465">
        <v>30</v>
      </c>
      <c r="G553" s="466">
        <v>54054</v>
      </c>
      <c r="H553" s="467">
        <v>10959</v>
      </c>
      <c r="I553" s="289">
        <v>7877</v>
      </c>
      <c r="J553" s="289">
        <v>149670</v>
      </c>
      <c r="K553" s="468">
        <v>365</v>
      </c>
      <c r="L553" s="289">
        <v>4985</v>
      </c>
      <c r="M553" s="464">
        <v>4985</v>
      </c>
      <c r="N553" s="469">
        <v>152562</v>
      </c>
    </row>
    <row r="554" spans="2:14" ht="27.75">
      <c r="B554" s="485" t="s">
        <v>4597</v>
      </c>
      <c r="C554" s="480"/>
      <c r="D554" s="463"/>
      <c r="E554" s="289">
        <v>557544</v>
      </c>
      <c r="F554" s="465">
        <v>30</v>
      </c>
      <c r="G554" s="466">
        <v>54054</v>
      </c>
      <c r="H554" s="467">
        <v>10959</v>
      </c>
      <c r="I554" s="289">
        <v>27877</v>
      </c>
      <c r="J554" s="289">
        <v>529667</v>
      </c>
      <c r="K554" s="468">
        <v>274</v>
      </c>
      <c r="L554" s="289">
        <v>13243</v>
      </c>
      <c r="M554" s="464">
        <v>13243</v>
      </c>
      <c r="N554" s="469">
        <v>544301</v>
      </c>
    </row>
    <row r="555" spans="2:14" ht="27.75">
      <c r="B555" s="485" t="s">
        <v>4622</v>
      </c>
      <c r="C555" s="480"/>
      <c r="D555" s="463"/>
      <c r="E555" s="289">
        <v>-41632</v>
      </c>
      <c r="F555" s="465">
        <v>30</v>
      </c>
      <c r="G555" s="466">
        <v>54054</v>
      </c>
      <c r="H555" s="467">
        <v>10959</v>
      </c>
      <c r="I555" s="289">
        <v>-2082</v>
      </c>
      <c r="J555" s="289">
        <v>-39550</v>
      </c>
      <c r="K555" s="468">
        <v>182</v>
      </c>
      <c r="L555" s="289">
        <v>-657</v>
      </c>
      <c r="M555" s="464">
        <v>-657</v>
      </c>
      <c r="N555" s="469">
        <v>-40975</v>
      </c>
    </row>
    <row r="556" spans="2:14" ht="27.75">
      <c r="B556" s="485" t="s">
        <v>4635</v>
      </c>
      <c r="C556" s="480"/>
      <c r="D556" s="463"/>
      <c r="E556" s="289">
        <v>85863</v>
      </c>
      <c r="F556" s="465">
        <v>30</v>
      </c>
      <c r="G556" s="466">
        <v>54054</v>
      </c>
      <c r="H556" s="467">
        <v>10959</v>
      </c>
      <c r="I556" s="289">
        <v>4293</v>
      </c>
      <c r="J556" s="289">
        <v>81570</v>
      </c>
      <c r="K556" s="468">
        <v>90</v>
      </c>
      <c r="L556" s="289">
        <v>670</v>
      </c>
      <c r="M556" s="464">
        <v>670</v>
      </c>
      <c r="N556" s="469">
        <v>85193</v>
      </c>
    </row>
    <row r="557" spans="2:14" ht="27.75">
      <c r="B557" s="485" t="s">
        <v>4652</v>
      </c>
      <c r="C557" s="480"/>
      <c r="D557" s="463"/>
      <c r="E557" s="289">
        <v>691874</v>
      </c>
      <c r="F557" s="465">
        <v>30</v>
      </c>
      <c r="G557" s="466">
        <v>54054</v>
      </c>
      <c r="H557" s="467">
        <v>10959</v>
      </c>
      <c r="I557" s="289">
        <v>34594</v>
      </c>
      <c r="J557" s="289">
        <v>657280</v>
      </c>
      <c r="K557" s="471">
        <v>0</v>
      </c>
      <c r="L557" s="289">
        <v>0</v>
      </c>
      <c r="M557" s="464">
        <v>0</v>
      </c>
      <c r="N557" s="469">
        <v>691874</v>
      </c>
    </row>
    <row r="558" spans="2:14" ht="14.25">
      <c r="B558" s="485"/>
      <c r="C558" s="480"/>
      <c r="D558" s="463"/>
      <c r="E558" s="289"/>
      <c r="F558" s="465"/>
      <c r="G558" s="466"/>
      <c r="H558" s="467"/>
      <c r="I558" s="289"/>
      <c r="J558" s="289"/>
      <c r="K558" s="468"/>
      <c r="L558" s="289"/>
      <c r="M558" s="464"/>
      <c r="N558" s="469"/>
    </row>
    <row r="559" spans="2:14" ht="14.25">
      <c r="B559" s="485"/>
      <c r="C559" s="480"/>
      <c r="D559" s="463"/>
      <c r="E559" s="463"/>
      <c r="F559" s="465"/>
      <c r="G559" s="463"/>
      <c r="H559" s="463"/>
      <c r="I559" s="463"/>
      <c r="J559" s="463"/>
      <c r="K559" s="463"/>
      <c r="L559" s="481"/>
      <c r="M559" s="481"/>
      <c r="N559" s="483"/>
    </row>
    <row r="560" spans="2:14" ht="14.25">
      <c r="B560" s="485"/>
      <c r="C560" s="472" t="s">
        <v>1837</v>
      </c>
      <c r="D560" s="473"/>
      <c r="E560" s="474">
        <f t="shared" ref="E560" si="26">+SUBTOTAL(9,E545:E559)</f>
        <v>6537545</v>
      </c>
      <c r="F560" s="465"/>
      <c r="G560" s="463"/>
      <c r="H560" s="463"/>
      <c r="I560" s="463"/>
      <c r="J560" s="463"/>
      <c r="K560" s="463"/>
      <c r="L560" s="475">
        <f t="shared" ref="L560:N560" si="27">+SUBTOTAL(9,L545:L559)</f>
        <v>179177</v>
      </c>
      <c r="M560" s="475">
        <f t="shared" si="27"/>
        <v>477195</v>
      </c>
      <c r="N560" s="476">
        <f t="shared" si="27"/>
        <v>6060350</v>
      </c>
    </row>
    <row r="561" spans="2:15" ht="14.25">
      <c r="B561" s="485"/>
      <c r="C561" s="480"/>
      <c r="D561" s="463"/>
      <c r="E561" s="481"/>
      <c r="F561" s="465"/>
      <c r="G561" s="463"/>
      <c r="H561" s="463"/>
      <c r="I561" s="463"/>
      <c r="J561" s="463"/>
      <c r="K561" s="463"/>
      <c r="L561" s="481"/>
      <c r="M561" s="481"/>
      <c r="N561" s="476"/>
    </row>
    <row r="562" spans="2:15" ht="14.25">
      <c r="B562" s="485"/>
      <c r="C562" s="472" t="s">
        <v>754</v>
      </c>
      <c r="D562" s="473"/>
      <c r="E562" s="474">
        <f t="shared" ref="E562" si="28">SUBTOTAL(9,E531:E561)</f>
        <v>1771477025</v>
      </c>
      <c r="F562" s="465"/>
      <c r="G562" s="463"/>
      <c r="H562" s="463"/>
      <c r="I562" s="463"/>
      <c r="J562" s="463"/>
      <c r="K562" s="463"/>
      <c r="L562" s="475">
        <f>SUBTOTAL(9,L531:L561)</f>
        <v>113096229</v>
      </c>
      <c r="M562" s="475">
        <f>SUBTOTAL(9,M531:M561)</f>
        <v>488799444</v>
      </c>
      <c r="N562" s="484">
        <f>SUBTOTAL(9,N531:N561)</f>
        <v>1282677581</v>
      </c>
      <c r="O562" s="457">
        <f>N562+N528</f>
        <v>4009812136</v>
      </c>
    </row>
    <row r="563" spans="2:15" ht="14.25">
      <c r="B563" s="477" t="s">
        <v>2993</v>
      </c>
      <c r="C563" s="480"/>
      <c r="D563" s="463"/>
      <c r="E563" s="464"/>
      <c r="F563" s="465"/>
      <c r="G563" s="463"/>
      <c r="H563" s="463"/>
      <c r="I563" s="463"/>
      <c r="J563" s="463"/>
      <c r="K563" s="463"/>
      <c r="L563" s="481"/>
      <c r="M563" s="481"/>
      <c r="N563" s="483"/>
    </row>
    <row r="564" spans="2:15" ht="27">
      <c r="B564" s="485" t="s">
        <v>2993</v>
      </c>
      <c r="C564" s="463" t="s">
        <v>2812</v>
      </c>
      <c r="D564" s="463"/>
      <c r="E564" s="464">
        <v>17814010</v>
      </c>
      <c r="F564" s="465">
        <v>34</v>
      </c>
      <c r="G564" s="466">
        <v>55515</v>
      </c>
      <c r="H564" s="467">
        <v>12420</v>
      </c>
      <c r="I564" s="289">
        <v>890701</v>
      </c>
      <c r="J564" s="289">
        <v>16923309</v>
      </c>
      <c r="K564" s="468">
        <v>365</v>
      </c>
      <c r="L564" s="289">
        <v>497344</v>
      </c>
      <c r="M564" s="464">
        <v>2118821</v>
      </c>
      <c r="N564" s="469">
        <v>15695189</v>
      </c>
    </row>
    <row r="565" spans="2:15" ht="14.25">
      <c r="B565" s="485"/>
      <c r="C565" s="463"/>
      <c r="D565" s="463"/>
      <c r="E565" s="463"/>
      <c r="F565" s="465"/>
      <c r="G565" s="463"/>
      <c r="H565" s="463"/>
      <c r="I565" s="463"/>
      <c r="J565" s="463"/>
      <c r="K565" s="463"/>
      <c r="L565" s="481"/>
      <c r="M565" s="481"/>
      <c r="N565" s="483"/>
    </row>
    <row r="566" spans="2:15" ht="27">
      <c r="B566" s="485" t="s">
        <v>2993</v>
      </c>
      <c r="C566" s="463" t="s">
        <v>2811</v>
      </c>
      <c r="D566" s="463" t="s">
        <v>4274</v>
      </c>
      <c r="E566" s="464">
        <v>28911684</v>
      </c>
      <c r="F566" s="465">
        <v>30</v>
      </c>
      <c r="G566" s="466">
        <v>54054</v>
      </c>
      <c r="H566" s="467">
        <v>10959</v>
      </c>
      <c r="I566" s="289">
        <v>1445584</v>
      </c>
      <c r="J566" s="289">
        <v>27466100</v>
      </c>
      <c r="K566" s="468">
        <v>365</v>
      </c>
      <c r="L566" s="289">
        <v>914785</v>
      </c>
      <c r="M566" s="464">
        <v>3897234</v>
      </c>
      <c r="N566" s="469">
        <v>25014450</v>
      </c>
    </row>
    <row r="567" spans="2:15" ht="14.25">
      <c r="B567" s="485"/>
      <c r="C567" s="463"/>
      <c r="D567" s="463"/>
      <c r="E567" s="463"/>
      <c r="F567" s="465"/>
      <c r="G567" s="463"/>
      <c r="H567" s="463"/>
      <c r="I567" s="463"/>
      <c r="J567" s="463"/>
      <c r="K567" s="463"/>
      <c r="L567" s="481"/>
      <c r="M567" s="481"/>
      <c r="N567" s="483"/>
    </row>
    <row r="568" spans="2:15" ht="28.5">
      <c r="B568" s="477" t="s">
        <v>4281</v>
      </c>
      <c r="C568" s="463"/>
      <c r="D568" s="463"/>
      <c r="E568" s="463"/>
      <c r="F568" s="465"/>
      <c r="G568" s="463"/>
      <c r="H568" s="463"/>
      <c r="I568" s="463"/>
      <c r="J568" s="463"/>
      <c r="K568" s="463"/>
      <c r="L568" s="481"/>
      <c r="M568" s="481"/>
      <c r="N568" s="483"/>
    </row>
    <row r="569" spans="2:15" ht="27">
      <c r="B569" s="485" t="s">
        <v>4276</v>
      </c>
      <c r="C569" s="463"/>
      <c r="D569" s="463"/>
      <c r="E569" s="289">
        <v>14824</v>
      </c>
      <c r="F569" s="465">
        <v>15</v>
      </c>
      <c r="G569" s="466">
        <v>48576</v>
      </c>
      <c r="H569" s="467">
        <v>5481</v>
      </c>
      <c r="I569" s="289">
        <v>741</v>
      </c>
      <c r="J569" s="289">
        <v>14083</v>
      </c>
      <c r="K569" s="468">
        <v>365</v>
      </c>
      <c r="L569" s="289">
        <v>938</v>
      </c>
      <c r="M569" s="464">
        <v>3754</v>
      </c>
      <c r="N569" s="469">
        <v>11070</v>
      </c>
    </row>
    <row r="570" spans="2:15" ht="27">
      <c r="B570" s="485" t="s">
        <v>4284</v>
      </c>
      <c r="C570" s="463"/>
      <c r="D570" s="463"/>
      <c r="E570" s="289">
        <v>0</v>
      </c>
      <c r="F570" s="465">
        <v>15</v>
      </c>
      <c r="G570" s="466">
        <v>48576</v>
      </c>
      <c r="H570" s="467">
        <v>5481</v>
      </c>
      <c r="I570" s="289">
        <v>0</v>
      </c>
      <c r="J570" s="289">
        <v>0</v>
      </c>
      <c r="K570" s="468">
        <v>365</v>
      </c>
      <c r="L570" s="289">
        <v>0</v>
      </c>
      <c r="M570" s="464">
        <v>0</v>
      </c>
      <c r="N570" s="469">
        <v>0</v>
      </c>
    </row>
    <row r="571" spans="2:15" ht="27">
      <c r="B571" s="485" t="s">
        <v>4305</v>
      </c>
      <c r="C571" s="463"/>
      <c r="D571" s="463"/>
      <c r="E571" s="289">
        <v>1</v>
      </c>
      <c r="F571" s="465">
        <v>15</v>
      </c>
      <c r="G571" s="466">
        <v>48576</v>
      </c>
      <c r="H571" s="467">
        <v>5481</v>
      </c>
      <c r="I571" s="289">
        <v>0</v>
      </c>
      <c r="J571" s="289">
        <v>1</v>
      </c>
      <c r="K571" s="471">
        <v>0</v>
      </c>
      <c r="L571" s="289">
        <v>0</v>
      </c>
      <c r="M571" s="464">
        <v>0</v>
      </c>
      <c r="N571" s="469">
        <v>1</v>
      </c>
    </row>
    <row r="572" spans="2:15" ht="27">
      <c r="B572" s="485" t="s">
        <v>4331</v>
      </c>
      <c r="C572" s="463"/>
      <c r="D572" s="463"/>
      <c r="E572" s="289">
        <v>67268</v>
      </c>
      <c r="F572" s="465">
        <v>15</v>
      </c>
      <c r="G572" s="466">
        <v>48576</v>
      </c>
      <c r="H572" s="467">
        <v>5481</v>
      </c>
      <c r="I572" s="289">
        <v>3363</v>
      </c>
      <c r="J572" s="289">
        <v>63905</v>
      </c>
      <c r="K572" s="468">
        <v>365</v>
      </c>
      <c r="L572" s="289">
        <v>4256</v>
      </c>
      <c r="M572" s="464">
        <v>12779</v>
      </c>
      <c r="N572" s="469">
        <v>54489</v>
      </c>
    </row>
    <row r="573" spans="2:15" ht="27">
      <c r="B573" s="485" t="s">
        <v>4414</v>
      </c>
      <c r="C573" s="463"/>
      <c r="D573" s="463"/>
      <c r="E573" s="289">
        <v>79372</v>
      </c>
      <c r="F573" s="465">
        <v>15</v>
      </c>
      <c r="G573" s="466">
        <v>48576</v>
      </c>
      <c r="H573" s="467">
        <v>5481</v>
      </c>
      <c r="I573" s="289">
        <v>3969</v>
      </c>
      <c r="J573" s="289">
        <v>75403</v>
      </c>
      <c r="K573" s="468">
        <v>365</v>
      </c>
      <c r="L573" s="289">
        <v>5021</v>
      </c>
      <c r="M573" s="464">
        <v>10042</v>
      </c>
      <c r="N573" s="469">
        <v>69330</v>
      </c>
    </row>
    <row r="574" spans="2:15" ht="27">
      <c r="B574" s="485" t="s">
        <v>4416</v>
      </c>
      <c r="C574" s="463"/>
      <c r="D574" s="463"/>
      <c r="E574" s="292">
        <v>7147</v>
      </c>
      <c r="F574" s="465">
        <v>15</v>
      </c>
      <c r="G574" s="466">
        <v>48576</v>
      </c>
      <c r="H574" s="467">
        <v>5481</v>
      </c>
      <c r="I574" s="289">
        <v>357</v>
      </c>
      <c r="J574" s="289">
        <v>6790</v>
      </c>
      <c r="K574" s="468">
        <v>365</v>
      </c>
      <c r="L574" s="289">
        <v>452</v>
      </c>
      <c r="M574" s="464">
        <v>791</v>
      </c>
      <c r="N574" s="469">
        <v>6356</v>
      </c>
    </row>
    <row r="575" spans="2:15" ht="27">
      <c r="B575" s="485" t="s">
        <v>4460</v>
      </c>
      <c r="C575" s="463"/>
      <c r="D575" s="463"/>
      <c r="E575" s="292">
        <v>-24766</v>
      </c>
      <c r="F575" s="465">
        <v>15</v>
      </c>
      <c r="G575" s="466">
        <v>48576</v>
      </c>
      <c r="H575" s="467">
        <v>5481</v>
      </c>
      <c r="I575" s="289">
        <v>-1238</v>
      </c>
      <c r="J575" s="289">
        <v>-23528</v>
      </c>
      <c r="K575" s="468">
        <v>365</v>
      </c>
      <c r="L575" s="289">
        <v>-1567</v>
      </c>
      <c r="M575" s="464">
        <v>-2348</v>
      </c>
      <c r="N575" s="469">
        <v>-22418</v>
      </c>
    </row>
    <row r="576" spans="2:15" ht="27">
      <c r="B576" s="485" t="s">
        <v>4536</v>
      </c>
      <c r="C576" s="463"/>
      <c r="D576" s="463"/>
      <c r="E576" s="289">
        <v>-9188</v>
      </c>
      <c r="F576" s="465">
        <v>15</v>
      </c>
      <c r="G576" s="466">
        <v>48576</v>
      </c>
      <c r="H576" s="467">
        <v>5481</v>
      </c>
      <c r="I576" s="289">
        <v>-459</v>
      </c>
      <c r="J576" s="289">
        <v>-8729</v>
      </c>
      <c r="K576" s="468">
        <v>365</v>
      </c>
      <c r="L576" s="289">
        <v>-581</v>
      </c>
      <c r="M576" s="464">
        <v>-724</v>
      </c>
      <c r="N576" s="469">
        <v>-8464</v>
      </c>
    </row>
    <row r="577" spans="2:14" ht="27">
      <c r="B577" s="485" t="s">
        <v>4565</v>
      </c>
      <c r="C577" s="463"/>
      <c r="D577" s="463"/>
      <c r="E577" s="289">
        <v>4171</v>
      </c>
      <c r="F577" s="465">
        <v>15</v>
      </c>
      <c r="G577" s="466">
        <v>48576</v>
      </c>
      <c r="H577" s="467">
        <v>5481</v>
      </c>
      <c r="I577" s="289">
        <v>209</v>
      </c>
      <c r="J577" s="289">
        <v>3962</v>
      </c>
      <c r="K577" s="468">
        <v>365</v>
      </c>
      <c r="L577" s="289">
        <v>264</v>
      </c>
      <c r="M577" s="464">
        <v>264</v>
      </c>
      <c r="N577" s="469">
        <v>3907</v>
      </c>
    </row>
    <row r="578" spans="2:14" ht="27">
      <c r="B578" s="485" t="s">
        <v>4595</v>
      </c>
      <c r="C578" s="463"/>
      <c r="D578" s="463"/>
      <c r="E578" s="289">
        <v>14761</v>
      </c>
      <c r="F578" s="465">
        <v>15</v>
      </c>
      <c r="G578" s="466">
        <v>48576</v>
      </c>
      <c r="H578" s="467">
        <v>5481</v>
      </c>
      <c r="I578" s="289">
        <v>738</v>
      </c>
      <c r="J578" s="289">
        <v>14023</v>
      </c>
      <c r="K578" s="468">
        <v>274</v>
      </c>
      <c r="L578" s="289">
        <v>701</v>
      </c>
      <c r="M578" s="464">
        <v>701</v>
      </c>
      <c r="N578" s="469">
        <v>14060</v>
      </c>
    </row>
    <row r="579" spans="2:14" ht="27">
      <c r="B579" s="485" t="s">
        <v>4620</v>
      </c>
      <c r="C579" s="463"/>
      <c r="D579" s="463"/>
      <c r="E579" s="289">
        <v>-1102</v>
      </c>
      <c r="F579" s="465">
        <v>15</v>
      </c>
      <c r="G579" s="466">
        <v>48576</v>
      </c>
      <c r="H579" s="467">
        <v>5481</v>
      </c>
      <c r="I579" s="289">
        <v>-55</v>
      </c>
      <c r="J579" s="289">
        <v>-1047</v>
      </c>
      <c r="K579" s="468">
        <v>182</v>
      </c>
      <c r="L579" s="289">
        <v>-35</v>
      </c>
      <c r="M579" s="464">
        <v>-35</v>
      </c>
      <c r="N579" s="469">
        <v>-1067</v>
      </c>
    </row>
    <row r="580" spans="2:14" ht="27">
      <c r="B580" s="485" t="s">
        <v>4633</v>
      </c>
      <c r="C580" s="463"/>
      <c r="D580" s="463"/>
      <c r="E580" s="289">
        <v>2273</v>
      </c>
      <c r="F580" s="465">
        <v>15</v>
      </c>
      <c r="G580" s="466">
        <v>48576</v>
      </c>
      <c r="H580" s="467">
        <v>5481</v>
      </c>
      <c r="I580" s="289">
        <v>114</v>
      </c>
      <c r="J580" s="289">
        <v>2159</v>
      </c>
      <c r="K580" s="468">
        <v>90</v>
      </c>
      <c r="L580" s="289">
        <v>35</v>
      </c>
      <c r="M580" s="464">
        <v>35</v>
      </c>
      <c r="N580" s="469">
        <v>2238</v>
      </c>
    </row>
    <row r="581" spans="2:14" ht="27">
      <c r="B581" s="485" t="s">
        <v>4654</v>
      </c>
      <c r="C581" s="463"/>
      <c r="D581" s="463"/>
      <c r="E581" s="289">
        <v>18317</v>
      </c>
      <c r="F581" s="465">
        <v>15</v>
      </c>
      <c r="G581" s="466">
        <v>48576</v>
      </c>
      <c r="H581" s="467">
        <v>5481</v>
      </c>
      <c r="I581" s="289">
        <v>916</v>
      </c>
      <c r="J581" s="289">
        <v>17401</v>
      </c>
      <c r="K581" s="471">
        <v>0</v>
      </c>
      <c r="L581" s="289">
        <v>0</v>
      </c>
      <c r="M581" s="464">
        <v>0</v>
      </c>
      <c r="N581" s="469">
        <v>18317</v>
      </c>
    </row>
    <row r="582" spans="2:14">
      <c r="B582" s="485"/>
      <c r="C582" s="463"/>
      <c r="D582" s="463"/>
      <c r="E582" s="289"/>
      <c r="F582" s="465"/>
      <c r="G582" s="466"/>
      <c r="H582" s="467"/>
      <c r="I582" s="289"/>
      <c r="J582" s="289"/>
      <c r="K582" s="468"/>
      <c r="L582" s="289"/>
      <c r="M582" s="464"/>
      <c r="N582" s="469"/>
    </row>
    <row r="583" spans="2:14" ht="14.25">
      <c r="B583" s="485"/>
      <c r="C583" s="480"/>
      <c r="D583" s="463"/>
      <c r="E583" s="463"/>
      <c r="F583" s="465"/>
      <c r="G583" s="463"/>
      <c r="H583" s="463"/>
      <c r="I583" s="463"/>
      <c r="J583" s="463"/>
      <c r="K583" s="463"/>
      <c r="L583" s="481"/>
      <c r="M583" s="481"/>
      <c r="N583" s="483"/>
    </row>
    <row r="584" spans="2:14" ht="14.25">
      <c r="B584" s="485"/>
      <c r="C584" s="472" t="s">
        <v>754</v>
      </c>
      <c r="D584" s="473"/>
      <c r="E584" s="474">
        <f t="shared" ref="E584" si="29">+SUBTOTAL(9,E564:E583)</f>
        <v>46898772</v>
      </c>
      <c r="F584" s="465"/>
      <c r="G584" s="463"/>
      <c r="H584" s="463"/>
      <c r="I584" s="463"/>
      <c r="J584" s="463"/>
      <c r="K584" s="463"/>
      <c r="L584" s="475">
        <f>+SUBTOTAL(9,L564:L583)</f>
        <v>1421613</v>
      </c>
      <c r="M584" s="475">
        <f>+SUBTOTAL(9,M564:M583)</f>
        <v>6041314</v>
      </c>
      <c r="N584" s="476">
        <f>+SUBTOTAL(9,N564:N583)</f>
        <v>40857458</v>
      </c>
    </row>
    <row r="585" spans="2:14" ht="14.25">
      <c r="B585" s="487"/>
      <c r="C585" s="449"/>
      <c r="D585" s="446"/>
      <c r="E585" s="203"/>
      <c r="F585" s="198"/>
      <c r="G585" s="446"/>
      <c r="H585" s="446"/>
      <c r="I585" s="446"/>
      <c r="J585" s="446"/>
      <c r="K585" s="446"/>
      <c r="L585" s="203"/>
      <c r="M585" s="203"/>
      <c r="N585" s="450"/>
    </row>
    <row r="586" spans="2:14" ht="14.25" thickBot="1">
      <c r="B586" s="488"/>
      <c r="C586" s="451"/>
      <c r="D586" s="451"/>
      <c r="E586" s="451"/>
      <c r="F586" s="199"/>
      <c r="G586" s="451"/>
      <c r="H586" s="451"/>
      <c r="I586" s="451"/>
      <c r="J586" s="451"/>
      <c r="K586" s="451"/>
      <c r="L586" s="452"/>
      <c r="M586" s="452"/>
      <c r="N586" s="453"/>
    </row>
    <row r="587" spans="2:14" ht="15.75" thickTop="1" thickBot="1">
      <c r="B587" s="488"/>
      <c r="C587" s="454" t="s">
        <v>915</v>
      </c>
      <c r="D587" s="451"/>
      <c r="E587" s="455">
        <f t="shared" ref="E587" si="30">SUBTOTAL(9,E6:E586)</f>
        <v>55627633174.490005</v>
      </c>
      <c r="F587" s="199"/>
      <c r="G587" s="451"/>
      <c r="H587" s="451"/>
      <c r="I587" s="451"/>
      <c r="J587" s="451"/>
      <c r="K587" s="451"/>
      <c r="L587" s="455">
        <f>SUBTOTAL(9,L6:L586)</f>
        <v>2420839797</v>
      </c>
      <c r="M587" s="455">
        <f>SUBTOTAL(9,M6:M586)</f>
        <v>10343087761</v>
      </c>
      <c r="N587" s="456">
        <f>SUBTOTAL(9,N6:N586)</f>
        <v>45284545413.490005</v>
      </c>
    </row>
    <row r="588" spans="2:14" ht="14.25" thickTop="1">
      <c r="E588" s="188">
        <f>55627633174.49-E587</f>
        <v>0</v>
      </c>
      <c r="L588" s="457">
        <f>2420839797-L587</f>
        <v>0</v>
      </c>
      <c r="M588" s="457">
        <f>10343087761-M587</f>
        <v>0</v>
      </c>
      <c r="N588" s="458">
        <f>45284545413.49-N587</f>
        <v>0</v>
      </c>
    </row>
    <row r="590" spans="2:14">
      <c r="D590" s="497">
        <f>E590/10^7</f>
        <v>487.96559639999998</v>
      </c>
      <c r="E590" s="457">
        <f>E560+E543+E539+E528</f>
        <v>4879655964</v>
      </c>
    </row>
  </sheetData>
  <autoFilter ref="B4:N588">
    <filterColumn colId="9" showButton="0"/>
    <filterColumn colId="10" showButton="0"/>
    <filterColumn colId="11" showButton="0"/>
  </autoFilter>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001"/>
  <sheetViews>
    <sheetView workbookViewId="0">
      <pane xSplit="4" ySplit="4" topLeftCell="O985" activePane="bottomRight" state="frozen"/>
      <selection pane="topRight" activeCell="H1" sqref="H1"/>
      <selection pane="bottomLeft" activeCell="A6" sqref="A6"/>
      <selection pane="bottomRight" activeCell="T996" sqref="T996"/>
    </sheetView>
  </sheetViews>
  <sheetFormatPr defaultColWidth="9" defaultRowHeight="13.5" outlineLevelRow="1"/>
  <cols>
    <col min="1" max="1" width="3.625" style="1" customWidth="1"/>
    <col min="2" max="2" width="29.25" style="1" customWidth="1"/>
    <col min="3" max="3" width="29.75" style="1" customWidth="1"/>
    <col min="4" max="4" width="27.5" style="1" customWidth="1"/>
    <col min="5" max="5" width="17.125" style="2" hidden="1" customWidth="1"/>
    <col min="6" max="6" width="12.375" style="1" bestFit="1" customWidth="1"/>
    <col min="7" max="7" width="4.625" style="1" hidden="1" customWidth="1"/>
    <col min="8" max="8" width="9.75" style="1" hidden="1" customWidth="1"/>
    <col min="9" max="10" width="8" style="1" hidden="1" customWidth="1"/>
    <col min="11" max="11" width="12" style="1" hidden="1" customWidth="1"/>
    <col min="12" max="12" width="4.75" style="1" hidden="1" customWidth="1"/>
    <col min="13" max="13" width="10.625" style="1" hidden="1" customWidth="1"/>
    <col min="14" max="14" width="11.625" style="1" hidden="1" customWidth="1"/>
    <col min="15" max="15" width="11.625" style="1" bestFit="1" customWidth="1"/>
    <col min="16" max="16" width="9" style="1"/>
    <col min="17" max="17" width="10.625" style="1" bestFit="1" customWidth="1"/>
    <col min="18" max="18" width="11.625" style="1" bestFit="1" customWidth="1"/>
    <col min="19" max="19" width="12.75" style="1" bestFit="1" customWidth="1"/>
    <col min="20" max="20" width="10.875" style="1" bestFit="1" customWidth="1"/>
    <col min="21" max="23" width="9" style="1"/>
    <col min="24" max="24" width="11.625" style="1" bestFit="1" customWidth="1"/>
    <col min="25" max="16384" width="9" style="1"/>
  </cols>
  <sheetData>
    <row r="1" spans="2:15">
      <c r="F1" s="153"/>
    </row>
    <row r="2" spans="2:15" ht="14.25">
      <c r="B2" s="127" t="s">
        <v>436</v>
      </c>
      <c r="D2" s="1" t="s">
        <v>4669</v>
      </c>
      <c r="E2" s="2" t="s">
        <v>4667</v>
      </c>
      <c r="F2" s="498">
        <f>E941+E906</f>
        <v>5694711026.4104757</v>
      </c>
      <c r="H2" s="132">
        <f>F942</f>
        <v>5548732461.1430368</v>
      </c>
      <c r="I2" s="132">
        <f>F995</f>
        <v>523028477.15166539</v>
      </c>
      <c r="M2" s="132">
        <f>O942</f>
        <v>3518090743.1430378</v>
      </c>
      <c r="N2" s="152">
        <f>O995</f>
        <v>189156600.15166542</v>
      </c>
    </row>
    <row r="3" spans="2:15" ht="14.25">
      <c r="B3" s="127" t="s">
        <v>3019</v>
      </c>
      <c r="C3" s="153"/>
      <c r="D3" s="496">
        <f>E994+E959</f>
        <v>548636706.19738138</v>
      </c>
      <c r="E3" s="496">
        <f>'Building Summary Sheet'!F19</f>
        <v>5694711026.4104757</v>
      </c>
      <c r="F3" s="153"/>
      <c r="I3" s="160"/>
      <c r="J3" s="160"/>
      <c r="K3" s="160"/>
      <c r="L3" s="618">
        <v>44651</v>
      </c>
      <c r="M3" s="618"/>
      <c r="N3" s="618"/>
      <c r="O3" s="618"/>
    </row>
    <row r="4" spans="2:15" s="129" customFormat="1" ht="57">
      <c r="B4" s="83" t="s">
        <v>3020</v>
      </c>
      <c r="C4" s="83" t="s">
        <v>3021</v>
      </c>
      <c r="D4" s="83" t="s">
        <v>3022</v>
      </c>
      <c r="E4" s="401" t="s">
        <v>754</v>
      </c>
      <c r="F4" s="191" t="s">
        <v>4050</v>
      </c>
      <c r="G4" s="402" t="s">
        <v>3025</v>
      </c>
      <c r="H4" s="83" t="s">
        <v>2471</v>
      </c>
      <c r="I4" s="83" t="s">
        <v>2470</v>
      </c>
      <c r="J4" s="83" t="s">
        <v>3023</v>
      </c>
      <c r="K4" s="83" t="s">
        <v>3024</v>
      </c>
      <c r="L4" s="83" t="s">
        <v>2413</v>
      </c>
      <c r="M4" s="83" t="s">
        <v>2414</v>
      </c>
      <c r="N4" s="83" t="s">
        <v>2415</v>
      </c>
      <c r="O4" s="83" t="s">
        <v>404</v>
      </c>
    </row>
    <row r="5" spans="2:15" ht="14.25" hidden="1">
      <c r="B5" s="119"/>
      <c r="C5" s="119"/>
      <c r="D5" s="119"/>
      <c r="E5" s="135"/>
      <c r="F5" s="430"/>
      <c r="G5" s="119"/>
      <c r="H5" s="119"/>
      <c r="I5" s="119"/>
      <c r="J5" s="119"/>
      <c r="K5" s="119"/>
      <c r="L5" s="119"/>
      <c r="M5" s="119"/>
      <c r="N5" s="119"/>
      <c r="O5" s="119"/>
    </row>
    <row r="6" spans="2:15" ht="14.25" hidden="1">
      <c r="B6" s="156" t="s">
        <v>4411</v>
      </c>
      <c r="C6" s="119"/>
      <c r="D6" s="119"/>
      <c r="E6" s="135"/>
      <c r="F6" s="430"/>
      <c r="G6" s="119"/>
      <c r="H6" s="119"/>
      <c r="I6" s="119"/>
      <c r="J6" s="119"/>
      <c r="K6" s="164"/>
      <c r="L6" s="119"/>
      <c r="M6" s="119"/>
      <c r="N6" s="119"/>
      <c r="O6" s="119"/>
    </row>
    <row r="7" spans="2:15" ht="14.25" hidden="1">
      <c r="B7" s="156" t="s">
        <v>2323</v>
      </c>
      <c r="C7" s="119"/>
      <c r="D7" s="119"/>
      <c r="E7" s="135"/>
      <c r="F7" s="430"/>
      <c r="G7" s="119"/>
      <c r="H7" s="119"/>
      <c r="I7" s="119"/>
      <c r="J7" s="119"/>
      <c r="K7" s="119"/>
      <c r="L7" s="119"/>
      <c r="M7" s="119"/>
      <c r="N7" s="119"/>
      <c r="O7" s="119"/>
    </row>
    <row r="8" spans="2:15" s="154" customFormat="1" ht="27" hidden="1" outlineLevel="1">
      <c r="B8" s="165" t="s">
        <v>2323</v>
      </c>
      <c r="C8" s="165" t="s">
        <v>3026</v>
      </c>
      <c r="D8" s="165" t="s">
        <v>3027</v>
      </c>
      <c r="E8" s="403">
        <v>15839181.650398664</v>
      </c>
      <c r="F8" s="431">
        <v>14954575.846205425</v>
      </c>
      <c r="G8" s="404">
        <v>30</v>
      </c>
      <c r="H8" s="405">
        <v>52564</v>
      </c>
      <c r="I8" s="404">
        <v>10957</v>
      </c>
      <c r="J8" s="404">
        <v>10471</v>
      </c>
      <c r="K8" s="406">
        <v>14162616.763685491</v>
      </c>
      <c r="L8" s="404">
        <v>365</v>
      </c>
      <c r="M8" s="404">
        <v>493683</v>
      </c>
      <c r="N8" s="404">
        <v>3464182</v>
      </c>
      <c r="O8" s="404">
        <v>11490393.846205425</v>
      </c>
    </row>
    <row r="9" spans="2:15" s="154" customFormat="1" ht="27" hidden="1" outlineLevel="1">
      <c r="B9" s="165" t="s">
        <v>2323</v>
      </c>
      <c r="C9" s="165" t="s">
        <v>3026</v>
      </c>
      <c r="D9" s="165" t="s">
        <v>3028</v>
      </c>
      <c r="E9" s="403">
        <v>1759908.9061227001</v>
      </c>
      <c r="F9" s="431">
        <v>1661619.3630812985</v>
      </c>
      <c r="G9" s="404">
        <v>5</v>
      </c>
      <c r="H9" s="405">
        <v>43433</v>
      </c>
      <c r="I9" s="404">
        <v>1826</v>
      </c>
      <c r="J9" s="404">
        <v>1340</v>
      </c>
      <c r="K9" s="406">
        <v>1573623.9177751632</v>
      </c>
      <c r="L9" s="404">
        <v>0</v>
      </c>
      <c r="M9" s="404">
        <v>0</v>
      </c>
      <c r="N9" s="404">
        <v>1661619</v>
      </c>
      <c r="O9" s="404">
        <v>0.36308129830285907</v>
      </c>
    </row>
    <row r="10" spans="2:15" s="154" customFormat="1" ht="27" hidden="1" outlineLevel="1">
      <c r="B10" s="165" t="s">
        <v>2323</v>
      </c>
      <c r="C10" s="165" t="s">
        <v>3029</v>
      </c>
      <c r="D10" s="165" t="s">
        <v>3030</v>
      </c>
      <c r="E10" s="403">
        <v>91173.167913279132</v>
      </c>
      <c r="F10" s="431">
        <v>86081.142815033294</v>
      </c>
      <c r="G10" s="404">
        <v>20</v>
      </c>
      <c r="H10" s="405">
        <v>48912</v>
      </c>
      <c r="I10" s="404">
        <v>7305</v>
      </c>
      <c r="J10" s="404">
        <v>6819</v>
      </c>
      <c r="K10" s="406">
        <v>81522.484419369343</v>
      </c>
      <c r="L10" s="404">
        <v>365</v>
      </c>
      <c r="M10" s="404">
        <v>4364</v>
      </c>
      <c r="N10" s="404">
        <v>30622</v>
      </c>
      <c r="O10" s="404">
        <v>55459.142815033294</v>
      </c>
    </row>
    <row r="11" spans="2:15" s="154" customFormat="1" hidden="1" outlineLevel="1">
      <c r="B11" s="165" t="s">
        <v>2323</v>
      </c>
      <c r="C11" s="165" t="s">
        <v>3031</v>
      </c>
      <c r="D11" s="165" t="s">
        <v>3032</v>
      </c>
      <c r="E11" s="403">
        <v>6081108.7634708015</v>
      </c>
      <c r="F11" s="431">
        <v>5741483.6378857139</v>
      </c>
      <c r="G11" s="404">
        <v>30</v>
      </c>
      <c r="H11" s="405">
        <v>52564</v>
      </c>
      <c r="I11" s="404">
        <v>10957</v>
      </c>
      <c r="J11" s="404">
        <v>10471</v>
      </c>
      <c r="K11" s="406">
        <v>5437428.199712174</v>
      </c>
      <c r="L11" s="404">
        <v>365</v>
      </c>
      <c r="M11" s="404">
        <v>189539</v>
      </c>
      <c r="N11" s="404">
        <v>1329998</v>
      </c>
      <c r="O11" s="404">
        <v>4411485.6378857139</v>
      </c>
    </row>
    <row r="12" spans="2:15" s="154" customFormat="1" hidden="1" outlineLevel="1">
      <c r="B12" s="165" t="s">
        <v>2323</v>
      </c>
      <c r="C12" s="165" t="s">
        <v>3031</v>
      </c>
      <c r="D12" s="165" t="s">
        <v>3033</v>
      </c>
      <c r="E12" s="403">
        <v>153134843.71236336</v>
      </c>
      <c r="F12" s="431">
        <v>144582383.26207289</v>
      </c>
      <c r="G12" s="404">
        <v>30</v>
      </c>
      <c r="H12" s="405">
        <v>52564</v>
      </c>
      <c r="I12" s="404">
        <v>10957</v>
      </c>
      <c r="J12" s="404">
        <v>10471</v>
      </c>
      <c r="K12" s="406">
        <v>136925641.07645473</v>
      </c>
      <c r="L12" s="404">
        <v>365</v>
      </c>
      <c r="M12" s="404">
        <v>4772979</v>
      </c>
      <c r="N12" s="404">
        <v>33492073</v>
      </c>
      <c r="O12" s="404">
        <v>111090310.26207289</v>
      </c>
    </row>
    <row r="13" spans="2:15" s="154" customFormat="1" hidden="1" outlineLevel="1">
      <c r="B13" s="165" t="s">
        <v>2323</v>
      </c>
      <c r="C13" s="165" t="s">
        <v>3034</v>
      </c>
      <c r="D13" s="165" t="s">
        <v>4263</v>
      </c>
      <c r="E13" s="403">
        <v>121259814.78257474</v>
      </c>
      <c r="F13" s="431">
        <v>114487549.62503338</v>
      </c>
      <c r="G13" s="404">
        <v>30</v>
      </c>
      <c r="H13" s="405">
        <v>52564</v>
      </c>
      <c r="I13" s="404">
        <v>10957</v>
      </c>
      <c r="J13" s="404">
        <v>10471</v>
      </c>
      <c r="K13" s="406">
        <v>108424558.88590464</v>
      </c>
      <c r="L13" s="404">
        <v>365</v>
      </c>
      <c r="M13" s="404">
        <v>3779483</v>
      </c>
      <c r="N13" s="404">
        <v>26520696</v>
      </c>
      <c r="O13" s="404">
        <v>87966853.625033379</v>
      </c>
    </row>
    <row r="14" spans="2:15" s="154" customFormat="1" ht="40.5" hidden="1" outlineLevel="1">
      <c r="B14" s="165" t="s">
        <v>2323</v>
      </c>
      <c r="C14" s="165" t="s">
        <v>3036</v>
      </c>
      <c r="D14" s="165" t="s">
        <v>3037</v>
      </c>
      <c r="E14" s="403">
        <v>30314954.61926046</v>
      </c>
      <c r="F14" s="431">
        <v>28621888.292637922</v>
      </c>
      <c r="G14" s="404">
        <v>20</v>
      </c>
      <c r="H14" s="405">
        <v>48912</v>
      </c>
      <c r="I14" s="404">
        <v>7305</v>
      </c>
      <c r="J14" s="404">
        <v>6819</v>
      </c>
      <c r="K14" s="406">
        <v>27106140.5616749</v>
      </c>
      <c r="L14" s="404">
        <v>365</v>
      </c>
      <c r="M14" s="404">
        <v>1450908</v>
      </c>
      <c r="N14" s="404">
        <v>10181046</v>
      </c>
      <c r="O14" s="404">
        <v>18440842.292637922</v>
      </c>
    </row>
    <row r="15" spans="2:15" s="154" customFormat="1" hidden="1" outlineLevel="1">
      <c r="B15" s="165"/>
      <c r="C15" s="165"/>
      <c r="D15" s="165"/>
      <c r="E15" s="403"/>
      <c r="F15" s="431"/>
      <c r="G15" s="404"/>
      <c r="H15" s="405"/>
      <c r="I15" s="404"/>
      <c r="J15" s="404"/>
      <c r="K15" s="406"/>
      <c r="L15" s="404"/>
      <c r="M15" s="404"/>
      <c r="N15" s="404"/>
      <c r="O15" s="404"/>
    </row>
    <row r="16" spans="2:15" s="154" customFormat="1" hidden="1" outlineLevel="1">
      <c r="B16" s="165" t="s">
        <v>2323</v>
      </c>
      <c r="C16" s="165" t="s">
        <v>3031</v>
      </c>
      <c r="D16" s="165" t="s">
        <v>3038</v>
      </c>
      <c r="E16" s="403">
        <v>3822984.307670428</v>
      </c>
      <c r="F16" s="431">
        <v>3609473.6363017792</v>
      </c>
      <c r="G16" s="404">
        <v>5</v>
      </c>
      <c r="H16" s="405">
        <v>43433</v>
      </c>
      <c r="I16" s="404">
        <v>1826</v>
      </c>
      <c r="J16" s="404">
        <v>1340</v>
      </c>
      <c r="K16" s="406">
        <v>3418324.4209182579</v>
      </c>
      <c r="L16" s="404">
        <v>0</v>
      </c>
      <c r="M16" s="404">
        <v>0</v>
      </c>
      <c r="N16" s="404">
        <v>3609474</v>
      </c>
      <c r="O16" s="403">
        <v>-0.36369822081178427</v>
      </c>
    </row>
    <row r="17" spans="2:15" s="154" customFormat="1" ht="27" hidden="1" outlineLevel="1">
      <c r="B17" s="165" t="s">
        <v>2323</v>
      </c>
      <c r="C17" s="165" t="s">
        <v>3031</v>
      </c>
      <c r="D17" s="165" t="s">
        <v>3039</v>
      </c>
      <c r="E17" s="403">
        <v>40611790.758830152</v>
      </c>
      <c r="F17" s="431">
        <v>38343654.22358878</v>
      </c>
      <c r="G17" s="404">
        <v>30</v>
      </c>
      <c r="H17" s="405">
        <v>52564</v>
      </c>
      <c r="I17" s="404">
        <v>10957</v>
      </c>
      <c r="J17" s="404">
        <v>10471</v>
      </c>
      <c r="K17" s="406">
        <v>36313064.685647272</v>
      </c>
      <c r="L17" s="404">
        <v>365</v>
      </c>
      <c r="M17" s="404">
        <v>1265807</v>
      </c>
      <c r="N17" s="404">
        <v>8882189</v>
      </c>
      <c r="O17" s="404">
        <v>29461465.22358878</v>
      </c>
    </row>
    <row r="18" spans="2:15" s="154" customFormat="1" hidden="1" outlineLevel="1">
      <c r="B18" s="165"/>
      <c r="C18" s="165"/>
      <c r="D18" s="165"/>
      <c r="E18" s="403"/>
      <c r="F18" s="432"/>
      <c r="G18" s="404"/>
      <c r="H18" s="405"/>
      <c r="I18" s="404"/>
      <c r="J18" s="404"/>
      <c r="K18" s="406"/>
      <c r="L18" s="404"/>
      <c r="M18" s="404"/>
      <c r="N18" s="404"/>
      <c r="O18" s="404"/>
    </row>
    <row r="19" spans="2:15" s="154" customFormat="1" hidden="1" outlineLevel="1">
      <c r="B19" s="165" t="s">
        <v>2323</v>
      </c>
      <c r="C19" s="165" t="s">
        <v>3031</v>
      </c>
      <c r="D19" s="165" t="s">
        <v>3040</v>
      </c>
      <c r="E19" s="403">
        <v>12284205.012075614</v>
      </c>
      <c r="F19" s="431">
        <v>11598089.82728835</v>
      </c>
      <c r="G19" s="404">
        <v>30</v>
      </c>
      <c r="H19" s="405">
        <v>52564</v>
      </c>
      <c r="I19" s="404">
        <v>10957</v>
      </c>
      <c r="J19" s="404">
        <v>10471</v>
      </c>
      <c r="K19" s="406">
        <v>10983879.576684568</v>
      </c>
      <c r="L19" s="404">
        <v>365</v>
      </c>
      <c r="M19" s="404">
        <v>382878</v>
      </c>
      <c r="N19" s="404">
        <v>2686661</v>
      </c>
      <c r="O19" s="404">
        <v>8911428.8272883482</v>
      </c>
    </row>
    <row r="20" spans="2:15" s="154" customFormat="1" hidden="1" outlineLevel="1">
      <c r="B20" s="165" t="s">
        <v>2323</v>
      </c>
      <c r="C20" s="165" t="s">
        <v>3031</v>
      </c>
      <c r="D20" s="165" t="s">
        <v>3040</v>
      </c>
      <c r="E20" s="403">
        <v>4293804.4593666606</v>
      </c>
      <c r="F20" s="431">
        <v>4053980.6794816214</v>
      </c>
      <c r="G20" s="404">
        <v>30</v>
      </c>
      <c r="H20" s="405">
        <v>52564</v>
      </c>
      <c r="I20" s="404">
        <v>10957</v>
      </c>
      <c r="J20" s="404">
        <v>10471</v>
      </c>
      <c r="K20" s="406">
        <v>3839290.456513288</v>
      </c>
      <c r="L20" s="404">
        <v>365</v>
      </c>
      <c r="M20" s="404">
        <v>133831</v>
      </c>
      <c r="N20" s="404">
        <v>939093</v>
      </c>
      <c r="O20" s="404">
        <v>3114887.6794816209</v>
      </c>
    </row>
    <row r="21" spans="2:15" s="154" customFormat="1" hidden="1" outlineLevel="1">
      <c r="B21" s="165" t="s">
        <v>2323</v>
      </c>
      <c r="C21" s="165" t="s">
        <v>3031</v>
      </c>
      <c r="D21" s="165" t="s">
        <v>3041</v>
      </c>
      <c r="E21" s="403">
        <v>2032441.9308825352</v>
      </c>
      <c r="F21" s="431">
        <v>1918923.0636738623</v>
      </c>
      <c r="G21" s="404">
        <v>30</v>
      </c>
      <c r="H21" s="405">
        <v>52564</v>
      </c>
      <c r="I21" s="404">
        <v>10957</v>
      </c>
      <c r="J21" s="404">
        <v>10471</v>
      </c>
      <c r="K21" s="406">
        <v>1817300.9671297357</v>
      </c>
      <c r="L21" s="404">
        <v>365</v>
      </c>
      <c r="M21" s="404">
        <v>63348</v>
      </c>
      <c r="N21" s="404">
        <v>444513</v>
      </c>
      <c r="O21" s="404">
        <v>1474410.0636738625</v>
      </c>
    </row>
    <row r="22" spans="2:15" s="154" customFormat="1" hidden="1" outlineLevel="1">
      <c r="B22" s="165" t="s">
        <v>2323</v>
      </c>
      <c r="C22" s="165" t="s">
        <v>3031</v>
      </c>
      <c r="D22" s="165" t="s">
        <v>3042</v>
      </c>
      <c r="E22" s="403">
        <v>3009575.1596947163</v>
      </c>
      <c r="F22" s="431">
        <v>2841480.0526270038</v>
      </c>
      <c r="G22" s="404">
        <v>30</v>
      </c>
      <c r="H22" s="405">
        <v>52564</v>
      </c>
      <c r="I22" s="404">
        <v>10957</v>
      </c>
      <c r="J22" s="404">
        <v>10471</v>
      </c>
      <c r="K22" s="406">
        <v>2691001.2946422677</v>
      </c>
      <c r="L22" s="404">
        <v>365</v>
      </c>
      <c r="M22" s="404">
        <v>93803</v>
      </c>
      <c r="N22" s="404">
        <v>658218</v>
      </c>
      <c r="O22" s="404">
        <v>2183262.0526270038</v>
      </c>
    </row>
    <row r="23" spans="2:15" s="154" customFormat="1" hidden="1" outlineLevel="1">
      <c r="B23" s="165" t="s">
        <v>2323</v>
      </c>
      <c r="C23" s="165" t="s">
        <v>3031</v>
      </c>
      <c r="D23" s="165" t="s">
        <v>3043</v>
      </c>
      <c r="E23" s="403">
        <v>2006408.4074808455</v>
      </c>
      <c r="F23" s="431">
        <v>1894343.5856074537</v>
      </c>
      <c r="G23" s="404">
        <v>20</v>
      </c>
      <c r="H23" s="405">
        <v>48912</v>
      </c>
      <c r="I23" s="404">
        <v>7305</v>
      </c>
      <c r="J23" s="404">
        <v>6819</v>
      </c>
      <c r="K23" s="406">
        <v>1794023.1652334114</v>
      </c>
      <c r="L23" s="404">
        <v>365</v>
      </c>
      <c r="M23" s="404">
        <v>96029</v>
      </c>
      <c r="N23" s="404">
        <v>673837</v>
      </c>
      <c r="O23" s="404">
        <v>1220506.5856074537</v>
      </c>
    </row>
    <row r="24" spans="2:15" s="154" customFormat="1" hidden="1" outlineLevel="1">
      <c r="B24" s="165" t="s">
        <v>2323</v>
      </c>
      <c r="C24" s="165" t="s">
        <v>3031</v>
      </c>
      <c r="D24" s="165" t="s">
        <v>3044</v>
      </c>
      <c r="E24" s="403">
        <v>10055796.206575396</v>
      </c>
      <c r="F24" s="431">
        <v>9494145.3345167469</v>
      </c>
      <c r="G24" s="404">
        <v>20</v>
      </c>
      <c r="H24" s="405">
        <v>48912</v>
      </c>
      <c r="I24" s="404">
        <v>7305</v>
      </c>
      <c r="J24" s="404">
        <v>6819</v>
      </c>
      <c r="K24" s="406">
        <v>8991355.5241879784</v>
      </c>
      <c r="L24" s="404">
        <v>365</v>
      </c>
      <c r="M24" s="404">
        <v>481279</v>
      </c>
      <c r="N24" s="404">
        <v>3377144</v>
      </c>
      <c r="O24" s="404">
        <v>6117001.3345167488</v>
      </c>
    </row>
    <row r="25" spans="2:15" s="154" customFormat="1" hidden="1" outlineLevel="1">
      <c r="B25" s="165" t="s">
        <v>2323</v>
      </c>
      <c r="C25" s="165" t="s">
        <v>3031</v>
      </c>
      <c r="D25" s="165" t="s">
        <v>3045</v>
      </c>
      <c r="E25" s="403">
        <v>1003241.6552669744</v>
      </c>
      <c r="F25" s="431">
        <v>947207.11858790368</v>
      </c>
      <c r="G25" s="404">
        <v>20</v>
      </c>
      <c r="H25" s="405">
        <v>48912</v>
      </c>
      <c r="I25" s="404">
        <v>7305</v>
      </c>
      <c r="J25" s="404">
        <v>6819</v>
      </c>
      <c r="K25" s="406">
        <v>897045.03582455497</v>
      </c>
      <c r="L25" s="404">
        <v>365</v>
      </c>
      <c r="M25" s="404">
        <v>48016</v>
      </c>
      <c r="N25" s="404">
        <v>336930</v>
      </c>
      <c r="O25" s="404">
        <v>610277.11858790368</v>
      </c>
    </row>
    <row r="26" spans="2:15" s="154" customFormat="1" hidden="1" outlineLevel="1">
      <c r="B26" s="165" t="s">
        <v>2323</v>
      </c>
      <c r="C26" s="165" t="s">
        <v>3031</v>
      </c>
      <c r="D26" s="165" t="s">
        <v>3046</v>
      </c>
      <c r="E26" s="403">
        <v>1003241.6552669744</v>
      </c>
      <c r="F26" s="431">
        <v>947207.11858790368</v>
      </c>
      <c r="G26" s="404">
        <v>20</v>
      </c>
      <c r="H26" s="405">
        <v>48912</v>
      </c>
      <c r="I26" s="404">
        <v>7305</v>
      </c>
      <c r="J26" s="404">
        <v>6819</v>
      </c>
      <c r="K26" s="406">
        <v>897045.03582455497</v>
      </c>
      <c r="L26" s="404">
        <v>365</v>
      </c>
      <c r="M26" s="404">
        <v>48016</v>
      </c>
      <c r="N26" s="404">
        <v>336930</v>
      </c>
      <c r="O26" s="404">
        <v>610277.11858790368</v>
      </c>
    </row>
    <row r="27" spans="2:15" s="154" customFormat="1" hidden="1" outlineLevel="1">
      <c r="B27" s="165" t="s">
        <v>2323</v>
      </c>
      <c r="C27" s="165" t="s">
        <v>3031</v>
      </c>
      <c r="D27" s="165" t="s">
        <v>3047</v>
      </c>
      <c r="E27" s="403">
        <v>10635166.508389737</v>
      </c>
      <c r="F27" s="431">
        <v>10041155.807721473</v>
      </c>
      <c r="G27" s="404">
        <v>20</v>
      </c>
      <c r="H27" s="405">
        <v>48912</v>
      </c>
      <c r="I27" s="404">
        <v>7305</v>
      </c>
      <c r="J27" s="404">
        <v>6819</v>
      </c>
      <c r="K27" s="406">
        <v>9509397.4823019858</v>
      </c>
      <c r="L27" s="404">
        <v>365</v>
      </c>
      <c r="M27" s="404">
        <v>509009</v>
      </c>
      <c r="N27" s="404">
        <v>3571724</v>
      </c>
      <c r="O27" s="404">
        <v>6469431.8077214733</v>
      </c>
    </row>
    <row r="28" spans="2:15" s="154" customFormat="1" hidden="1" outlineLevel="1">
      <c r="B28" s="165" t="s">
        <v>2323</v>
      </c>
      <c r="C28" s="165" t="s">
        <v>3031</v>
      </c>
      <c r="D28" s="165" t="s">
        <v>3048</v>
      </c>
      <c r="E28" s="403">
        <v>3658350.7079753815</v>
      </c>
      <c r="F28" s="431">
        <v>3454019.2108619986</v>
      </c>
      <c r="G28" s="404">
        <v>20</v>
      </c>
      <c r="H28" s="405">
        <v>48912</v>
      </c>
      <c r="I28" s="404">
        <v>7305</v>
      </c>
      <c r="J28" s="404">
        <v>6819</v>
      </c>
      <c r="K28" s="406">
        <v>3271101.6754632294</v>
      </c>
      <c r="L28" s="404">
        <v>365</v>
      </c>
      <c r="M28" s="404">
        <v>175092</v>
      </c>
      <c r="N28" s="404">
        <v>1228624</v>
      </c>
      <c r="O28" s="404">
        <v>2225395.2108619986</v>
      </c>
    </row>
    <row r="29" spans="2:15" s="154" customFormat="1" hidden="1" outlineLevel="1">
      <c r="B29" s="165" t="s">
        <v>2323</v>
      </c>
      <c r="C29" s="165" t="s">
        <v>3031</v>
      </c>
      <c r="D29" s="165" t="s">
        <v>3049</v>
      </c>
      <c r="E29" s="403">
        <v>10637088.080698477</v>
      </c>
      <c r="F29" s="431">
        <v>10042970.042743489</v>
      </c>
      <c r="G29" s="404">
        <v>20</v>
      </c>
      <c r="H29" s="405">
        <v>48912</v>
      </c>
      <c r="I29" s="404">
        <v>7305</v>
      </c>
      <c r="J29" s="404">
        <v>6819</v>
      </c>
      <c r="K29" s="406">
        <v>9511115.6387085654</v>
      </c>
      <c r="L29" s="404">
        <v>365</v>
      </c>
      <c r="M29" s="404">
        <v>509101</v>
      </c>
      <c r="N29" s="404">
        <v>3572369</v>
      </c>
      <c r="O29" s="404">
        <v>6470601.0427434891</v>
      </c>
    </row>
    <row r="30" spans="2:15" s="154" customFormat="1" hidden="1" outlineLevel="1">
      <c r="B30" s="165" t="s">
        <v>2323</v>
      </c>
      <c r="C30" s="165" t="s">
        <v>3031</v>
      </c>
      <c r="D30" s="165" t="s">
        <v>3050</v>
      </c>
      <c r="E30" s="403">
        <v>72518329.8828049</v>
      </c>
      <c r="F30" s="431">
        <v>68467931.118901968</v>
      </c>
      <c r="G30" s="404">
        <v>20</v>
      </c>
      <c r="H30" s="405">
        <v>48912</v>
      </c>
      <c r="I30" s="404">
        <v>7305</v>
      </c>
      <c r="J30" s="404">
        <v>6819</v>
      </c>
      <c r="K30" s="406">
        <v>64842014.624761723</v>
      </c>
      <c r="L30" s="404">
        <v>365</v>
      </c>
      <c r="M30" s="404">
        <v>3470793</v>
      </c>
      <c r="N30" s="404">
        <v>24354613</v>
      </c>
      <c r="O30" s="404">
        <v>44113318.118901968</v>
      </c>
    </row>
    <row r="31" spans="2:15" s="154" customFormat="1" hidden="1" outlineLevel="1">
      <c r="B31" s="165" t="s">
        <v>2323</v>
      </c>
      <c r="C31" s="165" t="s">
        <v>3031</v>
      </c>
      <c r="D31" s="165" t="s">
        <v>3051</v>
      </c>
      <c r="E31" s="403">
        <v>220406593.68515754</v>
      </c>
      <c r="F31" s="431">
        <v>208096125.29410261</v>
      </c>
      <c r="G31" s="404">
        <v>7</v>
      </c>
      <c r="H31" s="405">
        <v>44164</v>
      </c>
      <c r="I31" s="404">
        <v>2557</v>
      </c>
      <c r="J31" s="404">
        <v>2071</v>
      </c>
      <c r="K31" s="406">
        <v>197075795.60984474</v>
      </c>
      <c r="L31" s="404">
        <v>0</v>
      </c>
      <c r="M31" s="404">
        <v>0</v>
      </c>
      <c r="N31" s="404">
        <v>208096125</v>
      </c>
      <c r="O31" s="404">
        <v>0.29410260915756226</v>
      </c>
    </row>
    <row r="32" spans="2:15" s="154" customFormat="1" hidden="1" outlineLevel="1">
      <c r="B32" s="165" t="s">
        <v>2323</v>
      </c>
      <c r="C32" s="165" t="s">
        <v>3052</v>
      </c>
      <c r="D32" s="165"/>
      <c r="E32" s="403">
        <v>623340397.99121499</v>
      </c>
      <c r="F32" s="431">
        <v>588524687.16288495</v>
      </c>
      <c r="G32" s="404">
        <v>30</v>
      </c>
      <c r="H32" s="405">
        <v>52564</v>
      </c>
      <c r="I32" s="404">
        <v>10957</v>
      </c>
      <c r="J32" s="404">
        <v>10471</v>
      </c>
      <c r="K32" s="406">
        <v>557357667.26332402</v>
      </c>
      <c r="L32" s="404">
        <v>365</v>
      </c>
      <c r="M32" s="404">
        <v>19428474</v>
      </c>
      <c r="N32" s="404">
        <v>136329930</v>
      </c>
      <c r="O32" s="404">
        <v>452194757.16288483</v>
      </c>
    </row>
    <row r="33" spans="2:15" s="154" customFormat="1" hidden="1" outlineLevel="1">
      <c r="B33" s="165" t="s">
        <v>2323</v>
      </c>
      <c r="C33" s="165" t="s">
        <v>3053</v>
      </c>
      <c r="D33" s="165" t="s">
        <v>3053</v>
      </c>
      <c r="E33" s="403">
        <v>5853689.294044449</v>
      </c>
      <c r="F33" s="431">
        <v>5525161.5797876734</v>
      </c>
      <c r="G33" s="404">
        <v>20</v>
      </c>
      <c r="H33" s="405">
        <v>48912</v>
      </c>
      <c r="I33" s="404">
        <v>7305</v>
      </c>
      <c r="J33" s="404">
        <v>6819</v>
      </c>
      <c r="K33" s="406">
        <v>5232477.1150854509</v>
      </c>
      <c r="L33" s="404">
        <v>365</v>
      </c>
      <c r="M33" s="404">
        <v>280078</v>
      </c>
      <c r="N33" s="404">
        <v>1965314</v>
      </c>
      <c r="O33" s="404">
        <v>3559847.5797876734</v>
      </c>
    </row>
    <row r="34" spans="2:15" s="154" customFormat="1" hidden="1" outlineLevel="1">
      <c r="B34" s="165"/>
      <c r="C34" s="165"/>
      <c r="D34" s="165"/>
      <c r="E34" s="403"/>
      <c r="F34" s="432"/>
      <c r="G34" s="407"/>
      <c r="H34" s="408"/>
      <c r="I34" s="407"/>
      <c r="J34" s="407"/>
      <c r="K34" s="409"/>
      <c r="L34" s="407"/>
      <c r="M34" s="407"/>
      <c r="N34" s="404"/>
      <c r="O34" s="404"/>
    </row>
    <row r="35" spans="2:15" s="154" customFormat="1" ht="27" hidden="1" outlineLevel="1">
      <c r="B35" s="165" t="s">
        <v>2323</v>
      </c>
      <c r="C35" s="165" t="s">
        <v>3029</v>
      </c>
      <c r="D35" s="165" t="s">
        <v>3030</v>
      </c>
      <c r="E35" s="403">
        <v>176353.25012468718</v>
      </c>
      <c r="F35" s="431">
        <v>176334.89425109778</v>
      </c>
      <c r="G35" s="407">
        <v>20</v>
      </c>
      <c r="H35" s="405">
        <v>49398</v>
      </c>
      <c r="I35" s="404">
        <v>7305</v>
      </c>
      <c r="J35" s="404">
        <v>7304</v>
      </c>
      <c r="K35" s="406">
        <v>167517.23174486341</v>
      </c>
      <c r="L35" s="404">
        <v>365</v>
      </c>
      <c r="M35" s="404">
        <v>8371</v>
      </c>
      <c r="N35" s="404">
        <v>58648</v>
      </c>
      <c r="O35" s="404">
        <v>117686.89425109778</v>
      </c>
    </row>
    <row r="36" spans="2:15" s="154" customFormat="1" hidden="1" outlineLevel="1">
      <c r="B36" s="165" t="s">
        <v>2323</v>
      </c>
      <c r="C36" s="165" t="s">
        <v>3052</v>
      </c>
      <c r="D36" s="165">
        <v>0</v>
      </c>
      <c r="E36" s="403">
        <v>1346918155.1567931</v>
      </c>
      <c r="F36" s="431">
        <v>1346777960.3111789</v>
      </c>
      <c r="G36" s="407">
        <v>30</v>
      </c>
      <c r="H36" s="405">
        <v>53051</v>
      </c>
      <c r="I36" s="404">
        <v>10958</v>
      </c>
      <c r="J36" s="404">
        <v>10957</v>
      </c>
      <c r="K36" s="406">
        <v>1279432052.5533392</v>
      </c>
      <c r="L36" s="404">
        <v>365</v>
      </c>
      <c r="M36" s="404">
        <v>42620489</v>
      </c>
      <c r="N36" s="404">
        <v>298600306</v>
      </c>
      <c r="O36" s="404">
        <v>1048177654.3111789</v>
      </c>
    </row>
    <row r="37" spans="2:15" s="154" customFormat="1" hidden="1" outlineLevel="1">
      <c r="B37" s="165" t="s">
        <v>2323</v>
      </c>
      <c r="C37" s="165" t="s">
        <v>3053</v>
      </c>
      <c r="D37" s="165" t="s">
        <v>3053</v>
      </c>
      <c r="E37" s="403">
        <v>11315845.390212875</v>
      </c>
      <c r="F37" s="431">
        <v>11314667.573160674</v>
      </c>
      <c r="G37" s="407">
        <v>20</v>
      </c>
      <c r="H37" s="405">
        <v>49398</v>
      </c>
      <c r="I37" s="404">
        <v>7305</v>
      </c>
      <c r="J37" s="404">
        <v>7304</v>
      </c>
      <c r="K37" s="406">
        <v>10748875.303650031</v>
      </c>
      <c r="L37" s="404">
        <v>365</v>
      </c>
      <c r="M37" s="404">
        <v>537149</v>
      </c>
      <c r="N37" s="404">
        <v>3763281</v>
      </c>
      <c r="O37" s="404">
        <v>7551386.5731606744</v>
      </c>
    </row>
    <row r="38" spans="2:15" s="154" customFormat="1" hidden="1" outlineLevel="1">
      <c r="B38" s="165"/>
      <c r="C38" s="165"/>
      <c r="D38" s="165"/>
      <c r="E38" s="403"/>
      <c r="F38" s="432"/>
      <c r="G38" s="407"/>
      <c r="H38" s="408"/>
      <c r="I38" s="407"/>
      <c r="J38" s="407"/>
      <c r="K38" s="409"/>
      <c r="L38" s="407"/>
      <c r="M38" s="407"/>
      <c r="N38" s="407"/>
      <c r="O38" s="407"/>
    </row>
    <row r="39" spans="2:15" s="154" customFormat="1" hidden="1" outlineLevel="1">
      <c r="B39" s="165"/>
      <c r="C39" s="165"/>
      <c r="D39" s="165"/>
      <c r="E39" s="403"/>
      <c r="F39" s="432"/>
      <c r="G39" s="407"/>
      <c r="H39" s="408"/>
      <c r="I39" s="407"/>
      <c r="J39" s="407"/>
      <c r="K39" s="410"/>
      <c r="L39" s="407"/>
      <c r="M39" s="407"/>
      <c r="N39" s="407"/>
      <c r="O39" s="407"/>
    </row>
    <row r="40" spans="2:15" s="154" customFormat="1" ht="14.25" hidden="1">
      <c r="B40" s="411" t="s">
        <v>1837</v>
      </c>
      <c r="C40" s="165"/>
      <c r="D40" s="165"/>
      <c r="E40" s="412">
        <v>2714064445.1026306</v>
      </c>
      <c r="F40" s="433">
        <f>+SUBTOTAL(9,F8:F39)</f>
        <v>2638205098.8055882</v>
      </c>
      <c r="G40" s="404"/>
      <c r="H40" s="404"/>
      <c r="I40" s="404"/>
      <c r="J40" s="404"/>
      <c r="K40" s="404"/>
      <c r="L40" s="404"/>
      <c r="M40" s="413">
        <f t="shared" ref="M40:O40" si="0">+SUBTOTAL(9,M8:M39)</f>
        <v>80842519</v>
      </c>
      <c r="N40" s="413">
        <f t="shared" si="0"/>
        <v>780166159</v>
      </c>
      <c r="O40" s="413">
        <f t="shared" si="0"/>
        <v>1858038939.8055878</v>
      </c>
    </row>
    <row r="41" spans="2:15" s="154" customFormat="1" hidden="1">
      <c r="B41" s="165"/>
      <c r="C41" s="165"/>
      <c r="D41" s="165"/>
      <c r="E41" s="403">
        <v>0</v>
      </c>
      <c r="F41" s="434"/>
      <c r="G41" s="404"/>
      <c r="H41" s="404"/>
      <c r="I41" s="404"/>
      <c r="J41" s="404"/>
      <c r="K41" s="404"/>
      <c r="L41" s="404"/>
      <c r="M41" s="404"/>
      <c r="N41" s="404"/>
      <c r="O41" s="404"/>
    </row>
    <row r="42" spans="2:15" s="154" customFormat="1" ht="14.25" hidden="1">
      <c r="B42" s="411" t="s">
        <v>2324</v>
      </c>
      <c r="C42" s="165"/>
      <c r="D42" s="165"/>
      <c r="E42" s="403"/>
      <c r="F42" s="432"/>
      <c r="G42" s="404"/>
      <c r="H42" s="404"/>
      <c r="I42" s="404"/>
      <c r="J42" s="404"/>
      <c r="K42" s="404"/>
      <c r="L42" s="404"/>
      <c r="M42" s="404"/>
      <c r="N42" s="404"/>
      <c r="O42" s="404"/>
    </row>
    <row r="43" spans="2:15" s="154" customFormat="1" ht="27" hidden="1" outlineLevel="1">
      <c r="B43" s="165" t="s">
        <v>2324</v>
      </c>
      <c r="C43" s="165" t="s">
        <v>2324</v>
      </c>
      <c r="D43" s="165" t="s">
        <v>3054</v>
      </c>
      <c r="E43" s="403">
        <v>18896549.947349612</v>
      </c>
      <c r="F43" s="431">
        <v>17840120.433971636</v>
      </c>
      <c r="G43" s="404">
        <v>20</v>
      </c>
      <c r="H43" s="405">
        <v>48912</v>
      </c>
      <c r="I43" s="404">
        <v>7305</v>
      </c>
      <c r="J43" s="404">
        <v>6819</v>
      </c>
      <c r="K43" s="406">
        <v>16895292.936604153</v>
      </c>
      <c r="L43" s="404">
        <v>365</v>
      </c>
      <c r="M43" s="404">
        <v>904353</v>
      </c>
      <c r="N43" s="404">
        <v>6346272</v>
      </c>
      <c r="O43" s="404">
        <v>11493848.433971632</v>
      </c>
    </row>
    <row r="44" spans="2:15" s="154" customFormat="1" hidden="1" outlineLevel="1">
      <c r="B44" s="165"/>
      <c r="C44" s="165"/>
      <c r="D44" s="165"/>
      <c r="E44" s="403"/>
      <c r="F44" s="432"/>
      <c r="G44" s="404"/>
      <c r="H44" s="405"/>
      <c r="I44" s="404"/>
      <c r="J44" s="404"/>
      <c r="K44" s="404"/>
      <c r="L44" s="404"/>
      <c r="M44" s="404"/>
      <c r="N44" s="404"/>
      <c r="O44" s="404"/>
    </row>
    <row r="45" spans="2:15" s="154" customFormat="1" ht="40.5" hidden="1" outlineLevel="1">
      <c r="B45" s="165" t="s">
        <v>2324</v>
      </c>
      <c r="C45" s="165" t="s">
        <v>3055</v>
      </c>
      <c r="D45" s="165" t="s">
        <v>3056</v>
      </c>
      <c r="E45" s="403">
        <v>83945660.702249661</v>
      </c>
      <c r="F45" s="431">
        <v>79252598.917355865</v>
      </c>
      <c r="G45" s="404">
        <v>25</v>
      </c>
      <c r="H45" s="405">
        <v>50738</v>
      </c>
      <c r="I45" s="404">
        <v>9131</v>
      </c>
      <c r="J45" s="404">
        <v>8645</v>
      </c>
      <c r="K45" s="406">
        <v>75055315.88224338</v>
      </c>
      <c r="L45" s="404">
        <v>365</v>
      </c>
      <c r="M45" s="404">
        <v>3168906</v>
      </c>
      <c r="N45" s="404">
        <v>22237708</v>
      </c>
      <c r="O45" s="404">
        <v>57014890.917355865</v>
      </c>
    </row>
    <row r="46" spans="2:15" s="154" customFormat="1" ht="40.5" hidden="1" outlineLevel="1">
      <c r="B46" s="165" t="s">
        <v>2324</v>
      </c>
      <c r="C46" s="165" t="s">
        <v>3055</v>
      </c>
      <c r="D46" s="165" t="s">
        <v>3057</v>
      </c>
      <c r="E46" s="403">
        <v>18654591.788908996</v>
      </c>
      <c r="F46" s="431">
        <v>17611689.153485127</v>
      </c>
      <c r="G46" s="404">
        <v>7</v>
      </c>
      <c r="H46" s="405">
        <v>44164</v>
      </c>
      <c r="I46" s="404">
        <v>2557</v>
      </c>
      <c r="J46" s="404">
        <v>2071</v>
      </c>
      <c r="K46" s="406">
        <v>16678959.564039674</v>
      </c>
      <c r="L46" s="404">
        <v>0</v>
      </c>
      <c r="M46" s="404">
        <v>0</v>
      </c>
      <c r="N46" s="404">
        <v>17611689</v>
      </c>
      <c r="O46" s="404">
        <v>0.15348512306809425</v>
      </c>
    </row>
    <row r="47" spans="2:15" s="154" customFormat="1" ht="40.5" hidden="1" outlineLevel="1">
      <c r="B47" s="165" t="s">
        <v>2324</v>
      </c>
      <c r="C47" s="165" t="s">
        <v>3055</v>
      </c>
      <c r="D47" s="165" t="s">
        <v>3058</v>
      </c>
      <c r="E47" s="403">
        <v>37309180.883350909</v>
      </c>
      <c r="F47" s="431">
        <v>35223375.761463255</v>
      </c>
      <c r="G47" s="404">
        <v>20</v>
      </c>
      <c r="H47" s="405">
        <v>48912</v>
      </c>
      <c r="I47" s="404">
        <v>7305</v>
      </c>
      <c r="J47" s="404">
        <v>6819</v>
      </c>
      <c r="K47" s="406">
        <v>33357916.71729571</v>
      </c>
      <c r="L47" s="404">
        <v>365</v>
      </c>
      <c r="M47" s="404">
        <v>1785546</v>
      </c>
      <c r="N47" s="404">
        <v>12530019</v>
      </c>
      <c r="O47" s="404">
        <v>22693356.761463255</v>
      </c>
    </row>
    <row r="48" spans="2:15" s="154" customFormat="1" ht="40.5" hidden="1" outlineLevel="1">
      <c r="B48" s="165" t="s">
        <v>2324</v>
      </c>
      <c r="C48" s="165" t="s">
        <v>3055</v>
      </c>
      <c r="D48" s="165" t="s">
        <v>3059</v>
      </c>
      <c r="E48" s="403">
        <v>9327294.5472209565</v>
      </c>
      <c r="F48" s="431">
        <v>8805843.3039890658</v>
      </c>
      <c r="G48" s="404">
        <v>5</v>
      </c>
      <c r="H48" s="405">
        <v>43433</v>
      </c>
      <c r="I48" s="404">
        <v>1826</v>
      </c>
      <c r="J48" s="404">
        <v>1340</v>
      </c>
      <c r="K48" s="406">
        <v>8339478.5766280182</v>
      </c>
      <c r="L48" s="404">
        <v>0</v>
      </c>
      <c r="M48" s="404">
        <v>0</v>
      </c>
      <c r="N48" s="404">
        <v>8805843</v>
      </c>
      <c r="O48" s="404">
        <v>0.30398906581103802</v>
      </c>
    </row>
    <row r="49" spans="2:15" s="154" customFormat="1" ht="40.5" hidden="1" outlineLevel="1">
      <c r="B49" s="165" t="s">
        <v>2324</v>
      </c>
      <c r="C49" s="165" t="s">
        <v>3055</v>
      </c>
      <c r="D49" s="165" t="s">
        <v>3060</v>
      </c>
      <c r="E49" s="403">
        <v>37309180.883350909</v>
      </c>
      <c r="F49" s="431">
        <v>35223375.761463255</v>
      </c>
      <c r="G49" s="404">
        <v>25</v>
      </c>
      <c r="H49" s="405">
        <v>50738</v>
      </c>
      <c r="I49" s="404">
        <v>9131</v>
      </c>
      <c r="J49" s="404">
        <v>8645</v>
      </c>
      <c r="K49" s="406">
        <v>33357916.71729571</v>
      </c>
      <c r="L49" s="404">
        <v>365</v>
      </c>
      <c r="M49" s="404">
        <v>1408402</v>
      </c>
      <c r="N49" s="404">
        <v>9883422</v>
      </c>
      <c r="O49" s="404">
        <v>25339953.761463255</v>
      </c>
    </row>
    <row r="50" spans="2:15" s="154" customFormat="1" hidden="1" outlineLevel="1">
      <c r="B50" s="165"/>
      <c r="C50" s="165"/>
      <c r="D50" s="165"/>
      <c r="E50" s="403"/>
      <c r="F50" s="432"/>
      <c r="G50" s="404"/>
      <c r="H50" s="405"/>
      <c r="I50" s="404"/>
      <c r="J50" s="404"/>
      <c r="K50" s="404"/>
      <c r="L50" s="404"/>
      <c r="M50" s="404"/>
      <c r="N50" s="404"/>
      <c r="O50" s="404"/>
    </row>
    <row r="51" spans="2:15" s="154" customFormat="1" hidden="1" outlineLevel="1">
      <c r="B51" s="165" t="s">
        <v>2324</v>
      </c>
      <c r="C51" s="165" t="s">
        <v>3061</v>
      </c>
      <c r="D51" s="165" t="s">
        <v>3062</v>
      </c>
      <c r="E51" s="403">
        <v>5906690.7338296231</v>
      </c>
      <c r="F51" s="431">
        <v>5576471.6331390357</v>
      </c>
      <c r="G51" s="404">
        <v>15</v>
      </c>
      <c r="H51" s="405">
        <v>47086</v>
      </c>
      <c r="I51" s="404">
        <v>5479</v>
      </c>
      <c r="J51" s="404">
        <v>4993</v>
      </c>
      <c r="K51" s="406">
        <v>5281137.0964475535</v>
      </c>
      <c r="L51" s="404">
        <v>365</v>
      </c>
      <c r="M51" s="404">
        <v>386063</v>
      </c>
      <c r="N51" s="404">
        <v>2709187</v>
      </c>
      <c r="O51" s="404">
        <v>2867284.6331390347</v>
      </c>
    </row>
    <row r="52" spans="2:15" s="154" customFormat="1" hidden="1" outlineLevel="1">
      <c r="B52" s="165" t="s">
        <v>2324</v>
      </c>
      <c r="C52" s="165" t="s">
        <v>3061</v>
      </c>
      <c r="D52" s="165" t="s">
        <v>3063</v>
      </c>
      <c r="E52" s="403">
        <v>47253521.16537983</v>
      </c>
      <c r="F52" s="431">
        <v>44611768.288276963</v>
      </c>
      <c r="G52" s="404">
        <v>10</v>
      </c>
      <c r="H52" s="405">
        <v>45259</v>
      </c>
      <c r="I52" s="404">
        <v>3652</v>
      </c>
      <c r="J52" s="404">
        <v>3166</v>
      </c>
      <c r="K52" s="406">
        <v>42249092.230007969</v>
      </c>
      <c r="L52" s="404">
        <v>365</v>
      </c>
      <c r="M52" s="404">
        <v>4870789</v>
      </c>
      <c r="N52" s="404">
        <v>34180624</v>
      </c>
      <c r="O52" s="404">
        <v>10431144.288276963</v>
      </c>
    </row>
    <row r="53" spans="2:15" s="154" customFormat="1" hidden="1" outlineLevel="1">
      <c r="B53" s="165" t="s">
        <v>2324</v>
      </c>
      <c r="C53" s="165" t="s">
        <v>3061</v>
      </c>
      <c r="D53" s="165" t="s">
        <v>3064</v>
      </c>
      <c r="E53" s="403">
        <v>47253521.16537983</v>
      </c>
      <c r="F53" s="431">
        <v>44611768.288276963</v>
      </c>
      <c r="G53" s="404">
        <v>10</v>
      </c>
      <c r="H53" s="405">
        <v>45259</v>
      </c>
      <c r="I53" s="404">
        <v>3652</v>
      </c>
      <c r="J53" s="404">
        <v>3166</v>
      </c>
      <c r="K53" s="406">
        <v>42249092.230007969</v>
      </c>
      <c r="L53" s="404">
        <v>365</v>
      </c>
      <c r="M53" s="404">
        <v>4870789</v>
      </c>
      <c r="N53" s="404">
        <v>34180624</v>
      </c>
      <c r="O53" s="404">
        <v>10431144.288276963</v>
      </c>
    </row>
    <row r="54" spans="2:15" s="154" customFormat="1" hidden="1" outlineLevel="1">
      <c r="B54" s="165" t="s">
        <v>2324</v>
      </c>
      <c r="C54" s="165" t="s">
        <v>3061</v>
      </c>
      <c r="D54" s="165" t="s">
        <v>3065</v>
      </c>
      <c r="E54" s="403">
        <v>17720070.201488867</v>
      </c>
      <c r="F54" s="431">
        <v>16729412.899417104</v>
      </c>
      <c r="G54" s="404">
        <v>20</v>
      </c>
      <c r="H54" s="405">
        <v>48912</v>
      </c>
      <c r="I54" s="404">
        <v>7305</v>
      </c>
      <c r="J54" s="404">
        <v>6819</v>
      </c>
      <c r="K54" s="406">
        <v>15843409.38934266</v>
      </c>
      <c r="L54" s="404">
        <v>365</v>
      </c>
      <c r="M54" s="404">
        <v>848049</v>
      </c>
      <c r="N54" s="404">
        <v>5951159</v>
      </c>
      <c r="O54" s="404">
        <v>10778253.899417104</v>
      </c>
    </row>
    <row r="55" spans="2:15" s="154" customFormat="1" hidden="1" outlineLevel="1">
      <c r="B55" s="165"/>
      <c r="C55" s="165"/>
      <c r="D55" s="165"/>
      <c r="E55" s="403"/>
      <c r="F55" s="432"/>
      <c r="G55" s="404"/>
      <c r="H55" s="405"/>
      <c r="I55" s="404"/>
      <c r="J55" s="404"/>
      <c r="K55" s="404"/>
      <c r="L55" s="404"/>
      <c r="M55" s="404"/>
      <c r="N55" s="404"/>
      <c r="O55" s="404"/>
    </row>
    <row r="56" spans="2:15" s="154" customFormat="1" hidden="1" outlineLevel="1">
      <c r="B56" s="165" t="s">
        <v>2324</v>
      </c>
      <c r="C56" s="165" t="s">
        <v>3066</v>
      </c>
      <c r="D56" s="165" t="s">
        <v>3066</v>
      </c>
      <c r="E56" s="403">
        <v>278148015.30683869</v>
      </c>
      <c r="F56" s="431">
        <v>262597886.94623613</v>
      </c>
      <c r="G56" s="404">
        <v>25</v>
      </c>
      <c r="H56" s="405">
        <v>50738</v>
      </c>
      <c r="I56" s="404">
        <v>9131</v>
      </c>
      <c r="J56" s="404">
        <v>8645</v>
      </c>
      <c r="K56" s="406">
        <v>248690486.1808942</v>
      </c>
      <c r="L56" s="404">
        <v>365</v>
      </c>
      <c r="M56" s="404">
        <v>10499945</v>
      </c>
      <c r="N56" s="404">
        <v>73683067</v>
      </c>
      <c r="O56" s="404">
        <v>188914819.94623613</v>
      </c>
    </row>
    <row r="57" spans="2:15" s="154" customFormat="1" hidden="1" outlineLevel="1">
      <c r="B57" s="165"/>
      <c r="C57" s="165"/>
      <c r="D57" s="165"/>
      <c r="E57" s="403"/>
      <c r="F57" s="432"/>
      <c r="G57" s="404"/>
      <c r="H57" s="405"/>
      <c r="I57" s="404"/>
      <c r="J57" s="404"/>
      <c r="K57" s="404"/>
      <c r="L57" s="404"/>
      <c r="M57" s="404"/>
      <c r="N57" s="404"/>
      <c r="O57" s="403"/>
    </row>
    <row r="58" spans="2:15" s="154" customFormat="1" hidden="1" outlineLevel="1">
      <c r="B58" s="165" t="s">
        <v>2324</v>
      </c>
      <c r="C58" s="165" t="s">
        <v>3067</v>
      </c>
      <c r="D58" s="165" t="s">
        <v>3068</v>
      </c>
      <c r="E58" s="403">
        <v>3295575.8480226328</v>
      </c>
      <c r="F58" s="431">
        <v>3111333.5525273881</v>
      </c>
      <c r="G58" s="404">
        <v>5</v>
      </c>
      <c r="H58" s="405">
        <v>43433</v>
      </c>
      <c r="I58" s="404">
        <v>1826</v>
      </c>
      <c r="J58" s="404">
        <v>1340</v>
      </c>
      <c r="K58" s="406">
        <v>2946554.7601262564</v>
      </c>
      <c r="L58" s="404">
        <v>0</v>
      </c>
      <c r="M58" s="404">
        <v>0</v>
      </c>
      <c r="N58" s="404">
        <v>3111334</v>
      </c>
      <c r="O58" s="403">
        <v>-0.44747261190786958</v>
      </c>
    </row>
    <row r="59" spans="2:15" s="154" customFormat="1" hidden="1" outlineLevel="1">
      <c r="B59" s="165" t="s">
        <v>2324</v>
      </c>
      <c r="C59" s="165" t="s">
        <v>3067</v>
      </c>
      <c r="D59" s="165" t="s">
        <v>3069</v>
      </c>
      <c r="E59" s="403">
        <v>13182306.191539014</v>
      </c>
      <c r="F59" s="431">
        <v>12445336.854794186</v>
      </c>
      <c r="G59" s="404">
        <v>15</v>
      </c>
      <c r="H59" s="405">
        <v>47086</v>
      </c>
      <c r="I59" s="404">
        <v>5479</v>
      </c>
      <c r="J59" s="404">
        <v>4993</v>
      </c>
      <c r="K59" s="406">
        <v>11786221.545217235</v>
      </c>
      <c r="L59" s="404">
        <v>365</v>
      </c>
      <c r="M59" s="404">
        <v>861600</v>
      </c>
      <c r="N59" s="404">
        <v>6046254</v>
      </c>
      <c r="O59" s="404">
        <v>6399082.8547941856</v>
      </c>
    </row>
    <row r="60" spans="2:15" s="154" customFormat="1" ht="27" hidden="1" outlineLevel="1">
      <c r="B60" s="165" t="s">
        <v>2324</v>
      </c>
      <c r="C60" s="165" t="s">
        <v>3067</v>
      </c>
      <c r="D60" s="165" t="s">
        <v>3070</v>
      </c>
      <c r="E60" s="403">
        <v>3295575.8480226328</v>
      </c>
      <c r="F60" s="431">
        <v>3111333.5525273881</v>
      </c>
      <c r="G60" s="404">
        <v>5</v>
      </c>
      <c r="H60" s="405">
        <v>43433</v>
      </c>
      <c r="I60" s="404">
        <v>1826</v>
      </c>
      <c r="J60" s="404">
        <v>1340</v>
      </c>
      <c r="K60" s="406">
        <v>2946554.7601262564</v>
      </c>
      <c r="L60" s="404">
        <v>0</v>
      </c>
      <c r="M60" s="404">
        <v>0</v>
      </c>
      <c r="N60" s="404">
        <v>3111334</v>
      </c>
      <c r="O60" s="403">
        <v>-0.44747261190786958</v>
      </c>
    </row>
    <row r="61" spans="2:15" s="154" customFormat="1" ht="27" hidden="1" outlineLevel="1">
      <c r="B61" s="165" t="s">
        <v>2324</v>
      </c>
      <c r="C61" s="165" t="s">
        <v>3067</v>
      </c>
      <c r="D61" s="165" t="s">
        <v>3071</v>
      </c>
      <c r="E61" s="403">
        <v>13182308.781048257</v>
      </c>
      <c r="F61" s="431">
        <v>12445339.301145796</v>
      </c>
      <c r="G61" s="404">
        <v>15</v>
      </c>
      <c r="H61" s="405">
        <v>47086</v>
      </c>
      <c r="I61" s="404">
        <v>5479</v>
      </c>
      <c r="J61" s="404">
        <v>4993</v>
      </c>
      <c r="K61" s="406">
        <v>11786223.862093383</v>
      </c>
      <c r="L61" s="404">
        <v>365</v>
      </c>
      <c r="M61" s="404">
        <v>861601</v>
      </c>
      <c r="N61" s="404">
        <v>6046260</v>
      </c>
      <c r="O61" s="404">
        <v>6399079.3011457957</v>
      </c>
    </row>
    <row r="62" spans="2:15" s="154" customFormat="1" hidden="1" outlineLevel="1">
      <c r="B62" s="165"/>
      <c r="C62" s="165"/>
      <c r="D62" s="165"/>
      <c r="E62" s="403"/>
      <c r="F62" s="432"/>
      <c r="G62" s="404"/>
      <c r="H62" s="405"/>
      <c r="I62" s="404"/>
      <c r="J62" s="404"/>
      <c r="K62" s="404"/>
      <c r="L62" s="404"/>
      <c r="M62" s="404"/>
      <c r="N62" s="404"/>
      <c r="O62" s="404"/>
    </row>
    <row r="63" spans="2:15" s="154" customFormat="1" ht="27" hidden="1" outlineLevel="1">
      <c r="B63" s="165" t="s">
        <v>2324</v>
      </c>
      <c r="C63" s="165" t="s">
        <v>3072</v>
      </c>
      <c r="D63" s="165" t="s">
        <v>3073</v>
      </c>
      <c r="E63" s="403">
        <v>124143775.29245247</v>
      </c>
      <c r="F63" s="431">
        <v>117203399.91334474</v>
      </c>
      <c r="G63" s="404">
        <v>20</v>
      </c>
      <c r="H63" s="405">
        <v>48912</v>
      </c>
      <c r="I63" s="404">
        <v>7305</v>
      </c>
      <c r="J63" s="404">
        <v>6819</v>
      </c>
      <c r="K63" s="406">
        <v>110996211.14872211</v>
      </c>
      <c r="L63" s="404">
        <v>365</v>
      </c>
      <c r="M63" s="404">
        <v>5941284</v>
      </c>
      <c r="N63" s="404">
        <v>41692793</v>
      </c>
      <c r="O63" s="404">
        <v>75510606.913344741</v>
      </c>
    </row>
    <row r="64" spans="2:15" s="154" customFormat="1" ht="27" hidden="1" outlineLevel="1">
      <c r="B64" s="165" t="s">
        <v>2324</v>
      </c>
      <c r="C64" s="165" t="s">
        <v>3072</v>
      </c>
      <c r="D64" s="165" t="s">
        <v>3074</v>
      </c>
      <c r="E64" s="403">
        <v>62071889.193003468</v>
      </c>
      <c r="F64" s="431">
        <v>58601701.390296198</v>
      </c>
      <c r="G64" s="404">
        <v>10</v>
      </c>
      <c r="H64" s="405">
        <v>45259</v>
      </c>
      <c r="I64" s="404">
        <v>3652</v>
      </c>
      <c r="J64" s="404">
        <v>3166</v>
      </c>
      <c r="K64" s="406">
        <v>55498106.930646025</v>
      </c>
      <c r="L64" s="404">
        <v>365</v>
      </c>
      <c r="M64" s="404">
        <v>6398234</v>
      </c>
      <c r="N64" s="404">
        <v>44899426</v>
      </c>
      <c r="O64" s="404">
        <v>13702275.390296198</v>
      </c>
    </row>
    <row r="65" spans="2:15" s="154" customFormat="1" ht="27" hidden="1" outlineLevel="1">
      <c r="B65" s="165" t="s">
        <v>2324</v>
      </c>
      <c r="C65" s="165" t="s">
        <v>3072</v>
      </c>
      <c r="D65" s="165" t="s">
        <v>3075</v>
      </c>
      <c r="E65" s="403">
        <v>62071889.193003468</v>
      </c>
      <c r="F65" s="431">
        <v>58601701.390296198</v>
      </c>
      <c r="G65" s="404">
        <v>10</v>
      </c>
      <c r="H65" s="405">
        <v>45259</v>
      </c>
      <c r="I65" s="404">
        <v>3652</v>
      </c>
      <c r="J65" s="404">
        <v>3166</v>
      </c>
      <c r="K65" s="406">
        <v>55498106.930646025</v>
      </c>
      <c r="L65" s="404">
        <v>365</v>
      </c>
      <c r="M65" s="404">
        <v>6398234</v>
      </c>
      <c r="N65" s="404">
        <v>44899426</v>
      </c>
      <c r="O65" s="404">
        <v>13702275.390296198</v>
      </c>
    </row>
    <row r="66" spans="2:15" s="154" customFormat="1" ht="27" hidden="1" outlineLevel="1">
      <c r="B66" s="165" t="s">
        <v>2324</v>
      </c>
      <c r="C66" s="165" t="s">
        <v>3072</v>
      </c>
      <c r="D66" s="165" t="s">
        <v>3076</v>
      </c>
      <c r="E66" s="403">
        <v>248287554.97256541</v>
      </c>
      <c r="F66" s="431">
        <v>234406803.91650018</v>
      </c>
      <c r="G66" s="404">
        <v>20</v>
      </c>
      <c r="H66" s="405">
        <v>48912</v>
      </c>
      <c r="I66" s="404">
        <v>7305</v>
      </c>
      <c r="J66" s="404">
        <v>6819</v>
      </c>
      <c r="K66" s="406">
        <v>221992426.16787192</v>
      </c>
      <c r="L66" s="404">
        <v>365</v>
      </c>
      <c r="M66" s="404">
        <v>11882569</v>
      </c>
      <c r="N66" s="404">
        <v>83385591</v>
      </c>
      <c r="O66" s="404">
        <v>151021212.91650018</v>
      </c>
    </row>
    <row r="67" spans="2:15" s="154" customFormat="1" ht="27" hidden="1" outlineLevel="1">
      <c r="B67" s="165" t="s">
        <v>2324</v>
      </c>
      <c r="C67" s="165" t="s">
        <v>3072</v>
      </c>
      <c r="D67" s="165" t="s">
        <v>3077</v>
      </c>
      <c r="E67" s="403">
        <v>124143777.98628271</v>
      </c>
      <c r="F67" s="431">
        <v>117203402.45825009</v>
      </c>
      <c r="G67" s="404">
        <v>25</v>
      </c>
      <c r="H67" s="405">
        <v>50738</v>
      </c>
      <c r="I67" s="404">
        <v>9131</v>
      </c>
      <c r="J67" s="404">
        <v>8645</v>
      </c>
      <c r="K67" s="406">
        <v>110996213.55893596</v>
      </c>
      <c r="L67" s="404">
        <v>365</v>
      </c>
      <c r="M67" s="404">
        <v>4686364</v>
      </c>
      <c r="N67" s="404">
        <v>32886426</v>
      </c>
      <c r="O67" s="404">
        <v>84316976.45825009</v>
      </c>
    </row>
    <row r="68" spans="2:15" s="154" customFormat="1" hidden="1" outlineLevel="1">
      <c r="B68" s="165"/>
      <c r="C68" s="165"/>
      <c r="D68" s="165"/>
      <c r="E68" s="403"/>
      <c r="F68" s="432"/>
      <c r="G68" s="404"/>
      <c r="H68" s="405"/>
      <c r="I68" s="404"/>
      <c r="J68" s="404"/>
      <c r="K68" s="404"/>
      <c r="L68" s="404"/>
      <c r="M68" s="404"/>
      <c r="N68" s="404"/>
      <c r="O68" s="404"/>
    </row>
    <row r="69" spans="2:15" s="154" customFormat="1" ht="27" hidden="1" outlineLevel="1">
      <c r="B69" s="165" t="s">
        <v>2324</v>
      </c>
      <c r="C69" s="165" t="s">
        <v>3078</v>
      </c>
      <c r="D69" s="165" t="s">
        <v>3079</v>
      </c>
      <c r="E69" s="403">
        <v>3400150.8409883124</v>
      </c>
      <c r="F69" s="431">
        <v>3210062.184819581</v>
      </c>
      <c r="G69" s="404">
        <v>15</v>
      </c>
      <c r="H69" s="405">
        <v>47086</v>
      </c>
      <c r="I69" s="404">
        <v>5479</v>
      </c>
      <c r="J69" s="404">
        <v>4993</v>
      </c>
      <c r="K69" s="406">
        <v>3040054.6427701656</v>
      </c>
      <c r="L69" s="404">
        <v>365</v>
      </c>
      <c r="M69" s="404">
        <v>222235</v>
      </c>
      <c r="N69" s="404">
        <v>1559528</v>
      </c>
      <c r="O69" s="404">
        <v>1650534.184819581</v>
      </c>
    </row>
    <row r="70" spans="2:15" s="154" customFormat="1" ht="27" hidden="1" outlineLevel="1">
      <c r="B70" s="165" t="s">
        <v>2324</v>
      </c>
      <c r="C70" s="165" t="s">
        <v>3078</v>
      </c>
      <c r="D70" s="165" t="s">
        <v>3080</v>
      </c>
      <c r="E70" s="403">
        <v>95204231.091402292</v>
      </c>
      <c r="F70" s="431">
        <v>89881748.356916279</v>
      </c>
      <c r="G70" s="404">
        <v>15</v>
      </c>
      <c r="H70" s="405">
        <v>47086</v>
      </c>
      <c r="I70" s="404">
        <v>5479</v>
      </c>
      <c r="J70" s="404">
        <v>4993</v>
      </c>
      <c r="K70" s="406">
        <v>85121536.80234617</v>
      </c>
      <c r="L70" s="404">
        <v>365</v>
      </c>
      <c r="M70" s="404">
        <v>6222584</v>
      </c>
      <c r="N70" s="404">
        <v>43666807</v>
      </c>
      <c r="O70" s="404">
        <v>46214941.356916279</v>
      </c>
    </row>
    <row r="71" spans="2:15" s="154" customFormat="1" ht="27" hidden="1" outlineLevel="1">
      <c r="B71" s="165" t="s">
        <v>2324</v>
      </c>
      <c r="C71" s="165" t="s">
        <v>3078</v>
      </c>
      <c r="D71" s="165" t="s">
        <v>3081</v>
      </c>
      <c r="E71" s="403">
        <v>81603625.222743377</v>
      </c>
      <c r="F71" s="431">
        <v>77041497.196117982</v>
      </c>
      <c r="G71" s="404">
        <v>20</v>
      </c>
      <c r="H71" s="405">
        <v>48912</v>
      </c>
      <c r="I71" s="404">
        <v>7305</v>
      </c>
      <c r="J71" s="404">
        <v>6819</v>
      </c>
      <c r="K71" s="406">
        <v>72961315.93498081</v>
      </c>
      <c r="L71" s="404">
        <v>365</v>
      </c>
      <c r="M71" s="404">
        <v>3905394</v>
      </c>
      <c r="N71" s="404">
        <v>27405992</v>
      </c>
      <c r="O71" s="404">
        <v>49635505.196117982</v>
      </c>
    </row>
    <row r="72" spans="2:15" s="154" customFormat="1" ht="27" hidden="1" outlineLevel="1">
      <c r="B72" s="165" t="s">
        <v>2324</v>
      </c>
      <c r="C72" s="165" t="s">
        <v>3078</v>
      </c>
      <c r="D72" s="165" t="s">
        <v>3082</v>
      </c>
      <c r="E72" s="403">
        <v>20400906.655616906</v>
      </c>
      <c r="F72" s="431">
        <v>19260374.629615076</v>
      </c>
      <c r="G72" s="404">
        <v>20</v>
      </c>
      <c r="H72" s="405">
        <v>48912</v>
      </c>
      <c r="I72" s="404">
        <v>7305</v>
      </c>
      <c r="J72" s="404">
        <v>6819</v>
      </c>
      <c r="K72" s="406">
        <v>18240329.29683423</v>
      </c>
      <c r="L72" s="404">
        <v>365</v>
      </c>
      <c r="M72" s="404">
        <v>976348</v>
      </c>
      <c r="N72" s="404">
        <v>6851495</v>
      </c>
      <c r="O72" s="404">
        <v>12408879.629615076</v>
      </c>
    </row>
    <row r="73" spans="2:15" s="154" customFormat="1" ht="27" hidden="1" outlineLevel="1">
      <c r="B73" s="165" t="s">
        <v>2324</v>
      </c>
      <c r="C73" s="165" t="s">
        <v>3078</v>
      </c>
      <c r="D73" s="165" t="s">
        <v>3083</v>
      </c>
      <c r="E73" s="403">
        <v>13600604.868658889</v>
      </c>
      <c r="F73" s="431">
        <v>12840250.16079828</v>
      </c>
      <c r="G73" s="404">
        <v>10</v>
      </c>
      <c r="H73" s="405">
        <v>45259</v>
      </c>
      <c r="I73" s="404">
        <v>3652</v>
      </c>
      <c r="J73" s="404">
        <v>3166</v>
      </c>
      <c r="K73" s="406">
        <v>12160219.917365337</v>
      </c>
      <c r="L73" s="404">
        <v>365</v>
      </c>
      <c r="M73" s="404">
        <v>1401920</v>
      </c>
      <c r="N73" s="404">
        <v>9837935</v>
      </c>
      <c r="O73" s="404">
        <v>3002315.1607982814</v>
      </c>
    </row>
    <row r="74" spans="2:15" s="154" customFormat="1" ht="27" hidden="1" outlineLevel="1">
      <c r="B74" s="165" t="s">
        <v>2324</v>
      </c>
      <c r="C74" s="165" t="s">
        <v>3078</v>
      </c>
      <c r="D74" s="165" t="s">
        <v>3084</v>
      </c>
      <c r="E74" s="403">
        <v>10200452.627946332</v>
      </c>
      <c r="F74" s="431">
        <v>9630186.6536363792</v>
      </c>
      <c r="G74" s="404">
        <v>10</v>
      </c>
      <c r="H74" s="405">
        <v>45259</v>
      </c>
      <c r="I74" s="404">
        <v>3652</v>
      </c>
      <c r="J74" s="404">
        <v>3166</v>
      </c>
      <c r="K74" s="406">
        <v>9120164.0222390648</v>
      </c>
      <c r="L74" s="404">
        <v>365</v>
      </c>
      <c r="M74" s="404">
        <v>1051440</v>
      </c>
      <c r="N74" s="404">
        <v>7378451</v>
      </c>
      <c r="O74" s="404">
        <v>2251735.653636381</v>
      </c>
    </row>
    <row r="75" spans="2:15" s="154" customFormat="1" ht="27" hidden="1" outlineLevel="1">
      <c r="B75" s="165" t="s">
        <v>2324</v>
      </c>
      <c r="C75" s="165" t="s">
        <v>3078</v>
      </c>
      <c r="D75" s="165" t="s">
        <v>3085</v>
      </c>
      <c r="E75" s="403">
        <v>13600604.868658889</v>
      </c>
      <c r="F75" s="431">
        <v>12840250.16079828</v>
      </c>
      <c r="G75" s="404">
        <v>20</v>
      </c>
      <c r="H75" s="405">
        <v>48912</v>
      </c>
      <c r="I75" s="404">
        <v>7305</v>
      </c>
      <c r="J75" s="404">
        <v>6819</v>
      </c>
      <c r="K75" s="406">
        <v>12160219.917365337</v>
      </c>
      <c r="L75" s="404">
        <v>365</v>
      </c>
      <c r="M75" s="404">
        <v>650899</v>
      </c>
      <c r="N75" s="404">
        <v>4567665</v>
      </c>
      <c r="O75" s="404">
        <v>8272585.1607982814</v>
      </c>
    </row>
    <row r="76" spans="2:15" s="154" customFormat="1" ht="27" hidden="1" outlineLevel="1">
      <c r="B76" s="165" t="s">
        <v>2324</v>
      </c>
      <c r="C76" s="165" t="s">
        <v>3078</v>
      </c>
      <c r="D76" s="165" t="s">
        <v>3063</v>
      </c>
      <c r="E76" s="403">
        <v>74803324.435785383</v>
      </c>
      <c r="F76" s="431">
        <v>70621373.72730121</v>
      </c>
      <c r="G76" s="404">
        <v>8</v>
      </c>
      <c r="H76" s="405">
        <v>44529</v>
      </c>
      <c r="I76" s="404">
        <v>2922</v>
      </c>
      <c r="J76" s="404">
        <v>2436</v>
      </c>
      <c r="K76" s="406">
        <v>66881207.50551194</v>
      </c>
      <c r="L76" s="404">
        <v>0</v>
      </c>
      <c r="M76" s="404">
        <v>10319093</v>
      </c>
      <c r="N76" s="404">
        <v>70621374</v>
      </c>
      <c r="O76" s="404">
        <v>-0.2726987898349762</v>
      </c>
    </row>
    <row r="77" spans="2:15" s="154" customFormat="1" ht="27" hidden="1" outlineLevel="1">
      <c r="B77" s="165" t="s">
        <v>2324</v>
      </c>
      <c r="C77" s="165" t="s">
        <v>3078</v>
      </c>
      <c r="D77" s="165" t="s">
        <v>3086</v>
      </c>
      <c r="E77" s="403">
        <v>20400906.655616906</v>
      </c>
      <c r="F77" s="431">
        <v>19260374.629615076</v>
      </c>
      <c r="G77" s="404">
        <v>10</v>
      </c>
      <c r="H77" s="405">
        <v>45259</v>
      </c>
      <c r="I77" s="404">
        <v>3652</v>
      </c>
      <c r="J77" s="404">
        <v>3166</v>
      </c>
      <c r="K77" s="406">
        <v>18240329.29683423</v>
      </c>
      <c r="L77" s="404">
        <v>365</v>
      </c>
      <c r="M77" s="404">
        <v>2102881</v>
      </c>
      <c r="N77" s="404">
        <v>14756907</v>
      </c>
      <c r="O77" s="404">
        <v>4503467.6296150759</v>
      </c>
    </row>
    <row r="78" spans="2:15" s="154" customFormat="1" ht="27" hidden="1" outlineLevel="1">
      <c r="B78" s="165" t="s">
        <v>2324</v>
      </c>
      <c r="C78" s="165" t="s">
        <v>3078</v>
      </c>
      <c r="D78" s="165" t="s">
        <v>3087</v>
      </c>
      <c r="E78" s="403">
        <v>102004531.8783603</v>
      </c>
      <c r="F78" s="431">
        <v>96301871.825733066</v>
      </c>
      <c r="G78" s="404">
        <v>15</v>
      </c>
      <c r="H78" s="405">
        <v>47086</v>
      </c>
      <c r="I78" s="404">
        <v>5479</v>
      </c>
      <c r="J78" s="404">
        <v>4993</v>
      </c>
      <c r="K78" s="406">
        <v>91201645.231815055</v>
      </c>
      <c r="L78" s="404">
        <v>365</v>
      </c>
      <c r="M78" s="404">
        <v>6667054</v>
      </c>
      <c r="N78" s="404">
        <v>46785863</v>
      </c>
      <c r="O78" s="404">
        <v>49516008.825733066</v>
      </c>
    </row>
    <row r="79" spans="2:15" s="154" customFormat="1" ht="27" hidden="1" outlineLevel="1">
      <c r="B79" s="165" t="s">
        <v>2324</v>
      </c>
      <c r="C79" s="165" t="s">
        <v>3078</v>
      </c>
      <c r="D79" s="165" t="s">
        <v>3088</v>
      </c>
      <c r="E79" s="403">
        <v>108804833.26559408</v>
      </c>
      <c r="F79" s="431">
        <v>102721995.61673342</v>
      </c>
      <c r="G79" s="404">
        <v>15</v>
      </c>
      <c r="H79" s="405">
        <v>47086</v>
      </c>
      <c r="I79" s="404">
        <v>5479</v>
      </c>
      <c r="J79" s="404">
        <v>4993</v>
      </c>
      <c r="K79" s="406">
        <v>97281753.95345372</v>
      </c>
      <c r="L79" s="404">
        <v>365</v>
      </c>
      <c r="M79" s="404">
        <v>7111524</v>
      </c>
      <c r="N79" s="404">
        <v>49904919</v>
      </c>
      <c r="O79" s="404">
        <v>52817076.616733417</v>
      </c>
    </row>
    <row r="80" spans="2:15" s="154" customFormat="1" ht="27" hidden="1" outlineLevel="1">
      <c r="B80" s="165" t="s">
        <v>2324</v>
      </c>
      <c r="C80" s="165" t="s">
        <v>3078</v>
      </c>
      <c r="D80" s="165" t="s">
        <v>3089</v>
      </c>
      <c r="E80" s="403">
        <v>15640694.196406171</v>
      </c>
      <c r="F80" s="431">
        <v>14766286.337791223</v>
      </c>
      <c r="G80" s="404">
        <v>15</v>
      </c>
      <c r="H80" s="405">
        <v>47086</v>
      </c>
      <c r="I80" s="404">
        <v>5479</v>
      </c>
      <c r="J80" s="404">
        <v>4993</v>
      </c>
      <c r="K80" s="406">
        <v>13984251.627970913</v>
      </c>
      <c r="L80" s="404">
        <v>365</v>
      </c>
      <c r="M80" s="404">
        <v>1022282</v>
      </c>
      <c r="N80" s="404">
        <v>7173834</v>
      </c>
      <c r="O80" s="404">
        <v>7592452.3377912212</v>
      </c>
    </row>
    <row r="81" spans="2:15" s="154" customFormat="1" ht="27" hidden="1" outlineLevel="1">
      <c r="B81" s="165" t="s">
        <v>2324</v>
      </c>
      <c r="C81" s="165" t="s">
        <v>3078</v>
      </c>
      <c r="D81" s="165" t="s">
        <v>3090</v>
      </c>
      <c r="E81" s="403">
        <v>10200452.627946332</v>
      </c>
      <c r="F81" s="431">
        <v>9630186.6536363792</v>
      </c>
      <c r="G81" s="404">
        <v>20</v>
      </c>
      <c r="H81" s="405">
        <v>48912</v>
      </c>
      <c r="I81" s="404">
        <v>7305</v>
      </c>
      <c r="J81" s="404">
        <v>6819</v>
      </c>
      <c r="K81" s="406">
        <v>9120164.0222390648</v>
      </c>
      <c r="L81" s="404">
        <v>365</v>
      </c>
      <c r="M81" s="404">
        <v>488174</v>
      </c>
      <c r="N81" s="404">
        <v>3425748</v>
      </c>
      <c r="O81" s="404">
        <v>6204438.653636381</v>
      </c>
    </row>
    <row r="82" spans="2:15" s="154" customFormat="1" ht="27" hidden="1" outlineLevel="1">
      <c r="B82" s="165" t="s">
        <v>2324</v>
      </c>
      <c r="C82" s="165" t="s">
        <v>3078</v>
      </c>
      <c r="D82" s="165" t="s">
        <v>3091</v>
      </c>
      <c r="E82" s="403">
        <v>11900529.948164729</v>
      </c>
      <c r="F82" s="431">
        <v>11235219.568388486</v>
      </c>
      <c r="G82" s="404">
        <v>20</v>
      </c>
      <c r="H82" s="405">
        <v>48912</v>
      </c>
      <c r="I82" s="404">
        <v>7305</v>
      </c>
      <c r="J82" s="404">
        <v>6819</v>
      </c>
      <c r="K82" s="406">
        <v>10640193.070980249</v>
      </c>
      <c r="L82" s="404">
        <v>365</v>
      </c>
      <c r="M82" s="404">
        <v>569537</v>
      </c>
      <c r="N82" s="404">
        <v>3996709</v>
      </c>
      <c r="O82" s="404">
        <v>7238510.5683884863</v>
      </c>
    </row>
    <row r="83" spans="2:15" s="154" customFormat="1" ht="27" hidden="1" outlineLevel="1">
      <c r="B83" s="165" t="s">
        <v>2324</v>
      </c>
      <c r="C83" s="165" t="s">
        <v>3078</v>
      </c>
      <c r="D83" s="165" t="s">
        <v>3092</v>
      </c>
      <c r="E83" s="403">
        <v>5100228.1612067083</v>
      </c>
      <c r="F83" s="431">
        <v>4815095.0995716872</v>
      </c>
      <c r="G83" s="404">
        <v>5</v>
      </c>
      <c r="H83" s="405">
        <v>43433</v>
      </c>
      <c r="I83" s="404">
        <v>1826</v>
      </c>
      <c r="J83" s="404">
        <v>1340</v>
      </c>
      <c r="K83" s="406">
        <v>4560083.6915113516</v>
      </c>
      <c r="L83" s="404">
        <v>0</v>
      </c>
      <c r="M83" s="404">
        <v>0</v>
      </c>
      <c r="N83" s="404">
        <v>4815095</v>
      </c>
      <c r="O83" s="404">
        <v>9.9571687169373035E-2</v>
      </c>
    </row>
    <row r="84" spans="2:15" s="154" customFormat="1" ht="27" hidden="1" outlineLevel="1">
      <c r="B84" s="165" t="s">
        <v>2324</v>
      </c>
      <c r="C84" s="165" t="s">
        <v>3078</v>
      </c>
      <c r="D84" s="165" t="s">
        <v>3093</v>
      </c>
      <c r="E84" s="403">
        <v>6800301.786958023</v>
      </c>
      <c r="F84" s="431">
        <v>6420124.468816801</v>
      </c>
      <c r="G84" s="404">
        <v>15</v>
      </c>
      <c r="H84" s="405">
        <v>47086</v>
      </c>
      <c r="I84" s="404">
        <v>5479</v>
      </c>
      <c r="J84" s="404">
        <v>4993</v>
      </c>
      <c r="K84" s="406">
        <v>6080109.3794689011</v>
      </c>
      <c r="L84" s="404">
        <v>365</v>
      </c>
      <c r="M84" s="404">
        <v>444470</v>
      </c>
      <c r="N84" s="404">
        <v>3119056</v>
      </c>
      <c r="O84" s="404">
        <v>3301068.4688168019</v>
      </c>
    </row>
    <row r="85" spans="2:15" s="154" customFormat="1" ht="27" hidden="1" outlineLevel="1">
      <c r="B85" s="165" t="s">
        <v>2324</v>
      </c>
      <c r="C85" s="165" t="s">
        <v>3078</v>
      </c>
      <c r="D85" s="165" t="s">
        <v>3094</v>
      </c>
      <c r="E85" s="403">
        <v>27201208.442574929</v>
      </c>
      <c r="F85" s="431">
        <v>25680499.098431878</v>
      </c>
      <c r="G85" s="404">
        <v>30</v>
      </c>
      <c r="H85" s="405">
        <v>52564</v>
      </c>
      <c r="I85" s="404">
        <v>10957</v>
      </c>
      <c r="J85" s="404">
        <v>10471</v>
      </c>
      <c r="K85" s="406">
        <v>24320438.67630313</v>
      </c>
      <c r="L85" s="404">
        <v>365</v>
      </c>
      <c r="M85" s="404">
        <v>847766</v>
      </c>
      <c r="N85" s="404">
        <v>5949174</v>
      </c>
      <c r="O85" s="404">
        <v>19731325.098431878</v>
      </c>
    </row>
    <row r="86" spans="2:15" s="154" customFormat="1" ht="27" hidden="1" outlineLevel="1">
      <c r="B86" s="165" t="s">
        <v>2324</v>
      </c>
      <c r="C86" s="165" t="s">
        <v>3078</v>
      </c>
      <c r="D86" s="165" t="s">
        <v>3095</v>
      </c>
      <c r="E86" s="403">
        <v>23801057.496605217</v>
      </c>
      <c r="F86" s="431">
        <v>22470436.814434655</v>
      </c>
      <c r="G86" s="404">
        <v>30</v>
      </c>
      <c r="H86" s="405">
        <v>52564</v>
      </c>
      <c r="I86" s="404">
        <v>10957</v>
      </c>
      <c r="J86" s="404">
        <v>10471</v>
      </c>
      <c r="K86" s="406">
        <v>21280383.939604394</v>
      </c>
      <c r="L86" s="404">
        <v>365</v>
      </c>
      <c r="M86" s="404">
        <v>741795</v>
      </c>
      <c r="N86" s="404">
        <v>5205527</v>
      </c>
      <c r="O86" s="404">
        <v>17264909.814434655</v>
      </c>
    </row>
    <row r="87" spans="2:15" s="154" customFormat="1" ht="27" hidden="1" outlineLevel="1">
      <c r="B87" s="165" t="s">
        <v>2324</v>
      </c>
      <c r="C87" s="165" t="s">
        <v>3078</v>
      </c>
      <c r="D87" s="165" t="s">
        <v>3096</v>
      </c>
      <c r="E87" s="403">
        <v>1360060.2184981878</v>
      </c>
      <c r="F87" s="431">
        <v>1284024.7846619615</v>
      </c>
      <c r="G87" s="404">
        <v>30</v>
      </c>
      <c r="H87" s="405">
        <v>52564</v>
      </c>
      <c r="I87" s="404">
        <v>10957</v>
      </c>
      <c r="J87" s="404">
        <v>10471</v>
      </c>
      <c r="K87" s="406">
        <v>1216021.773737052</v>
      </c>
      <c r="L87" s="404">
        <v>365</v>
      </c>
      <c r="M87" s="404">
        <v>42388</v>
      </c>
      <c r="N87" s="404">
        <v>297457</v>
      </c>
      <c r="O87" s="404">
        <v>986567.78466196149</v>
      </c>
    </row>
    <row r="88" spans="2:15" s="154" customFormat="1" ht="27" hidden="1" outlineLevel="1">
      <c r="B88" s="165" t="s">
        <v>2324</v>
      </c>
      <c r="C88" s="165" t="s">
        <v>3078</v>
      </c>
      <c r="D88" s="165" t="s">
        <v>3097</v>
      </c>
      <c r="E88" s="403">
        <v>34001511.524275795</v>
      </c>
      <c r="F88" s="431">
        <v>32100624.790413357</v>
      </c>
      <c r="G88" s="404">
        <v>30</v>
      </c>
      <c r="H88" s="405">
        <v>52564</v>
      </c>
      <c r="I88" s="404">
        <v>10957</v>
      </c>
      <c r="J88" s="404">
        <v>10471</v>
      </c>
      <c r="K88" s="406">
        <v>30400549.214199569</v>
      </c>
      <c r="L88" s="404">
        <v>365</v>
      </c>
      <c r="M88" s="404">
        <v>1059708</v>
      </c>
      <c r="N88" s="404">
        <v>7436470</v>
      </c>
      <c r="O88" s="404">
        <v>24664154.790413357</v>
      </c>
    </row>
    <row r="89" spans="2:15" s="154" customFormat="1" hidden="1" outlineLevel="1">
      <c r="B89" s="165"/>
      <c r="C89" s="165"/>
      <c r="D89" s="165"/>
      <c r="E89" s="403"/>
      <c r="F89" s="432"/>
      <c r="G89" s="404"/>
      <c r="H89" s="405"/>
      <c r="I89" s="404"/>
      <c r="J89" s="404"/>
      <c r="K89" s="404"/>
      <c r="L89" s="404"/>
      <c r="M89" s="404"/>
      <c r="N89" s="404"/>
      <c r="O89" s="404"/>
    </row>
    <row r="90" spans="2:15" s="154" customFormat="1" hidden="1" outlineLevel="1">
      <c r="B90" s="165"/>
      <c r="C90" s="165"/>
      <c r="D90" s="165"/>
      <c r="E90" s="403"/>
      <c r="F90" s="432"/>
      <c r="G90" s="404"/>
      <c r="H90" s="405"/>
      <c r="I90" s="404"/>
      <c r="J90" s="404"/>
      <c r="K90" s="404"/>
      <c r="L90" s="404"/>
      <c r="M90" s="404"/>
      <c r="N90" s="404"/>
      <c r="O90" s="404"/>
    </row>
    <row r="91" spans="2:15" s="154" customFormat="1" ht="27" hidden="1" outlineLevel="1">
      <c r="B91" s="165" t="s">
        <v>2324</v>
      </c>
      <c r="C91" s="165" t="s">
        <v>3098</v>
      </c>
      <c r="D91" s="165" t="s">
        <v>3099</v>
      </c>
      <c r="E91" s="403">
        <v>7860598.9527025875</v>
      </c>
      <c r="F91" s="431">
        <v>7421144.6810888136</v>
      </c>
      <c r="G91" s="404">
        <v>15</v>
      </c>
      <c r="H91" s="405">
        <v>47086</v>
      </c>
      <c r="I91" s="404">
        <v>5479</v>
      </c>
      <c r="J91" s="404">
        <v>4993</v>
      </c>
      <c r="K91" s="406">
        <v>7028114.7334536845</v>
      </c>
      <c r="L91" s="404">
        <v>365</v>
      </c>
      <c r="M91" s="404">
        <v>513772</v>
      </c>
      <c r="N91" s="404">
        <v>3605380</v>
      </c>
      <c r="O91" s="404">
        <v>3815764.6810888136</v>
      </c>
    </row>
    <row r="92" spans="2:15" s="154" customFormat="1" ht="27" hidden="1" outlineLevel="1">
      <c r="B92" s="165" t="s">
        <v>2324</v>
      </c>
      <c r="C92" s="165" t="s">
        <v>3098</v>
      </c>
      <c r="D92" s="165" t="s">
        <v>3100</v>
      </c>
      <c r="E92" s="403">
        <v>19651500.823581431</v>
      </c>
      <c r="F92" s="431">
        <v>18552865.037195742</v>
      </c>
      <c r="G92" s="404">
        <v>10</v>
      </c>
      <c r="H92" s="405">
        <v>45259</v>
      </c>
      <c r="I92" s="404">
        <v>3652</v>
      </c>
      <c r="J92" s="404">
        <v>3166</v>
      </c>
      <c r="K92" s="406">
        <v>17570289.996016666</v>
      </c>
      <c r="L92" s="404">
        <v>365</v>
      </c>
      <c r="M92" s="404">
        <v>2025634</v>
      </c>
      <c r="N92" s="404">
        <v>14214828</v>
      </c>
      <c r="O92" s="404">
        <v>4338037.0371957384</v>
      </c>
    </row>
    <row r="93" spans="2:15" s="154" customFormat="1" ht="27" hidden="1" outlineLevel="1">
      <c r="B93" s="165" t="s">
        <v>2324</v>
      </c>
      <c r="C93" s="165" t="s">
        <v>3098</v>
      </c>
      <c r="D93" s="165" t="s">
        <v>3101</v>
      </c>
      <c r="E93" s="403">
        <v>11790900.576425305</v>
      </c>
      <c r="F93" s="431">
        <v>11131719.13321556</v>
      </c>
      <c r="G93" s="404">
        <v>10</v>
      </c>
      <c r="H93" s="405">
        <v>45259</v>
      </c>
      <c r="I93" s="404">
        <v>3652</v>
      </c>
      <c r="J93" s="404">
        <v>3166</v>
      </c>
      <c r="K93" s="406">
        <v>10542174.104394294</v>
      </c>
      <c r="L93" s="404">
        <v>365</v>
      </c>
      <c r="M93" s="404">
        <v>1215380</v>
      </c>
      <c r="N93" s="404">
        <v>8528895</v>
      </c>
      <c r="O93" s="404">
        <v>2602824.1332155596</v>
      </c>
    </row>
    <row r="94" spans="2:15" s="154" customFormat="1" hidden="1" outlineLevel="1">
      <c r="B94" s="165"/>
      <c r="C94" s="165"/>
      <c r="D94" s="165"/>
      <c r="E94" s="403"/>
      <c r="F94" s="432"/>
      <c r="G94" s="404"/>
      <c r="H94" s="405"/>
      <c r="I94" s="404"/>
      <c r="J94" s="404"/>
      <c r="K94" s="404"/>
      <c r="L94" s="404"/>
      <c r="M94" s="404"/>
      <c r="N94" s="404"/>
      <c r="O94" s="404"/>
    </row>
    <row r="95" spans="2:15" s="154" customFormat="1" hidden="1" outlineLevel="1">
      <c r="B95" s="165" t="s">
        <v>2324</v>
      </c>
      <c r="C95" s="165" t="s">
        <v>3102</v>
      </c>
      <c r="D95" s="165" t="s">
        <v>3103</v>
      </c>
      <c r="E95" s="403">
        <v>11408921.151768116</v>
      </c>
      <c r="F95" s="431">
        <v>10771094.60625439</v>
      </c>
      <c r="G95" s="404">
        <v>20</v>
      </c>
      <c r="H95" s="405">
        <v>48912</v>
      </c>
      <c r="I95" s="404">
        <v>7305</v>
      </c>
      <c r="J95" s="404">
        <v>6819</v>
      </c>
      <c r="K95" s="406">
        <v>10200648.548665984</v>
      </c>
      <c r="L95" s="404">
        <v>365</v>
      </c>
      <c r="M95" s="404">
        <v>546009</v>
      </c>
      <c r="N95" s="404">
        <v>3831603</v>
      </c>
      <c r="O95" s="404">
        <v>6939491.6062543895</v>
      </c>
    </row>
    <row r="96" spans="2:15" s="154" customFormat="1" ht="27" hidden="1" outlineLevel="1">
      <c r="B96" s="165" t="s">
        <v>2324</v>
      </c>
      <c r="C96" s="165" t="s">
        <v>3102</v>
      </c>
      <c r="D96" s="165" t="s">
        <v>3104</v>
      </c>
      <c r="E96" s="403">
        <v>17113382.522394136</v>
      </c>
      <c r="F96" s="431">
        <v>16156642.63254543</v>
      </c>
      <c r="G96" s="404">
        <v>10</v>
      </c>
      <c r="H96" s="405">
        <v>45259</v>
      </c>
      <c r="I96" s="404">
        <v>3652</v>
      </c>
      <c r="J96" s="404">
        <v>3166</v>
      </c>
      <c r="K96" s="406">
        <v>15300973.506425722</v>
      </c>
      <c r="L96" s="404">
        <v>365</v>
      </c>
      <c r="M96" s="404">
        <v>1764010</v>
      </c>
      <c r="N96" s="404">
        <v>12378890</v>
      </c>
      <c r="O96" s="404">
        <v>3777752.6325454284</v>
      </c>
    </row>
    <row r="97" spans="2:15" s="154" customFormat="1" hidden="1" outlineLevel="1">
      <c r="B97" s="165" t="s">
        <v>2324</v>
      </c>
      <c r="C97" s="165" t="s">
        <v>3102</v>
      </c>
      <c r="D97" s="165" t="s">
        <v>3105</v>
      </c>
      <c r="E97" s="403">
        <v>11408921.151768116</v>
      </c>
      <c r="F97" s="431">
        <v>10771094.60625439</v>
      </c>
      <c r="G97" s="404">
        <v>5</v>
      </c>
      <c r="H97" s="405">
        <v>43433</v>
      </c>
      <c r="I97" s="404">
        <v>1826</v>
      </c>
      <c r="J97" s="404">
        <v>1340</v>
      </c>
      <c r="K97" s="406">
        <v>10200648.548665984</v>
      </c>
      <c r="L97" s="404">
        <v>0</v>
      </c>
      <c r="M97" s="404">
        <v>0</v>
      </c>
      <c r="N97" s="404">
        <v>10771095</v>
      </c>
      <c r="O97" s="403">
        <v>-0.39374561049044132</v>
      </c>
    </row>
    <row r="98" spans="2:15" s="154" customFormat="1" hidden="1" outlineLevel="1">
      <c r="B98" s="165" t="s">
        <v>2324</v>
      </c>
      <c r="C98" s="165" t="s">
        <v>3102</v>
      </c>
      <c r="D98" s="165" t="s">
        <v>3106</v>
      </c>
      <c r="E98" s="403">
        <v>5704459.0758840581</v>
      </c>
      <c r="F98" s="431">
        <v>5385545.8031271948</v>
      </c>
      <c r="G98" s="404">
        <v>15</v>
      </c>
      <c r="H98" s="405">
        <v>47086</v>
      </c>
      <c r="I98" s="404">
        <v>5479</v>
      </c>
      <c r="J98" s="404">
        <v>4993</v>
      </c>
      <c r="K98" s="406">
        <v>5100322.849332992</v>
      </c>
      <c r="L98" s="404">
        <v>365</v>
      </c>
      <c r="M98" s="404">
        <v>372846</v>
      </c>
      <c r="N98" s="404">
        <v>2616435</v>
      </c>
      <c r="O98" s="404">
        <v>2769110.8031271948</v>
      </c>
    </row>
    <row r="99" spans="2:15" s="154" customFormat="1" hidden="1" outlineLevel="1">
      <c r="B99" s="165" t="s">
        <v>2324</v>
      </c>
      <c r="C99" s="165" t="s">
        <v>3102</v>
      </c>
      <c r="D99" s="165" t="s">
        <v>3107</v>
      </c>
      <c r="E99" s="403">
        <v>11408921.151768116</v>
      </c>
      <c r="F99" s="431">
        <v>10771094.60625439</v>
      </c>
      <c r="G99" s="404">
        <v>10</v>
      </c>
      <c r="H99" s="405">
        <v>45259</v>
      </c>
      <c r="I99" s="404">
        <v>3652</v>
      </c>
      <c r="J99" s="404">
        <v>3166</v>
      </c>
      <c r="K99" s="406">
        <v>10200648.548665984</v>
      </c>
      <c r="L99" s="404">
        <v>365</v>
      </c>
      <c r="M99" s="404">
        <v>1176007</v>
      </c>
      <c r="N99" s="404">
        <v>8252594</v>
      </c>
      <c r="O99" s="404">
        <v>2518500.6062543895</v>
      </c>
    </row>
    <row r="100" spans="2:15" s="154" customFormat="1" hidden="1" outlineLevel="1">
      <c r="B100" s="165"/>
      <c r="C100" s="165"/>
      <c r="D100" s="165"/>
      <c r="E100" s="403"/>
      <c r="F100" s="432"/>
      <c r="G100" s="404"/>
      <c r="H100" s="405"/>
      <c r="I100" s="404"/>
      <c r="J100" s="404"/>
      <c r="K100" s="406"/>
      <c r="L100" s="404"/>
      <c r="M100" s="404"/>
      <c r="N100" s="404"/>
      <c r="O100" s="404"/>
    </row>
    <row r="101" spans="2:15" s="154" customFormat="1" ht="27" hidden="1" outlineLevel="1">
      <c r="B101" s="165" t="s">
        <v>2324</v>
      </c>
      <c r="C101" s="165" t="s">
        <v>2324</v>
      </c>
      <c r="D101" s="165" t="s">
        <v>3054</v>
      </c>
      <c r="E101" s="403">
        <v>36527980.266913787</v>
      </c>
      <c r="F101" s="431">
        <v>36524174.642723732</v>
      </c>
      <c r="G101" s="404">
        <v>20</v>
      </c>
      <c r="H101" s="405">
        <v>49398</v>
      </c>
      <c r="I101" s="404">
        <v>7305</v>
      </c>
      <c r="J101" s="404">
        <v>7304</v>
      </c>
      <c r="K101" s="406">
        <v>34697775.629378043</v>
      </c>
      <c r="L101" s="404">
        <v>365</v>
      </c>
      <c r="M101" s="404">
        <v>1733939</v>
      </c>
      <c r="N101" s="404">
        <v>12149664</v>
      </c>
      <c r="O101" s="404">
        <v>24374510.642723732</v>
      </c>
    </row>
    <row r="102" spans="2:15" s="154" customFormat="1" hidden="1" outlineLevel="1">
      <c r="B102" s="165" t="s">
        <v>2324</v>
      </c>
      <c r="C102" s="165" t="s">
        <v>3061</v>
      </c>
      <c r="D102" s="165" t="s">
        <v>3062</v>
      </c>
      <c r="E102" s="403">
        <v>11408725.130577762</v>
      </c>
      <c r="F102" s="431">
        <v>11407536.526183976</v>
      </c>
      <c r="G102" s="404">
        <v>15</v>
      </c>
      <c r="H102" s="405">
        <v>47572</v>
      </c>
      <c r="I102" s="404">
        <v>5479</v>
      </c>
      <c r="J102" s="404">
        <v>5478</v>
      </c>
      <c r="K102" s="406">
        <v>10837100.269655088</v>
      </c>
      <c r="L102" s="404">
        <v>365</v>
      </c>
      <c r="M102" s="404">
        <v>722078</v>
      </c>
      <c r="N102" s="404">
        <v>5059581</v>
      </c>
      <c r="O102" s="404">
        <v>6347955.5261839759</v>
      </c>
    </row>
    <row r="103" spans="2:15" s="154" customFormat="1" hidden="1" outlineLevel="1">
      <c r="B103" s="165" t="s">
        <v>2324</v>
      </c>
      <c r="C103" s="165" t="s">
        <v>3061</v>
      </c>
      <c r="D103" s="165" t="s">
        <v>3063</v>
      </c>
      <c r="E103" s="403">
        <v>91269797.044622093</v>
      </c>
      <c r="F103" s="431">
        <v>91260288.209471807</v>
      </c>
      <c r="G103" s="404">
        <v>10</v>
      </c>
      <c r="H103" s="405">
        <v>45746</v>
      </c>
      <c r="I103" s="404">
        <v>3653</v>
      </c>
      <c r="J103" s="404">
        <v>3652</v>
      </c>
      <c r="K103" s="406">
        <v>86696798.357240707</v>
      </c>
      <c r="L103" s="404">
        <v>365</v>
      </c>
      <c r="M103" s="404">
        <v>8664932</v>
      </c>
      <c r="N103" s="404">
        <v>60714948</v>
      </c>
      <c r="O103" s="404">
        <v>30545340.209471807</v>
      </c>
    </row>
    <row r="104" spans="2:15" s="154" customFormat="1" hidden="1" outlineLevel="1">
      <c r="B104" s="165" t="s">
        <v>2324</v>
      </c>
      <c r="C104" s="165" t="s">
        <v>3061</v>
      </c>
      <c r="D104" s="165" t="s">
        <v>3064</v>
      </c>
      <c r="E104" s="403">
        <v>91269797.044622093</v>
      </c>
      <c r="F104" s="431">
        <v>91260288.209471807</v>
      </c>
      <c r="G104" s="404">
        <v>10</v>
      </c>
      <c r="H104" s="405">
        <v>45746</v>
      </c>
      <c r="I104" s="404">
        <v>3653</v>
      </c>
      <c r="J104" s="404">
        <v>3652</v>
      </c>
      <c r="K104" s="406">
        <v>86696798.357240707</v>
      </c>
      <c r="L104" s="404">
        <v>365</v>
      </c>
      <c r="M104" s="404">
        <v>8664932</v>
      </c>
      <c r="N104" s="404">
        <v>60714948</v>
      </c>
      <c r="O104" s="404">
        <v>30545340.209471807</v>
      </c>
    </row>
    <row r="105" spans="2:15" s="154" customFormat="1" hidden="1" outlineLevel="1">
      <c r="B105" s="165" t="s">
        <v>2324</v>
      </c>
      <c r="C105" s="165" t="s">
        <v>3061</v>
      </c>
      <c r="D105" s="165" t="s">
        <v>3065</v>
      </c>
      <c r="E105" s="403">
        <v>34226174.391733281</v>
      </c>
      <c r="F105" s="431">
        <v>34222608.578551926</v>
      </c>
      <c r="G105" s="404">
        <v>20</v>
      </c>
      <c r="H105" s="405">
        <v>49398</v>
      </c>
      <c r="I105" s="404">
        <v>7305</v>
      </c>
      <c r="J105" s="404">
        <v>7304</v>
      </c>
      <c r="K105" s="406">
        <v>32511299.858965263</v>
      </c>
      <c r="L105" s="404">
        <v>365</v>
      </c>
      <c r="M105" s="404">
        <v>1624675</v>
      </c>
      <c r="N105" s="404">
        <v>11384054</v>
      </c>
      <c r="O105" s="404">
        <v>22838554.578551926</v>
      </c>
    </row>
    <row r="106" spans="2:15" s="154" customFormat="1" hidden="1" outlineLevel="1">
      <c r="B106" s="165" t="s">
        <v>2324</v>
      </c>
      <c r="C106" s="165" t="s">
        <v>3066</v>
      </c>
      <c r="D106" s="165" t="s">
        <v>3066</v>
      </c>
      <c r="E106" s="403">
        <v>537766660.94920135</v>
      </c>
      <c r="F106" s="431">
        <v>537710634.36943221</v>
      </c>
      <c r="G106" s="404">
        <v>25</v>
      </c>
      <c r="H106" s="405">
        <v>51225</v>
      </c>
      <c r="I106" s="404">
        <v>9132</v>
      </c>
      <c r="J106" s="404">
        <v>9131</v>
      </c>
      <c r="K106" s="406">
        <v>510822301.32197213</v>
      </c>
      <c r="L106" s="404">
        <v>365</v>
      </c>
      <c r="M106" s="404">
        <v>20419466</v>
      </c>
      <c r="N106" s="404">
        <v>143078656</v>
      </c>
      <c r="O106" s="404">
        <v>394631978.36943221</v>
      </c>
    </row>
    <row r="107" spans="2:15" s="154" customFormat="1" hidden="1" outlineLevel="1">
      <c r="B107" s="165" t="s">
        <v>2324</v>
      </c>
      <c r="C107" s="165" t="s">
        <v>3067</v>
      </c>
      <c r="D107" s="165" t="s">
        <v>3068</v>
      </c>
      <c r="E107" s="403">
        <v>6374523.0372529039</v>
      </c>
      <c r="F107" s="431">
        <v>6373858.9150523571</v>
      </c>
      <c r="G107" s="404">
        <v>5</v>
      </c>
      <c r="H107" s="405">
        <v>43920</v>
      </c>
      <c r="I107" s="404">
        <v>1827</v>
      </c>
      <c r="J107" s="404">
        <v>1826</v>
      </c>
      <c r="K107" s="406">
        <v>6055132.7631897116</v>
      </c>
      <c r="L107" s="404">
        <v>0</v>
      </c>
      <c r="M107" s="404">
        <v>0</v>
      </c>
      <c r="N107" s="404">
        <v>6373859</v>
      </c>
      <c r="O107" s="403">
        <v>-8.4947642870247364E-2</v>
      </c>
    </row>
    <row r="108" spans="2:15" s="154" customFormat="1" hidden="1" outlineLevel="1">
      <c r="B108" s="165" t="s">
        <v>2324</v>
      </c>
      <c r="C108" s="165" t="s">
        <v>3067</v>
      </c>
      <c r="D108" s="165" t="s">
        <v>3069</v>
      </c>
      <c r="E108" s="403">
        <v>25498096.149011616</v>
      </c>
      <c r="F108" s="431">
        <v>25495439.660209429</v>
      </c>
      <c r="G108" s="404">
        <v>15</v>
      </c>
      <c r="H108" s="405">
        <v>47572</v>
      </c>
      <c r="I108" s="404">
        <v>5479</v>
      </c>
      <c r="J108" s="404">
        <v>5478</v>
      </c>
      <c r="K108" s="406">
        <v>24220534.852758847</v>
      </c>
      <c r="L108" s="404">
        <v>365</v>
      </c>
      <c r="M108" s="404">
        <v>1613818</v>
      </c>
      <c r="N108" s="404">
        <v>11307980</v>
      </c>
      <c r="O108" s="404">
        <v>14187459.660209429</v>
      </c>
    </row>
    <row r="109" spans="2:15" s="154" customFormat="1" ht="27" hidden="1" outlineLevel="1">
      <c r="B109" s="165" t="s">
        <v>2324</v>
      </c>
      <c r="C109" s="165" t="s">
        <v>3067</v>
      </c>
      <c r="D109" s="165" t="s">
        <v>3070</v>
      </c>
      <c r="E109" s="403">
        <v>6374524.0372529039</v>
      </c>
      <c r="F109" s="431">
        <v>6373859.9150523571</v>
      </c>
      <c r="G109" s="404">
        <v>5</v>
      </c>
      <c r="H109" s="405">
        <v>43920</v>
      </c>
      <c r="I109" s="404">
        <v>1827</v>
      </c>
      <c r="J109" s="404">
        <v>1826</v>
      </c>
      <c r="K109" s="406">
        <v>6055133.7131897118</v>
      </c>
      <c r="L109" s="404">
        <v>0</v>
      </c>
      <c r="M109" s="404">
        <v>0</v>
      </c>
      <c r="N109" s="404">
        <v>6373860</v>
      </c>
      <c r="O109" s="403">
        <v>-8.4947642870247364E-2</v>
      </c>
    </row>
    <row r="110" spans="2:15" s="154" customFormat="1" ht="27" hidden="1" outlineLevel="1">
      <c r="B110" s="165" t="s">
        <v>2324</v>
      </c>
      <c r="C110" s="165" t="s">
        <v>3067</v>
      </c>
      <c r="D110" s="165" t="s">
        <v>3071</v>
      </c>
      <c r="E110" s="403">
        <v>25498096.149011616</v>
      </c>
      <c r="F110" s="431">
        <v>25495439.660209429</v>
      </c>
      <c r="G110" s="404">
        <v>15</v>
      </c>
      <c r="H110" s="405">
        <v>47572</v>
      </c>
      <c r="I110" s="404">
        <v>5479</v>
      </c>
      <c r="J110" s="404">
        <v>5478</v>
      </c>
      <c r="K110" s="406">
        <v>24220534.852758847</v>
      </c>
      <c r="L110" s="404">
        <v>365</v>
      </c>
      <c r="M110" s="404">
        <v>1613818</v>
      </c>
      <c r="N110" s="404">
        <v>11307980</v>
      </c>
      <c r="O110" s="404">
        <v>14187459.660209429</v>
      </c>
    </row>
    <row r="111" spans="2:15" s="154" customFormat="1" hidden="1" outlineLevel="1">
      <c r="B111" s="165"/>
      <c r="C111" s="165"/>
      <c r="D111" s="165"/>
      <c r="E111" s="403"/>
      <c r="F111" s="432"/>
      <c r="G111" s="404"/>
      <c r="H111" s="405"/>
      <c r="I111" s="404"/>
      <c r="J111" s="404"/>
      <c r="K111" s="404"/>
      <c r="L111" s="404"/>
      <c r="M111" s="404"/>
      <c r="N111" s="404"/>
      <c r="O111" s="404"/>
    </row>
    <row r="112" spans="2:15" s="158" customFormat="1" ht="14.25" hidden="1">
      <c r="B112" s="411" t="s">
        <v>1837</v>
      </c>
      <c r="C112" s="411"/>
      <c r="D112" s="414"/>
      <c r="E112" s="412">
        <v>2897991127.0517874</v>
      </c>
      <c r="F112" s="433">
        <f>SUBTOTAL(9,F43:F111)</f>
        <v>2784312476.2672834</v>
      </c>
      <c r="G112" s="413"/>
      <c r="H112" s="415"/>
      <c r="I112" s="413"/>
      <c r="J112" s="413"/>
      <c r="K112" s="413"/>
      <c r="L112" s="413"/>
      <c r="M112" s="413">
        <f t="shared" ref="M112:O112" si="1">+SUBTOTAL(9,M43:M111)</f>
        <v>164291536</v>
      </c>
      <c r="N112" s="413">
        <f t="shared" si="1"/>
        <v>1211619714</v>
      </c>
      <c r="O112" s="413">
        <f t="shared" si="1"/>
        <v>1572692762.2672822</v>
      </c>
    </row>
    <row r="113" spans="2:15" s="154" customFormat="1" ht="14.25" hidden="1">
      <c r="B113" s="411"/>
      <c r="C113" s="165"/>
      <c r="D113" s="165"/>
      <c r="E113" s="412"/>
      <c r="F113" s="435"/>
      <c r="G113" s="404"/>
      <c r="H113" s="405"/>
      <c r="I113" s="404"/>
      <c r="J113" s="404"/>
      <c r="K113" s="404"/>
      <c r="L113" s="404"/>
      <c r="M113" s="404"/>
      <c r="N113" s="404"/>
      <c r="O113" s="404"/>
    </row>
    <row r="114" spans="2:15" s="154" customFormat="1" ht="14.25" hidden="1">
      <c r="B114" s="411" t="s">
        <v>2325</v>
      </c>
      <c r="C114" s="165"/>
      <c r="D114" s="416"/>
      <c r="E114" s="412"/>
      <c r="F114" s="432"/>
      <c r="G114" s="404"/>
      <c r="H114" s="405"/>
      <c r="I114" s="404"/>
      <c r="J114" s="404"/>
      <c r="K114" s="404"/>
      <c r="L114" s="404"/>
      <c r="M114" s="404"/>
      <c r="N114" s="404"/>
      <c r="O114" s="404"/>
    </row>
    <row r="115" spans="2:15" s="154" customFormat="1" ht="27" hidden="1" outlineLevel="1">
      <c r="B115" s="165" t="s">
        <v>2325</v>
      </c>
      <c r="C115" s="165" t="s">
        <v>3108</v>
      </c>
      <c r="D115" s="165" t="s">
        <v>3109</v>
      </c>
      <c r="E115" s="403">
        <v>237728039.86817288</v>
      </c>
      <c r="F115" s="431">
        <v>224438916.87385675</v>
      </c>
      <c r="G115" s="404">
        <v>20</v>
      </c>
      <c r="H115" s="405">
        <v>48912</v>
      </c>
      <c r="I115" s="404">
        <v>7305</v>
      </c>
      <c r="J115" s="404">
        <v>6819</v>
      </c>
      <c r="K115" s="406">
        <v>212552514.8804481</v>
      </c>
      <c r="L115" s="404">
        <v>365</v>
      </c>
      <c r="M115" s="404">
        <v>11377279</v>
      </c>
      <c r="N115" s="404">
        <v>79844895</v>
      </c>
      <c r="O115" s="404">
        <v>144594021.87385675</v>
      </c>
    </row>
    <row r="116" spans="2:15" s="154" customFormat="1" ht="27" hidden="1" outlineLevel="1">
      <c r="B116" s="165" t="s">
        <v>2325</v>
      </c>
      <c r="C116" s="165" t="s">
        <v>3108</v>
      </c>
      <c r="D116" s="165" t="s">
        <v>3110</v>
      </c>
      <c r="E116" s="403">
        <v>59432011.937954642</v>
      </c>
      <c r="F116" s="431">
        <v>56109731.13570004</v>
      </c>
      <c r="G116" s="404">
        <v>20</v>
      </c>
      <c r="H116" s="405">
        <v>48912</v>
      </c>
      <c r="I116" s="404">
        <v>7305</v>
      </c>
      <c r="J116" s="404">
        <v>6819</v>
      </c>
      <c r="K116" s="406">
        <v>53138130.538802311</v>
      </c>
      <c r="L116" s="404">
        <v>365</v>
      </c>
      <c r="M116" s="404">
        <v>2844320</v>
      </c>
      <c r="N116" s="404">
        <v>19961226</v>
      </c>
      <c r="O116" s="404">
        <v>36148505.13570004</v>
      </c>
    </row>
    <row r="117" spans="2:15" s="154" customFormat="1" ht="40.5" hidden="1" outlineLevel="1">
      <c r="B117" s="165" t="s">
        <v>2325</v>
      </c>
      <c r="C117" s="165" t="s">
        <v>3108</v>
      </c>
      <c r="D117" s="165" t="s">
        <v>3111</v>
      </c>
      <c r="E117" s="403">
        <v>39621340.825395025</v>
      </c>
      <c r="F117" s="431">
        <v>37406486.983019263</v>
      </c>
      <c r="G117" s="404">
        <v>20</v>
      </c>
      <c r="H117" s="405">
        <v>48912</v>
      </c>
      <c r="I117" s="404">
        <v>7305</v>
      </c>
      <c r="J117" s="404">
        <v>6819</v>
      </c>
      <c r="K117" s="406">
        <v>35425419.941749513</v>
      </c>
      <c r="L117" s="404">
        <v>365</v>
      </c>
      <c r="M117" s="404">
        <v>1896213</v>
      </c>
      <c r="N117" s="404">
        <v>13307481</v>
      </c>
      <c r="O117" s="404">
        <v>24099005.983019263</v>
      </c>
    </row>
    <row r="118" spans="2:15" s="154" customFormat="1" ht="27" hidden="1" outlineLevel="1">
      <c r="B118" s="165" t="s">
        <v>2325</v>
      </c>
      <c r="C118" s="165" t="s">
        <v>3108</v>
      </c>
      <c r="D118" s="165" t="s">
        <v>3112</v>
      </c>
      <c r="E118" s="403">
        <v>35659206.16277279</v>
      </c>
      <c r="F118" s="431">
        <v>33665837.681420028</v>
      </c>
      <c r="G118" s="404">
        <v>20</v>
      </c>
      <c r="H118" s="405">
        <v>48912</v>
      </c>
      <c r="I118" s="404">
        <v>7305</v>
      </c>
      <c r="J118" s="404">
        <v>6819</v>
      </c>
      <c r="K118" s="406">
        <v>31882877.373281389</v>
      </c>
      <c r="L118" s="404">
        <v>365</v>
      </c>
      <c r="M118" s="404">
        <v>1706592</v>
      </c>
      <c r="N118" s="404">
        <v>11976736</v>
      </c>
      <c r="O118" s="404">
        <v>21689101.681420028</v>
      </c>
    </row>
    <row r="119" spans="2:15" s="154" customFormat="1" ht="40.5" hidden="1" outlineLevel="1">
      <c r="B119" s="165" t="s">
        <v>2325</v>
      </c>
      <c r="C119" s="165" t="s">
        <v>3108</v>
      </c>
      <c r="D119" s="165" t="s">
        <v>3113</v>
      </c>
      <c r="E119" s="403">
        <v>23772803.775181852</v>
      </c>
      <c r="F119" s="431">
        <v>22443891.454280011</v>
      </c>
      <c r="G119" s="404">
        <v>20</v>
      </c>
      <c r="H119" s="405">
        <v>48912</v>
      </c>
      <c r="I119" s="404">
        <v>7305</v>
      </c>
      <c r="J119" s="404">
        <v>6819</v>
      </c>
      <c r="K119" s="406">
        <v>21255251.265520919</v>
      </c>
      <c r="L119" s="404">
        <v>365</v>
      </c>
      <c r="M119" s="404">
        <v>1137728</v>
      </c>
      <c r="N119" s="404">
        <v>7984490</v>
      </c>
      <c r="O119" s="404">
        <v>14459401.454280011</v>
      </c>
    </row>
    <row r="120" spans="2:15" s="154" customFormat="1" hidden="1" outlineLevel="1">
      <c r="B120" s="165"/>
      <c r="C120" s="165"/>
      <c r="D120" s="165"/>
      <c r="E120" s="403"/>
      <c r="F120" s="432"/>
      <c r="G120" s="404"/>
      <c r="H120" s="405"/>
      <c r="I120" s="404"/>
      <c r="J120" s="404"/>
      <c r="K120" s="404"/>
      <c r="L120" s="404"/>
      <c r="M120" s="404"/>
      <c r="N120" s="404"/>
      <c r="O120" s="404"/>
    </row>
    <row r="121" spans="2:15" s="154" customFormat="1" ht="27" hidden="1" outlineLevel="1">
      <c r="B121" s="165" t="s">
        <v>2325</v>
      </c>
      <c r="C121" s="165" t="s">
        <v>3108</v>
      </c>
      <c r="D121" s="165" t="s">
        <v>3114</v>
      </c>
      <c r="E121" s="403">
        <v>178367228.47990996</v>
      </c>
      <c r="F121" s="431">
        <v>168396406.16329268</v>
      </c>
      <c r="G121" s="404">
        <v>20</v>
      </c>
      <c r="H121" s="405">
        <v>48912</v>
      </c>
      <c r="I121" s="404">
        <v>7305</v>
      </c>
      <c r="J121" s="404">
        <v>6819</v>
      </c>
      <c r="K121" s="406">
        <v>159478044.73929715</v>
      </c>
      <c r="L121" s="404">
        <v>365</v>
      </c>
      <c r="M121" s="404">
        <v>8536367</v>
      </c>
      <c r="N121" s="404">
        <v>59907586</v>
      </c>
      <c r="O121" s="404">
        <v>108488820.16329265</v>
      </c>
    </row>
    <row r="122" spans="2:15" s="154" customFormat="1" ht="27" hidden="1" outlineLevel="1">
      <c r="B122" s="165" t="s">
        <v>2325</v>
      </c>
      <c r="C122" s="165" t="s">
        <v>3108</v>
      </c>
      <c r="D122" s="165" t="s">
        <v>3115</v>
      </c>
      <c r="E122" s="403">
        <v>9909293.2830066364</v>
      </c>
      <c r="F122" s="431">
        <v>9355358.628120577</v>
      </c>
      <c r="G122" s="404">
        <v>30</v>
      </c>
      <c r="H122" s="405">
        <v>52564</v>
      </c>
      <c r="I122" s="404">
        <v>10957</v>
      </c>
      <c r="J122" s="404">
        <v>10471</v>
      </c>
      <c r="K122" s="406">
        <v>8859893.9639702458</v>
      </c>
      <c r="L122" s="404">
        <v>365</v>
      </c>
      <c r="M122" s="404">
        <v>308840</v>
      </c>
      <c r="N122" s="404">
        <v>2167416</v>
      </c>
      <c r="O122" s="404">
        <v>7187942.628120577</v>
      </c>
    </row>
    <row r="123" spans="2:15" s="154" customFormat="1" ht="27" hidden="1" outlineLevel="1">
      <c r="B123" s="165" t="s">
        <v>2325</v>
      </c>
      <c r="C123" s="165" t="s">
        <v>3108</v>
      </c>
      <c r="D123" s="165" t="s">
        <v>3116</v>
      </c>
      <c r="E123" s="403">
        <v>9909289.5894352216</v>
      </c>
      <c r="F123" s="431">
        <v>9355355.0834597368</v>
      </c>
      <c r="G123" s="404">
        <v>20</v>
      </c>
      <c r="H123" s="405">
        <v>48912</v>
      </c>
      <c r="I123" s="404">
        <v>7305</v>
      </c>
      <c r="J123" s="404">
        <v>6819</v>
      </c>
      <c r="K123" s="406">
        <v>8859890.603987975</v>
      </c>
      <c r="L123" s="404">
        <v>365</v>
      </c>
      <c r="M123" s="404">
        <v>474243</v>
      </c>
      <c r="N123" s="404">
        <v>3328201</v>
      </c>
      <c r="O123" s="404">
        <v>6027154.0834597368</v>
      </c>
    </row>
    <row r="124" spans="2:15" s="154" customFormat="1" hidden="1" outlineLevel="1">
      <c r="B124" s="165"/>
      <c r="C124" s="165"/>
      <c r="D124" s="165"/>
      <c r="E124" s="403"/>
      <c r="F124" s="432"/>
      <c r="G124" s="404"/>
      <c r="H124" s="405"/>
      <c r="I124" s="404"/>
      <c r="J124" s="404"/>
      <c r="K124" s="404"/>
      <c r="L124" s="404"/>
      <c r="M124" s="404"/>
      <c r="N124" s="404"/>
      <c r="O124" s="404"/>
    </row>
    <row r="125" spans="2:15" s="154" customFormat="1" hidden="1" outlineLevel="1">
      <c r="B125" s="165" t="s">
        <v>2325</v>
      </c>
      <c r="C125" s="165" t="s">
        <v>2992</v>
      </c>
      <c r="D125" s="165" t="s">
        <v>3117</v>
      </c>
      <c r="E125" s="403">
        <v>24829322.137697455</v>
      </c>
      <c r="F125" s="431">
        <v>23441349.951505765</v>
      </c>
      <c r="G125" s="404">
        <v>30</v>
      </c>
      <c r="H125" s="405">
        <v>52564</v>
      </c>
      <c r="I125" s="404">
        <v>10957</v>
      </c>
      <c r="J125" s="404">
        <v>10471</v>
      </c>
      <c r="K125" s="406">
        <v>22199883.844620891</v>
      </c>
      <c r="L125" s="404">
        <v>365</v>
      </c>
      <c r="M125" s="404">
        <v>773848</v>
      </c>
      <c r="N125" s="404">
        <v>5430807</v>
      </c>
      <c r="O125" s="404">
        <v>18010542.951505765</v>
      </c>
    </row>
    <row r="126" spans="2:15" s="154" customFormat="1" ht="27" hidden="1" outlineLevel="1">
      <c r="B126" s="165" t="s">
        <v>2325</v>
      </c>
      <c r="C126" s="165" t="s">
        <v>2992</v>
      </c>
      <c r="D126" s="165" t="s">
        <v>3118</v>
      </c>
      <c r="E126" s="403">
        <v>83880988.059213042</v>
      </c>
      <c r="F126" s="431">
        <v>79191996.516454428</v>
      </c>
      <c r="G126" s="404">
        <v>30</v>
      </c>
      <c r="H126" s="405">
        <v>52564</v>
      </c>
      <c r="I126" s="404">
        <v>10957</v>
      </c>
      <c r="J126" s="404">
        <v>10471</v>
      </c>
      <c r="K126" s="406">
        <v>74997947.11349377</v>
      </c>
      <c r="L126" s="404">
        <v>365</v>
      </c>
      <c r="M126" s="404">
        <v>2614292</v>
      </c>
      <c r="N126" s="404">
        <v>18346906</v>
      </c>
      <c r="O126" s="404">
        <v>60845090.516454428</v>
      </c>
    </row>
    <row r="127" spans="2:15" s="154" customFormat="1" hidden="1" outlineLevel="1">
      <c r="B127" s="165" t="s">
        <v>2325</v>
      </c>
      <c r="C127" s="165" t="s">
        <v>2992</v>
      </c>
      <c r="D127" s="165" t="s">
        <v>3119</v>
      </c>
      <c r="E127" s="403">
        <v>83880988.059213042</v>
      </c>
      <c r="F127" s="431">
        <v>79191996.516454428</v>
      </c>
      <c r="G127" s="404">
        <v>30</v>
      </c>
      <c r="H127" s="405">
        <v>52564</v>
      </c>
      <c r="I127" s="404">
        <v>10957</v>
      </c>
      <c r="J127" s="404">
        <v>10471</v>
      </c>
      <c r="K127" s="406">
        <v>74997947.11349377</v>
      </c>
      <c r="L127" s="404">
        <v>365</v>
      </c>
      <c r="M127" s="404">
        <v>2614292</v>
      </c>
      <c r="N127" s="404">
        <v>18346906</v>
      </c>
      <c r="O127" s="404">
        <v>60845090.516454428</v>
      </c>
    </row>
    <row r="128" spans="2:15" s="154" customFormat="1" hidden="1" outlineLevel="1">
      <c r="B128" s="165" t="s">
        <v>2325</v>
      </c>
      <c r="C128" s="165" t="s">
        <v>2992</v>
      </c>
      <c r="D128" s="165" t="s">
        <v>3120</v>
      </c>
      <c r="E128" s="403">
        <v>17195573.478879839</v>
      </c>
      <c r="F128" s="431">
        <v>16234331.840346394</v>
      </c>
      <c r="G128" s="404">
        <v>30</v>
      </c>
      <c r="H128" s="405">
        <v>52564</v>
      </c>
      <c r="I128" s="404">
        <v>10957</v>
      </c>
      <c r="J128" s="404">
        <v>10471</v>
      </c>
      <c r="K128" s="406">
        <v>15374553.166402403</v>
      </c>
      <c r="L128" s="404">
        <v>365</v>
      </c>
      <c r="M128" s="404">
        <v>535929</v>
      </c>
      <c r="N128" s="404">
        <v>3761109</v>
      </c>
      <c r="O128" s="404">
        <v>12473222.840346396</v>
      </c>
    </row>
    <row r="129" spans="2:15" s="154" customFormat="1" hidden="1" outlineLevel="1">
      <c r="B129" s="165" t="s">
        <v>2325</v>
      </c>
      <c r="C129" s="165" t="s">
        <v>2992</v>
      </c>
      <c r="D129" s="165" t="s">
        <v>3121</v>
      </c>
      <c r="E129" s="403">
        <v>17195573.478879839</v>
      </c>
      <c r="F129" s="431">
        <v>16234331.840346394</v>
      </c>
      <c r="G129" s="404">
        <v>30</v>
      </c>
      <c r="H129" s="405">
        <v>52564</v>
      </c>
      <c r="I129" s="404">
        <v>10957</v>
      </c>
      <c r="J129" s="404">
        <v>10471</v>
      </c>
      <c r="K129" s="406">
        <v>15374553.166402403</v>
      </c>
      <c r="L129" s="404">
        <v>365</v>
      </c>
      <c r="M129" s="404">
        <v>535929</v>
      </c>
      <c r="N129" s="404">
        <v>3761109</v>
      </c>
      <c r="O129" s="404">
        <v>12473222.840346396</v>
      </c>
    </row>
    <row r="130" spans="2:15" s="154" customFormat="1" hidden="1" outlineLevel="1">
      <c r="B130" s="165" t="s">
        <v>2325</v>
      </c>
      <c r="C130" s="165" t="s">
        <v>2992</v>
      </c>
      <c r="D130" s="165" t="s">
        <v>3122</v>
      </c>
      <c r="E130" s="403">
        <v>30728976.365495287</v>
      </c>
      <c r="F130" s="431">
        <v>29011210.348751981</v>
      </c>
      <c r="G130" s="404">
        <v>25</v>
      </c>
      <c r="H130" s="405">
        <v>50738</v>
      </c>
      <c r="I130" s="404">
        <v>9131</v>
      </c>
      <c r="J130" s="404">
        <v>8645</v>
      </c>
      <c r="K130" s="406">
        <v>27474761.530477218</v>
      </c>
      <c r="L130" s="404">
        <v>365</v>
      </c>
      <c r="M130" s="404">
        <v>1160010</v>
      </c>
      <c r="N130" s="404">
        <v>8140864</v>
      </c>
      <c r="O130" s="404">
        <v>20870346.348751981</v>
      </c>
    </row>
    <row r="131" spans="2:15" s="154" customFormat="1" hidden="1" outlineLevel="1">
      <c r="B131" s="165" t="s">
        <v>2325</v>
      </c>
      <c r="C131" s="165" t="s">
        <v>2992</v>
      </c>
      <c r="D131" s="165" t="s">
        <v>3123</v>
      </c>
      <c r="E131" s="403">
        <v>32579312.287291408</v>
      </c>
      <c r="F131" s="431">
        <v>30758111.53636222</v>
      </c>
      <c r="G131" s="404">
        <v>25</v>
      </c>
      <c r="H131" s="405">
        <v>50738</v>
      </c>
      <c r="I131" s="404">
        <v>9131</v>
      </c>
      <c r="J131" s="404">
        <v>8645</v>
      </c>
      <c r="K131" s="406">
        <v>29129145.921997644</v>
      </c>
      <c r="L131" s="404">
        <v>365</v>
      </c>
      <c r="M131" s="404">
        <v>1229860</v>
      </c>
      <c r="N131" s="404">
        <v>8631065</v>
      </c>
      <c r="O131" s="404">
        <v>22127046.536362216</v>
      </c>
    </row>
    <row r="132" spans="2:15" s="154" customFormat="1" hidden="1" outlineLevel="1">
      <c r="B132" s="165" t="s">
        <v>2325</v>
      </c>
      <c r="C132" s="165" t="s">
        <v>2992</v>
      </c>
      <c r="D132" s="165" t="s">
        <v>3124</v>
      </c>
      <c r="E132" s="403">
        <v>59050022.721559204</v>
      </c>
      <c r="F132" s="431">
        <v>55749095.25754375</v>
      </c>
      <c r="G132" s="404">
        <v>25</v>
      </c>
      <c r="H132" s="405">
        <v>50738</v>
      </c>
      <c r="I132" s="404">
        <v>9131</v>
      </c>
      <c r="J132" s="404">
        <v>8645</v>
      </c>
      <c r="K132" s="406">
        <v>52796594.121465787</v>
      </c>
      <c r="L132" s="404">
        <v>365</v>
      </c>
      <c r="M132" s="404">
        <v>2229122</v>
      </c>
      <c r="N132" s="404">
        <v>15643811</v>
      </c>
      <c r="O132" s="404">
        <v>40105284.25754375</v>
      </c>
    </row>
    <row r="133" spans="2:15" s="154" customFormat="1" hidden="1" outlineLevel="1">
      <c r="B133" s="165" t="s">
        <v>2325</v>
      </c>
      <c r="C133" s="165" t="s">
        <v>2992</v>
      </c>
      <c r="D133" s="165" t="s">
        <v>3125</v>
      </c>
      <c r="E133" s="403">
        <v>104112786.90288854</v>
      </c>
      <c r="F133" s="431">
        <v>98292827.126137003</v>
      </c>
      <c r="G133" s="404">
        <v>25</v>
      </c>
      <c r="H133" s="405">
        <v>50738</v>
      </c>
      <c r="I133" s="404">
        <v>9131</v>
      </c>
      <c r="J133" s="404">
        <v>8645</v>
      </c>
      <c r="K133" s="406">
        <v>93087187.780992582</v>
      </c>
      <c r="L133" s="404">
        <v>365</v>
      </c>
      <c r="M133" s="404">
        <v>3930228</v>
      </c>
      <c r="N133" s="404">
        <v>27582047</v>
      </c>
      <c r="O133" s="404">
        <v>70710780.126137003</v>
      </c>
    </row>
    <row r="134" spans="2:15" s="154" customFormat="1" hidden="1" outlineLevel="1">
      <c r="B134" s="165" t="s">
        <v>2325</v>
      </c>
      <c r="C134" s="165" t="s">
        <v>2992</v>
      </c>
      <c r="D134" s="165" t="s">
        <v>3126</v>
      </c>
      <c r="E134" s="403">
        <v>108545037.03309643</v>
      </c>
      <c r="F134" s="431">
        <v>102477312.15806262</v>
      </c>
      <c r="G134" s="404">
        <v>30</v>
      </c>
      <c r="H134" s="405">
        <v>52564</v>
      </c>
      <c r="I134" s="404">
        <v>10957</v>
      </c>
      <c r="J134" s="404">
        <v>10471</v>
      </c>
      <c r="K134" s="406">
        <v>97050060.306407794</v>
      </c>
      <c r="L134" s="404">
        <v>365</v>
      </c>
      <c r="M134" s="404">
        <v>3382988</v>
      </c>
      <c r="N134" s="404">
        <v>23741558</v>
      </c>
      <c r="O134" s="404">
        <v>78735754.158062622</v>
      </c>
    </row>
    <row r="135" spans="2:15" s="154" customFormat="1" hidden="1" outlineLevel="1">
      <c r="B135" s="165" t="s">
        <v>2325</v>
      </c>
      <c r="C135" s="165" t="s">
        <v>2992</v>
      </c>
      <c r="D135" s="165" t="s">
        <v>3127</v>
      </c>
      <c r="E135" s="403">
        <v>108747951.88833196</v>
      </c>
      <c r="F135" s="431">
        <v>102668883.91324867</v>
      </c>
      <c r="G135" s="404">
        <v>30</v>
      </c>
      <c r="H135" s="405">
        <v>52564</v>
      </c>
      <c r="I135" s="404">
        <v>10957</v>
      </c>
      <c r="J135" s="404">
        <v>10471</v>
      </c>
      <c r="K135" s="406">
        <v>97231486.318832085</v>
      </c>
      <c r="L135" s="404">
        <v>365</v>
      </c>
      <c r="M135" s="404">
        <v>3389313</v>
      </c>
      <c r="N135" s="404">
        <v>23785944</v>
      </c>
      <c r="O135" s="404">
        <v>78882939.913248688</v>
      </c>
    </row>
    <row r="136" spans="2:15" s="154" customFormat="1" ht="27" hidden="1" outlineLevel="1">
      <c r="B136" s="165" t="s">
        <v>2325</v>
      </c>
      <c r="C136" s="165" t="s">
        <v>2992</v>
      </c>
      <c r="D136" s="165" t="s">
        <v>3128</v>
      </c>
      <c r="E136" s="403">
        <v>16636783.378081493</v>
      </c>
      <c r="F136" s="431">
        <v>15706778.413545411</v>
      </c>
      <c r="G136" s="404">
        <v>30</v>
      </c>
      <c r="H136" s="405">
        <v>52564</v>
      </c>
      <c r="I136" s="404">
        <v>10957</v>
      </c>
      <c r="J136" s="404">
        <v>10471</v>
      </c>
      <c r="K136" s="406">
        <v>14874939.244641334</v>
      </c>
      <c r="L136" s="404">
        <v>365</v>
      </c>
      <c r="M136" s="404">
        <v>518513</v>
      </c>
      <c r="N136" s="404">
        <v>3638886</v>
      </c>
      <c r="O136" s="404">
        <v>12067892.413545409</v>
      </c>
    </row>
    <row r="137" spans="2:15" s="154" customFormat="1" ht="27" hidden="1" outlineLevel="1">
      <c r="B137" s="165" t="s">
        <v>2325</v>
      </c>
      <c r="C137" s="165" t="s">
        <v>2992</v>
      </c>
      <c r="D137" s="165" t="s">
        <v>3129</v>
      </c>
      <c r="E137" s="403">
        <v>16636783.378081493</v>
      </c>
      <c r="F137" s="431">
        <v>15706778.413545411</v>
      </c>
      <c r="G137" s="404">
        <v>30</v>
      </c>
      <c r="H137" s="405">
        <v>52564</v>
      </c>
      <c r="I137" s="404">
        <v>10957</v>
      </c>
      <c r="J137" s="404">
        <v>10471</v>
      </c>
      <c r="K137" s="406">
        <v>14874939.244641334</v>
      </c>
      <c r="L137" s="404">
        <v>365</v>
      </c>
      <c r="M137" s="404">
        <v>518513</v>
      </c>
      <c r="N137" s="404">
        <v>3638886</v>
      </c>
      <c r="O137" s="404">
        <v>12067892.413545409</v>
      </c>
    </row>
    <row r="138" spans="2:15" s="154" customFormat="1" ht="27" hidden="1" outlineLevel="1">
      <c r="B138" s="165" t="s">
        <v>2325</v>
      </c>
      <c r="C138" s="165" t="s">
        <v>2992</v>
      </c>
      <c r="D138" s="165" t="s">
        <v>3130</v>
      </c>
      <c r="E138" s="403">
        <v>14202135.482786572</v>
      </c>
      <c r="F138" s="431">
        <v>13408228.625651691</v>
      </c>
      <c r="G138" s="404">
        <v>20</v>
      </c>
      <c r="H138" s="405">
        <v>48912</v>
      </c>
      <c r="I138" s="404">
        <v>7305</v>
      </c>
      <c r="J138" s="404">
        <v>6819</v>
      </c>
      <c r="K138" s="406">
        <v>12698121.851512363</v>
      </c>
      <c r="L138" s="404">
        <v>365</v>
      </c>
      <c r="M138" s="404">
        <v>679691</v>
      </c>
      <c r="N138" s="404">
        <v>4770021</v>
      </c>
      <c r="O138" s="404">
        <v>8638207.6256516911</v>
      </c>
    </row>
    <row r="139" spans="2:15" s="154" customFormat="1" ht="27" hidden="1" outlineLevel="1">
      <c r="B139" s="165" t="s">
        <v>2325</v>
      </c>
      <c r="C139" s="165" t="s">
        <v>2992</v>
      </c>
      <c r="D139" s="165" t="s">
        <v>3131</v>
      </c>
      <c r="E139" s="403">
        <v>36711113.863070428</v>
      </c>
      <c r="F139" s="431">
        <v>34658943.175045304</v>
      </c>
      <c r="G139" s="404">
        <v>20</v>
      </c>
      <c r="H139" s="405">
        <v>48912</v>
      </c>
      <c r="I139" s="404">
        <v>7305</v>
      </c>
      <c r="J139" s="404">
        <v>6819</v>
      </c>
      <c r="K139" s="406">
        <v>32823387.481891774</v>
      </c>
      <c r="L139" s="404">
        <v>365</v>
      </c>
      <c r="M139" s="404">
        <v>1756935</v>
      </c>
      <c r="N139" s="404">
        <v>12330038</v>
      </c>
      <c r="O139" s="404">
        <v>22328905.175045297</v>
      </c>
    </row>
    <row r="140" spans="2:15" s="154" customFormat="1" ht="27" hidden="1" outlineLevel="1">
      <c r="B140" s="165" t="s">
        <v>2325</v>
      </c>
      <c r="C140" s="165" t="s">
        <v>2992</v>
      </c>
      <c r="D140" s="165" t="s">
        <v>3132</v>
      </c>
      <c r="E140" s="403">
        <v>20897493.238277595</v>
      </c>
      <c r="F140" s="431">
        <v>19729312.312723182</v>
      </c>
      <c r="G140" s="404">
        <v>20</v>
      </c>
      <c r="H140" s="405">
        <v>48912</v>
      </c>
      <c r="I140" s="404">
        <v>7305</v>
      </c>
      <c r="J140" s="404">
        <v>6819</v>
      </c>
      <c r="K140" s="406">
        <v>18684437.650809307</v>
      </c>
      <c r="L140" s="404">
        <v>365</v>
      </c>
      <c r="M140" s="404">
        <v>1000120</v>
      </c>
      <c r="N140" s="404">
        <v>7018768</v>
      </c>
      <c r="O140" s="404">
        <v>12710544.312723186</v>
      </c>
    </row>
    <row r="141" spans="2:15" s="154" customFormat="1" hidden="1" outlineLevel="1">
      <c r="B141" s="165" t="s">
        <v>2325</v>
      </c>
      <c r="C141" s="165" t="s">
        <v>2992</v>
      </c>
      <c r="D141" s="165" t="s">
        <v>3133</v>
      </c>
      <c r="E141" s="403">
        <v>24066178.573074482</v>
      </c>
      <c r="F141" s="431">
        <v>22720866.466496371</v>
      </c>
      <c r="G141" s="404">
        <v>20</v>
      </c>
      <c r="H141" s="405">
        <v>48912</v>
      </c>
      <c r="I141" s="404">
        <v>7305</v>
      </c>
      <c r="J141" s="404">
        <v>6819</v>
      </c>
      <c r="K141" s="406">
        <v>21517557.537842646</v>
      </c>
      <c r="L141" s="404">
        <v>365</v>
      </c>
      <c r="M141" s="404">
        <v>1151768</v>
      </c>
      <c r="N141" s="404">
        <v>8083023</v>
      </c>
      <c r="O141" s="404">
        <v>14637843.466496371</v>
      </c>
    </row>
    <row r="142" spans="2:15" s="154" customFormat="1" hidden="1" outlineLevel="1">
      <c r="B142" s="165" t="s">
        <v>2325</v>
      </c>
      <c r="C142" s="165" t="s">
        <v>2992</v>
      </c>
      <c r="D142" s="165" t="s">
        <v>3134</v>
      </c>
      <c r="E142" s="403">
        <v>16316033.891376344</v>
      </c>
      <c r="F142" s="431">
        <v>15403959.003208466</v>
      </c>
      <c r="G142" s="404">
        <v>20</v>
      </c>
      <c r="H142" s="405">
        <v>48912</v>
      </c>
      <c r="I142" s="404">
        <v>7305</v>
      </c>
      <c r="J142" s="404">
        <v>6819</v>
      </c>
      <c r="K142" s="406">
        <v>14588157.308639649</v>
      </c>
      <c r="L142" s="404">
        <v>365</v>
      </c>
      <c r="M142" s="404">
        <v>780859</v>
      </c>
      <c r="N142" s="404">
        <v>5480010</v>
      </c>
      <c r="O142" s="404">
        <v>9923949.0032084659</v>
      </c>
    </row>
    <row r="143" spans="2:15" s="154" customFormat="1" ht="27" hidden="1" outlineLevel="1">
      <c r="B143" s="165" t="s">
        <v>2325</v>
      </c>
      <c r="C143" s="165" t="s">
        <v>2992</v>
      </c>
      <c r="D143" s="165" t="s">
        <v>3135</v>
      </c>
      <c r="E143" s="403">
        <v>20395082.266436934</v>
      </c>
      <c r="F143" s="431">
        <v>19254986.395001519</v>
      </c>
      <c r="G143" s="404">
        <v>20</v>
      </c>
      <c r="H143" s="405">
        <v>48912</v>
      </c>
      <c r="I143" s="404">
        <v>7305</v>
      </c>
      <c r="J143" s="404">
        <v>6819</v>
      </c>
      <c r="K143" s="406">
        <v>18235232.281679675</v>
      </c>
      <c r="L143" s="404">
        <v>365</v>
      </c>
      <c r="M143" s="404">
        <v>976076</v>
      </c>
      <c r="N143" s="404">
        <v>6850028</v>
      </c>
      <c r="O143" s="404">
        <v>12404958.395001523</v>
      </c>
    </row>
    <row r="144" spans="2:15" s="154" customFormat="1" ht="27" hidden="1" outlineLevel="1">
      <c r="B144" s="165" t="s">
        <v>2325</v>
      </c>
      <c r="C144" s="165" t="s">
        <v>2992</v>
      </c>
      <c r="D144" s="165" t="s">
        <v>3136</v>
      </c>
      <c r="E144" s="403">
        <v>20395082.266436934</v>
      </c>
      <c r="F144" s="431">
        <v>19254986.395001519</v>
      </c>
      <c r="G144" s="404">
        <v>15</v>
      </c>
      <c r="H144" s="405">
        <v>47086</v>
      </c>
      <c r="I144" s="404">
        <v>5479</v>
      </c>
      <c r="J144" s="404">
        <v>4993</v>
      </c>
      <c r="K144" s="406">
        <v>18235232.281679675</v>
      </c>
      <c r="L144" s="404">
        <v>365</v>
      </c>
      <c r="M144" s="404">
        <v>1333038</v>
      </c>
      <c r="N144" s="404">
        <v>9355161</v>
      </c>
      <c r="O144" s="404">
        <v>9899825.3950015232</v>
      </c>
    </row>
    <row r="145" spans="2:15" s="154" customFormat="1" hidden="1" outlineLevel="1">
      <c r="B145" s="165" t="s">
        <v>2325</v>
      </c>
      <c r="C145" s="165" t="s">
        <v>2992</v>
      </c>
      <c r="D145" s="165" t="s">
        <v>3137</v>
      </c>
      <c r="E145" s="403">
        <v>36711113.863070428</v>
      </c>
      <c r="F145" s="431">
        <v>34658943.175045304</v>
      </c>
      <c r="G145" s="404">
        <v>25</v>
      </c>
      <c r="H145" s="405">
        <v>50738</v>
      </c>
      <c r="I145" s="404">
        <v>9131</v>
      </c>
      <c r="J145" s="404">
        <v>8645</v>
      </c>
      <c r="K145" s="406">
        <v>32823387.481891774</v>
      </c>
      <c r="L145" s="404">
        <v>365</v>
      </c>
      <c r="M145" s="404">
        <v>1385834</v>
      </c>
      <c r="N145" s="404">
        <v>9725680</v>
      </c>
      <c r="O145" s="404">
        <v>24933263.175045297</v>
      </c>
    </row>
    <row r="146" spans="2:15" s="154" customFormat="1" hidden="1" outlineLevel="1">
      <c r="B146" s="165" t="s">
        <v>2325</v>
      </c>
      <c r="C146" s="165" t="s">
        <v>2992</v>
      </c>
      <c r="D146" s="165" t="s">
        <v>3138</v>
      </c>
      <c r="E146" s="403">
        <v>12237063.220380712</v>
      </c>
      <c r="F146" s="431">
        <v>11553004.90914534</v>
      </c>
      <c r="G146" s="404">
        <v>20</v>
      </c>
      <c r="H146" s="405">
        <v>48912</v>
      </c>
      <c r="I146" s="404">
        <v>7305</v>
      </c>
      <c r="J146" s="404">
        <v>6819</v>
      </c>
      <c r="K146" s="406">
        <v>10941151.748126306</v>
      </c>
      <c r="L146" s="404">
        <v>365</v>
      </c>
      <c r="M146" s="404">
        <v>585646</v>
      </c>
      <c r="N146" s="404">
        <v>4110020</v>
      </c>
      <c r="O146" s="404">
        <v>7442984.9091453403</v>
      </c>
    </row>
    <row r="147" spans="2:15" s="154" customFormat="1" hidden="1" outlineLevel="1">
      <c r="B147" s="165" t="s">
        <v>2325</v>
      </c>
      <c r="C147" s="165" t="s">
        <v>2992</v>
      </c>
      <c r="D147" s="165" t="s">
        <v>3139</v>
      </c>
      <c r="E147" s="403">
        <v>5710620.2410333389</v>
      </c>
      <c r="F147" s="431">
        <v>5391393.5558929285</v>
      </c>
      <c r="G147" s="404">
        <v>20</v>
      </c>
      <c r="H147" s="405">
        <v>48912</v>
      </c>
      <c r="I147" s="404">
        <v>7305</v>
      </c>
      <c r="J147" s="404">
        <v>6819</v>
      </c>
      <c r="K147" s="406">
        <v>5105862.5438412614</v>
      </c>
      <c r="L147" s="404">
        <v>365</v>
      </c>
      <c r="M147" s="404">
        <v>273301</v>
      </c>
      <c r="N147" s="404">
        <v>1918006</v>
      </c>
      <c r="O147" s="404">
        <v>3473387.5558929285</v>
      </c>
    </row>
    <row r="148" spans="2:15" s="154" customFormat="1" ht="27" hidden="1" outlineLevel="1">
      <c r="B148" s="165" t="s">
        <v>2325</v>
      </c>
      <c r="C148" s="165" t="s">
        <v>2992</v>
      </c>
      <c r="D148" s="165" t="s">
        <v>3140</v>
      </c>
      <c r="E148" s="403">
        <v>2243422.0176768578</v>
      </c>
      <c r="F148" s="431">
        <v>2118013.5583157009</v>
      </c>
      <c r="G148" s="404">
        <v>20</v>
      </c>
      <c r="H148" s="405">
        <v>48912</v>
      </c>
      <c r="I148" s="404">
        <v>7305</v>
      </c>
      <c r="J148" s="404">
        <v>6819</v>
      </c>
      <c r="K148" s="406">
        <v>2005842.4574318579</v>
      </c>
      <c r="L148" s="404">
        <v>365</v>
      </c>
      <c r="M148" s="404">
        <v>107367</v>
      </c>
      <c r="N148" s="404">
        <v>753493</v>
      </c>
      <c r="O148" s="404">
        <v>1364520.5583157009</v>
      </c>
    </row>
    <row r="149" spans="2:15" s="154" customFormat="1" ht="27" hidden="1" outlineLevel="1">
      <c r="B149" s="165" t="s">
        <v>2325</v>
      </c>
      <c r="C149" s="165" t="s">
        <v>2992</v>
      </c>
      <c r="D149" s="165" t="s">
        <v>3141</v>
      </c>
      <c r="E149" s="403">
        <v>1631572.2664786784</v>
      </c>
      <c r="F149" s="431">
        <v>1540366.4871806633</v>
      </c>
      <c r="G149" s="404">
        <v>15</v>
      </c>
      <c r="H149" s="405">
        <v>47086</v>
      </c>
      <c r="I149" s="404">
        <v>5479</v>
      </c>
      <c r="J149" s="404">
        <v>4993</v>
      </c>
      <c r="K149" s="406">
        <v>1458787.8738567294</v>
      </c>
      <c r="L149" s="404">
        <v>365</v>
      </c>
      <c r="M149" s="404">
        <v>106641</v>
      </c>
      <c r="N149" s="404">
        <v>748398</v>
      </c>
      <c r="O149" s="404">
        <v>791968.48718066327</v>
      </c>
    </row>
    <row r="150" spans="2:15" s="154" customFormat="1" hidden="1" outlineLevel="1">
      <c r="B150" s="165" t="s">
        <v>2325</v>
      </c>
      <c r="C150" s="165" t="s">
        <v>2992</v>
      </c>
      <c r="D150" s="165" t="s">
        <v>3142</v>
      </c>
      <c r="E150" s="403">
        <v>2447396.404516953</v>
      </c>
      <c r="F150" s="431">
        <v>2310585.6068824613</v>
      </c>
      <c r="G150" s="404">
        <v>10</v>
      </c>
      <c r="H150" s="405">
        <v>45259</v>
      </c>
      <c r="I150" s="404">
        <v>3652</v>
      </c>
      <c r="J150" s="404">
        <v>3166</v>
      </c>
      <c r="K150" s="406">
        <v>2188215.7866566135</v>
      </c>
      <c r="L150" s="404">
        <v>365</v>
      </c>
      <c r="M150" s="404">
        <v>252274</v>
      </c>
      <c r="N150" s="404">
        <v>1770440</v>
      </c>
      <c r="O150" s="404">
        <v>540145.60688246135</v>
      </c>
    </row>
    <row r="151" spans="2:15" s="154" customFormat="1" ht="27" hidden="1" outlineLevel="1">
      <c r="B151" s="165" t="s">
        <v>2325</v>
      </c>
      <c r="C151" s="165" t="s">
        <v>2992</v>
      </c>
      <c r="D151" s="165" t="s">
        <v>3143</v>
      </c>
      <c r="E151" s="403">
        <v>10197540.285984922</v>
      </c>
      <c r="F151" s="431">
        <v>9627492.4247472603</v>
      </c>
      <c r="G151" s="404">
        <v>15</v>
      </c>
      <c r="H151" s="405">
        <v>47086</v>
      </c>
      <c r="I151" s="404">
        <v>5479</v>
      </c>
      <c r="J151" s="404">
        <v>4993</v>
      </c>
      <c r="K151" s="406">
        <v>9117615.4104480147</v>
      </c>
      <c r="L151" s="404">
        <v>365</v>
      </c>
      <c r="M151" s="404">
        <v>666519</v>
      </c>
      <c r="N151" s="404">
        <v>4677581</v>
      </c>
      <c r="O151" s="404">
        <v>4949911.4247472603</v>
      </c>
    </row>
    <row r="152" spans="2:15" s="154" customFormat="1" hidden="1" outlineLevel="1">
      <c r="B152" s="165" t="s">
        <v>2325</v>
      </c>
      <c r="C152" s="165" t="s">
        <v>2992</v>
      </c>
      <c r="D152" s="165" t="s">
        <v>3144</v>
      </c>
      <c r="E152" s="403">
        <v>117675044.08360662</v>
      </c>
      <c r="F152" s="431">
        <v>111096946.95537014</v>
      </c>
      <c r="G152" s="404">
        <v>30</v>
      </c>
      <c r="H152" s="405">
        <v>52564</v>
      </c>
      <c r="I152" s="404">
        <v>10957</v>
      </c>
      <c r="J152" s="404">
        <v>10471</v>
      </c>
      <c r="K152" s="406">
        <v>105213194.75118981</v>
      </c>
      <c r="L152" s="404">
        <v>365</v>
      </c>
      <c r="M152" s="404">
        <v>3667540</v>
      </c>
      <c r="N152" s="404">
        <v>25738523</v>
      </c>
      <c r="O152" s="404">
        <v>85358423.955370143</v>
      </c>
    </row>
    <row r="153" spans="2:15" s="154" customFormat="1" hidden="1" outlineLevel="1">
      <c r="B153" s="165" t="s">
        <v>2325</v>
      </c>
      <c r="C153" s="165" t="s">
        <v>2992</v>
      </c>
      <c r="D153" s="165" t="s">
        <v>3145</v>
      </c>
      <c r="E153" s="403">
        <v>101444008.20322883</v>
      </c>
      <c r="F153" s="431">
        <v>95773234.550305933</v>
      </c>
      <c r="G153" s="404">
        <v>30</v>
      </c>
      <c r="H153" s="405">
        <v>52564</v>
      </c>
      <c r="I153" s="404">
        <v>10957</v>
      </c>
      <c r="J153" s="404">
        <v>10471</v>
      </c>
      <c r="K153" s="406">
        <v>90701034.140144512</v>
      </c>
      <c r="L153" s="404">
        <v>365</v>
      </c>
      <c r="M153" s="404">
        <v>3161673</v>
      </c>
      <c r="N153" s="404">
        <v>22188385</v>
      </c>
      <c r="O153" s="404">
        <v>73584849.550305948</v>
      </c>
    </row>
    <row r="154" spans="2:15" s="154" customFormat="1" hidden="1" outlineLevel="1">
      <c r="B154" s="165" t="s">
        <v>2325</v>
      </c>
      <c r="C154" s="165" t="s">
        <v>2992</v>
      </c>
      <c r="D154" s="165" t="s">
        <v>3146</v>
      </c>
      <c r="E154" s="403">
        <v>16697260.911805518</v>
      </c>
      <c r="F154" s="431">
        <v>15763875.209391858</v>
      </c>
      <c r="G154" s="404">
        <v>30</v>
      </c>
      <c r="H154" s="405">
        <v>52564</v>
      </c>
      <c r="I154" s="404">
        <v>10957</v>
      </c>
      <c r="J154" s="404">
        <v>10471</v>
      </c>
      <c r="K154" s="406">
        <v>14929012.163801584</v>
      </c>
      <c r="L154" s="404">
        <v>365</v>
      </c>
      <c r="M154" s="404">
        <v>520398</v>
      </c>
      <c r="N154" s="404">
        <v>3652115</v>
      </c>
      <c r="O154" s="404">
        <v>12111760.20939186</v>
      </c>
    </row>
    <row r="155" spans="2:15" s="154" customFormat="1" hidden="1" outlineLevel="1">
      <c r="B155" s="165" t="s">
        <v>2325</v>
      </c>
      <c r="C155" s="165" t="s">
        <v>2992</v>
      </c>
      <c r="D155" s="165" t="s">
        <v>3147</v>
      </c>
      <c r="E155" s="403">
        <v>16697260.911805518</v>
      </c>
      <c r="F155" s="431">
        <v>15763875.209391858</v>
      </c>
      <c r="G155" s="404">
        <v>30</v>
      </c>
      <c r="H155" s="405">
        <v>52564</v>
      </c>
      <c r="I155" s="404">
        <v>10957</v>
      </c>
      <c r="J155" s="404">
        <v>10471</v>
      </c>
      <c r="K155" s="406">
        <v>14929012.163801584</v>
      </c>
      <c r="L155" s="404">
        <v>365</v>
      </c>
      <c r="M155" s="404">
        <v>520398</v>
      </c>
      <c r="N155" s="404">
        <v>3652115</v>
      </c>
      <c r="O155" s="404">
        <v>12111760.20939186</v>
      </c>
    </row>
    <row r="156" spans="2:15" s="154" customFormat="1" hidden="1" outlineLevel="1">
      <c r="B156" s="165" t="s">
        <v>2325</v>
      </c>
      <c r="C156" s="165" t="s">
        <v>2992</v>
      </c>
      <c r="D156" s="165" t="s">
        <v>3148</v>
      </c>
      <c r="E156" s="403">
        <v>16697260.911805518</v>
      </c>
      <c r="F156" s="431">
        <v>15763875.209391858</v>
      </c>
      <c r="G156" s="404">
        <v>30</v>
      </c>
      <c r="H156" s="405">
        <v>52564</v>
      </c>
      <c r="I156" s="404">
        <v>10957</v>
      </c>
      <c r="J156" s="404">
        <v>10471</v>
      </c>
      <c r="K156" s="406">
        <v>14929012.163801584</v>
      </c>
      <c r="L156" s="404">
        <v>365</v>
      </c>
      <c r="M156" s="404">
        <v>520398</v>
      </c>
      <c r="N156" s="404">
        <v>3652115</v>
      </c>
      <c r="O156" s="404">
        <v>12111760.20939186</v>
      </c>
    </row>
    <row r="157" spans="2:15" s="154" customFormat="1" hidden="1" outlineLevel="1">
      <c r="B157" s="165" t="s">
        <v>2325</v>
      </c>
      <c r="C157" s="165" t="s">
        <v>2992</v>
      </c>
      <c r="D157" s="165" t="s">
        <v>3149</v>
      </c>
      <c r="E157" s="403">
        <v>101810390.00011648</v>
      </c>
      <c r="F157" s="431">
        <v>96119135.408815995</v>
      </c>
      <c r="G157" s="404">
        <v>30</v>
      </c>
      <c r="H157" s="405">
        <v>52564</v>
      </c>
      <c r="I157" s="404">
        <v>10957</v>
      </c>
      <c r="J157" s="404">
        <v>10471</v>
      </c>
      <c r="K157" s="406">
        <v>91028615.908810169</v>
      </c>
      <c r="L157" s="404">
        <v>365</v>
      </c>
      <c r="M157" s="404">
        <v>3173092</v>
      </c>
      <c r="N157" s="404">
        <v>22268522</v>
      </c>
      <c r="O157" s="404">
        <v>73850613.408815995</v>
      </c>
    </row>
    <row r="158" spans="2:15" s="154" customFormat="1" hidden="1" outlineLevel="1">
      <c r="B158" s="165" t="s">
        <v>2325</v>
      </c>
      <c r="C158" s="165" t="s">
        <v>2992</v>
      </c>
      <c r="D158" s="165" t="s">
        <v>3150</v>
      </c>
      <c r="E158" s="403">
        <v>69343183.046329051</v>
      </c>
      <c r="F158" s="431">
        <v>65466862.504543029</v>
      </c>
      <c r="G158" s="404">
        <v>30</v>
      </c>
      <c r="H158" s="405">
        <v>52564</v>
      </c>
      <c r="I158" s="404">
        <v>10957</v>
      </c>
      <c r="J158" s="404">
        <v>10471</v>
      </c>
      <c r="K158" s="406">
        <v>61999703.352226585</v>
      </c>
      <c r="L158" s="404">
        <v>365</v>
      </c>
      <c r="M158" s="404">
        <v>2161197</v>
      </c>
      <c r="N158" s="404">
        <v>15167119</v>
      </c>
      <c r="O158" s="404">
        <v>50299743.504543036</v>
      </c>
    </row>
    <row r="159" spans="2:15" s="154" customFormat="1" hidden="1" outlineLevel="1">
      <c r="B159" s="165"/>
      <c r="C159" s="165"/>
      <c r="D159" s="165"/>
      <c r="E159" s="403"/>
      <c r="F159" s="432"/>
      <c r="G159" s="404"/>
      <c r="H159" s="405"/>
      <c r="I159" s="404"/>
      <c r="J159" s="404"/>
      <c r="K159" s="404"/>
      <c r="L159" s="404"/>
      <c r="M159" s="404"/>
      <c r="N159" s="404"/>
      <c r="O159" s="404"/>
    </row>
    <row r="160" spans="2:15" s="154" customFormat="1" hidden="1" outlineLevel="1">
      <c r="B160" s="165" t="s">
        <v>2325</v>
      </c>
      <c r="C160" s="165" t="s">
        <v>2992</v>
      </c>
      <c r="D160" s="165" t="s">
        <v>3151</v>
      </c>
      <c r="E160" s="403">
        <v>19119589.822348252</v>
      </c>
      <c r="F160" s="431">
        <v>18050794.680649452</v>
      </c>
      <c r="G160" s="404">
        <v>20</v>
      </c>
      <c r="H160" s="405">
        <v>48912</v>
      </c>
      <c r="I160" s="404">
        <v>7305</v>
      </c>
      <c r="J160" s="404">
        <v>6819</v>
      </c>
      <c r="K160" s="406">
        <v>17094815.189532038</v>
      </c>
      <c r="L160" s="404">
        <v>365</v>
      </c>
      <c r="M160" s="404">
        <v>915033</v>
      </c>
      <c r="N160" s="404">
        <v>6421633</v>
      </c>
      <c r="O160" s="404">
        <v>11629161.680649452</v>
      </c>
    </row>
    <row r="161" spans="2:15" s="154" customFormat="1" ht="27" hidden="1" outlineLevel="1">
      <c r="B161" s="165" t="s">
        <v>2325</v>
      </c>
      <c r="C161" s="165" t="s">
        <v>2992</v>
      </c>
      <c r="D161" s="165" t="s">
        <v>3152</v>
      </c>
      <c r="E161" s="403">
        <v>19119589.822348252</v>
      </c>
      <c r="F161" s="431">
        <v>18050794.680649452</v>
      </c>
      <c r="G161" s="404">
        <v>20</v>
      </c>
      <c r="H161" s="405">
        <v>48912</v>
      </c>
      <c r="I161" s="404">
        <v>7305</v>
      </c>
      <c r="J161" s="404">
        <v>6819</v>
      </c>
      <c r="K161" s="406">
        <v>17094815.189532038</v>
      </c>
      <c r="L161" s="404">
        <v>365</v>
      </c>
      <c r="M161" s="404">
        <v>915033</v>
      </c>
      <c r="N161" s="404">
        <v>6421633</v>
      </c>
      <c r="O161" s="404">
        <v>11629161.680649452</v>
      </c>
    </row>
    <row r="162" spans="2:15" s="154" customFormat="1" hidden="1" outlineLevel="1">
      <c r="B162" s="165"/>
      <c r="C162" s="165"/>
      <c r="D162" s="165"/>
      <c r="E162" s="403"/>
      <c r="F162" s="432"/>
      <c r="G162" s="404"/>
      <c r="H162" s="405"/>
      <c r="I162" s="404"/>
      <c r="J162" s="404"/>
      <c r="K162" s="404"/>
      <c r="L162" s="404"/>
      <c r="M162" s="404"/>
      <c r="N162" s="404"/>
      <c r="O162" s="404"/>
    </row>
    <row r="163" spans="2:15" s="154" customFormat="1" hidden="1" outlineLevel="1">
      <c r="B163" s="165" t="s">
        <v>2325</v>
      </c>
      <c r="C163" s="165" t="s">
        <v>2992</v>
      </c>
      <c r="D163" s="165" t="s">
        <v>3153</v>
      </c>
      <c r="E163" s="403">
        <v>212101905.68474969</v>
      </c>
      <c r="F163" s="431">
        <v>200245297.11615133</v>
      </c>
      <c r="G163" s="404">
        <v>20</v>
      </c>
      <c r="H163" s="405">
        <v>48912</v>
      </c>
      <c r="I163" s="404">
        <v>7305</v>
      </c>
      <c r="J163" s="404">
        <v>6819</v>
      </c>
      <c r="K163" s="406">
        <v>189640201.83191386</v>
      </c>
      <c r="L163" s="404">
        <v>365</v>
      </c>
      <c r="M163" s="404">
        <v>10150854</v>
      </c>
      <c r="N163" s="404">
        <v>71237936</v>
      </c>
      <c r="O163" s="404">
        <v>129007361.11615133</v>
      </c>
    </row>
    <row r="164" spans="2:15" s="154" customFormat="1" hidden="1" outlineLevel="1">
      <c r="B164" s="165" t="s">
        <v>2325</v>
      </c>
      <c r="C164" s="165" t="s">
        <v>2992</v>
      </c>
      <c r="D164" s="165" t="s">
        <v>3154</v>
      </c>
      <c r="E164" s="403">
        <v>18391829.194412746</v>
      </c>
      <c r="F164" s="431">
        <v>17363716.251156665</v>
      </c>
      <c r="G164" s="404">
        <v>25</v>
      </c>
      <c r="H164" s="405">
        <v>50738</v>
      </c>
      <c r="I164" s="404">
        <v>9131</v>
      </c>
      <c r="J164" s="404">
        <v>8645</v>
      </c>
      <c r="K164" s="406">
        <v>16444124.791436028</v>
      </c>
      <c r="L164" s="404">
        <v>365</v>
      </c>
      <c r="M164" s="404">
        <v>694286</v>
      </c>
      <c r="N164" s="404">
        <v>4872449</v>
      </c>
      <c r="O164" s="404">
        <v>12491267.251156665</v>
      </c>
    </row>
    <row r="165" spans="2:15" s="154" customFormat="1" hidden="1" outlineLevel="1">
      <c r="B165" s="165" t="s">
        <v>2325</v>
      </c>
      <c r="C165" s="165" t="s">
        <v>2992</v>
      </c>
      <c r="D165" s="165" t="s">
        <v>3155</v>
      </c>
      <c r="E165" s="403">
        <v>18391829.194412746</v>
      </c>
      <c r="F165" s="431">
        <v>17363716.251156665</v>
      </c>
      <c r="G165" s="404">
        <v>25</v>
      </c>
      <c r="H165" s="405">
        <v>50738</v>
      </c>
      <c r="I165" s="404">
        <v>9131</v>
      </c>
      <c r="J165" s="404">
        <v>8645</v>
      </c>
      <c r="K165" s="406">
        <v>16444124.791436028</v>
      </c>
      <c r="L165" s="404">
        <v>365</v>
      </c>
      <c r="M165" s="404">
        <v>694286</v>
      </c>
      <c r="N165" s="404">
        <v>4872449</v>
      </c>
      <c r="O165" s="404">
        <v>12491267.251156665</v>
      </c>
    </row>
    <row r="166" spans="2:15" s="154" customFormat="1" hidden="1" outlineLevel="1">
      <c r="B166" s="165" t="s">
        <v>2325</v>
      </c>
      <c r="C166" s="165" t="s">
        <v>2992</v>
      </c>
      <c r="D166" s="165" t="s">
        <v>3156</v>
      </c>
      <c r="E166" s="403">
        <v>172376275.47048536</v>
      </c>
      <c r="F166" s="431">
        <v>162740350.59699917</v>
      </c>
      <c r="G166" s="404">
        <v>20</v>
      </c>
      <c r="H166" s="405">
        <v>48912</v>
      </c>
      <c r="I166" s="404">
        <v>7305</v>
      </c>
      <c r="J166" s="404">
        <v>6819</v>
      </c>
      <c r="K166" s="406">
        <v>154121536.82347491</v>
      </c>
      <c r="L166" s="404">
        <v>365</v>
      </c>
      <c r="M166" s="404">
        <v>8249650</v>
      </c>
      <c r="N166" s="404">
        <v>57895427</v>
      </c>
      <c r="O166" s="404">
        <v>104844923.59699917</v>
      </c>
    </row>
    <row r="167" spans="2:15" s="154" customFormat="1" hidden="1" outlineLevel="1">
      <c r="B167" s="165" t="s">
        <v>2325</v>
      </c>
      <c r="C167" s="165" t="s">
        <v>2992</v>
      </c>
      <c r="D167" s="165" t="s">
        <v>3157</v>
      </c>
      <c r="E167" s="403">
        <v>20435380.531487282</v>
      </c>
      <c r="F167" s="431">
        <v>19293031.945491865</v>
      </c>
      <c r="G167" s="404">
        <v>25</v>
      </c>
      <c r="H167" s="405">
        <v>50738</v>
      </c>
      <c r="I167" s="404">
        <v>9131</v>
      </c>
      <c r="J167" s="404">
        <v>8645</v>
      </c>
      <c r="K167" s="406">
        <v>18271262.918917499</v>
      </c>
      <c r="L167" s="404">
        <v>365</v>
      </c>
      <c r="M167" s="404">
        <v>771430</v>
      </c>
      <c r="N167" s="404">
        <v>5413837</v>
      </c>
      <c r="O167" s="404">
        <v>13879194.945491865</v>
      </c>
    </row>
    <row r="168" spans="2:15" s="154" customFormat="1" hidden="1" outlineLevel="1">
      <c r="B168" s="165" t="s">
        <v>2325</v>
      </c>
      <c r="C168" s="165" t="s">
        <v>2992</v>
      </c>
      <c r="D168" s="165" t="s">
        <v>3158</v>
      </c>
      <c r="E168" s="403">
        <v>101810390.00011648</v>
      </c>
      <c r="F168" s="431">
        <v>96119135.408815995</v>
      </c>
      <c r="G168" s="404">
        <v>20</v>
      </c>
      <c r="H168" s="405">
        <v>48912</v>
      </c>
      <c r="I168" s="404">
        <v>7305</v>
      </c>
      <c r="J168" s="404">
        <v>6819</v>
      </c>
      <c r="K168" s="406">
        <v>91028615.908810169</v>
      </c>
      <c r="L168" s="404">
        <v>365</v>
      </c>
      <c r="M168" s="404">
        <v>4872481</v>
      </c>
      <c r="N168" s="404">
        <v>34194707</v>
      </c>
      <c r="O168" s="404">
        <v>61924428.408815995</v>
      </c>
    </row>
    <row r="169" spans="2:15" s="154" customFormat="1" hidden="1" outlineLevel="1">
      <c r="B169" s="165" t="s">
        <v>2325</v>
      </c>
      <c r="C169" s="165" t="s">
        <v>2992</v>
      </c>
      <c r="D169" s="165" t="s">
        <v>3159</v>
      </c>
      <c r="E169" s="403">
        <v>40724139.061673902</v>
      </c>
      <c r="F169" s="431">
        <v>38447638.139456019</v>
      </c>
      <c r="G169" s="404">
        <v>20</v>
      </c>
      <c r="H169" s="405">
        <v>48912</v>
      </c>
      <c r="I169" s="404">
        <v>7305</v>
      </c>
      <c r="J169" s="404">
        <v>6819</v>
      </c>
      <c r="K169" s="406">
        <v>36411431.186372325</v>
      </c>
      <c r="L169" s="404">
        <v>365</v>
      </c>
      <c r="M169" s="404">
        <v>1948991</v>
      </c>
      <c r="N169" s="404">
        <v>13677874</v>
      </c>
      <c r="O169" s="404">
        <v>24769764.139456019</v>
      </c>
    </row>
    <row r="170" spans="2:15" s="154" customFormat="1" hidden="1" outlineLevel="1">
      <c r="B170" s="165" t="s">
        <v>2325</v>
      </c>
      <c r="C170" s="165" t="s">
        <v>2992</v>
      </c>
      <c r="D170" s="165" t="s">
        <v>3160</v>
      </c>
      <c r="E170" s="403">
        <v>121891914.30678456</v>
      </c>
      <c r="F170" s="431">
        <v>115078091.9235568</v>
      </c>
      <c r="G170" s="404">
        <v>20</v>
      </c>
      <c r="H170" s="405">
        <v>48912</v>
      </c>
      <c r="I170" s="404">
        <v>7305</v>
      </c>
      <c r="J170" s="404">
        <v>6819</v>
      </c>
      <c r="K170" s="406">
        <v>108983496.20821758</v>
      </c>
      <c r="L170" s="404">
        <v>365</v>
      </c>
      <c r="M170" s="404">
        <v>5833550</v>
      </c>
      <c r="N170" s="404">
        <v>40939418</v>
      </c>
      <c r="O170" s="404">
        <v>74138673.923556805</v>
      </c>
    </row>
    <row r="171" spans="2:15" s="154" customFormat="1" hidden="1" outlineLevel="1">
      <c r="B171" s="165" t="s">
        <v>2325</v>
      </c>
      <c r="C171" s="165" t="s">
        <v>2992</v>
      </c>
      <c r="D171" s="165" t="s">
        <v>3161</v>
      </c>
      <c r="E171" s="403">
        <v>81448280.523072049</v>
      </c>
      <c r="F171" s="431">
        <v>76895278.601254359</v>
      </c>
      <c r="G171" s="404">
        <v>20</v>
      </c>
      <c r="H171" s="405">
        <v>48912</v>
      </c>
      <c r="I171" s="404">
        <v>7305</v>
      </c>
      <c r="J171" s="404">
        <v>6819</v>
      </c>
      <c r="K171" s="406">
        <v>72822864.575100735</v>
      </c>
      <c r="L171" s="404">
        <v>365</v>
      </c>
      <c r="M171" s="404">
        <v>3897983</v>
      </c>
      <c r="N171" s="404">
        <v>27355753</v>
      </c>
      <c r="O171" s="404">
        <v>49539525.601254344</v>
      </c>
    </row>
    <row r="172" spans="2:15" s="154" customFormat="1" hidden="1" outlineLevel="1">
      <c r="B172" s="165" t="s">
        <v>2325</v>
      </c>
      <c r="C172" s="165" t="s">
        <v>2992</v>
      </c>
      <c r="D172" s="165" t="s">
        <v>3162</v>
      </c>
      <c r="E172" s="403">
        <v>54255979.063332923</v>
      </c>
      <c r="F172" s="431">
        <v>51223041.160063177</v>
      </c>
      <c r="G172" s="404">
        <v>20</v>
      </c>
      <c r="H172" s="405">
        <v>48912</v>
      </c>
      <c r="I172" s="404">
        <v>7305</v>
      </c>
      <c r="J172" s="404">
        <v>6819</v>
      </c>
      <c r="K172" s="406">
        <v>48510242.206896529</v>
      </c>
      <c r="L172" s="404">
        <v>365</v>
      </c>
      <c r="M172" s="404">
        <v>2596603</v>
      </c>
      <c r="N172" s="404">
        <v>18222766</v>
      </c>
      <c r="O172" s="404">
        <v>33000275.160063177</v>
      </c>
    </row>
    <row r="173" spans="2:15" s="154" customFormat="1" hidden="1" outlineLevel="1">
      <c r="B173" s="165" t="s">
        <v>2325</v>
      </c>
      <c r="C173" s="165" t="s">
        <v>2992</v>
      </c>
      <c r="D173" s="165" t="s">
        <v>3163</v>
      </c>
      <c r="E173" s="403">
        <v>347400867.6545313</v>
      </c>
      <c r="F173" s="431">
        <v>327980975.60256219</v>
      </c>
      <c r="G173" s="404">
        <v>25</v>
      </c>
      <c r="H173" s="405">
        <v>50738</v>
      </c>
      <c r="I173" s="404">
        <v>9131</v>
      </c>
      <c r="J173" s="404">
        <v>8645</v>
      </c>
      <c r="K173" s="406">
        <v>310610932.21983564</v>
      </c>
      <c r="L173" s="404">
        <v>365</v>
      </c>
      <c r="M173" s="404">
        <v>13114285</v>
      </c>
      <c r="N173" s="404">
        <v>92035072</v>
      </c>
      <c r="O173" s="404">
        <v>235945903.60256219</v>
      </c>
    </row>
    <row r="174" spans="2:15" s="154" customFormat="1" hidden="1" outlineLevel="1">
      <c r="B174" s="165" t="s">
        <v>2325</v>
      </c>
      <c r="C174" s="165" t="s">
        <v>2992</v>
      </c>
      <c r="D174" s="165" t="s">
        <v>3164</v>
      </c>
      <c r="E174" s="403">
        <v>97768232.997152224</v>
      </c>
      <c r="F174" s="431">
        <v>92302937.120962456</v>
      </c>
      <c r="G174" s="404">
        <v>25</v>
      </c>
      <c r="H174" s="405">
        <v>50738</v>
      </c>
      <c r="I174" s="404">
        <v>9131</v>
      </c>
      <c r="J174" s="404">
        <v>8645</v>
      </c>
      <c r="K174" s="406">
        <v>87414525.471104845</v>
      </c>
      <c r="L174" s="404">
        <v>365</v>
      </c>
      <c r="M174" s="404">
        <v>3690723</v>
      </c>
      <c r="N174" s="404">
        <v>25901219</v>
      </c>
      <c r="O174" s="404">
        <v>66401718.120962456</v>
      </c>
    </row>
    <row r="175" spans="2:15" s="154" customFormat="1" hidden="1" outlineLevel="1">
      <c r="B175" s="165" t="s">
        <v>2325</v>
      </c>
      <c r="C175" s="165" t="s">
        <v>2992</v>
      </c>
      <c r="D175" s="165" t="s">
        <v>3165</v>
      </c>
      <c r="E175" s="403">
        <v>5108844.4798637992</v>
      </c>
      <c r="F175" s="431">
        <v>4823257.3556447169</v>
      </c>
      <c r="G175" s="404">
        <v>20</v>
      </c>
      <c r="H175" s="405">
        <v>48912</v>
      </c>
      <c r="I175" s="404">
        <v>7305</v>
      </c>
      <c r="J175" s="404">
        <v>6819</v>
      </c>
      <c r="K175" s="406">
        <v>4567815.1316515263</v>
      </c>
      <c r="L175" s="404">
        <v>365</v>
      </c>
      <c r="M175" s="404">
        <v>244501</v>
      </c>
      <c r="N175" s="404">
        <v>1715890</v>
      </c>
      <c r="O175" s="404">
        <v>3107367.3556447159</v>
      </c>
    </row>
    <row r="176" spans="2:15" s="154" customFormat="1" hidden="1" outlineLevel="1">
      <c r="B176" s="165" t="s">
        <v>2325</v>
      </c>
      <c r="C176" s="165" t="s">
        <v>2992</v>
      </c>
      <c r="D176" s="165" t="s">
        <v>3166</v>
      </c>
      <c r="E176" s="403">
        <v>34263640.154994451</v>
      </c>
      <c r="F176" s="431">
        <v>32348284.593513705</v>
      </c>
      <c r="G176" s="404">
        <v>25</v>
      </c>
      <c r="H176" s="405">
        <v>50738</v>
      </c>
      <c r="I176" s="404">
        <v>9131</v>
      </c>
      <c r="J176" s="404">
        <v>8645</v>
      </c>
      <c r="K176" s="406">
        <v>30635102.58576398</v>
      </c>
      <c r="L176" s="404">
        <v>365</v>
      </c>
      <c r="M176" s="404">
        <v>1293443</v>
      </c>
      <c r="N176" s="404">
        <v>9077285</v>
      </c>
      <c r="O176" s="404">
        <v>23270999.593513701</v>
      </c>
    </row>
    <row r="177" spans="2:15" s="154" customFormat="1" hidden="1" outlineLevel="1">
      <c r="B177" s="165" t="s">
        <v>2325</v>
      </c>
      <c r="C177" s="165" t="s">
        <v>2992</v>
      </c>
      <c r="D177" s="165" t="s">
        <v>3167</v>
      </c>
      <c r="E177" s="403">
        <v>105596986.20402561</v>
      </c>
      <c r="F177" s="431">
        <v>99694058.911367461</v>
      </c>
      <c r="G177" s="404">
        <v>25</v>
      </c>
      <c r="H177" s="405">
        <v>50738</v>
      </c>
      <c r="I177" s="404">
        <v>9131</v>
      </c>
      <c r="J177" s="404">
        <v>8645</v>
      </c>
      <c r="K177" s="406">
        <v>94414209.601166174</v>
      </c>
      <c r="L177" s="404">
        <v>365</v>
      </c>
      <c r="M177" s="404">
        <v>3986256</v>
      </c>
      <c r="N177" s="404">
        <v>27975248</v>
      </c>
      <c r="O177" s="404">
        <v>71718810.911367461</v>
      </c>
    </row>
    <row r="178" spans="2:15" s="154" customFormat="1" ht="27" hidden="1" outlineLevel="1">
      <c r="B178" s="165" t="s">
        <v>2325</v>
      </c>
      <c r="C178" s="165" t="s">
        <v>2992</v>
      </c>
      <c r="D178" s="165" t="s">
        <v>3168</v>
      </c>
      <c r="E178" s="403">
        <v>24522411.89128726</v>
      </c>
      <c r="F178" s="431">
        <v>23151596.128184803</v>
      </c>
      <c r="G178" s="404">
        <v>20</v>
      </c>
      <c r="H178" s="405">
        <v>48912</v>
      </c>
      <c r="I178" s="404">
        <v>7305</v>
      </c>
      <c r="J178" s="404">
        <v>6819</v>
      </c>
      <c r="K178" s="406">
        <v>21925475.533620439</v>
      </c>
      <c r="L178" s="404">
        <v>365</v>
      </c>
      <c r="M178" s="404">
        <v>1173603</v>
      </c>
      <c r="N178" s="404">
        <v>8236258</v>
      </c>
      <c r="O178" s="404">
        <v>14915338.128184803</v>
      </c>
    </row>
    <row r="179" spans="2:15" s="154" customFormat="1" hidden="1" outlineLevel="1">
      <c r="B179" s="165" t="s">
        <v>2325</v>
      </c>
      <c r="C179" s="165" t="s">
        <v>2992</v>
      </c>
      <c r="D179" s="165" t="s">
        <v>3169</v>
      </c>
      <c r="E179" s="403">
        <v>273833632.87568825</v>
      </c>
      <c r="F179" s="431">
        <v>258526188.11883026</v>
      </c>
      <c r="G179" s="404">
        <v>20</v>
      </c>
      <c r="H179" s="405">
        <v>48912</v>
      </c>
      <c r="I179" s="404">
        <v>7305</v>
      </c>
      <c r="J179" s="404">
        <v>6819</v>
      </c>
      <c r="K179" s="406">
        <v>244834506.47504589</v>
      </c>
      <c r="L179" s="404">
        <v>365</v>
      </c>
      <c r="M179" s="404">
        <v>13105235</v>
      </c>
      <c r="N179" s="404">
        <v>91971560</v>
      </c>
      <c r="O179" s="404">
        <v>166554628.11883029</v>
      </c>
    </row>
    <row r="180" spans="2:15" s="154" customFormat="1" hidden="1" outlineLevel="1">
      <c r="B180" s="165" t="s">
        <v>2325</v>
      </c>
      <c r="C180" s="165" t="s">
        <v>2992</v>
      </c>
      <c r="D180" s="165" t="s">
        <v>3170</v>
      </c>
      <c r="E180" s="403">
        <v>57218959.216247819</v>
      </c>
      <c r="F180" s="431">
        <v>54020389.150075272</v>
      </c>
      <c r="G180" s="404">
        <v>25</v>
      </c>
      <c r="H180" s="405">
        <v>50738</v>
      </c>
      <c r="I180" s="404">
        <v>9131</v>
      </c>
      <c r="J180" s="404">
        <v>8645</v>
      </c>
      <c r="K180" s="406">
        <v>51159441.189262874</v>
      </c>
      <c r="L180" s="404">
        <v>365</v>
      </c>
      <c r="M180" s="404">
        <v>2160000</v>
      </c>
      <c r="N180" s="404">
        <v>15158717</v>
      </c>
      <c r="O180" s="404">
        <v>38861672.150075264</v>
      </c>
    </row>
    <row r="181" spans="2:15" s="154" customFormat="1" hidden="1" outlineLevel="1">
      <c r="B181" s="165" t="s">
        <v>2325</v>
      </c>
      <c r="C181" s="165" t="s">
        <v>2992</v>
      </c>
      <c r="D181" s="165" t="s">
        <v>3171</v>
      </c>
      <c r="E181" s="403">
        <v>158366938.92104286</v>
      </c>
      <c r="F181" s="431">
        <v>149514143.35249949</v>
      </c>
      <c r="G181" s="404">
        <v>20</v>
      </c>
      <c r="H181" s="405">
        <v>48912</v>
      </c>
      <c r="I181" s="404">
        <v>7305</v>
      </c>
      <c r="J181" s="404">
        <v>6819</v>
      </c>
      <c r="K181" s="406">
        <v>141595796.40644735</v>
      </c>
      <c r="L181" s="404">
        <v>365</v>
      </c>
      <c r="M181" s="404">
        <v>7579185</v>
      </c>
      <c r="N181" s="404">
        <v>53190155</v>
      </c>
      <c r="O181" s="404">
        <v>96323988.352499485</v>
      </c>
    </row>
    <row r="182" spans="2:15" s="154" customFormat="1" ht="27" hidden="1" outlineLevel="1">
      <c r="B182" s="165" t="s">
        <v>2325</v>
      </c>
      <c r="C182" s="165" t="s">
        <v>2992</v>
      </c>
      <c r="D182" s="165" t="s">
        <v>3172</v>
      </c>
      <c r="E182" s="403">
        <v>32900928.424676362</v>
      </c>
      <c r="F182" s="431">
        <v>31061749.132892247</v>
      </c>
      <c r="G182" s="404">
        <v>25</v>
      </c>
      <c r="H182" s="405">
        <v>50738</v>
      </c>
      <c r="I182" s="404">
        <v>9131</v>
      </c>
      <c r="J182" s="404">
        <v>8645</v>
      </c>
      <c r="K182" s="406">
        <v>29416702.711658429</v>
      </c>
      <c r="L182" s="404">
        <v>365</v>
      </c>
      <c r="M182" s="404">
        <v>1242001</v>
      </c>
      <c r="N182" s="404">
        <v>8716269</v>
      </c>
      <c r="O182" s="404">
        <v>22345480.132892247</v>
      </c>
    </row>
    <row r="183" spans="2:15" s="154" customFormat="1" hidden="1" outlineLevel="1">
      <c r="B183" s="165" t="s">
        <v>2325</v>
      </c>
      <c r="C183" s="165" t="s">
        <v>2992</v>
      </c>
      <c r="D183" s="165" t="s">
        <v>3173</v>
      </c>
      <c r="E183" s="403">
        <v>158366938.92104286</v>
      </c>
      <c r="F183" s="431">
        <v>149514143.35249949</v>
      </c>
      <c r="G183" s="404">
        <v>20</v>
      </c>
      <c r="H183" s="405">
        <v>48912</v>
      </c>
      <c r="I183" s="404">
        <v>7305</v>
      </c>
      <c r="J183" s="404">
        <v>6819</v>
      </c>
      <c r="K183" s="406">
        <v>141595796.40644735</v>
      </c>
      <c r="L183" s="404">
        <v>365</v>
      </c>
      <c r="M183" s="404">
        <v>7579185</v>
      </c>
      <c r="N183" s="404">
        <v>53190155</v>
      </c>
      <c r="O183" s="404">
        <v>96323988.352499485</v>
      </c>
    </row>
    <row r="184" spans="2:15" s="154" customFormat="1" ht="27" hidden="1" outlineLevel="1">
      <c r="B184" s="165" t="s">
        <v>2325</v>
      </c>
      <c r="C184" s="165" t="s">
        <v>2992</v>
      </c>
      <c r="D184" s="165" t="s">
        <v>3174</v>
      </c>
      <c r="E184" s="403">
        <v>32900928.424676362</v>
      </c>
      <c r="F184" s="431">
        <v>31061749.132892247</v>
      </c>
      <c r="G184" s="404">
        <v>25</v>
      </c>
      <c r="H184" s="405">
        <v>50738</v>
      </c>
      <c r="I184" s="404">
        <v>9131</v>
      </c>
      <c r="J184" s="404">
        <v>8645</v>
      </c>
      <c r="K184" s="406">
        <v>29416702.711658429</v>
      </c>
      <c r="L184" s="404">
        <v>365</v>
      </c>
      <c r="M184" s="404">
        <v>1242001</v>
      </c>
      <c r="N184" s="404">
        <v>8716269</v>
      </c>
      <c r="O184" s="404">
        <v>22345480.132892247</v>
      </c>
    </row>
    <row r="185" spans="2:15" s="154" customFormat="1" hidden="1" outlineLevel="1">
      <c r="B185" s="165" t="s">
        <v>2325</v>
      </c>
      <c r="C185" s="165" t="s">
        <v>2992</v>
      </c>
      <c r="D185" s="165" t="s">
        <v>3175</v>
      </c>
      <c r="E185" s="403">
        <v>73567234.673080087</v>
      </c>
      <c r="F185" s="431">
        <v>69454787.383815929</v>
      </c>
      <c r="G185" s="404">
        <v>25</v>
      </c>
      <c r="H185" s="405">
        <v>50738</v>
      </c>
      <c r="I185" s="404">
        <v>9131</v>
      </c>
      <c r="J185" s="404">
        <v>8645</v>
      </c>
      <c r="K185" s="406">
        <v>65776425.650161922</v>
      </c>
      <c r="L185" s="404">
        <v>365</v>
      </c>
      <c r="M185" s="404">
        <v>2777142</v>
      </c>
      <c r="N185" s="404">
        <v>19489776</v>
      </c>
      <c r="O185" s="404">
        <v>49965011.383815929</v>
      </c>
    </row>
    <row r="186" spans="2:15" s="154" customFormat="1" hidden="1" outlineLevel="1">
      <c r="B186" s="165" t="s">
        <v>2325</v>
      </c>
      <c r="C186" s="165" t="s">
        <v>2992</v>
      </c>
      <c r="D186" s="165" t="s">
        <v>3176</v>
      </c>
      <c r="E186" s="403">
        <v>427213412.91845059</v>
      </c>
      <c r="F186" s="431">
        <v>403331957.46790272</v>
      </c>
      <c r="G186" s="404">
        <v>20</v>
      </c>
      <c r="H186" s="405">
        <v>48912</v>
      </c>
      <c r="I186" s="404">
        <v>7305</v>
      </c>
      <c r="J186" s="404">
        <v>6819</v>
      </c>
      <c r="K186" s="406">
        <v>381971286.82198018</v>
      </c>
      <c r="L186" s="404">
        <v>365</v>
      </c>
      <c r="M186" s="404">
        <v>20445743</v>
      </c>
      <c r="N186" s="404">
        <v>143486697</v>
      </c>
      <c r="O186" s="404">
        <v>259845260.46790272</v>
      </c>
    </row>
    <row r="187" spans="2:15" s="154" customFormat="1" hidden="1" outlineLevel="1">
      <c r="B187" s="165" t="s">
        <v>2325</v>
      </c>
      <c r="C187" s="165" t="s">
        <v>2992</v>
      </c>
      <c r="D187" s="165" t="s">
        <v>3177</v>
      </c>
      <c r="E187" s="403">
        <v>77654343.442202181</v>
      </c>
      <c r="F187" s="431">
        <v>73313424.641074121</v>
      </c>
      <c r="G187" s="404">
        <v>25</v>
      </c>
      <c r="H187" s="405">
        <v>50738</v>
      </c>
      <c r="I187" s="404">
        <v>9131</v>
      </c>
      <c r="J187" s="404">
        <v>8645</v>
      </c>
      <c r="K187" s="406">
        <v>69430707.46896401</v>
      </c>
      <c r="L187" s="404">
        <v>365</v>
      </c>
      <c r="M187" s="404">
        <v>2931430</v>
      </c>
      <c r="N187" s="404">
        <v>20572556</v>
      </c>
      <c r="O187" s="404">
        <v>52740868.641074121</v>
      </c>
    </row>
    <row r="188" spans="2:15" s="154" customFormat="1" ht="27" hidden="1" outlineLevel="1">
      <c r="B188" s="165" t="s">
        <v>2325</v>
      </c>
      <c r="C188" s="165" t="s">
        <v>2992</v>
      </c>
      <c r="D188" s="165" t="s">
        <v>3178</v>
      </c>
      <c r="E188" s="403">
        <v>32696548.32496056</v>
      </c>
      <c r="F188" s="431">
        <v>30868794.021890465</v>
      </c>
      <c r="G188" s="404">
        <v>20</v>
      </c>
      <c r="H188" s="405">
        <v>48912</v>
      </c>
      <c r="I188" s="404">
        <v>7305</v>
      </c>
      <c r="J188" s="404">
        <v>6819</v>
      </c>
      <c r="K188" s="406">
        <v>29233966.605642438</v>
      </c>
      <c r="L188" s="404">
        <v>365</v>
      </c>
      <c r="M188" s="404">
        <v>1564804</v>
      </c>
      <c r="N188" s="404">
        <v>10981677</v>
      </c>
      <c r="O188" s="404">
        <v>19887117.021890465</v>
      </c>
    </row>
    <row r="189" spans="2:15" s="154" customFormat="1" hidden="1" outlineLevel="1">
      <c r="B189" s="165" t="s">
        <v>2325</v>
      </c>
      <c r="C189" s="165" t="s">
        <v>2992</v>
      </c>
      <c r="D189" s="165" t="s">
        <v>3179</v>
      </c>
      <c r="E189" s="403">
        <v>244740505.9936519</v>
      </c>
      <c r="F189" s="431">
        <v>231059382.41555682</v>
      </c>
      <c r="G189" s="404">
        <v>25</v>
      </c>
      <c r="H189" s="405">
        <v>50738</v>
      </c>
      <c r="I189" s="404">
        <v>9131</v>
      </c>
      <c r="J189" s="404">
        <v>8645</v>
      </c>
      <c r="K189" s="406">
        <v>218822357.11587426</v>
      </c>
      <c r="L189" s="404">
        <v>365</v>
      </c>
      <c r="M189" s="404">
        <v>9238885</v>
      </c>
      <c r="N189" s="404">
        <v>64837805</v>
      </c>
      <c r="O189" s="404">
        <v>166221577.41555685</v>
      </c>
    </row>
    <row r="190" spans="2:15" s="154" customFormat="1" hidden="1" outlineLevel="1">
      <c r="B190" s="165"/>
      <c r="C190" s="165"/>
      <c r="D190" s="165"/>
      <c r="E190" s="403"/>
      <c r="F190" s="432"/>
      <c r="G190" s="404"/>
      <c r="H190" s="405"/>
      <c r="I190" s="404"/>
      <c r="J190" s="404"/>
      <c r="K190" s="404"/>
      <c r="L190" s="404"/>
      <c r="M190" s="404"/>
      <c r="N190" s="404"/>
      <c r="O190" s="404"/>
    </row>
    <row r="191" spans="2:15" s="154" customFormat="1" hidden="1" outlineLevel="1">
      <c r="B191" s="165" t="s">
        <v>2325</v>
      </c>
      <c r="C191" s="165" t="s">
        <v>2992</v>
      </c>
      <c r="D191" s="165" t="s">
        <v>3180</v>
      </c>
      <c r="E191" s="403">
        <v>277087114.91606551</v>
      </c>
      <c r="F191" s="431">
        <v>261597798.86008745</v>
      </c>
      <c r="G191" s="404">
        <v>25</v>
      </c>
      <c r="H191" s="405">
        <v>50738</v>
      </c>
      <c r="I191" s="404">
        <v>9131</v>
      </c>
      <c r="J191" s="404">
        <v>8645</v>
      </c>
      <c r="K191" s="406">
        <v>247743443.11428419</v>
      </c>
      <c r="L191" s="404">
        <v>365</v>
      </c>
      <c r="M191" s="404">
        <v>10459960</v>
      </c>
      <c r="N191" s="404">
        <v>73407219</v>
      </c>
      <c r="O191" s="404">
        <v>188190579.86008745</v>
      </c>
    </row>
    <row r="192" spans="2:15" s="154" customFormat="1" hidden="1" outlineLevel="1">
      <c r="B192" s="165" t="s">
        <v>2325</v>
      </c>
      <c r="C192" s="165" t="s">
        <v>2992</v>
      </c>
      <c r="D192" s="165" t="s">
        <v>3181</v>
      </c>
      <c r="E192" s="403">
        <v>64995742.111915395</v>
      </c>
      <c r="F192" s="431">
        <v>61362445.804526456</v>
      </c>
      <c r="G192" s="404">
        <v>20</v>
      </c>
      <c r="H192" s="405">
        <v>48912</v>
      </c>
      <c r="I192" s="404">
        <v>7305</v>
      </c>
      <c r="J192" s="404">
        <v>6819</v>
      </c>
      <c r="K192" s="406">
        <v>58112658.698930688</v>
      </c>
      <c r="L192" s="404">
        <v>365</v>
      </c>
      <c r="M192" s="404">
        <v>3110591</v>
      </c>
      <c r="N192" s="404">
        <v>21829895</v>
      </c>
      <c r="O192" s="404">
        <v>39532550.804526456</v>
      </c>
    </row>
    <row r="193" spans="2:15" s="154" customFormat="1" hidden="1" outlineLevel="1">
      <c r="B193" s="165"/>
      <c r="C193" s="165"/>
      <c r="D193" s="165"/>
      <c r="E193" s="403"/>
      <c r="F193" s="432"/>
      <c r="G193" s="404"/>
      <c r="H193" s="405"/>
      <c r="I193" s="404"/>
      <c r="J193" s="404"/>
      <c r="K193" s="404"/>
      <c r="L193" s="404"/>
      <c r="M193" s="404"/>
      <c r="N193" s="404"/>
      <c r="O193" s="404"/>
    </row>
    <row r="194" spans="2:15" s="154" customFormat="1" hidden="1" outlineLevel="1">
      <c r="B194" s="165" t="s">
        <v>2325</v>
      </c>
      <c r="C194" s="165" t="s">
        <v>2992</v>
      </c>
      <c r="D194" s="165" t="s">
        <v>3182</v>
      </c>
      <c r="E194" s="403">
        <v>20435380.531487282</v>
      </c>
      <c r="F194" s="431">
        <v>19293031.945491865</v>
      </c>
      <c r="G194" s="404">
        <v>25</v>
      </c>
      <c r="H194" s="405">
        <v>50738</v>
      </c>
      <c r="I194" s="404">
        <v>9131</v>
      </c>
      <c r="J194" s="404">
        <v>8645</v>
      </c>
      <c r="K194" s="406">
        <v>18271262.918917499</v>
      </c>
      <c r="L194" s="404">
        <v>365</v>
      </c>
      <c r="M194" s="404">
        <v>771430</v>
      </c>
      <c r="N194" s="404">
        <v>5413837</v>
      </c>
      <c r="O194" s="404">
        <v>13879194.945491865</v>
      </c>
    </row>
    <row r="195" spans="2:15" s="154" customFormat="1" hidden="1" outlineLevel="1">
      <c r="B195" s="165" t="s">
        <v>2325</v>
      </c>
      <c r="C195" s="165" t="s">
        <v>2992</v>
      </c>
      <c r="D195" s="165" t="s">
        <v>3183</v>
      </c>
      <c r="E195" s="403">
        <v>244344841.06372878</v>
      </c>
      <c r="F195" s="431">
        <v>230685835.3815046</v>
      </c>
      <c r="G195" s="404">
        <v>25</v>
      </c>
      <c r="H195" s="405">
        <v>50738</v>
      </c>
      <c r="I195" s="404">
        <v>9131</v>
      </c>
      <c r="J195" s="404">
        <v>8645</v>
      </c>
      <c r="K195" s="406">
        <v>218468593.32831815</v>
      </c>
      <c r="L195" s="404">
        <v>365</v>
      </c>
      <c r="M195" s="404">
        <v>9223949</v>
      </c>
      <c r="N195" s="404">
        <v>64732985</v>
      </c>
      <c r="O195" s="404">
        <v>165952850.3815046</v>
      </c>
    </row>
    <row r="196" spans="2:15" s="154" customFormat="1" hidden="1" outlineLevel="1">
      <c r="B196" s="165" t="s">
        <v>2325</v>
      </c>
      <c r="C196" s="165" t="s">
        <v>2992</v>
      </c>
      <c r="D196" s="165" t="s">
        <v>3184</v>
      </c>
      <c r="E196" s="403">
        <v>57218959.216247819</v>
      </c>
      <c r="F196" s="431">
        <v>54020389.150075272</v>
      </c>
      <c r="G196" s="404">
        <v>25</v>
      </c>
      <c r="H196" s="405">
        <v>50738</v>
      </c>
      <c r="I196" s="404">
        <v>9131</v>
      </c>
      <c r="J196" s="404">
        <v>8645</v>
      </c>
      <c r="K196" s="406">
        <v>51159441.189262874</v>
      </c>
      <c r="L196" s="404">
        <v>365</v>
      </c>
      <c r="M196" s="404">
        <v>2160000</v>
      </c>
      <c r="N196" s="404">
        <v>15158717</v>
      </c>
      <c r="O196" s="404">
        <v>38861672.150075264</v>
      </c>
    </row>
    <row r="197" spans="2:15" s="154" customFormat="1" hidden="1" outlineLevel="1">
      <c r="B197" s="165" t="s">
        <v>2325</v>
      </c>
      <c r="C197" s="165" t="s">
        <v>2992</v>
      </c>
      <c r="D197" s="165" t="s">
        <v>3185</v>
      </c>
      <c r="E197" s="403">
        <v>293046487.32519984</v>
      </c>
      <c r="F197" s="431">
        <v>276665033.91862196</v>
      </c>
      <c r="G197" s="404">
        <v>25</v>
      </c>
      <c r="H197" s="405">
        <v>50738</v>
      </c>
      <c r="I197" s="404">
        <v>9131</v>
      </c>
      <c r="J197" s="404">
        <v>8645</v>
      </c>
      <c r="K197" s="406">
        <v>262012709.55236197</v>
      </c>
      <c r="L197" s="404">
        <v>365</v>
      </c>
      <c r="M197" s="404">
        <v>11062422</v>
      </c>
      <c r="N197" s="404">
        <v>77635252</v>
      </c>
      <c r="O197" s="404">
        <v>199029781.91862196</v>
      </c>
    </row>
    <row r="198" spans="2:15" s="154" customFormat="1" hidden="1" outlineLevel="1">
      <c r="B198" s="165" t="s">
        <v>2325</v>
      </c>
      <c r="C198" s="165" t="s">
        <v>2992</v>
      </c>
      <c r="D198" s="165" t="s">
        <v>3186</v>
      </c>
      <c r="E198" s="403">
        <v>61306067.879606813</v>
      </c>
      <c r="F198" s="431">
        <v>57879026.307417333</v>
      </c>
      <c r="G198" s="404">
        <v>25</v>
      </c>
      <c r="H198" s="405">
        <v>50738</v>
      </c>
      <c r="I198" s="404">
        <v>9131</v>
      </c>
      <c r="J198" s="404">
        <v>8645</v>
      </c>
      <c r="K198" s="406">
        <v>54813722.913436994</v>
      </c>
      <c r="L198" s="404">
        <v>365</v>
      </c>
      <c r="M198" s="404">
        <v>2314287</v>
      </c>
      <c r="N198" s="404">
        <v>16241493</v>
      </c>
      <c r="O198" s="404">
        <v>41637533.307417333</v>
      </c>
    </row>
    <row r="199" spans="2:15" s="154" customFormat="1" hidden="1" outlineLevel="1">
      <c r="B199" s="165" t="s">
        <v>2325</v>
      </c>
      <c r="C199" s="165" t="s">
        <v>2992</v>
      </c>
      <c r="D199" s="165" t="s">
        <v>3187</v>
      </c>
      <c r="E199" s="403">
        <v>41162159.403983876</v>
      </c>
      <c r="F199" s="431">
        <v>38861172.928392828</v>
      </c>
      <c r="G199" s="404">
        <v>20</v>
      </c>
      <c r="H199" s="405">
        <v>48912</v>
      </c>
      <c r="I199" s="404">
        <v>7305</v>
      </c>
      <c r="J199" s="404">
        <v>6819</v>
      </c>
      <c r="K199" s="406">
        <v>36803064.958193645</v>
      </c>
      <c r="L199" s="404">
        <v>365</v>
      </c>
      <c r="M199" s="404">
        <v>1969954</v>
      </c>
      <c r="N199" s="404">
        <v>13824990</v>
      </c>
      <c r="O199" s="404">
        <v>25036182.928392835</v>
      </c>
    </row>
    <row r="200" spans="2:15" s="154" customFormat="1" hidden="1" outlineLevel="1">
      <c r="B200" s="165" t="s">
        <v>2325</v>
      </c>
      <c r="C200" s="165" t="s">
        <v>2992</v>
      </c>
      <c r="D200" s="165" t="s">
        <v>3188</v>
      </c>
      <c r="E200" s="403">
        <v>131460119.5619389</v>
      </c>
      <c r="F200" s="431">
        <v>124111429.42868133</v>
      </c>
      <c r="G200" s="404">
        <v>15</v>
      </c>
      <c r="H200" s="405">
        <v>47086</v>
      </c>
      <c r="I200" s="404">
        <v>5479</v>
      </c>
      <c r="J200" s="404">
        <v>4993</v>
      </c>
      <c r="K200" s="406">
        <v>117538423.45058438</v>
      </c>
      <c r="L200" s="404">
        <v>365</v>
      </c>
      <c r="M200" s="404">
        <v>8592334</v>
      </c>
      <c r="N200" s="404">
        <v>60300359</v>
      </c>
      <c r="O200" s="404">
        <v>63811070.428681329</v>
      </c>
    </row>
    <row r="201" spans="2:15" s="154" customFormat="1" hidden="1" outlineLevel="1">
      <c r="B201" s="165" t="s">
        <v>2325</v>
      </c>
      <c r="C201" s="165" t="s">
        <v>2992</v>
      </c>
      <c r="D201" s="165" t="s">
        <v>3189</v>
      </c>
      <c r="E201" s="403">
        <v>32151385.030521348</v>
      </c>
      <c r="F201" s="431">
        <v>30354105.60286944</v>
      </c>
      <c r="G201" s="404">
        <v>20</v>
      </c>
      <c r="H201" s="405">
        <v>48912</v>
      </c>
      <c r="I201" s="404">
        <v>7305</v>
      </c>
      <c r="J201" s="404">
        <v>6819</v>
      </c>
      <c r="K201" s="406">
        <v>28746536.351343371</v>
      </c>
      <c r="L201" s="404">
        <v>365</v>
      </c>
      <c r="M201" s="404">
        <v>1538713</v>
      </c>
      <c r="N201" s="404">
        <v>10798574</v>
      </c>
      <c r="O201" s="404">
        <v>19555531.60286944</v>
      </c>
    </row>
    <row r="202" spans="2:15" s="154" customFormat="1" hidden="1" outlineLevel="1">
      <c r="B202" s="165" t="s">
        <v>2325</v>
      </c>
      <c r="C202" s="165" t="s">
        <v>2992</v>
      </c>
      <c r="D202" s="165" t="s">
        <v>3190</v>
      </c>
      <c r="E202" s="403">
        <v>26543326.845644694</v>
      </c>
      <c r="F202" s="431">
        <v>25059540.849401385</v>
      </c>
      <c r="G202" s="404">
        <v>25</v>
      </c>
      <c r="H202" s="405">
        <v>50738</v>
      </c>
      <c r="I202" s="404">
        <v>9131</v>
      </c>
      <c r="J202" s="404">
        <v>8645</v>
      </c>
      <c r="K202" s="406">
        <v>23732374.507119149</v>
      </c>
      <c r="L202" s="404">
        <v>365</v>
      </c>
      <c r="M202" s="404">
        <v>1002003</v>
      </c>
      <c r="N202" s="404">
        <v>7031982</v>
      </c>
      <c r="O202" s="404">
        <v>18027558.849401385</v>
      </c>
    </row>
    <row r="203" spans="2:15" s="154" customFormat="1" hidden="1" outlineLevel="1">
      <c r="B203" s="165" t="s">
        <v>2325</v>
      </c>
      <c r="C203" s="165" t="s">
        <v>2992</v>
      </c>
      <c r="D203" s="165" t="s">
        <v>3191</v>
      </c>
      <c r="E203" s="403">
        <v>278629200.35640526</v>
      </c>
      <c r="F203" s="431">
        <v>263053680.91172829</v>
      </c>
      <c r="G203" s="404">
        <v>25</v>
      </c>
      <c r="H203" s="405">
        <v>50738</v>
      </c>
      <c r="I203" s="404">
        <v>9131</v>
      </c>
      <c r="J203" s="404">
        <v>8645</v>
      </c>
      <c r="K203" s="406">
        <v>249122220.89390799</v>
      </c>
      <c r="L203" s="404">
        <v>365</v>
      </c>
      <c r="M203" s="404">
        <v>10518174</v>
      </c>
      <c r="N203" s="404">
        <v>73815759</v>
      </c>
      <c r="O203" s="404">
        <v>189237921.91172826</v>
      </c>
    </row>
    <row r="204" spans="2:15" s="154" customFormat="1" hidden="1" outlineLevel="1">
      <c r="B204" s="165"/>
      <c r="C204" s="165"/>
      <c r="D204" s="165"/>
      <c r="E204" s="403"/>
      <c r="F204" s="432"/>
      <c r="G204" s="404"/>
      <c r="H204" s="405"/>
      <c r="I204" s="404"/>
      <c r="J204" s="404"/>
      <c r="K204" s="404"/>
      <c r="L204" s="404"/>
      <c r="M204" s="404"/>
      <c r="N204" s="404"/>
      <c r="O204" s="404"/>
    </row>
    <row r="205" spans="2:15" s="154" customFormat="1" hidden="1" outlineLevel="1">
      <c r="B205" s="165" t="s">
        <v>2325</v>
      </c>
      <c r="C205" s="165" t="s">
        <v>2992</v>
      </c>
      <c r="D205" s="165" t="s">
        <v>3192</v>
      </c>
      <c r="E205" s="403">
        <v>44873418.352797069</v>
      </c>
      <c r="F205" s="431">
        <v>42364970.591087714</v>
      </c>
      <c r="G205" s="404">
        <v>25</v>
      </c>
      <c r="H205" s="405">
        <v>50738</v>
      </c>
      <c r="I205" s="404">
        <v>9131</v>
      </c>
      <c r="J205" s="404">
        <v>8645</v>
      </c>
      <c r="K205" s="406">
        <v>40121299.673447862</v>
      </c>
      <c r="L205" s="404">
        <v>365</v>
      </c>
      <c r="M205" s="404">
        <v>1693959</v>
      </c>
      <c r="N205" s="404">
        <v>11888078</v>
      </c>
      <c r="O205" s="404">
        <v>30476892.591087714</v>
      </c>
    </row>
    <row r="206" spans="2:15" s="154" customFormat="1" hidden="1" outlineLevel="1">
      <c r="B206" s="165" t="s">
        <v>2325</v>
      </c>
      <c r="C206" s="165" t="s">
        <v>2992</v>
      </c>
      <c r="D206" s="165" t="s">
        <v>3193</v>
      </c>
      <c r="E206" s="403">
        <v>44873418.352797069</v>
      </c>
      <c r="F206" s="431">
        <v>42364970.591087714</v>
      </c>
      <c r="G206" s="404">
        <v>25</v>
      </c>
      <c r="H206" s="405">
        <v>50738</v>
      </c>
      <c r="I206" s="404">
        <v>9131</v>
      </c>
      <c r="J206" s="404">
        <v>8645</v>
      </c>
      <c r="K206" s="406">
        <v>40121299.673447862</v>
      </c>
      <c r="L206" s="404">
        <v>365</v>
      </c>
      <c r="M206" s="404">
        <v>1693959</v>
      </c>
      <c r="N206" s="404">
        <v>11888078</v>
      </c>
      <c r="O206" s="404">
        <v>30476892.591087714</v>
      </c>
    </row>
    <row r="207" spans="2:15" s="154" customFormat="1" hidden="1" outlineLevel="1">
      <c r="B207" s="165" t="s">
        <v>2325</v>
      </c>
      <c r="C207" s="165" t="s">
        <v>2992</v>
      </c>
      <c r="D207" s="165" t="s">
        <v>3194</v>
      </c>
      <c r="E207" s="403">
        <v>44873418.352797069</v>
      </c>
      <c r="F207" s="431">
        <v>42364970.591087714</v>
      </c>
      <c r="G207" s="404">
        <v>25</v>
      </c>
      <c r="H207" s="405">
        <v>50738</v>
      </c>
      <c r="I207" s="404">
        <v>9131</v>
      </c>
      <c r="J207" s="404">
        <v>8645</v>
      </c>
      <c r="K207" s="406">
        <v>40121299.673447862</v>
      </c>
      <c r="L207" s="404">
        <v>365</v>
      </c>
      <c r="M207" s="404">
        <v>1693959</v>
      </c>
      <c r="N207" s="404">
        <v>11888078</v>
      </c>
      <c r="O207" s="404">
        <v>30476892.591087714</v>
      </c>
    </row>
    <row r="208" spans="2:15" s="154" customFormat="1" hidden="1" outlineLevel="1">
      <c r="B208" s="165"/>
      <c r="C208" s="165"/>
      <c r="D208" s="165"/>
      <c r="E208" s="403"/>
      <c r="F208" s="432"/>
      <c r="G208" s="404"/>
      <c r="H208" s="405"/>
      <c r="I208" s="404"/>
      <c r="J208" s="404"/>
      <c r="K208" s="404"/>
      <c r="L208" s="404"/>
      <c r="M208" s="404"/>
      <c r="N208" s="404"/>
      <c r="O208" s="404"/>
    </row>
    <row r="209" spans="2:15" s="154" customFormat="1" hidden="1" outlineLevel="1">
      <c r="B209" s="165" t="s">
        <v>2325</v>
      </c>
      <c r="C209" s="165" t="s">
        <v>2992</v>
      </c>
      <c r="D209" s="165" t="s">
        <v>3195</v>
      </c>
      <c r="E209" s="403">
        <v>48388338.065825008</v>
      </c>
      <c r="F209" s="431">
        <v>45683404.391961679</v>
      </c>
      <c r="G209" s="404">
        <v>25</v>
      </c>
      <c r="H209" s="405">
        <v>50738</v>
      </c>
      <c r="I209" s="404">
        <v>9131</v>
      </c>
      <c r="J209" s="404">
        <v>8645</v>
      </c>
      <c r="K209" s="406">
        <v>43263987.488670424</v>
      </c>
      <c r="L209" s="404">
        <v>365</v>
      </c>
      <c r="M209" s="404">
        <v>1826646</v>
      </c>
      <c r="N209" s="404">
        <v>12819266</v>
      </c>
      <c r="O209" s="404">
        <v>32864138.391961671</v>
      </c>
    </row>
    <row r="210" spans="2:15" s="154" customFormat="1" hidden="1" outlineLevel="1">
      <c r="B210" s="165" t="s">
        <v>2325</v>
      </c>
      <c r="C210" s="165" t="s">
        <v>2992</v>
      </c>
      <c r="D210" s="165" t="s">
        <v>3196</v>
      </c>
      <c r="E210" s="403">
        <v>24113540.349320382</v>
      </c>
      <c r="F210" s="431">
        <v>22765580.719072461</v>
      </c>
      <c r="G210" s="404">
        <v>20</v>
      </c>
      <c r="H210" s="405">
        <v>48912</v>
      </c>
      <c r="I210" s="404">
        <v>7305</v>
      </c>
      <c r="J210" s="404">
        <v>6819</v>
      </c>
      <c r="K210" s="406">
        <v>21559903.701606441</v>
      </c>
      <c r="L210" s="404">
        <v>365</v>
      </c>
      <c r="M210" s="404">
        <v>1154035</v>
      </c>
      <c r="N210" s="404">
        <v>8098932</v>
      </c>
      <c r="O210" s="404">
        <v>14666648.719072461</v>
      </c>
    </row>
    <row r="211" spans="2:15" s="154" customFormat="1" hidden="1" outlineLevel="1">
      <c r="B211" s="165" t="s">
        <v>2325</v>
      </c>
      <c r="C211" s="165" t="s">
        <v>2992</v>
      </c>
      <c r="D211" s="165" t="s">
        <v>3197</v>
      </c>
      <c r="E211" s="403">
        <v>21628880.444557283</v>
      </c>
      <c r="F211" s="431">
        <v>20419814.618569992</v>
      </c>
      <c r="G211" s="404">
        <v>25</v>
      </c>
      <c r="H211" s="405">
        <v>50738</v>
      </c>
      <c r="I211" s="404">
        <v>9131</v>
      </c>
      <c r="J211" s="404">
        <v>8645</v>
      </c>
      <c r="K211" s="406">
        <v>19338370.596342128</v>
      </c>
      <c r="L211" s="404">
        <v>365</v>
      </c>
      <c r="M211" s="404">
        <v>816484</v>
      </c>
      <c r="N211" s="404">
        <v>5730024</v>
      </c>
      <c r="O211" s="404">
        <v>14689790.618569992</v>
      </c>
    </row>
    <row r="212" spans="2:15" s="154" customFormat="1" hidden="1" outlineLevel="1">
      <c r="B212" s="165" t="s">
        <v>2325</v>
      </c>
      <c r="C212" s="165" t="s">
        <v>2992</v>
      </c>
      <c r="D212" s="165" t="s">
        <v>3198</v>
      </c>
      <c r="E212" s="403">
        <v>6047167.6787609812</v>
      </c>
      <c r="F212" s="431">
        <v>5709127.8182540489</v>
      </c>
      <c r="G212" s="404">
        <v>25</v>
      </c>
      <c r="H212" s="405">
        <v>50738</v>
      </c>
      <c r="I212" s="404">
        <v>9131</v>
      </c>
      <c r="J212" s="404">
        <v>8645</v>
      </c>
      <c r="K212" s="406">
        <v>5406769.4343160009</v>
      </c>
      <c r="L212" s="404">
        <v>365</v>
      </c>
      <c r="M212" s="404">
        <v>228279</v>
      </c>
      <c r="N212" s="404">
        <v>1602044</v>
      </c>
      <c r="O212" s="404">
        <v>4107083.8182540499</v>
      </c>
    </row>
    <row r="213" spans="2:15" s="154" customFormat="1" hidden="1" outlineLevel="1">
      <c r="B213" s="165" t="s">
        <v>2325</v>
      </c>
      <c r="C213" s="165" t="s">
        <v>2992</v>
      </c>
      <c r="D213" s="165" t="s">
        <v>3198</v>
      </c>
      <c r="E213" s="403">
        <v>451137.95254552562</v>
      </c>
      <c r="F213" s="431">
        <v>425919.08253732411</v>
      </c>
      <c r="G213" s="404">
        <v>25</v>
      </c>
      <c r="H213" s="405">
        <v>50738</v>
      </c>
      <c r="I213" s="404">
        <v>9131</v>
      </c>
      <c r="J213" s="404">
        <v>8645</v>
      </c>
      <c r="K213" s="406">
        <v>403362.1849100478</v>
      </c>
      <c r="L213" s="404">
        <v>365</v>
      </c>
      <c r="M213" s="404">
        <v>17030</v>
      </c>
      <c r="N213" s="404">
        <v>119516</v>
      </c>
      <c r="O213" s="404">
        <v>306403.08253732411</v>
      </c>
    </row>
    <row r="214" spans="2:15" s="154" customFormat="1" hidden="1" outlineLevel="1">
      <c r="B214" s="165" t="s">
        <v>2325</v>
      </c>
      <c r="C214" s="165" t="s">
        <v>2992</v>
      </c>
      <c r="D214" s="165" t="s">
        <v>3199</v>
      </c>
      <c r="E214" s="403">
        <v>10703583.803742794</v>
      </c>
      <c r="F214" s="431">
        <v>10105247.856486501</v>
      </c>
      <c r="G214" s="404">
        <v>15</v>
      </c>
      <c r="H214" s="405">
        <v>47086</v>
      </c>
      <c r="I214" s="404">
        <v>5479</v>
      </c>
      <c r="J214" s="404">
        <v>4993</v>
      </c>
      <c r="K214" s="406">
        <v>9570068.6662993617</v>
      </c>
      <c r="L214" s="404">
        <v>365</v>
      </c>
      <c r="M214" s="404">
        <v>699594</v>
      </c>
      <c r="N214" s="404">
        <v>4909699</v>
      </c>
      <c r="O214" s="404">
        <v>5195548.8564865012</v>
      </c>
    </row>
    <row r="215" spans="2:15" s="154" customFormat="1" hidden="1" outlineLevel="1">
      <c r="B215" s="165" t="s">
        <v>2325</v>
      </c>
      <c r="C215" s="165" t="s">
        <v>2992</v>
      </c>
      <c r="D215" s="165" t="s">
        <v>3190</v>
      </c>
      <c r="E215" s="403">
        <v>50567686.748316854</v>
      </c>
      <c r="F215" s="431">
        <v>47740926.353500351</v>
      </c>
      <c r="G215" s="404">
        <v>25</v>
      </c>
      <c r="H215" s="405">
        <v>50738</v>
      </c>
      <c r="I215" s="404">
        <v>9131</v>
      </c>
      <c r="J215" s="404">
        <v>8645</v>
      </c>
      <c r="K215" s="406">
        <v>45212542.016084507</v>
      </c>
      <c r="L215" s="404">
        <v>365</v>
      </c>
      <c r="M215" s="404">
        <v>1908916</v>
      </c>
      <c r="N215" s="404">
        <v>13396630</v>
      </c>
      <c r="O215" s="404">
        <v>34344296.353500351</v>
      </c>
    </row>
    <row r="216" spans="2:15" s="154" customFormat="1" hidden="1" outlineLevel="1">
      <c r="B216" s="165" t="s">
        <v>2325</v>
      </c>
      <c r="C216" s="165" t="s">
        <v>2992</v>
      </c>
      <c r="D216" s="165" t="s">
        <v>3200</v>
      </c>
      <c r="E216" s="403">
        <v>7912895.3103598896</v>
      </c>
      <c r="F216" s="431">
        <v>7470560.2410345571</v>
      </c>
      <c r="G216" s="404">
        <v>25</v>
      </c>
      <c r="H216" s="405">
        <v>50738</v>
      </c>
      <c r="I216" s="404">
        <v>9131</v>
      </c>
      <c r="J216" s="404">
        <v>8645</v>
      </c>
      <c r="K216" s="406">
        <v>7074915.4755165614</v>
      </c>
      <c r="L216" s="404">
        <v>365</v>
      </c>
      <c r="M216" s="404">
        <v>298710</v>
      </c>
      <c r="N216" s="404">
        <v>2096324</v>
      </c>
      <c r="O216" s="404">
        <v>5374236.2410345562</v>
      </c>
    </row>
    <row r="217" spans="2:15" s="154" customFormat="1" hidden="1" outlineLevel="1">
      <c r="B217" s="165" t="s">
        <v>2325</v>
      </c>
      <c r="C217" s="165" t="s">
        <v>2992</v>
      </c>
      <c r="D217" s="165" t="s">
        <v>3201</v>
      </c>
      <c r="E217" s="403">
        <v>5739198.3410164248</v>
      </c>
      <c r="F217" s="431">
        <v>5418374.1727665178</v>
      </c>
      <c r="G217" s="404">
        <v>15</v>
      </c>
      <c r="H217" s="405">
        <v>47086</v>
      </c>
      <c r="I217" s="404">
        <v>5479</v>
      </c>
      <c r="J217" s="404">
        <v>4993</v>
      </c>
      <c r="K217" s="406">
        <v>5131414.2557156961</v>
      </c>
      <c r="L217" s="404">
        <v>365</v>
      </c>
      <c r="M217" s="404">
        <v>375118</v>
      </c>
      <c r="N217" s="404">
        <v>2632551</v>
      </c>
      <c r="O217" s="404">
        <v>2785823.1727665178</v>
      </c>
    </row>
    <row r="218" spans="2:15" s="154" customFormat="1" hidden="1" outlineLevel="1">
      <c r="B218" s="165" t="s">
        <v>2325</v>
      </c>
      <c r="C218" s="165" t="s">
        <v>2992</v>
      </c>
      <c r="D218" s="165" t="s">
        <v>3202</v>
      </c>
      <c r="E218" s="403">
        <v>8881736.4129161928</v>
      </c>
      <c r="F218" s="431">
        <v>8385242.6131584067</v>
      </c>
      <c r="G218" s="404">
        <v>15</v>
      </c>
      <c r="H218" s="405">
        <v>47086</v>
      </c>
      <c r="I218" s="404">
        <v>5479</v>
      </c>
      <c r="J218" s="404">
        <v>4993</v>
      </c>
      <c r="K218" s="406">
        <v>7941155.7925125994</v>
      </c>
      <c r="L218" s="404">
        <v>365</v>
      </c>
      <c r="M218" s="404">
        <v>580517</v>
      </c>
      <c r="N218" s="404">
        <v>4074026</v>
      </c>
      <c r="O218" s="404">
        <v>4311216.6131584086</v>
      </c>
    </row>
    <row r="219" spans="2:15" s="154" customFormat="1" hidden="1" outlineLevel="1">
      <c r="B219" s="165" t="s">
        <v>2325</v>
      </c>
      <c r="C219" s="165" t="s">
        <v>2992</v>
      </c>
      <c r="D219" s="165" t="s">
        <v>3203</v>
      </c>
      <c r="E219" s="403">
        <v>4169871.1612350559</v>
      </c>
      <c r="F219" s="431">
        <v>3936773.1565927719</v>
      </c>
      <c r="G219" s="404">
        <v>15</v>
      </c>
      <c r="H219" s="405">
        <v>47086</v>
      </c>
      <c r="I219" s="404">
        <v>5479</v>
      </c>
      <c r="J219" s="404">
        <v>4993</v>
      </c>
      <c r="K219" s="406">
        <v>3728279.5985310189</v>
      </c>
      <c r="L219" s="404">
        <v>365</v>
      </c>
      <c r="M219" s="404">
        <v>272546</v>
      </c>
      <c r="N219" s="404">
        <v>1912708</v>
      </c>
      <c r="O219" s="404">
        <v>2024065.1565927719</v>
      </c>
    </row>
    <row r="220" spans="2:15" s="154" customFormat="1" hidden="1" outlineLevel="1">
      <c r="B220" s="165" t="s">
        <v>2325</v>
      </c>
      <c r="C220" s="165" t="s">
        <v>2992</v>
      </c>
      <c r="D220" s="165" t="s">
        <v>3204</v>
      </c>
      <c r="E220" s="403">
        <v>52237179.308412649</v>
      </c>
      <c r="F220" s="431">
        <v>49317093.375439614</v>
      </c>
      <c r="G220" s="404">
        <v>25</v>
      </c>
      <c r="H220" s="405">
        <v>50738</v>
      </c>
      <c r="I220" s="404">
        <v>9131</v>
      </c>
      <c r="J220" s="404">
        <v>8645</v>
      </c>
      <c r="K220" s="406">
        <v>46705234.410018981</v>
      </c>
      <c r="L220" s="404">
        <v>365</v>
      </c>
      <c r="M220" s="404">
        <v>1971939</v>
      </c>
      <c r="N220" s="404">
        <v>13838920</v>
      </c>
      <c r="O220" s="404">
        <v>35478173.375439614</v>
      </c>
    </row>
    <row r="221" spans="2:15" s="154" customFormat="1" hidden="1" outlineLevel="1">
      <c r="B221" s="165" t="s">
        <v>2325</v>
      </c>
      <c r="C221" s="165" t="s">
        <v>2992</v>
      </c>
      <c r="D221" s="165" t="s">
        <v>3205</v>
      </c>
      <c r="E221" s="403">
        <v>246463904.06809613</v>
      </c>
      <c r="F221" s="431">
        <v>232686441.63045928</v>
      </c>
      <c r="G221" s="404">
        <v>25</v>
      </c>
      <c r="H221" s="405">
        <v>50738</v>
      </c>
      <c r="I221" s="404">
        <v>9131</v>
      </c>
      <c r="J221" s="404">
        <v>8645</v>
      </c>
      <c r="K221" s="406">
        <v>220363246.42705446</v>
      </c>
      <c r="L221" s="404">
        <v>365</v>
      </c>
      <c r="M221" s="404">
        <v>9303943</v>
      </c>
      <c r="N221" s="404">
        <v>65294377</v>
      </c>
      <c r="O221" s="404">
        <v>167392064.63045928</v>
      </c>
    </row>
    <row r="222" spans="2:15" s="154" customFormat="1" hidden="1" outlineLevel="1">
      <c r="B222" s="165" t="s">
        <v>2325</v>
      </c>
      <c r="C222" s="165" t="s">
        <v>2992</v>
      </c>
      <c r="D222" s="165" t="s">
        <v>3206</v>
      </c>
      <c r="E222" s="403">
        <v>54255443.854467295</v>
      </c>
      <c r="F222" s="431">
        <v>51222535.871222124</v>
      </c>
      <c r="G222" s="404">
        <v>20</v>
      </c>
      <c r="H222" s="405">
        <v>48912</v>
      </c>
      <c r="I222" s="404">
        <v>7305</v>
      </c>
      <c r="J222" s="404">
        <v>6819</v>
      </c>
      <c r="K222" s="406">
        <v>48509763.67849876</v>
      </c>
      <c r="L222" s="404">
        <v>365</v>
      </c>
      <c r="M222" s="404">
        <v>2596578</v>
      </c>
      <c r="N222" s="404">
        <v>18222590</v>
      </c>
      <c r="O222" s="404">
        <v>32999945.871222124</v>
      </c>
    </row>
    <row r="223" spans="2:15" s="154" customFormat="1" hidden="1" outlineLevel="1">
      <c r="B223" s="165" t="s">
        <v>2325</v>
      </c>
      <c r="C223" s="165" t="s">
        <v>2992</v>
      </c>
      <c r="D223" s="165" t="s">
        <v>3207</v>
      </c>
      <c r="E223" s="403">
        <v>45473645.517138213</v>
      </c>
      <c r="F223" s="431">
        <v>42931644.691197671</v>
      </c>
      <c r="G223" s="404">
        <v>25</v>
      </c>
      <c r="H223" s="405">
        <v>50738</v>
      </c>
      <c r="I223" s="404">
        <v>9131</v>
      </c>
      <c r="J223" s="404">
        <v>8645</v>
      </c>
      <c r="K223" s="406">
        <v>40657962.415340759</v>
      </c>
      <c r="L223" s="404">
        <v>365</v>
      </c>
      <c r="M223" s="404">
        <v>1716617</v>
      </c>
      <c r="N223" s="404">
        <v>12047090</v>
      </c>
      <c r="O223" s="404">
        <v>30884554.691197671</v>
      </c>
    </row>
    <row r="224" spans="2:15" s="154" customFormat="1" hidden="1" outlineLevel="1">
      <c r="B224" s="165" t="s">
        <v>2325</v>
      </c>
      <c r="C224" s="165" t="s">
        <v>2992</v>
      </c>
      <c r="D224" s="165" t="s">
        <v>3208</v>
      </c>
      <c r="E224" s="403">
        <v>3954218.4029270327</v>
      </c>
      <c r="F224" s="431">
        <v>3733175.491653013</v>
      </c>
      <c r="G224" s="404">
        <v>15</v>
      </c>
      <c r="H224" s="405">
        <v>47086</v>
      </c>
      <c r="I224" s="404">
        <v>5479</v>
      </c>
      <c r="J224" s="404">
        <v>4993</v>
      </c>
      <c r="K224" s="406">
        <v>3535464.5715066614</v>
      </c>
      <c r="L224" s="404">
        <v>365</v>
      </c>
      <c r="M224" s="404">
        <v>258451</v>
      </c>
      <c r="N224" s="404">
        <v>1813789</v>
      </c>
      <c r="O224" s="404">
        <v>1919386.491653013</v>
      </c>
    </row>
    <row r="225" spans="2:15" s="154" customFormat="1" hidden="1" outlineLevel="1">
      <c r="B225" s="165" t="s">
        <v>2325</v>
      </c>
      <c r="C225" s="165" t="s">
        <v>2992</v>
      </c>
      <c r="D225" s="165" t="s">
        <v>3209</v>
      </c>
      <c r="E225" s="403">
        <v>9254986.7131769247</v>
      </c>
      <c r="F225" s="431">
        <v>8737628.0572516359</v>
      </c>
      <c r="G225" s="404">
        <v>10</v>
      </c>
      <c r="H225" s="405">
        <v>45259</v>
      </c>
      <c r="I225" s="404">
        <v>3652</v>
      </c>
      <c r="J225" s="404">
        <v>3166</v>
      </c>
      <c r="K225" s="406">
        <v>8274878.7215927877</v>
      </c>
      <c r="L225" s="404">
        <v>365</v>
      </c>
      <c r="M225" s="404">
        <v>953989</v>
      </c>
      <c r="N225" s="404">
        <v>6695024</v>
      </c>
      <c r="O225" s="404">
        <v>2042604.0572516341</v>
      </c>
    </row>
    <row r="226" spans="2:15" s="154" customFormat="1" ht="27" hidden="1" outlineLevel="1">
      <c r="B226" s="165" t="s">
        <v>2325</v>
      </c>
      <c r="C226" s="165" t="s">
        <v>2992</v>
      </c>
      <c r="D226" s="165" t="s">
        <v>3210</v>
      </c>
      <c r="E226" s="403">
        <v>1366407.2598614204</v>
      </c>
      <c r="F226" s="431">
        <v>1290024.3657303401</v>
      </c>
      <c r="G226" s="404">
        <v>10</v>
      </c>
      <c r="H226" s="405">
        <v>45259</v>
      </c>
      <c r="I226" s="404">
        <v>3652</v>
      </c>
      <c r="J226" s="404">
        <v>3166</v>
      </c>
      <c r="K226" s="406">
        <v>1221704.002737269</v>
      </c>
      <c r="L226" s="404">
        <v>365</v>
      </c>
      <c r="M226" s="404">
        <v>140847</v>
      </c>
      <c r="N226" s="404">
        <v>988454</v>
      </c>
      <c r="O226" s="404">
        <v>301570.36573034013</v>
      </c>
    </row>
    <row r="227" spans="2:15" s="154" customFormat="1" hidden="1" outlineLevel="1">
      <c r="B227" s="165" t="s">
        <v>2325</v>
      </c>
      <c r="C227" s="165" t="s">
        <v>2992</v>
      </c>
      <c r="D227" s="165" t="s">
        <v>3211</v>
      </c>
      <c r="E227" s="403">
        <v>206284844.05402648</v>
      </c>
      <c r="F227" s="431">
        <v>194753412.32066548</v>
      </c>
      <c r="G227" s="404">
        <v>25</v>
      </c>
      <c r="H227" s="405">
        <v>50738</v>
      </c>
      <c r="I227" s="404">
        <v>9131</v>
      </c>
      <c r="J227" s="404">
        <v>8645</v>
      </c>
      <c r="K227" s="406">
        <v>184439170.11796412</v>
      </c>
      <c r="L227" s="404">
        <v>365</v>
      </c>
      <c r="M227" s="404">
        <v>7787195</v>
      </c>
      <c r="N227" s="404">
        <v>54649952</v>
      </c>
      <c r="O227" s="404">
        <v>140103460.32066545</v>
      </c>
    </row>
    <row r="228" spans="2:15" s="154" customFormat="1" hidden="1" outlineLevel="1">
      <c r="B228" s="165" t="s">
        <v>2325</v>
      </c>
      <c r="C228" s="165" t="s">
        <v>2992</v>
      </c>
      <c r="D228" s="165" t="s">
        <v>3212</v>
      </c>
      <c r="E228" s="403">
        <v>3927279.9842409045</v>
      </c>
      <c r="F228" s="431">
        <v>3707742.9686167846</v>
      </c>
      <c r="G228" s="404">
        <v>20</v>
      </c>
      <c r="H228" s="405">
        <v>48912</v>
      </c>
      <c r="I228" s="404">
        <v>7305</v>
      </c>
      <c r="J228" s="404">
        <v>6819</v>
      </c>
      <c r="K228" s="406">
        <v>3511378.9694047393</v>
      </c>
      <c r="L228" s="404">
        <v>365</v>
      </c>
      <c r="M228" s="404">
        <v>187953</v>
      </c>
      <c r="N228" s="404">
        <v>1319040</v>
      </c>
      <c r="O228" s="404">
        <v>2388702.9686167846</v>
      </c>
    </row>
    <row r="229" spans="2:15" s="154" customFormat="1" hidden="1" outlineLevel="1">
      <c r="B229" s="165" t="s">
        <v>2325</v>
      </c>
      <c r="C229" s="165" t="s">
        <v>2992</v>
      </c>
      <c r="D229" s="165" t="s">
        <v>3213</v>
      </c>
      <c r="E229" s="403">
        <v>19273880.863334525</v>
      </c>
      <c r="F229" s="431">
        <v>18196460.744632512</v>
      </c>
      <c r="G229" s="404">
        <v>20</v>
      </c>
      <c r="H229" s="405">
        <v>48912</v>
      </c>
      <c r="I229" s="404">
        <v>7305</v>
      </c>
      <c r="J229" s="404">
        <v>6819</v>
      </c>
      <c r="K229" s="406">
        <v>17232766.701465782</v>
      </c>
      <c r="L229" s="404">
        <v>365</v>
      </c>
      <c r="M229" s="404">
        <v>922417</v>
      </c>
      <c r="N229" s="404">
        <v>6473453</v>
      </c>
      <c r="O229" s="404">
        <v>11723007.744632509</v>
      </c>
    </row>
    <row r="230" spans="2:15" s="154" customFormat="1" ht="27" hidden="1" outlineLevel="1">
      <c r="B230" s="165" t="s">
        <v>2325</v>
      </c>
      <c r="C230" s="165" t="s">
        <v>2992</v>
      </c>
      <c r="D230" s="165" t="s">
        <v>3214</v>
      </c>
      <c r="E230" s="403">
        <v>27166902.280629519</v>
      </c>
      <c r="F230" s="431">
        <v>25648258.067777377</v>
      </c>
      <c r="G230" s="404">
        <v>25</v>
      </c>
      <c r="H230" s="405">
        <v>50738</v>
      </c>
      <c r="I230" s="404">
        <v>9131</v>
      </c>
      <c r="J230" s="404">
        <v>8645</v>
      </c>
      <c r="K230" s="406">
        <v>24289912.953745902</v>
      </c>
      <c r="L230" s="404">
        <v>365</v>
      </c>
      <c r="M230" s="404">
        <v>1025543</v>
      </c>
      <c r="N230" s="404">
        <v>7197184</v>
      </c>
      <c r="O230" s="404">
        <v>18451074.067777377</v>
      </c>
    </row>
    <row r="231" spans="2:15" s="154" customFormat="1" ht="27" hidden="1" outlineLevel="1">
      <c r="B231" s="165" t="s">
        <v>2325</v>
      </c>
      <c r="C231" s="165" t="s">
        <v>2992</v>
      </c>
      <c r="D231" s="165" t="s">
        <v>3215</v>
      </c>
      <c r="E231" s="403">
        <v>20362976.40586675</v>
      </c>
      <c r="F231" s="431">
        <v>19224675.256520484</v>
      </c>
      <c r="G231" s="404">
        <v>15</v>
      </c>
      <c r="H231" s="405">
        <v>47086</v>
      </c>
      <c r="I231" s="404">
        <v>5479</v>
      </c>
      <c r="J231" s="404">
        <v>4993</v>
      </c>
      <c r="K231" s="406">
        <v>18206526.436227147</v>
      </c>
      <c r="L231" s="404">
        <v>365</v>
      </c>
      <c r="M231" s="404">
        <v>1330940</v>
      </c>
      <c r="N231" s="404">
        <v>9340437</v>
      </c>
      <c r="O231" s="404">
        <v>9884238.2565204836</v>
      </c>
    </row>
    <row r="232" spans="2:15" s="154" customFormat="1" hidden="1" outlineLevel="1">
      <c r="B232" s="165" t="s">
        <v>2325</v>
      </c>
      <c r="C232" s="165" t="s">
        <v>2992</v>
      </c>
      <c r="D232" s="165" t="s">
        <v>3216</v>
      </c>
      <c r="E232" s="403">
        <v>48633215.622039832</v>
      </c>
      <c r="F232" s="431">
        <v>45914593.177579962</v>
      </c>
      <c r="G232" s="404">
        <v>20</v>
      </c>
      <c r="H232" s="405">
        <v>48912</v>
      </c>
      <c r="I232" s="404">
        <v>7305</v>
      </c>
      <c r="J232" s="404">
        <v>6819</v>
      </c>
      <c r="K232" s="406">
        <v>43482932.396477968</v>
      </c>
      <c r="L232" s="404">
        <v>365</v>
      </c>
      <c r="M232" s="404">
        <v>2327507</v>
      </c>
      <c r="N232" s="404">
        <v>16334271</v>
      </c>
      <c r="O232" s="404">
        <v>29580322.177579962</v>
      </c>
    </row>
    <row r="233" spans="2:15" s="154" customFormat="1" hidden="1" outlineLevel="1">
      <c r="B233" s="165" t="s">
        <v>2325</v>
      </c>
      <c r="C233" s="165"/>
      <c r="D233" s="165" t="s">
        <v>3217</v>
      </c>
      <c r="E233" s="403">
        <v>699542161.06441414</v>
      </c>
      <c r="F233" s="431">
        <v>660437384.27120543</v>
      </c>
      <c r="G233" s="404">
        <v>50</v>
      </c>
      <c r="H233" s="405">
        <v>59869</v>
      </c>
      <c r="I233" s="404">
        <v>18262</v>
      </c>
      <c r="J233" s="404">
        <v>17776</v>
      </c>
      <c r="K233" s="406">
        <v>625460276.21798468</v>
      </c>
      <c r="L233" s="404">
        <v>365</v>
      </c>
      <c r="M233" s="404">
        <v>12842766</v>
      </c>
      <c r="N233" s="404">
        <v>90129572</v>
      </c>
      <c r="O233" s="404">
        <v>570307812.27120543</v>
      </c>
    </row>
    <row r="234" spans="2:15" s="154" customFormat="1" hidden="1" outlineLevel="1">
      <c r="B234" s="165" t="s">
        <v>2325</v>
      </c>
      <c r="C234" s="165"/>
      <c r="D234" s="165" t="s">
        <v>3218</v>
      </c>
      <c r="E234" s="403">
        <v>8151010.2517186077</v>
      </c>
      <c r="F234" s="431">
        <v>7695364.475678416</v>
      </c>
      <c r="G234" s="404">
        <v>15</v>
      </c>
      <c r="H234" s="405">
        <v>47086</v>
      </c>
      <c r="I234" s="404">
        <v>5479</v>
      </c>
      <c r="J234" s="404">
        <v>4993</v>
      </c>
      <c r="K234" s="406">
        <v>7287813.9630924854</v>
      </c>
      <c r="L234" s="404">
        <v>365</v>
      </c>
      <c r="M234" s="404">
        <v>532756</v>
      </c>
      <c r="N234" s="404">
        <v>3738843</v>
      </c>
      <c r="O234" s="404">
        <v>3956521.475678416</v>
      </c>
    </row>
    <row r="235" spans="2:15" s="154" customFormat="1" hidden="1" outlineLevel="1">
      <c r="B235" s="165" t="s">
        <v>2325</v>
      </c>
      <c r="C235" s="165"/>
      <c r="D235" s="165" t="s">
        <v>3219</v>
      </c>
      <c r="E235" s="403">
        <v>24846468.805801455</v>
      </c>
      <c r="F235" s="431">
        <v>23457538.074011795</v>
      </c>
      <c r="G235" s="404">
        <v>5</v>
      </c>
      <c r="H235" s="405">
        <v>43433</v>
      </c>
      <c r="I235" s="404">
        <v>1826</v>
      </c>
      <c r="J235" s="404">
        <v>1340</v>
      </c>
      <c r="K235" s="406">
        <v>22215214.633721724</v>
      </c>
      <c r="L235" s="404">
        <v>0</v>
      </c>
      <c r="M235" s="404">
        <v>0</v>
      </c>
      <c r="N235" s="404">
        <v>23457538</v>
      </c>
      <c r="O235" s="404">
        <v>7.4011795222759247E-2</v>
      </c>
    </row>
    <row r="236" spans="2:15" s="154" customFormat="1" hidden="1" outlineLevel="1">
      <c r="B236" s="165" t="s">
        <v>2325</v>
      </c>
      <c r="C236" s="165" t="s">
        <v>2992</v>
      </c>
      <c r="D236" s="165" t="s">
        <v>3220</v>
      </c>
      <c r="E236" s="403">
        <v>42254.866239609946</v>
      </c>
      <c r="F236" s="431">
        <v>39892.767299634012</v>
      </c>
      <c r="G236" s="404">
        <v>20</v>
      </c>
      <c r="H236" s="405">
        <v>48912</v>
      </c>
      <c r="I236" s="404">
        <v>7305</v>
      </c>
      <c r="J236" s="404">
        <v>6819</v>
      </c>
      <c r="K236" s="406">
        <v>37780.023987653512</v>
      </c>
      <c r="L236" s="404">
        <v>365</v>
      </c>
      <c r="M236" s="404">
        <v>2022</v>
      </c>
      <c r="N236" s="404">
        <v>14191</v>
      </c>
      <c r="O236" s="404">
        <v>25701.767299634012</v>
      </c>
    </row>
    <row r="237" spans="2:15" s="154" customFormat="1" hidden="1" outlineLevel="1">
      <c r="B237" s="165" t="s">
        <v>2325</v>
      </c>
      <c r="C237" s="165" t="s">
        <v>3221</v>
      </c>
      <c r="D237" s="165" t="s">
        <v>3222</v>
      </c>
      <c r="E237" s="403">
        <v>71212493.409480155</v>
      </c>
      <c r="F237" s="431">
        <v>67231677.380898133</v>
      </c>
      <c r="G237" s="404">
        <v>25</v>
      </c>
      <c r="H237" s="405">
        <v>50738</v>
      </c>
      <c r="I237" s="404">
        <v>9131</v>
      </c>
      <c r="J237" s="404">
        <v>8645</v>
      </c>
      <c r="K237" s="406">
        <v>63671052.710424125</v>
      </c>
      <c r="L237" s="404">
        <v>365</v>
      </c>
      <c r="M237" s="404">
        <v>2688252</v>
      </c>
      <c r="N237" s="404">
        <v>18865951</v>
      </c>
      <c r="O237" s="404">
        <v>48365726.380898133</v>
      </c>
    </row>
    <row r="238" spans="2:15" s="154" customFormat="1" hidden="1" outlineLevel="1">
      <c r="B238" s="165" t="s">
        <v>2325</v>
      </c>
      <c r="C238" s="165" t="s">
        <v>3223</v>
      </c>
      <c r="D238" s="165" t="s">
        <v>3224</v>
      </c>
      <c r="E238" s="403">
        <v>108049745.07488404</v>
      </c>
      <c r="F238" s="431">
        <v>102009707.32119629</v>
      </c>
      <c r="G238" s="404">
        <v>20</v>
      </c>
      <c r="H238" s="405">
        <v>48912</v>
      </c>
      <c r="I238" s="404">
        <v>7305</v>
      </c>
      <c r="J238" s="404">
        <v>6819</v>
      </c>
      <c r="K238" s="406">
        <v>96607220.067452103</v>
      </c>
      <c r="L238" s="404">
        <v>365</v>
      </c>
      <c r="M238" s="404">
        <v>5171086</v>
      </c>
      <c r="N238" s="404">
        <v>36290295</v>
      </c>
      <c r="O238" s="404">
        <v>65719412.321196303</v>
      </c>
    </row>
    <row r="239" spans="2:15" s="154" customFormat="1" hidden="1" outlineLevel="1">
      <c r="B239" s="165" t="s">
        <v>2325</v>
      </c>
      <c r="C239" s="165" t="s">
        <v>3225</v>
      </c>
      <c r="D239" s="165" t="s">
        <v>3226</v>
      </c>
      <c r="E239" s="403">
        <v>82131458.225242227</v>
      </c>
      <c r="F239" s="431">
        <v>77540266.345025033</v>
      </c>
      <c r="G239" s="404">
        <v>25</v>
      </c>
      <c r="H239" s="405">
        <v>50738</v>
      </c>
      <c r="I239" s="404">
        <v>9131</v>
      </c>
      <c r="J239" s="404">
        <v>8645</v>
      </c>
      <c r="K239" s="406">
        <v>73433693.433762908</v>
      </c>
      <c r="L239" s="404">
        <v>365</v>
      </c>
      <c r="M239" s="404">
        <v>3100439</v>
      </c>
      <c r="N239" s="404">
        <v>21758650</v>
      </c>
      <c r="O239" s="404">
        <v>55781616.345025018</v>
      </c>
    </row>
    <row r="240" spans="2:15" s="154" customFormat="1" hidden="1" outlineLevel="1">
      <c r="B240" s="165"/>
      <c r="C240" s="165"/>
      <c r="D240" s="165"/>
      <c r="E240" s="403"/>
      <c r="F240" s="432"/>
      <c r="G240" s="404"/>
      <c r="H240" s="405"/>
      <c r="I240" s="404"/>
      <c r="J240" s="404"/>
      <c r="K240" s="406"/>
      <c r="L240" s="404"/>
      <c r="M240" s="404"/>
      <c r="N240" s="404"/>
      <c r="O240" s="404"/>
    </row>
    <row r="241" spans="2:15" s="154" customFormat="1" hidden="1" outlineLevel="1">
      <c r="B241" s="165" t="s">
        <v>2325</v>
      </c>
      <c r="C241" s="165" t="s">
        <v>2992</v>
      </c>
      <c r="D241" s="165" t="s">
        <v>3125</v>
      </c>
      <c r="E241" s="403">
        <v>201334117.09112024</v>
      </c>
      <c r="F241" s="431">
        <v>201313143.37570888</v>
      </c>
      <c r="G241" s="404">
        <v>25</v>
      </c>
      <c r="H241" s="405">
        <v>51225</v>
      </c>
      <c r="I241" s="404">
        <v>9132</v>
      </c>
      <c r="J241" s="404">
        <v>9131</v>
      </c>
      <c r="K241" s="406">
        <v>191246437.52115285</v>
      </c>
      <c r="L241" s="404">
        <v>365</v>
      </c>
      <c r="M241" s="404">
        <v>7644831</v>
      </c>
      <c r="N241" s="404">
        <v>53566382</v>
      </c>
      <c r="O241" s="404">
        <v>147746761.37570888</v>
      </c>
    </row>
    <row r="242" spans="2:15" s="154" customFormat="1" hidden="1" outlineLevel="1">
      <c r="B242" s="165"/>
      <c r="C242" s="165"/>
      <c r="D242" s="165"/>
      <c r="E242" s="403"/>
      <c r="F242" s="432"/>
      <c r="G242" s="404"/>
      <c r="H242" s="405"/>
      <c r="I242" s="404"/>
      <c r="J242" s="404" t="e">
        <f>+I242-#REF!-#REF!</f>
        <v>#REF!</v>
      </c>
      <c r="K242" s="404"/>
      <c r="L242" s="404"/>
      <c r="M242" s="404"/>
      <c r="N242" s="404"/>
      <c r="O242" s="404"/>
    </row>
    <row r="243" spans="2:15" s="154" customFormat="1" ht="14.25" hidden="1">
      <c r="B243" s="411" t="s">
        <v>1837</v>
      </c>
      <c r="C243" s="165"/>
      <c r="D243" s="165"/>
      <c r="E243" s="412">
        <v>8812703695.9254894</v>
      </c>
      <c r="F243" s="433">
        <f>SUBTOTAL(9,F115:F242)</f>
        <v>8331302613.5263309</v>
      </c>
      <c r="G243" s="404"/>
      <c r="H243" s="405"/>
      <c r="I243" s="404"/>
      <c r="J243" s="404"/>
      <c r="K243" s="404"/>
      <c r="L243" s="404"/>
      <c r="M243" s="413">
        <f t="shared" ref="M243:O243" si="2">SUBTOTAL(9,M115:M242)</f>
        <v>349893426</v>
      </c>
      <c r="N243" s="413">
        <f t="shared" si="2"/>
        <v>2478898999</v>
      </c>
      <c r="O243" s="413">
        <f t="shared" si="2"/>
        <v>5852403614.5263329</v>
      </c>
    </row>
    <row r="244" spans="2:15" s="154" customFormat="1" hidden="1">
      <c r="B244" s="165"/>
      <c r="C244" s="165"/>
      <c r="D244" s="165"/>
      <c r="E244" s="403"/>
      <c r="F244" s="435"/>
      <c r="G244" s="404"/>
      <c r="H244" s="405"/>
      <c r="I244" s="404"/>
      <c r="J244" s="404"/>
      <c r="K244" s="404"/>
      <c r="L244" s="404"/>
      <c r="M244" s="404"/>
      <c r="N244" s="404"/>
      <c r="O244" s="404"/>
    </row>
    <row r="245" spans="2:15" s="154" customFormat="1" ht="14.25" hidden="1">
      <c r="B245" s="411" t="s">
        <v>2326</v>
      </c>
      <c r="C245" s="165"/>
      <c r="D245" s="165"/>
      <c r="E245" s="403"/>
      <c r="F245" s="432"/>
      <c r="G245" s="404"/>
      <c r="H245" s="405"/>
      <c r="I245" s="404"/>
      <c r="J245" s="404"/>
      <c r="K245" s="404"/>
      <c r="L245" s="404"/>
      <c r="M245" s="404"/>
      <c r="N245" s="404"/>
      <c r="O245" s="404"/>
    </row>
    <row r="246" spans="2:15" s="154" customFormat="1" hidden="1" outlineLevel="1">
      <c r="B246" s="165" t="s">
        <v>2326</v>
      </c>
      <c r="C246" s="165" t="s">
        <v>2326</v>
      </c>
      <c r="D246" s="165" t="s">
        <v>3227</v>
      </c>
      <c r="E246" s="403">
        <v>7815284.3230513716</v>
      </c>
      <c r="F246" s="431">
        <v>7378351.741318699</v>
      </c>
      <c r="G246" s="404">
        <v>10</v>
      </c>
      <c r="H246" s="405">
        <v>45259</v>
      </c>
      <c r="I246" s="404">
        <v>3652</v>
      </c>
      <c r="J246" s="404">
        <v>3166</v>
      </c>
      <c r="K246" s="406">
        <v>6987587.5251661306</v>
      </c>
      <c r="L246" s="404">
        <v>365</v>
      </c>
      <c r="M246" s="404">
        <v>805581</v>
      </c>
      <c r="N246" s="404">
        <v>5653615</v>
      </c>
      <c r="O246" s="404">
        <v>1724736.741318699</v>
      </c>
    </row>
    <row r="247" spans="2:15" s="154" customFormat="1" hidden="1" outlineLevel="1">
      <c r="B247" s="165"/>
      <c r="C247" s="165"/>
      <c r="D247" s="165"/>
      <c r="E247" s="403"/>
      <c r="F247" s="432"/>
      <c r="G247" s="404"/>
      <c r="H247" s="405"/>
      <c r="I247" s="404"/>
      <c r="J247" s="404"/>
      <c r="K247" s="404"/>
      <c r="L247" s="404"/>
      <c r="M247" s="404"/>
      <c r="N247" s="404"/>
      <c r="O247" s="404"/>
    </row>
    <row r="248" spans="2:15" s="154" customFormat="1" hidden="1" outlineLevel="1">
      <c r="B248" s="165" t="s">
        <v>2326</v>
      </c>
      <c r="C248" s="165" t="s">
        <v>2326</v>
      </c>
      <c r="D248" s="165" t="s">
        <v>3228</v>
      </c>
      <c r="E248" s="403">
        <v>73019015.131416813</v>
      </c>
      <c r="F248" s="431">
        <v>68936708.707167462</v>
      </c>
      <c r="G248" s="404">
        <v>10</v>
      </c>
      <c r="H248" s="405">
        <v>45259</v>
      </c>
      <c r="I248" s="404">
        <v>3652</v>
      </c>
      <c r="J248" s="404">
        <v>3166</v>
      </c>
      <c r="K248" s="406">
        <v>65285757.950596623</v>
      </c>
      <c r="L248" s="404">
        <v>365</v>
      </c>
      <c r="M248" s="404">
        <v>7526627</v>
      </c>
      <c r="N248" s="404">
        <v>52822311</v>
      </c>
      <c r="O248" s="404">
        <v>16114397.707167462</v>
      </c>
    </row>
    <row r="249" spans="2:15" s="154" customFormat="1" hidden="1" outlineLevel="1">
      <c r="B249" s="165" t="s">
        <v>2326</v>
      </c>
      <c r="C249" s="165" t="s">
        <v>2326</v>
      </c>
      <c r="D249" s="165" t="s">
        <v>3229</v>
      </c>
      <c r="E249" s="403">
        <v>58415213.841868833</v>
      </c>
      <c r="F249" s="431">
        <v>55149368.628569685</v>
      </c>
      <c r="G249" s="404">
        <v>10</v>
      </c>
      <c r="H249" s="405">
        <v>45259</v>
      </c>
      <c r="I249" s="404">
        <v>3652</v>
      </c>
      <c r="J249" s="404">
        <v>3166</v>
      </c>
      <c r="K249" s="406">
        <v>52228607.936476253</v>
      </c>
      <c r="L249" s="404">
        <v>365</v>
      </c>
      <c r="M249" s="404">
        <v>6021302</v>
      </c>
      <c r="N249" s="404">
        <v>42257851</v>
      </c>
      <c r="O249" s="404">
        <v>12891517.628569692</v>
      </c>
    </row>
    <row r="250" spans="2:15" s="154" customFormat="1" ht="27" hidden="1" outlineLevel="1">
      <c r="B250" s="165" t="s">
        <v>2326</v>
      </c>
      <c r="C250" s="165" t="s">
        <v>2326</v>
      </c>
      <c r="D250" s="165" t="s">
        <v>3230</v>
      </c>
      <c r="E250" s="403">
        <v>29207606.273563001</v>
      </c>
      <c r="F250" s="431">
        <v>27574683.702702511</v>
      </c>
      <c r="G250" s="404">
        <v>8</v>
      </c>
      <c r="H250" s="405">
        <v>44529</v>
      </c>
      <c r="I250" s="404">
        <v>2922</v>
      </c>
      <c r="J250" s="404">
        <v>2436</v>
      </c>
      <c r="K250" s="406">
        <v>26114303.389024362</v>
      </c>
      <c r="L250" s="404">
        <v>0</v>
      </c>
      <c r="M250" s="404">
        <v>4026879</v>
      </c>
      <c r="N250" s="404">
        <v>27574684</v>
      </c>
      <c r="O250" s="404">
        <v>-0.29729748889803886</v>
      </c>
    </row>
    <row r="251" spans="2:15" s="154" customFormat="1" hidden="1" outlineLevel="1">
      <c r="B251" s="165" t="s">
        <v>2326</v>
      </c>
      <c r="C251" s="165" t="s">
        <v>2326</v>
      </c>
      <c r="D251" s="165" t="s">
        <v>3231</v>
      </c>
      <c r="E251" s="403">
        <v>43811408.857853808</v>
      </c>
      <c r="F251" s="431">
        <v>41362025.004464954</v>
      </c>
      <c r="G251" s="404">
        <v>20</v>
      </c>
      <c r="H251" s="405">
        <v>48912</v>
      </c>
      <c r="I251" s="404">
        <v>7305</v>
      </c>
      <c r="J251" s="404">
        <v>6819</v>
      </c>
      <c r="K251" s="406">
        <v>39171454.561572261</v>
      </c>
      <c r="L251" s="404">
        <v>365</v>
      </c>
      <c r="M251" s="404">
        <v>2096727</v>
      </c>
      <c r="N251" s="404">
        <v>14714953</v>
      </c>
      <c r="O251" s="404">
        <v>26647072.004464954</v>
      </c>
    </row>
    <row r="252" spans="2:15" s="154" customFormat="1" hidden="1" outlineLevel="1">
      <c r="B252" s="165" t="s">
        <v>2326</v>
      </c>
      <c r="C252" s="165" t="s">
        <v>2326</v>
      </c>
      <c r="D252" s="165" t="s">
        <v>3232</v>
      </c>
      <c r="E252" s="403">
        <v>87622818.715707615</v>
      </c>
      <c r="F252" s="431">
        <v>82724051.008929908</v>
      </c>
      <c r="G252" s="404">
        <v>40</v>
      </c>
      <c r="H252" s="405">
        <v>56217</v>
      </c>
      <c r="I252" s="404">
        <v>14610</v>
      </c>
      <c r="J252" s="404">
        <v>14124</v>
      </c>
      <c r="K252" s="406">
        <v>78342910.073144525</v>
      </c>
      <c r="L252" s="404">
        <v>365</v>
      </c>
      <c r="M252" s="404">
        <v>2024580</v>
      </c>
      <c r="N252" s="404">
        <v>14208620</v>
      </c>
      <c r="O252" s="404">
        <v>68515431.008929908</v>
      </c>
    </row>
    <row r="253" spans="2:15" s="154" customFormat="1" hidden="1" outlineLevel="1">
      <c r="B253" s="165"/>
      <c r="C253" s="165"/>
      <c r="D253" s="165"/>
      <c r="E253" s="403"/>
      <c r="F253" s="432"/>
      <c r="G253" s="404"/>
      <c r="H253" s="405"/>
      <c r="I253" s="404"/>
      <c r="J253" s="404"/>
      <c r="K253" s="404"/>
      <c r="L253" s="404"/>
      <c r="M253" s="404"/>
      <c r="N253" s="404"/>
      <c r="O253" s="404"/>
    </row>
    <row r="254" spans="2:15" s="154" customFormat="1" ht="27" hidden="1" outlineLevel="1">
      <c r="B254" s="165" t="s">
        <v>2326</v>
      </c>
      <c r="C254" s="165" t="s">
        <v>2326</v>
      </c>
      <c r="D254" s="165" t="s">
        <v>3233</v>
      </c>
      <c r="E254" s="403">
        <v>5237270.7318735551</v>
      </c>
      <c r="F254" s="431">
        <v>4944468.2978633177</v>
      </c>
      <c r="G254" s="404">
        <v>15</v>
      </c>
      <c r="H254" s="405">
        <v>47086</v>
      </c>
      <c r="I254" s="404">
        <v>5479</v>
      </c>
      <c r="J254" s="404">
        <v>4993</v>
      </c>
      <c r="K254" s="406">
        <v>4682604.7612696411</v>
      </c>
      <c r="L254" s="404">
        <v>365</v>
      </c>
      <c r="M254" s="404">
        <v>342309</v>
      </c>
      <c r="N254" s="404">
        <v>2402345</v>
      </c>
      <c r="O254" s="404">
        <v>2542123.2978633186</v>
      </c>
    </row>
    <row r="255" spans="2:15" s="154" customFormat="1" ht="27" hidden="1" outlineLevel="1">
      <c r="B255" s="165" t="s">
        <v>2326</v>
      </c>
      <c r="C255" s="165" t="s">
        <v>2326</v>
      </c>
      <c r="D255" s="165" t="s">
        <v>3234</v>
      </c>
      <c r="E255" s="403">
        <v>3491514.7194047305</v>
      </c>
      <c r="F255" s="431">
        <v>3296313.0470778761</v>
      </c>
      <c r="G255" s="404">
        <v>15</v>
      </c>
      <c r="H255" s="405">
        <v>47086</v>
      </c>
      <c r="I255" s="404">
        <v>5479</v>
      </c>
      <c r="J255" s="404">
        <v>4993</v>
      </c>
      <c r="K255" s="406">
        <v>3121737.3111076392</v>
      </c>
      <c r="L255" s="404">
        <v>365</v>
      </c>
      <c r="M255" s="404">
        <v>228206</v>
      </c>
      <c r="N255" s="404">
        <v>1601564</v>
      </c>
      <c r="O255" s="404">
        <v>1694749.0470778756</v>
      </c>
    </row>
    <row r="256" spans="2:15" s="154" customFormat="1" hidden="1" outlineLevel="1">
      <c r="B256" s="165"/>
      <c r="C256" s="165"/>
      <c r="D256" s="165"/>
      <c r="E256" s="403"/>
      <c r="F256" s="432"/>
      <c r="G256" s="404"/>
      <c r="H256" s="405"/>
      <c r="I256" s="404"/>
      <c r="J256" s="404"/>
      <c r="K256" s="404"/>
      <c r="L256" s="404"/>
      <c r="M256" s="404"/>
      <c r="N256" s="404"/>
      <c r="O256" s="404"/>
    </row>
    <row r="257" spans="2:15" s="154" customFormat="1" hidden="1" outlineLevel="1">
      <c r="B257" s="165" t="s">
        <v>2326</v>
      </c>
      <c r="C257" s="165" t="s">
        <v>3235</v>
      </c>
      <c r="D257" s="165" t="s">
        <v>3236</v>
      </c>
      <c r="E257" s="403">
        <v>5038398.9744134611</v>
      </c>
      <c r="F257" s="431">
        <v>4756714.9621204846</v>
      </c>
      <c r="G257" s="404">
        <v>25</v>
      </c>
      <c r="H257" s="405">
        <v>50738</v>
      </c>
      <c r="I257" s="404">
        <v>9131</v>
      </c>
      <c r="J257" s="404">
        <v>8645</v>
      </c>
      <c r="K257" s="406">
        <v>4504795.0133998115</v>
      </c>
      <c r="L257" s="404">
        <v>365</v>
      </c>
      <c r="M257" s="404">
        <v>190197</v>
      </c>
      <c r="N257" s="404">
        <v>1334813</v>
      </c>
      <c r="O257" s="404">
        <v>3421901.9621204846</v>
      </c>
    </row>
    <row r="258" spans="2:15" s="154" customFormat="1" hidden="1" outlineLevel="1">
      <c r="B258" s="165" t="s">
        <v>2326</v>
      </c>
      <c r="C258" s="165" t="s">
        <v>3235</v>
      </c>
      <c r="D258" s="165" t="s">
        <v>3237</v>
      </c>
      <c r="E258" s="403">
        <v>1679465.8582297408</v>
      </c>
      <c r="F258" s="431">
        <v>1585571.2132593901</v>
      </c>
      <c r="G258" s="404">
        <v>25</v>
      </c>
      <c r="H258" s="405">
        <v>50738</v>
      </c>
      <c r="I258" s="404">
        <v>9131</v>
      </c>
      <c r="J258" s="404">
        <v>8645</v>
      </c>
      <c r="K258" s="406">
        <v>1501597.9203479029</v>
      </c>
      <c r="L258" s="404">
        <v>365</v>
      </c>
      <c r="M258" s="404">
        <v>63399</v>
      </c>
      <c r="N258" s="404">
        <v>444938</v>
      </c>
      <c r="O258" s="404">
        <v>1140633.2132593901</v>
      </c>
    </row>
    <row r="259" spans="2:15" s="154" customFormat="1" hidden="1" outlineLevel="1">
      <c r="B259" s="165"/>
      <c r="C259" s="165"/>
      <c r="D259" s="165"/>
      <c r="E259" s="403"/>
      <c r="F259" s="432"/>
      <c r="G259" s="404"/>
      <c r="H259" s="405"/>
      <c r="I259" s="404"/>
      <c r="J259" s="404"/>
      <c r="K259" s="404"/>
      <c r="L259" s="404"/>
      <c r="M259" s="404"/>
      <c r="N259" s="404"/>
      <c r="O259" s="404"/>
    </row>
    <row r="260" spans="2:15" s="154" customFormat="1" hidden="1" outlineLevel="1">
      <c r="B260" s="165" t="s">
        <v>2326</v>
      </c>
      <c r="C260" s="165" t="s">
        <v>3238</v>
      </c>
      <c r="D260" s="165" t="s">
        <v>3239</v>
      </c>
      <c r="E260" s="403">
        <v>7537896.310944587</v>
      </c>
      <c r="F260" s="431">
        <v>7116471.8007687116</v>
      </c>
      <c r="G260" s="404">
        <v>20</v>
      </c>
      <c r="H260" s="405">
        <v>48912</v>
      </c>
      <c r="I260" s="404">
        <v>7305</v>
      </c>
      <c r="J260" s="404">
        <v>6819</v>
      </c>
      <c r="K260" s="406">
        <v>6739576.9852214819</v>
      </c>
      <c r="L260" s="404">
        <v>365</v>
      </c>
      <c r="M260" s="404">
        <v>360749</v>
      </c>
      <c r="N260" s="404">
        <v>2531757</v>
      </c>
      <c r="O260" s="404">
        <v>4584714.8007687116</v>
      </c>
    </row>
    <row r="261" spans="2:15" s="154" customFormat="1" hidden="1" outlineLevel="1">
      <c r="B261" s="165" t="s">
        <v>2326</v>
      </c>
      <c r="C261" s="165" t="s">
        <v>3238</v>
      </c>
      <c r="D261" s="165" t="s">
        <v>3240</v>
      </c>
      <c r="E261" s="403">
        <v>1884475.101283977</v>
      </c>
      <c r="F261" s="431">
        <v>1779118.9171545045</v>
      </c>
      <c r="G261" s="404">
        <v>15</v>
      </c>
      <c r="H261" s="405">
        <v>47086</v>
      </c>
      <c r="I261" s="404">
        <v>5479</v>
      </c>
      <c r="J261" s="404">
        <v>4993</v>
      </c>
      <c r="K261" s="406">
        <v>1684895.1620903057</v>
      </c>
      <c r="L261" s="404">
        <v>365</v>
      </c>
      <c r="M261" s="404">
        <v>123170</v>
      </c>
      <c r="N261" s="404">
        <v>864414</v>
      </c>
      <c r="O261" s="404">
        <v>914704.91715450445</v>
      </c>
    </row>
    <row r="262" spans="2:15" s="154" customFormat="1" hidden="1" outlineLevel="1">
      <c r="B262" s="165"/>
      <c r="C262" s="165"/>
      <c r="D262" s="165"/>
      <c r="E262" s="403"/>
      <c r="F262" s="432"/>
      <c r="G262" s="404"/>
      <c r="H262" s="405"/>
      <c r="I262" s="404"/>
      <c r="J262" s="404"/>
      <c r="K262" s="404"/>
      <c r="L262" s="404"/>
      <c r="M262" s="404"/>
      <c r="N262" s="404"/>
      <c r="O262" s="404"/>
    </row>
    <row r="263" spans="2:15" s="154" customFormat="1" hidden="1" outlineLevel="1">
      <c r="B263" s="165" t="s">
        <v>2326</v>
      </c>
      <c r="C263" s="165" t="s">
        <v>3241</v>
      </c>
      <c r="D263" s="165" t="s">
        <v>3242</v>
      </c>
      <c r="E263" s="403">
        <v>885347.87560461799</v>
      </c>
      <c r="F263" s="431">
        <v>835850.34697878966</v>
      </c>
      <c r="G263" s="404">
        <v>15</v>
      </c>
      <c r="H263" s="405">
        <v>47086</v>
      </c>
      <c r="I263" s="404">
        <v>5479</v>
      </c>
      <c r="J263" s="404">
        <v>4993</v>
      </c>
      <c r="K263" s="406">
        <v>791582.95319855877</v>
      </c>
      <c r="L263" s="404">
        <v>365</v>
      </c>
      <c r="M263" s="404">
        <v>57867</v>
      </c>
      <c r="N263" s="404">
        <v>406113</v>
      </c>
      <c r="O263" s="404">
        <v>429737.34697878966</v>
      </c>
    </row>
    <row r="264" spans="2:15" s="154" customFormat="1" hidden="1" outlineLevel="1">
      <c r="B264" s="165" t="s">
        <v>2326</v>
      </c>
      <c r="C264" s="165" t="s">
        <v>3241</v>
      </c>
      <c r="D264" s="165" t="s">
        <v>3243</v>
      </c>
      <c r="E264" s="403">
        <v>221337.56883221428</v>
      </c>
      <c r="F264" s="431">
        <v>208963.16733027605</v>
      </c>
      <c r="G264" s="404">
        <v>5</v>
      </c>
      <c r="H264" s="405">
        <v>43433</v>
      </c>
      <c r="I264" s="404">
        <v>1826</v>
      </c>
      <c r="J264" s="404">
        <v>1340</v>
      </c>
      <c r="K264" s="406">
        <v>197896.28888866532</v>
      </c>
      <c r="L264" s="404">
        <v>0</v>
      </c>
      <c r="M264" s="404">
        <v>0</v>
      </c>
      <c r="N264" s="404">
        <v>208963</v>
      </c>
      <c r="O264" s="404">
        <v>0.16733027604641393</v>
      </c>
    </row>
    <row r="265" spans="2:15" s="154" customFormat="1" hidden="1" outlineLevel="1">
      <c r="B265" s="165"/>
      <c r="C265" s="165"/>
      <c r="D265" s="165"/>
      <c r="E265" s="403"/>
      <c r="F265" s="432"/>
      <c r="G265" s="404"/>
      <c r="H265" s="405"/>
      <c r="I265" s="404"/>
      <c r="J265" s="404"/>
      <c r="K265" s="404"/>
      <c r="L265" s="404"/>
      <c r="M265" s="404"/>
      <c r="N265" s="404"/>
      <c r="O265" s="404"/>
    </row>
    <row r="266" spans="2:15" s="154" customFormat="1" ht="27" hidden="1" outlineLevel="1">
      <c r="B266" s="165" t="s">
        <v>2326</v>
      </c>
      <c r="C266" s="165" t="s">
        <v>2326</v>
      </c>
      <c r="D266" s="165" t="s">
        <v>3244</v>
      </c>
      <c r="E266" s="403">
        <v>4554157.0600213129</v>
      </c>
      <c r="F266" s="431">
        <v>4299545.7989757303</v>
      </c>
      <c r="G266" s="404">
        <v>10</v>
      </c>
      <c r="H266" s="405">
        <v>45259</v>
      </c>
      <c r="I266" s="404">
        <v>3652</v>
      </c>
      <c r="J266" s="404">
        <v>3166</v>
      </c>
      <c r="K266" s="406">
        <v>4071837.9459746648</v>
      </c>
      <c r="L266" s="404">
        <v>365</v>
      </c>
      <c r="M266" s="404">
        <v>469432</v>
      </c>
      <c r="N266" s="404">
        <v>3294501</v>
      </c>
      <c r="O266" s="404">
        <v>1005044.7989757303</v>
      </c>
    </row>
    <row r="267" spans="2:15" s="154" customFormat="1" hidden="1" outlineLevel="1">
      <c r="B267" s="165"/>
      <c r="C267" s="165"/>
      <c r="D267" s="165"/>
      <c r="E267" s="403"/>
      <c r="F267" s="432"/>
      <c r="G267" s="404"/>
      <c r="H267" s="405"/>
      <c r="I267" s="404"/>
      <c r="J267" s="404"/>
      <c r="K267" s="404"/>
      <c r="L267" s="404"/>
      <c r="M267" s="404"/>
      <c r="N267" s="404"/>
      <c r="O267" s="404"/>
    </row>
    <row r="268" spans="2:15" s="154" customFormat="1" ht="27" hidden="1" outlineLevel="1">
      <c r="B268" s="165" t="s">
        <v>2326</v>
      </c>
      <c r="C268" s="165" t="s">
        <v>3245</v>
      </c>
      <c r="D268" s="165" t="s">
        <v>3246</v>
      </c>
      <c r="E268" s="403">
        <v>8488544.3946371134</v>
      </c>
      <c r="F268" s="431">
        <v>8013971.5751217324</v>
      </c>
      <c r="G268" s="404">
        <v>15</v>
      </c>
      <c r="H268" s="405">
        <v>47086</v>
      </c>
      <c r="I268" s="404">
        <v>5479</v>
      </c>
      <c r="J268" s="404">
        <v>4993</v>
      </c>
      <c r="K268" s="406">
        <v>7589544.3553898782</v>
      </c>
      <c r="L268" s="404">
        <v>365</v>
      </c>
      <c r="M268" s="404">
        <v>554813</v>
      </c>
      <c r="N268" s="404">
        <v>3893712</v>
      </c>
      <c r="O268" s="404">
        <v>4120259.5751217334</v>
      </c>
    </row>
    <row r="269" spans="2:15" s="154" customFormat="1" hidden="1" outlineLevel="1">
      <c r="B269" s="165" t="s">
        <v>2326</v>
      </c>
      <c r="C269" s="165" t="s">
        <v>3245</v>
      </c>
      <c r="D269" s="165" t="s">
        <v>3247</v>
      </c>
      <c r="E269" s="403">
        <v>2122134.7685091444</v>
      </c>
      <c r="F269" s="431">
        <v>2003491.6095240642</v>
      </c>
      <c r="G269" s="404">
        <v>3</v>
      </c>
      <c r="H269" s="405">
        <v>42703</v>
      </c>
      <c r="I269" s="404">
        <v>1096</v>
      </c>
      <c r="J269" s="404">
        <v>610</v>
      </c>
      <c r="K269" s="406">
        <v>1897384.8710986068</v>
      </c>
      <c r="L269" s="404">
        <v>0</v>
      </c>
      <c r="M269" s="404">
        <v>0</v>
      </c>
      <c r="N269" s="404">
        <v>2003492</v>
      </c>
      <c r="O269" s="403">
        <v>-0.3904759360011667</v>
      </c>
    </row>
    <row r="270" spans="2:15" s="154" customFormat="1" hidden="1" outlineLevel="1">
      <c r="B270" s="165"/>
      <c r="C270" s="165"/>
      <c r="D270" s="165"/>
      <c r="E270" s="403"/>
      <c r="F270" s="432"/>
      <c r="G270" s="404"/>
      <c r="H270" s="405"/>
      <c r="I270" s="404"/>
      <c r="J270" s="404"/>
      <c r="K270" s="404"/>
      <c r="L270" s="404"/>
      <c r="M270" s="404"/>
      <c r="N270" s="404"/>
      <c r="O270" s="404"/>
    </row>
    <row r="271" spans="2:15" s="154" customFormat="1" hidden="1" outlineLevel="1">
      <c r="B271" s="165" t="s">
        <v>2326</v>
      </c>
      <c r="C271" s="165" t="s">
        <v>3248</v>
      </c>
      <c r="D271" s="165" t="s">
        <v>3249</v>
      </c>
      <c r="E271" s="403">
        <v>27367334.808945313</v>
      </c>
      <c r="F271" s="431">
        <v>25837297.095389355</v>
      </c>
      <c r="G271" s="404">
        <v>20</v>
      </c>
      <c r="H271" s="405">
        <v>48912</v>
      </c>
      <c r="I271" s="404">
        <v>7305</v>
      </c>
      <c r="J271" s="404">
        <v>6819</v>
      </c>
      <c r="K271" s="406">
        <v>24468930.354942091</v>
      </c>
      <c r="L271" s="404">
        <v>365</v>
      </c>
      <c r="M271" s="404">
        <v>1309746</v>
      </c>
      <c r="N271" s="404">
        <v>9191875</v>
      </c>
      <c r="O271" s="404">
        <v>16645422.095389355</v>
      </c>
    </row>
    <row r="272" spans="2:15" s="154" customFormat="1" ht="27" hidden="1" outlineLevel="1">
      <c r="B272" s="165" t="s">
        <v>2326</v>
      </c>
      <c r="C272" s="165" t="s">
        <v>3248</v>
      </c>
      <c r="D272" s="165" t="s">
        <v>3250</v>
      </c>
      <c r="E272" s="403">
        <v>13683668.051844081</v>
      </c>
      <c r="F272" s="431">
        <v>12918649.15927702</v>
      </c>
      <c r="G272" s="404">
        <v>20</v>
      </c>
      <c r="H272" s="405">
        <v>48912</v>
      </c>
      <c r="I272" s="404">
        <v>7305</v>
      </c>
      <c r="J272" s="404">
        <v>6819</v>
      </c>
      <c r="K272" s="406">
        <v>12234465.756684816</v>
      </c>
      <c r="L272" s="404">
        <v>365</v>
      </c>
      <c r="M272" s="404">
        <v>654873</v>
      </c>
      <c r="N272" s="404">
        <v>4595937</v>
      </c>
      <c r="O272" s="404">
        <v>8322712.15927702</v>
      </c>
    </row>
    <row r="273" spans="2:15" s="154" customFormat="1" hidden="1" outlineLevel="1">
      <c r="B273" s="165" t="s">
        <v>2326</v>
      </c>
      <c r="C273" s="165" t="s">
        <v>3248</v>
      </c>
      <c r="D273" s="165" t="s">
        <v>3251</v>
      </c>
      <c r="E273" s="403">
        <v>95785673.878404304</v>
      </c>
      <c r="F273" s="431">
        <v>90430541.767787442</v>
      </c>
      <c r="G273" s="404">
        <v>30</v>
      </c>
      <c r="H273" s="405">
        <v>52564</v>
      </c>
      <c r="I273" s="404">
        <v>10957</v>
      </c>
      <c r="J273" s="404">
        <v>10471</v>
      </c>
      <c r="K273" s="406">
        <v>85641258.073867232</v>
      </c>
      <c r="L273" s="404">
        <v>365</v>
      </c>
      <c r="M273" s="404">
        <v>2985298</v>
      </c>
      <c r="N273" s="404">
        <v>20950997</v>
      </c>
      <c r="O273" s="404">
        <v>69479544.767787442</v>
      </c>
    </row>
    <row r="274" spans="2:15" s="154" customFormat="1" hidden="1" outlineLevel="1">
      <c r="B274" s="165"/>
      <c r="C274" s="165"/>
      <c r="D274" s="165"/>
      <c r="E274" s="403"/>
      <c r="F274" s="432"/>
      <c r="G274" s="404"/>
      <c r="H274" s="405"/>
      <c r="I274" s="404"/>
      <c r="J274" s="404"/>
      <c r="K274" s="404"/>
      <c r="L274" s="404"/>
      <c r="M274" s="404"/>
      <c r="N274" s="404"/>
      <c r="O274" s="404"/>
    </row>
    <row r="275" spans="2:15" s="154" customFormat="1" ht="27" hidden="1" outlineLevel="1">
      <c r="B275" s="165" t="s">
        <v>2326</v>
      </c>
      <c r="C275" s="165" t="s">
        <v>3252</v>
      </c>
      <c r="D275" s="165" t="s">
        <v>3253</v>
      </c>
      <c r="E275" s="403">
        <v>431883.4313362207</v>
      </c>
      <c r="F275" s="431">
        <v>407737.92303468852</v>
      </c>
      <c r="G275" s="404">
        <v>5</v>
      </c>
      <c r="H275" s="405">
        <v>43433</v>
      </c>
      <c r="I275" s="404">
        <v>1826</v>
      </c>
      <c r="J275" s="404">
        <v>1340</v>
      </c>
      <c r="K275" s="406">
        <v>386143.75146787748</v>
      </c>
      <c r="L275" s="404">
        <v>0</v>
      </c>
      <c r="M275" s="404">
        <v>0</v>
      </c>
      <c r="N275" s="404">
        <v>407738</v>
      </c>
      <c r="O275" s="403">
        <v>-7.6965311483945698E-2</v>
      </c>
    </row>
    <row r="276" spans="2:15" s="154" customFormat="1" ht="40.5" hidden="1" outlineLevel="1">
      <c r="B276" s="165" t="s">
        <v>2326</v>
      </c>
      <c r="C276" s="165" t="s">
        <v>3252</v>
      </c>
      <c r="D276" s="165" t="s">
        <v>3254</v>
      </c>
      <c r="E276" s="403">
        <v>431883.4313362207</v>
      </c>
      <c r="F276" s="431">
        <v>407737.92303468852</v>
      </c>
      <c r="G276" s="404">
        <v>15</v>
      </c>
      <c r="H276" s="405">
        <v>47086</v>
      </c>
      <c r="I276" s="404">
        <v>5479</v>
      </c>
      <c r="J276" s="404">
        <v>4993</v>
      </c>
      <c r="K276" s="406">
        <v>386143.75146787748</v>
      </c>
      <c r="L276" s="404">
        <v>365</v>
      </c>
      <c r="M276" s="404">
        <v>28228</v>
      </c>
      <c r="N276" s="404">
        <v>198105</v>
      </c>
      <c r="O276" s="404">
        <v>209632.92303468852</v>
      </c>
    </row>
    <row r="277" spans="2:15" s="154" customFormat="1" ht="40.5" hidden="1" outlineLevel="1">
      <c r="B277" s="165" t="s">
        <v>2326</v>
      </c>
      <c r="C277" s="165" t="s">
        <v>3252</v>
      </c>
      <c r="D277" s="165" t="s">
        <v>3255</v>
      </c>
      <c r="E277" s="403">
        <v>575845.34002924187</v>
      </c>
      <c r="F277" s="431">
        <v>543651.30510114378</v>
      </c>
      <c r="G277" s="404">
        <v>15</v>
      </c>
      <c r="H277" s="405">
        <v>47086</v>
      </c>
      <c r="I277" s="404">
        <v>5479</v>
      </c>
      <c r="J277" s="404">
        <v>4993</v>
      </c>
      <c r="K277" s="406">
        <v>514859.03809968178</v>
      </c>
      <c r="L277" s="404">
        <v>365</v>
      </c>
      <c r="M277" s="404">
        <v>37637</v>
      </c>
      <c r="N277" s="404">
        <v>264140</v>
      </c>
      <c r="O277" s="404">
        <v>279511.30510114389</v>
      </c>
    </row>
    <row r="278" spans="2:15" s="154" customFormat="1" hidden="1" outlineLevel="1">
      <c r="B278" s="165"/>
      <c r="C278" s="165"/>
      <c r="D278" s="165"/>
      <c r="E278" s="403"/>
      <c r="F278" s="432"/>
      <c r="G278" s="404"/>
      <c r="H278" s="405"/>
      <c r="I278" s="404"/>
      <c r="J278" s="404"/>
      <c r="K278" s="404"/>
      <c r="L278" s="404"/>
      <c r="M278" s="404"/>
      <c r="N278" s="404"/>
      <c r="O278" s="404"/>
    </row>
    <row r="279" spans="2:15" s="154" customFormat="1" ht="27" hidden="1" outlineLevel="1">
      <c r="B279" s="165" t="s">
        <v>2326</v>
      </c>
      <c r="C279" s="165" t="s">
        <v>2326</v>
      </c>
      <c r="D279" s="165" t="s">
        <v>3256</v>
      </c>
      <c r="E279" s="403">
        <v>854182.04971550335</v>
      </c>
      <c r="F279" s="431">
        <v>806426.88760461193</v>
      </c>
      <c r="G279" s="404">
        <v>8</v>
      </c>
      <c r="H279" s="405">
        <v>44529</v>
      </c>
      <c r="I279" s="404">
        <v>2922</v>
      </c>
      <c r="J279" s="404">
        <v>2436</v>
      </c>
      <c r="K279" s="406">
        <v>763717.78511883679</v>
      </c>
      <c r="L279" s="404">
        <v>0</v>
      </c>
      <c r="M279" s="404">
        <v>117768</v>
      </c>
      <c r="N279" s="404">
        <v>806427</v>
      </c>
      <c r="O279" s="404">
        <v>-0.11239538807421923</v>
      </c>
    </row>
    <row r="280" spans="2:15" s="154" customFormat="1" hidden="1" outlineLevel="1">
      <c r="B280" s="165" t="s">
        <v>2326</v>
      </c>
      <c r="C280" s="165" t="s">
        <v>2326</v>
      </c>
      <c r="D280" s="165" t="s">
        <v>3257</v>
      </c>
      <c r="E280" s="403">
        <v>7486389.082465101</v>
      </c>
      <c r="F280" s="431">
        <v>7067844.2571855048</v>
      </c>
      <c r="G280" s="404">
        <v>8</v>
      </c>
      <c r="H280" s="405">
        <v>44529</v>
      </c>
      <c r="I280" s="404">
        <v>2922</v>
      </c>
      <c r="J280" s="404">
        <v>2436</v>
      </c>
      <c r="K280" s="406">
        <v>6693524.8030622499</v>
      </c>
      <c r="L280" s="404">
        <v>0</v>
      </c>
      <c r="M280" s="404">
        <v>1032154</v>
      </c>
      <c r="N280" s="404">
        <v>7067844</v>
      </c>
      <c r="O280" s="404">
        <v>0.25718550477176905</v>
      </c>
    </row>
    <row r="281" spans="2:15" s="154" customFormat="1" ht="27" hidden="1" outlineLevel="1">
      <c r="B281" s="165" t="s">
        <v>2326</v>
      </c>
      <c r="C281" s="165" t="s">
        <v>2326</v>
      </c>
      <c r="D281" s="165" t="s">
        <v>3258</v>
      </c>
      <c r="E281" s="403">
        <v>2876705.4466289296</v>
      </c>
      <c r="F281" s="431">
        <v>2715876.1488526165</v>
      </c>
      <c r="G281" s="404">
        <v>10</v>
      </c>
      <c r="H281" s="405">
        <v>45259</v>
      </c>
      <c r="I281" s="404">
        <v>3652</v>
      </c>
      <c r="J281" s="404">
        <v>3166</v>
      </c>
      <c r="K281" s="406">
        <v>2572040.8765211701</v>
      </c>
      <c r="L281" s="404">
        <v>365</v>
      </c>
      <c r="M281" s="404">
        <v>296524</v>
      </c>
      <c r="N281" s="404">
        <v>2081023</v>
      </c>
      <c r="O281" s="404">
        <v>634853.14885261655</v>
      </c>
    </row>
    <row r="282" spans="2:15" s="154" customFormat="1" hidden="1" outlineLevel="1">
      <c r="B282" s="165"/>
      <c r="C282" s="165"/>
      <c r="D282" s="165"/>
      <c r="E282" s="403"/>
      <c r="F282" s="432"/>
      <c r="G282" s="404"/>
      <c r="H282" s="405"/>
      <c r="I282" s="404"/>
      <c r="J282" s="404"/>
      <c r="K282" s="404"/>
      <c r="L282" s="404"/>
      <c r="M282" s="404"/>
      <c r="N282" s="404"/>
      <c r="O282" s="404"/>
    </row>
    <row r="283" spans="2:15" s="154" customFormat="1" ht="27" hidden="1" outlineLevel="1">
      <c r="B283" s="165" t="s">
        <v>2326</v>
      </c>
      <c r="C283" s="165" t="s">
        <v>2326</v>
      </c>
      <c r="D283" s="165" t="s">
        <v>3259</v>
      </c>
      <c r="E283" s="403">
        <v>15236022.416574264</v>
      </c>
      <c r="F283" s="431">
        <v>14384215.348587677</v>
      </c>
      <c r="G283" s="404">
        <v>15</v>
      </c>
      <c r="H283" s="405">
        <v>47086</v>
      </c>
      <c r="I283" s="404">
        <v>5479</v>
      </c>
      <c r="J283" s="404">
        <v>4993</v>
      </c>
      <c r="K283" s="406">
        <v>13622414.227758963</v>
      </c>
      <c r="L283" s="404">
        <v>365</v>
      </c>
      <c r="M283" s="404">
        <v>995830</v>
      </c>
      <c r="N283" s="404">
        <v>6988795</v>
      </c>
      <c r="O283" s="404">
        <v>7395420.3485876769</v>
      </c>
    </row>
    <row r="284" spans="2:15" s="154" customFormat="1" ht="27" hidden="1" outlineLevel="1">
      <c r="B284" s="165" t="s">
        <v>2326</v>
      </c>
      <c r="C284" s="165" t="s">
        <v>2326</v>
      </c>
      <c r="D284" s="165" t="s">
        <v>3260</v>
      </c>
      <c r="E284" s="403">
        <v>3809006.9513771073</v>
      </c>
      <c r="F284" s="431">
        <v>3596055.1099004159</v>
      </c>
      <c r="G284" s="404">
        <v>15</v>
      </c>
      <c r="H284" s="405">
        <v>47086</v>
      </c>
      <c r="I284" s="404">
        <v>5479</v>
      </c>
      <c r="J284" s="404">
        <v>4993</v>
      </c>
      <c r="K284" s="406">
        <v>3405604.7623315603</v>
      </c>
      <c r="L284" s="404">
        <v>365</v>
      </c>
      <c r="M284" s="404">
        <v>248958</v>
      </c>
      <c r="N284" s="404">
        <v>1747201</v>
      </c>
      <c r="O284" s="404">
        <v>1848854.1099004159</v>
      </c>
    </row>
    <row r="285" spans="2:15" s="154" customFormat="1" hidden="1" outlineLevel="1">
      <c r="B285" s="165"/>
      <c r="C285" s="165"/>
      <c r="D285" s="165"/>
      <c r="E285" s="403"/>
      <c r="F285" s="432"/>
      <c r="G285" s="404"/>
      <c r="H285" s="405"/>
      <c r="I285" s="404"/>
      <c r="J285" s="404"/>
      <c r="K285" s="404"/>
      <c r="L285" s="404"/>
      <c r="M285" s="404"/>
      <c r="N285" s="404"/>
      <c r="O285" s="404"/>
    </row>
    <row r="286" spans="2:15" s="154" customFormat="1" hidden="1" outlineLevel="1">
      <c r="B286" s="165" t="s">
        <v>2326</v>
      </c>
      <c r="C286" s="165" t="s">
        <v>2326</v>
      </c>
      <c r="D286" s="165" t="s">
        <v>3261</v>
      </c>
      <c r="E286" s="403">
        <v>18290296.586757336</v>
      </c>
      <c r="F286" s="431">
        <v>17267732.888309207</v>
      </c>
      <c r="G286" s="404">
        <v>20</v>
      </c>
      <c r="H286" s="405">
        <v>48912</v>
      </c>
      <c r="I286" s="404">
        <v>7305</v>
      </c>
      <c r="J286" s="404">
        <v>6819</v>
      </c>
      <c r="K286" s="406">
        <v>16353218.05897134</v>
      </c>
      <c r="L286" s="404">
        <v>365</v>
      </c>
      <c r="M286" s="404">
        <v>875337</v>
      </c>
      <c r="N286" s="404">
        <v>6143167</v>
      </c>
      <c r="O286" s="404">
        <v>11124565.888309207</v>
      </c>
    </row>
    <row r="287" spans="2:15" s="154" customFormat="1" ht="27" hidden="1" outlineLevel="1">
      <c r="B287" s="165" t="s">
        <v>2326</v>
      </c>
      <c r="C287" s="165" t="s">
        <v>2326</v>
      </c>
      <c r="D287" s="165" t="s">
        <v>3262</v>
      </c>
      <c r="E287" s="403">
        <v>3785775.2775906459</v>
      </c>
      <c r="F287" s="431">
        <v>3574122.2531541726</v>
      </c>
      <c r="G287" s="404">
        <v>5</v>
      </c>
      <c r="H287" s="405">
        <v>43433</v>
      </c>
      <c r="I287" s="404">
        <v>1826</v>
      </c>
      <c r="J287" s="404">
        <v>1340</v>
      </c>
      <c r="K287" s="406">
        <v>3384833.4892746406</v>
      </c>
      <c r="L287" s="404">
        <v>0</v>
      </c>
      <c r="M287" s="404">
        <v>0</v>
      </c>
      <c r="N287" s="404">
        <v>3574122</v>
      </c>
      <c r="O287" s="404">
        <v>0.25315417302772403</v>
      </c>
    </row>
    <row r="288" spans="2:15" s="154" customFormat="1" ht="27" hidden="1" outlineLevel="1">
      <c r="B288" s="165" t="s">
        <v>2326</v>
      </c>
      <c r="C288" s="165" t="s">
        <v>2326</v>
      </c>
      <c r="D288" s="165" t="s">
        <v>3263</v>
      </c>
      <c r="E288" s="403">
        <v>6126085.334781752</v>
      </c>
      <c r="F288" s="431">
        <v>5783591.5625950117</v>
      </c>
      <c r="G288" s="404">
        <v>3</v>
      </c>
      <c r="H288" s="405">
        <v>42703</v>
      </c>
      <c r="I288" s="404">
        <v>1096</v>
      </c>
      <c r="J288" s="404">
        <v>610</v>
      </c>
      <c r="K288" s="406">
        <v>5477287.2958559245</v>
      </c>
      <c r="L288" s="404">
        <v>0</v>
      </c>
      <c r="M288" s="404">
        <v>0</v>
      </c>
      <c r="N288" s="404">
        <v>5783592</v>
      </c>
      <c r="O288" s="403">
        <v>-0.43740498833358288</v>
      </c>
    </row>
    <row r="289" spans="2:15" s="154" customFormat="1" hidden="1" outlineLevel="1">
      <c r="B289" s="165" t="s">
        <v>2326</v>
      </c>
      <c r="C289" s="165" t="s">
        <v>3264</v>
      </c>
      <c r="D289" s="165" t="s">
        <v>3265</v>
      </c>
      <c r="E289" s="403">
        <v>19744667.760141712</v>
      </c>
      <c r="F289" s="431">
        <v>18640793.847387083</v>
      </c>
      <c r="G289" s="404">
        <v>20</v>
      </c>
      <c r="H289" s="405">
        <v>48912</v>
      </c>
      <c r="I289" s="404">
        <v>7305</v>
      </c>
      <c r="J289" s="404">
        <v>6819</v>
      </c>
      <c r="K289" s="406">
        <v>17653560.459379997</v>
      </c>
      <c r="L289" s="404">
        <v>365</v>
      </c>
      <c r="M289" s="404">
        <v>944941</v>
      </c>
      <c r="N289" s="404">
        <v>6631650</v>
      </c>
      <c r="O289" s="404">
        <v>12009143.847387083</v>
      </c>
    </row>
    <row r="290" spans="2:15" s="154" customFormat="1" hidden="1" outlineLevel="1">
      <c r="B290" s="165" t="s">
        <v>2326</v>
      </c>
      <c r="C290" s="165" t="s">
        <v>3264</v>
      </c>
      <c r="D290" s="165" t="s">
        <v>3266</v>
      </c>
      <c r="E290" s="403">
        <v>1057222.5252381358</v>
      </c>
      <c r="F290" s="431">
        <v>998115.93623211829</v>
      </c>
      <c r="G290" s="404">
        <v>30</v>
      </c>
      <c r="H290" s="405">
        <v>52564</v>
      </c>
      <c r="I290" s="404">
        <v>10957</v>
      </c>
      <c r="J290" s="404">
        <v>10471</v>
      </c>
      <c r="K290" s="406">
        <v>945254.80997021147</v>
      </c>
      <c r="L290" s="404">
        <v>365</v>
      </c>
      <c r="M290" s="404">
        <v>32950</v>
      </c>
      <c r="N290" s="404">
        <v>231245</v>
      </c>
      <c r="O290" s="404">
        <v>766870.93623211829</v>
      </c>
    </row>
    <row r="291" spans="2:15" s="154" customFormat="1" hidden="1" outlineLevel="1">
      <c r="B291" s="165" t="s">
        <v>2326</v>
      </c>
      <c r="C291" s="165" t="s">
        <v>3264</v>
      </c>
      <c r="D291" s="165" t="s">
        <v>3033</v>
      </c>
      <c r="E291" s="403">
        <v>40616213.096554756</v>
      </c>
      <c r="F291" s="431">
        <v>38345464.495909743</v>
      </c>
      <c r="G291" s="404">
        <v>20</v>
      </c>
      <c r="H291" s="405">
        <v>48912</v>
      </c>
      <c r="I291" s="404">
        <v>7305</v>
      </c>
      <c r="J291" s="404">
        <v>6819</v>
      </c>
      <c r="K291" s="406">
        <v>36314653.841082007</v>
      </c>
      <c r="L291" s="404">
        <v>365</v>
      </c>
      <c r="M291" s="404">
        <v>1943811</v>
      </c>
      <c r="N291" s="404">
        <v>13641781</v>
      </c>
      <c r="O291" s="404">
        <v>24703683.495909743</v>
      </c>
    </row>
    <row r="292" spans="2:15" s="154" customFormat="1" ht="27" hidden="1" outlineLevel="1">
      <c r="B292" s="165" t="s">
        <v>2326</v>
      </c>
      <c r="C292" s="165" t="s">
        <v>3264</v>
      </c>
      <c r="D292" s="165" t="s">
        <v>3267</v>
      </c>
      <c r="E292" s="403">
        <v>104832776.1213648</v>
      </c>
      <c r="F292" s="431">
        <v>98971843.653002232</v>
      </c>
      <c r="G292" s="404">
        <v>10</v>
      </c>
      <c r="H292" s="405">
        <v>45259</v>
      </c>
      <c r="I292" s="404">
        <v>3652</v>
      </c>
      <c r="J292" s="404">
        <v>3166</v>
      </c>
      <c r="K292" s="406">
        <v>93730204.846933976</v>
      </c>
      <c r="L292" s="404">
        <v>365</v>
      </c>
      <c r="M292" s="404">
        <v>10805914</v>
      </c>
      <c r="N292" s="404">
        <v>75836541</v>
      </c>
      <c r="O292" s="404">
        <v>23135302.653002217</v>
      </c>
    </row>
    <row r="293" spans="2:15" s="154" customFormat="1" hidden="1" outlineLevel="1">
      <c r="B293" s="165"/>
      <c r="C293" s="165"/>
      <c r="D293" s="165"/>
      <c r="E293" s="403"/>
      <c r="F293" s="432"/>
      <c r="G293" s="404"/>
      <c r="H293" s="405"/>
      <c r="I293" s="404"/>
      <c r="J293" s="404"/>
      <c r="K293" s="406"/>
      <c r="L293" s="404"/>
      <c r="M293" s="404"/>
      <c r="N293" s="404"/>
      <c r="O293" s="404"/>
    </row>
    <row r="294" spans="2:15" s="154" customFormat="1" hidden="1" outlineLevel="1">
      <c r="B294" s="165" t="s">
        <v>2326</v>
      </c>
      <c r="C294" s="165" t="s">
        <v>3264</v>
      </c>
      <c r="D294" s="165" t="s">
        <v>3268</v>
      </c>
      <c r="E294" s="403">
        <v>21948750.443459116</v>
      </c>
      <c r="F294" s="431">
        <v>20721651.906253986</v>
      </c>
      <c r="G294" s="404">
        <v>2</v>
      </c>
      <c r="H294" s="405">
        <v>42337</v>
      </c>
      <c r="I294" s="404">
        <v>730</v>
      </c>
      <c r="J294" s="404">
        <v>244</v>
      </c>
      <c r="K294" s="406">
        <v>19624214.384081028</v>
      </c>
      <c r="L294" s="404">
        <v>0</v>
      </c>
      <c r="M294" s="404">
        <v>0</v>
      </c>
      <c r="N294" s="404">
        <v>20721652</v>
      </c>
      <c r="O294" s="403">
        <v>-9.3746013939380646E-2</v>
      </c>
    </row>
    <row r="295" spans="2:15" s="154" customFormat="1" ht="27" hidden="1" outlineLevel="1">
      <c r="B295" s="165" t="s">
        <v>2326</v>
      </c>
      <c r="C295" s="165" t="s">
        <v>3264</v>
      </c>
      <c r="D295" s="165" t="s">
        <v>3269</v>
      </c>
      <c r="E295" s="403">
        <v>51213754.164382674</v>
      </c>
      <c r="F295" s="431">
        <v>48350524.144930646</v>
      </c>
      <c r="G295" s="404">
        <v>25</v>
      </c>
      <c r="H295" s="405">
        <v>50738</v>
      </c>
      <c r="I295" s="404">
        <v>9131</v>
      </c>
      <c r="J295" s="404">
        <v>8645</v>
      </c>
      <c r="K295" s="406">
        <v>45789836.436711513</v>
      </c>
      <c r="L295" s="404">
        <v>365</v>
      </c>
      <c r="M295" s="404">
        <v>1933290</v>
      </c>
      <c r="N295" s="404">
        <v>13567942</v>
      </c>
      <c r="O295" s="404">
        <v>34782582.144930646</v>
      </c>
    </row>
    <row r="296" spans="2:15" s="154" customFormat="1" hidden="1" outlineLevel="1">
      <c r="B296" s="165"/>
      <c r="C296" s="165"/>
      <c r="D296" s="165"/>
      <c r="E296" s="403"/>
      <c r="F296" s="432"/>
      <c r="G296" s="404"/>
      <c r="H296" s="405"/>
      <c r="I296" s="404"/>
      <c r="J296" s="404"/>
      <c r="K296" s="406"/>
      <c r="L296" s="404"/>
      <c r="M296" s="404"/>
      <c r="N296" s="404"/>
      <c r="O296" s="404"/>
    </row>
    <row r="297" spans="2:15" s="154" customFormat="1" hidden="1" outlineLevel="1">
      <c r="B297" s="165" t="s">
        <v>2326</v>
      </c>
      <c r="C297" s="165" t="s">
        <v>3264</v>
      </c>
      <c r="D297" s="165" t="s">
        <v>3270</v>
      </c>
      <c r="E297" s="403">
        <v>43817344.449679196</v>
      </c>
      <c r="F297" s="431">
        <v>41367628.750848919</v>
      </c>
      <c r="G297" s="404">
        <v>10</v>
      </c>
      <c r="H297" s="405">
        <v>45259</v>
      </c>
      <c r="I297" s="404">
        <v>3652</v>
      </c>
      <c r="J297" s="404">
        <v>3166</v>
      </c>
      <c r="K297" s="406">
        <v>39176761.528364956</v>
      </c>
      <c r="L297" s="404">
        <v>365</v>
      </c>
      <c r="M297" s="404">
        <v>4516588</v>
      </c>
      <c r="N297" s="404">
        <v>31697680</v>
      </c>
      <c r="O297" s="404">
        <v>9669948.7508489192</v>
      </c>
    </row>
    <row r="298" spans="2:15" s="154" customFormat="1" hidden="1" outlineLevel="1">
      <c r="B298" s="165" t="s">
        <v>2326</v>
      </c>
      <c r="C298" s="165" t="s">
        <v>3264</v>
      </c>
      <c r="D298" s="165" t="s">
        <v>3271</v>
      </c>
      <c r="E298" s="403">
        <v>32171487.29208697</v>
      </c>
      <c r="F298" s="431">
        <v>30372861.747343048</v>
      </c>
      <c r="G298" s="404">
        <v>10</v>
      </c>
      <c r="H298" s="405">
        <v>45259</v>
      </c>
      <c r="I298" s="404">
        <v>3652</v>
      </c>
      <c r="J298" s="404">
        <v>3166</v>
      </c>
      <c r="K298" s="406">
        <v>28764287.382738698</v>
      </c>
      <c r="L298" s="404">
        <v>365</v>
      </c>
      <c r="M298" s="404">
        <v>3316161</v>
      </c>
      <c r="N298" s="404">
        <v>23273012</v>
      </c>
      <c r="O298" s="404">
        <v>7099849.7473430485</v>
      </c>
    </row>
    <row r="299" spans="2:15" s="154" customFormat="1" hidden="1" outlineLevel="1">
      <c r="B299" s="165" t="s">
        <v>2326</v>
      </c>
      <c r="C299" s="165" t="s">
        <v>3264</v>
      </c>
      <c r="D299" s="165" t="s">
        <v>3272</v>
      </c>
      <c r="E299" s="403">
        <v>30468579.055615515</v>
      </c>
      <c r="F299" s="431">
        <v>28765158.731969886</v>
      </c>
      <c r="G299" s="404">
        <v>10</v>
      </c>
      <c r="H299" s="405">
        <v>45259</v>
      </c>
      <c r="I299" s="404">
        <v>3652</v>
      </c>
      <c r="J299" s="404">
        <v>3166</v>
      </c>
      <c r="K299" s="406">
        <v>27241729.77918911</v>
      </c>
      <c r="L299" s="404">
        <v>365</v>
      </c>
      <c r="M299" s="404">
        <v>3140629</v>
      </c>
      <c r="N299" s="404">
        <v>22041118</v>
      </c>
      <c r="O299" s="404">
        <v>6724040.7319698855</v>
      </c>
    </row>
    <row r="300" spans="2:15" s="154" customFormat="1" hidden="1" outlineLevel="1">
      <c r="B300" s="165" t="s">
        <v>2326</v>
      </c>
      <c r="C300" s="165" t="s">
        <v>3264</v>
      </c>
      <c r="D300" s="165" t="s">
        <v>3273</v>
      </c>
      <c r="E300" s="403">
        <v>139556095.22693264</v>
      </c>
      <c r="F300" s="431">
        <v>131753870.80014358</v>
      </c>
      <c r="G300" s="404">
        <v>20</v>
      </c>
      <c r="H300" s="405">
        <v>48912</v>
      </c>
      <c r="I300" s="404">
        <v>7305</v>
      </c>
      <c r="J300" s="404">
        <v>6819</v>
      </c>
      <c r="K300" s="406">
        <v>124776066.03879693</v>
      </c>
      <c r="L300" s="404">
        <v>365</v>
      </c>
      <c r="M300" s="404">
        <v>6678877</v>
      </c>
      <c r="N300" s="404">
        <v>46872752</v>
      </c>
      <c r="O300" s="404">
        <v>84881118.80014357</v>
      </c>
    </row>
    <row r="301" spans="2:15" s="154" customFormat="1" hidden="1" outlineLevel="1">
      <c r="B301" s="165" t="s">
        <v>2326</v>
      </c>
      <c r="C301" s="165" t="s">
        <v>3264</v>
      </c>
      <c r="D301" s="165" t="s">
        <v>3274</v>
      </c>
      <c r="E301" s="403">
        <v>4615285.0251341993</v>
      </c>
      <c r="F301" s="431">
        <v>4357256.2387066763</v>
      </c>
      <c r="G301" s="404">
        <v>15</v>
      </c>
      <c r="H301" s="405">
        <v>47086</v>
      </c>
      <c r="I301" s="404">
        <v>5479</v>
      </c>
      <c r="J301" s="404">
        <v>4993</v>
      </c>
      <c r="K301" s="406">
        <v>4126491.9874499664</v>
      </c>
      <c r="L301" s="404">
        <v>365</v>
      </c>
      <c r="M301" s="404">
        <v>301656</v>
      </c>
      <c r="N301" s="404">
        <v>2117040</v>
      </c>
      <c r="O301" s="404">
        <v>2240216.2387066763</v>
      </c>
    </row>
    <row r="302" spans="2:15" s="154" customFormat="1" hidden="1" outlineLevel="1">
      <c r="B302" s="165" t="s">
        <v>2326</v>
      </c>
      <c r="C302" s="165" t="s">
        <v>3264</v>
      </c>
      <c r="D302" s="165" t="s">
        <v>3275</v>
      </c>
      <c r="E302" s="403">
        <v>2004470.4074808455</v>
      </c>
      <c r="F302" s="431">
        <v>1892405.5856074537</v>
      </c>
      <c r="G302" s="404">
        <v>15</v>
      </c>
      <c r="H302" s="405">
        <v>47086</v>
      </c>
      <c r="I302" s="404">
        <v>5479</v>
      </c>
      <c r="J302" s="404">
        <v>4993</v>
      </c>
      <c r="K302" s="406">
        <v>1792182.0652334115</v>
      </c>
      <c r="L302" s="404">
        <v>365</v>
      </c>
      <c r="M302" s="404">
        <v>131013</v>
      </c>
      <c r="N302" s="404">
        <v>919457</v>
      </c>
      <c r="O302" s="404">
        <v>972948.58560745372</v>
      </c>
    </row>
    <row r="303" spans="2:15" s="154" customFormat="1" hidden="1" outlineLevel="1">
      <c r="B303" s="165" t="s">
        <v>2326</v>
      </c>
      <c r="C303" s="165" t="s">
        <v>3264</v>
      </c>
      <c r="D303" s="165" t="s">
        <v>3048</v>
      </c>
      <c r="E303" s="403">
        <v>2084678.2804796468</v>
      </c>
      <c r="F303" s="431">
        <v>1968129.2394675424</v>
      </c>
      <c r="G303" s="404">
        <v>15</v>
      </c>
      <c r="H303" s="405">
        <v>47086</v>
      </c>
      <c r="I303" s="404">
        <v>5479</v>
      </c>
      <c r="J303" s="404">
        <v>4993</v>
      </c>
      <c r="K303" s="406">
        <v>1863895.32544356</v>
      </c>
      <c r="L303" s="404">
        <v>365</v>
      </c>
      <c r="M303" s="404">
        <v>136255</v>
      </c>
      <c r="N303" s="404">
        <v>956245</v>
      </c>
      <c r="O303" s="404">
        <v>1011884.2394675424</v>
      </c>
    </row>
    <row r="304" spans="2:15" s="154" customFormat="1" hidden="1" outlineLevel="1">
      <c r="B304" s="165" t="s">
        <v>2326</v>
      </c>
      <c r="C304" s="165" t="s">
        <v>3264</v>
      </c>
      <c r="D304" s="165" t="s">
        <v>3276</v>
      </c>
      <c r="E304" s="403">
        <v>108819210.14263825</v>
      </c>
      <c r="F304" s="431">
        <v>102735406.38653472</v>
      </c>
      <c r="G304" s="404">
        <v>25</v>
      </c>
      <c r="H304" s="405">
        <v>50738</v>
      </c>
      <c r="I304" s="404">
        <v>9131</v>
      </c>
      <c r="J304" s="404">
        <v>8645</v>
      </c>
      <c r="K304" s="406">
        <v>97294445.879402816</v>
      </c>
      <c r="L304" s="404">
        <v>365</v>
      </c>
      <c r="M304" s="404">
        <v>4107863</v>
      </c>
      <c r="N304" s="404">
        <v>28829223</v>
      </c>
      <c r="O304" s="404">
        <v>73906183.386534736</v>
      </c>
    </row>
    <row r="305" spans="2:15" s="154" customFormat="1" hidden="1" outlineLevel="1">
      <c r="B305" s="165" t="s">
        <v>2326</v>
      </c>
      <c r="C305" s="165" t="s">
        <v>3264</v>
      </c>
      <c r="D305" s="165" t="s">
        <v>3277</v>
      </c>
      <c r="E305" s="403">
        <v>16703048.517993249</v>
      </c>
      <c r="F305" s="431">
        <v>15769223.774264168</v>
      </c>
      <c r="G305" s="404">
        <v>15</v>
      </c>
      <c r="H305" s="405">
        <v>47086</v>
      </c>
      <c r="I305" s="404">
        <v>5479</v>
      </c>
      <c r="J305" s="404">
        <v>4993</v>
      </c>
      <c r="K305" s="406">
        <v>14934071.348364504</v>
      </c>
      <c r="L305" s="404">
        <v>365</v>
      </c>
      <c r="M305" s="404">
        <v>1091716</v>
      </c>
      <c r="N305" s="404">
        <v>7661727</v>
      </c>
      <c r="O305" s="404">
        <v>8107496.7742641661</v>
      </c>
    </row>
    <row r="306" spans="2:15" s="154" customFormat="1" hidden="1" outlineLevel="1">
      <c r="B306" s="165" t="s">
        <v>2326</v>
      </c>
      <c r="C306" s="165" t="s">
        <v>3264</v>
      </c>
      <c r="D306" s="165" t="s">
        <v>3278</v>
      </c>
      <c r="E306" s="403">
        <v>16483244.019931631</v>
      </c>
      <c r="F306" s="431">
        <v>15561707.984068461</v>
      </c>
      <c r="G306" s="404">
        <v>15</v>
      </c>
      <c r="H306" s="405">
        <v>47086</v>
      </c>
      <c r="I306" s="404">
        <v>5479</v>
      </c>
      <c r="J306" s="404">
        <v>4993</v>
      </c>
      <c r="K306" s="406">
        <v>14737545.783071879</v>
      </c>
      <c r="L306" s="404">
        <v>365</v>
      </c>
      <c r="M306" s="404">
        <v>1077349</v>
      </c>
      <c r="N306" s="404">
        <v>7560899</v>
      </c>
      <c r="O306" s="404">
        <v>8000808.9840684608</v>
      </c>
    </row>
    <row r="307" spans="2:15" s="154" customFormat="1" hidden="1" outlineLevel="1">
      <c r="B307" s="165" t="s">
        <v>2326</v>
      </c>
      <c r="C307" s="165" t="s">
        <v>3264</v>
      </c>
      <c r="D307" s="165" t="s">
        <v>3279</v>
      </c>
      <c r="E307" s="403">
        <v>8943171.3386788592</v>
      </c>
      <c r="F307" s="431">
        <v>8443181.5128710326</v>
      </c>
      <c r="G307" s="404">
        <v>15</v>
      </c>
      <c r="H307" s="405">
        <v>47086</v>
      </c>
      <c r="I307" s="404">
        <v>5479</v>
      </c>
      <c r="J307" s="404">
        <v>4993</v>
      </c>
      <c r="K307" s="406">
        <v>7996022.9459370896</v>
      </c>
      <c r="L307" s="404">
        <v>365</v>
      </c>
      <c r="M307" s="404">
        <v>584528</v>
      </c>
      <c r="N307" s="404">
        <v>4102251</v>
      </c>
      <c r="O307" s="404">
        <v>4340930.5128710326</v>
      </c>
    </row>
    <row r="308" spans="2:15" s="154" customFormat="1" hidden="1" outlineLevel="1">
      <c r="B308" s="165" t="s">
        <v>2326</v>
      </c>
      <c r="C308" s="165" t="s">
        <v>3264</v>
      </c>
      <c r="D308" s="165" t="s">
        <v>3280</v>
      </c>
      <c r="E308" s="403">
        <v>14157520.315516921</v>
      </c>
      <c r="F308" s="431">
        <v>13366009.573435031</v>
      </c>
      <c r="G308" s="404">
        <v>20</v>
      </c>
      <c r="H308" s="405">
        <v>48912</v>
      </c>
      <c r="I308" s="404">
        <v>7305</v>
      </c>
      <c r="J308" s="404">
        <v>6819</v>
      </c>
      <c r="K308" s="406">
        <v>12658133.557659186</v>
      </c>
      <c r="L308" s="404">
        <v>365</v>
      </c>
      <c r="M308" s="404">
        <v>677551</v>
      </c>
      <c r="N308" s="404">
        <v>4755092</v>
      </c>
      <c r="O308" s="404">
        <v>8610917.5734350327</v>
      </c>
    </row>
    <row r="309" spans="2:15" s="154" customFormat="1" hidden="1" outlineLevel="1">
      <c r="B309" s="165"/>
      <c r="C309" s="165"/>
      <c r="D309" s="165"/>
      <c r="E309" s="403"/>
      <c r="F309" s="432"/>
      <c r="G309" s="404"/>
      <c r="H309" s="405"/>
      <c r="I309" s="404"/>
      <c r="J309" s="404"/>
      <c r="K309" s="404"/>
      <c r="L309" s="404"/>
      <c r="M309" s="404"/>
      <c r="N309" s="404"/>
      <c r="O309" s="404"/>
    </row>
    <row r="310" spans="2:15" s="154" customFormat="1" hidden="1" outlineLevel="1">
      <c r="B310" s="165" t="s">
        <v>2326</v>
      </c>
      <c r="C310" s="165" t="s">
        <v>3281</v>
      </c>
      <c r="D310" s="165" t="s">
        <v>3282</v>
      </c>
      <c r="E310" s="403">
        <v>6813094.2678150944</v>
      </c>
      <c r="F310" s="431">
        <v>6432191.6010430921</v>
      </c>
      <c r="G310" s="404">
        <v>7</v>
      </c>
      <c r="H310" s="405">
        <v>44164</v>
      </c>
      <c r="I310" s="404">
        <v>2557</v>
      </c>
      <c r="J310" s="404">
        <v>2071</v>
      </c>
      <c r="K310" s="406">
        <v>6091536.8876523366</v>
      </c>
      <c r="L310" s="404">
        <v>0</v>
      </c>
      <c r="M310" s="404">
        <v>0</v>
      </c>
      <c r="N310" s="404">
        <v>6432192</v>
      </c>
      <c r="O310" s="403">
        <v>-0.39895690884441137</v>
      </c>
    </row>
    <row r="311" spans="2:15" s="154" customFormat="1" hidden="1" outlineLevel="1">
      <c r="B311" s="165" t="s">
        <v>2326</v>
      </c>
      <c r="C311" s="165" t="s">
        <v>3281</v>
      </c>
      <c r="D311" s="165" t="s">
        <v>3283</v>
      </c>
      <c r="E311" s="403">
        <v>17032737.016771276</v>
      </c>
      <c r="F311" s="431">
        <v>16080480.275361223</v>
      </c>
      <c r="G311" s="404">
        <v>10</v>
      </c>
      <c r="H311" s="405">
        <v>45259</v>
      </c>
      <c r="I311" s="404">
        <v>3652</v>
      </c>
      <c r="J311" s="404">
        <v>3166</v>
      </c>
      <c r="K311" s="406">
        <v>15228843.424522659</v>
      </c>
      <c r="L311" s="404">
        <v>365</v>
      </c>
      <c r="M311" s="404">
        <v>1755694</v>
      </c>
      <c r="N311" s="404">
        <v>12321564</v>
      </c>
      <c r="O311" s="404">
        <v>3758916.2753612231</v>
      </c>
    </row>
    <row r="312" spans="2:15" s="154" customFormat="1" hidden="1" outlineLevel="1">
      <c r="B312" s="165" t="s">
        <v>2326</v>
      </c>
      <c r="C312" s="165" t="s">
        <v>3281</v>
      </c>
      <c r="D312" s="165" t="s">
        <v>3284</v>
      </c>
      <c r="E312" s="403">
        <v>10219641.748956176</v>
      </c>
      <c r="F312" s="431">
        <v>9648287.6743181273</v>
      </c>
      <c r="G312" s="404">
        <v>14</v>
      </c>
      <c r="H312" s="405">
        <v>46720</v>
      </c>
      <c r="I312" s="404">
        <v>5113</v>
      </c>
      <c r="J312" s="404">
        <v>4627</v>
      </c>
      <c r="K312" s="406">
        <v>9137305.5868703183</v>
      </c>
      <c r="L312" s="404">
        <v>365</v>
      </c>
      <c r="M312" s="404">
        <v>720795</v>
      </c>
      <c r="N312" s="404">
        <v>5058581</v>
      </c>
      <c r="O312" s="404">
        <v>4589706.6743181273</v>
      </c>
    </row>
    <row r="313" spans="2:15" s="154" customFormat="1" hidden="1" outlineLevel="1">
      <c r="B313" s="165"/>
      <c r="C313" s="165"/>
      <c r="D313" s="165"/>
      <c r="E313" s="403"/>
      <c r="F313" s="432"/>
      <c r="G313" s="404"/>
      <c r="H313" s="405"/>
      <c r="I313" s="404"/>
      <c r="J313" s="404"/>
      <c r="K313" s="404"/>
      <c r="L313" s="404"/>
      <c r="M313" s="404"/>
      <c r="N313" s="404"/>
      <c r="O313" s="404"/>
    </row>
    <row r="314" spans="2:15" s="154" customFormat="1" ht="27" hidden="1" outlineLevel="1">
      <c r="B314" s="165" t="s">
        <v>2326</v>
      </c>
      <c r="C314" s="165" t="s">
        <v>3285</v>
      </c>
      <c r="D314" s="165" t="s">
        <v>3286</v>
      </c>
      <c r="E314" s="403">
        <v>132059164.7364758</v>
      </c>
      <c r="F314" s="431">
        <v>124676074.44182545</v>
      </c>
      <c r="G314" s="404">
        <v>30</v>
      </c>
      <c r="H314" s="405">
        <v>52564</v>
      </c>
      <c r="I314" s="404">
        <v>10957</v>
      </c>
      <c r="J314" s="404">
        <v>10471</v>
      </c>
      <c r="K314" s="406">
        <v>118073116.20500165</v>
      </c>
      <c r="L314" s="404">
        <v>365</v>
      </c>
      <c r="M314" s="404">
        <v>4115814</v>
      </c>
      <c r="N314" s="404">
        <v>28885024</v>
      </c>
      <c r="O314" s="404">
        <v>95791050.441825449</v>
      </c>
    </row>
    <row r="315" spans="2:15" s="154" customFormat="1" hidden="1" outlineLevel="1">
      <c r="B315" s="165" t="s">
        <v>2326</v>
      </c>
      <c r="C315" s="165" t="s">
        <v>3285</v>
      </c>
      <c r="D315" s="165" t="s">
        <v>3287</v>
      </c>
      <c r="E315" s="403">
        <v>1305239.3351936308</v>
      </c>
      <c r="F315" s="431">
        <v>1232266.7220448025</v>
      </c>
      <c r="G315" s="404">
        <v>25</v>
      </c>
      <c r="H315" s="405">
        <v>50738</v>
      </c>
      <c r="I315" s="404">
        <v>9131</v>
      </c>
      <c r="J315" s="404">
        <v>8645</v>
      </c>
      <c r="K315" s="406">
        <v>1167004.755285121</v>
      </c>
      <c r="L315" s="404">
        <v>365</v>
      </c>
      <c r="M315" s="404">
        <v>49272</v>
      </c>
      <c r="N315" s="404">
        <v>345794</v>
      </c>
      <c r="O315" s="404">
        <v>886472.7220448025</v>
      </c>
    </row>
    <row r="316" spans="2:15" s="154" customFormat="1" hidden="1" outlineLevel="1">
      <c r="B316" s="165"/>
      <c r="C316" s="165"/>
      <c r="D316" s="165"/>
      <c r="E316" s="403"/>
      <c r="F316" s="432"/>
      <c r="G316" s="404"/>
      <c r="H316" s="405"/>
      <c r="I316" s="404"/>
      <c r="J316" s="404"/>
      <c r="K316" s="406"/>
      <c r="L316" s="404"/>
      <c r="M316" s="404"/>
      <c r="N316" s="404"/>
      <c r="O316" s="404"/>
    </row>
    <row r="317" spans="2:15" s="154" customFormat="1" hidden="1" outlineLevel="1">
      <c r="B317" s="165" t="s">
        <v>2326</v>
      </c>
      <c r="C317" s="165" t="s">
        <v>2326</v>
      </c>
      <c r="D317" s="165" t="s">
        <v>3227</v>
      </c>
      <c r="E317" s="403">
        <v>15114398.164959311</v>
      </c>
      <c r="F317" s="431">
        <v>15112823.447043553</v>
      </c>
      <c r="G317" s="404">
        <v>10</v>
      </c>
      <c r="H317" s="405">
        <v>45746</v>
      </c>
      <c r="I317" s="404">
        <v>3653</v>
      </c>
      <c r="J317" s="404">
        <v>3652</v>
      </c>
      <c r="K317" s="406">
        <v>14357103.538795587</v>
      </c>
      <c r="L317" s="404">
        <v>365</v>
      </c>
      <c r="M317" s="404">
        <v>1434924</v>
      </c>
      <c r="N317" s="404">
        <v>10054513</v>
      </c>
      <c r="O317" s="404">
        <v>5058310.447043553</v>
      </c>
    </row>
    <row r="318" spans="2:15" s="154" customFormat="1" hidden="1" outlineLevel="1">
      <c r="B318" s="165" t="s">
        <v>2326</v>
      </c>
      <c r="C318" s="165" t="s">
        <v>2326</v>
      </c>
      <c r="D318" s="165" t="s">
        <v>3228</v>
      </c>
      <c r="E318" s="403">
        <v>141214662.4077754</v>
      </c>
      <c r="F318" s="431">
        <v>141199949.73130941</v>
      </c>
      <c r="G318" s="404">
        <v>10</v>
      </c>
      <c r="H318" s="405">
        <v>45746</v>
      </c>
      <c r="I318" s="404">
        <v>3653</v>
      </c>
      <c r="J318" s="404">
        <v>3652</v>
      </c>
      <c r="K318" s="406">
        <v>134139216.61092064</v>
      </c>
      <c r="L318" s="404">
        <v>365</v>
      </c>
      <c r="M318" s="404">
        <v>13406576</v>
      </c>
      <c r="N318" s="404">
        <v>93939884</v>
      </c>
      <c r="O318" s="404">
        <v>47260065.731309414</v>
      </c>
    </row>
    <row r="319" spans="2:15" s="154" customFormat="1" hidden="1" outlineLevel="1">
      <c r="B319" s="165" t="s">
        <v>2326</v>
      </c>
      <c r="C319" s="165" t="s">
        <v>2326</v>
      </c>
      <c r="D319" s="165" t="s">
        <v>3229</v>
      </c>
      <c r="E319" s="403">
        <v>112971730.72622031</v>
      </c>
      <c r="F319" s="431">
        <v>112959960.58504753</v>
      </c>
      <c r="G319" s="404">
        <v>10</v>
      </c>
      <c r="H319" s="405">
        <v>45746</v>
      </c>
      <c r="I319" s="404">
        <v>3653</v>
      </c>
      <c r="J319" s="404">
        <v>3652</v>
      </c>
      <c r="K319" s="406">
        <v>107311374.04873651</v>
      </c>
      <c r="L319" s="404">
        <v>365</v>
      </c>
      <c r="M319" s="404">
        <v>10725261</v>
      </c>
      <c r="N319" s="404">
        <v>75151908</v>
      </c>
      <c r="O319" s="404">
        <v>37808052.585047528</v>
      </c>
    </row>
    <row r="320" spans="2:15" s="154" customFormat="1" ht="27" hidden="1" outlineLevel="1">
      <c r="B320" s="165" t="s">
        <v>2326</v>
      </c>
      <c r="C320" s="165" t="s">
        <v>2326</v>
      </c>
      <c r="D320" s="417" t="s">
        <v>3230</v>
      </c>
      <c r="E320" s="403">
        <v>56485865.363110155</v>
      </c>
      <c r="F320" s="431">
        <v>56479980.292523764</v>
      </c>
      <c r="G320" s="404">
        <v>8</v>
      </c>
      <c r="H320" s="405">
        <v>45015</v>
      </c>
      <c r="I320" s="404">
        <v>2922</v>
      </c>
      <c r="J320" s="404">
        <v>2921</v>
      </c>
      <c r="K320" s="406">
        <v>53655687.024368256</v>
      </c>
      <c r="L320" s="404">
        <v>365</v>
      </c>
      <c r="M320" s="404">
        <v>6704665</v>
      </c>
      <c r="N320" s="404">
        <v>46979591</v>
      </c>
      <c r="O320" s="404">
        <v>9500389.2925237641</v>
      </c>
    </row>
    <row r="321" spans="2:15" s="154" customFormat="1" hidden="1" outlineLevel="1">
      <c r="B321" s="165" t="s">
        <v>2326</v>
      </c>
      <c r="C321" s="165" t="s">
        <v>2326</v>
      </c>
      <c r="D321" s="417" t="s">
        <v>3231</v>
      </c>
      <c r="E321" s="403">
        <v>84728798.044665247</v>
      </c>
      <c r="F321" s="431">
        <v>84719970.438785657</v>
      </c>
      <c r="G321" s="404">
        <v>20</v>
      </c>
      <c r="H321" s="405">
        <v>49398</v>
      </c>
      <c r="I321" s="404">
        <v>7305</v>
      </c>
      <c r="J321" s="404">
        <v>7304</v>
      </c>
      <c r="K321" s="406">
        <v>80483530.536552399</v>
      </c>
      <c r="L321" s="404">
        <v>365</v>
      </c>
      <c r="M321" s="404">
        <v>4021973</v>
      </c>
      <c r="N321" s="404">
        <v>28181966</v>
      </c>
      <c r="O321" s="404">
        <v>56538004.438785657</v>
      </c>
    </row>
    <row r="322" spans="2:15" s="154" customFormat="1" hidden="1" outlineLevel="1">
      <c r="B322" s="165" t="s">
        <v>2326</v>
      </c>
      <c r="C322" s="165" t="s">
        <v>2326</v>
      </c>
      <c r="D322" s="417" t="s">
        <v>3232</v>
      </c>
      <c r="E322" s="403">
        <v>169457595.08933049</v>
      </c>
      <c r="F322" s="431">
        <v>169439939.87757131</v>
      </c>
      <c r="G322" s="404">
        <v>40</v>
      </c>
      <c r="H322" s="405">
        <v>56703</v>
      </c>
      <c r="I322" s="404">
        <v>14610</v>
      </c>
      <c r="J322" s="404">
        <v>14609</v>
      </c>
      <c r="K322" s="406">
        <v>160967060.12310478</v>
      </c>
      <c r="L322" s="404">
        <v>365</v>
      </c>
      <c r="M322" s="404">
        <v>4021697</v>
      </c>
      <c r="N322" s="404">
        <v>28180034</v>
      </c>
      <c r="O322" s="404">
        <v>141259905.87757131</v>
      </c>
    </row>
    <row r="323" spans="2:15" s="154" customFormat="1" ht="27" hidden="1" outlineLevel="1">
      <c r="B323" s="165" t="s">
        <v>2326</v>
      </c>
      <c r="C323" s="165" t="s">
        <v>2326</v>
      </c>
      <c r="D323" s="417" t="s">
        <v>3233</v>
      </c>
      <c r="E323" s="403">
        <v>10130215.957159966</v>
      </c>
      <c r="F323" s="431">
        <v>10129160.524433367</v>
      </c>
      <c r="G323" s="404">
        <v>15</v>
      </c>
      <c r="H323" s="405">
        <v>47572</v>
      </c>
      <c r="I323" s="404">
        <v>5479</v>
      </c>
      <c r="J323" s="404">
        <v>5478</v>
      </c>
      <c r="K323" s="406">
        <v>9622649.726575369</v>
      </c>
      <c r="L323" s="404">
        <v>365</v>
      </c>
      <c r="M323" s="404">
        <v>641159</v>
      </c>
      <c r="N323" s="404">
        <v>4492600</v>
      </c>
      <c r="O323" s="404">
        <v>5636560.524433367</v>
      </c>
    </row>
    <row r="324" spans="2:15" s="154" customFormat="1" ht="27" hidden="1" outlineLevel="1">
      <c r="B324" s="165" t="s">
        <v>2326</v>
      </c>
      <c r="C324" s="165" t="s">
        <v>2326</v>
      </c>
      <c r="D324" s="417" t="s">
        <v>3234</v>
      </c>
      <c r="E324" s="403">
        <v>6753476.3047733111</v>
      </c>
      <c r="F324" s="431">
        <v>6752772.6829555789</v>
      </c>
      <c r="G324" s="404">
        <v>15</v>
      </c>
      <c r="H324" s="405">
        <v>47572</v>
      </c>
      <c r="I324" s="404">
        <v>5479</v>
      </c>
      <c r="J324" s="404">
        <v>5478</v>
      </c>
      <c r="K324" s="406">
        <v>6415098.8677169131</v>
      </c>
      <c r="L324" s="404">
        <v>365</v>
      </c>
      <c r="M324" s="404">
        <v>427439</v>
      </c>
      <c r="N324" s="404">
        <v>2995065</v>
      </c>
      <c r="O324" s="404">
        <v>3757707.6829555789</v>
      </c>
    </row>
    <row r="325" spans="2:15" s="154" customFormat="1" hidden="1" outlineLevel="1">
      <c r="B325" s="165" t="s">
        <v>2326</v>
      </c>
      <c r="C325" s="165" t="s">
        <v>3235</v>
      </c>
      <c r="D325" s="417" t="s">
        <v>3236</v>
      </c>
      <c r="E325" s="403">
        <v>9745546.5350872837</v>
      </c>
      <c r="F325" s="431">
        <v>9744531.1797753777</v>
      </c>
      <c r="G325" s="404">
        <v>25</v>
      </c>
      <c r="H325" s="405">
        <v>51225</v>
      </c>
      <c r="I325" s="404">
        <v>9132</v>
      </c>
      <c r="J325" s="404">
        <v>9131</v>
      </c>
      <c r="K325" s="406">
        <v>9257253.8530210145</v>
      </c>
      <c r="L325" s="404">
        <v>365</v>
      </c>
      <c r="M325" s="404">
        <v>370047</v>
      </c>
      <c r="N325" s="404">
        <v>2592919</v>
      </c>
      <c r="O325" s="404">
        <v>7151612.1797753777</v>
      </c>
    </row>
    <row r="326" spans="2:15" s="154" customFormat="1" hidden="1" outlineLevel="1">
      <c r="B326" s="165" t="s">
        <v>2326</v>
      </c>
      <c r="C326" s="165" t="s">
        <v>3235</v>
      </c>
      <c r="D326" s="417" t="s">
        <v>3237</v>
      </c>
      <c r="E326" s="403">
        <v>3248515.1783624287</v>
      </c>
      <c r="F326" s="431">
        <v>3248176.7265917929</v>
      </c>
      <c r="G326" s="404">
        <v>25</v>
      </c>
      <c r="H326" s="405">
        <v>51225</v>
      </c>
      <c r="I326" s="404">
        <v>9132</v>
      </c>
      <c r="J326" s="404">
        <v>9131</v>
      </c>
      <c r="K326" s="406">
        <v>3085750.9676736714</v>
      </c>
      <c r="L326" s="404">
        <v>365</v>
      </c>
      <c r="M326" s="404">
        <v>123349</v>
      </c>
      <c r="N326" s="404">
        <v>864306</v>
      </c>
      <c r="O326" s="404">
        <v>2383870.7265917929</v>
      </c>
    </row>
    <row r="327" spans="2:15" s="154" customFormat="1" hidden="1" outlineLevel="1">
      <c r="B327" s="165" t="s">
        <v>2326</v>
      </c>
      <c r="C327" s="165" t="s">
        <v>3238</v>
      </c>
      <c r="D327" s="417" t="s">
        <v>3239</v>
      </c>
      <c r="E327" s="403">
        <v>14569606.236969708</v>
      </c>
      <c r="F327" s="431">
        <v>14568088.279153772</v>
      </c>
      <c r="G327" s="404">
        <v>20</v>
      </c>
      <c r="H327" s="405">
        <v>49398</v>
      </c>
      <c r="I327" s="404">
        <v>7305</v>
      </c>
      <c r="J327" s="404">
        <v>7304</v>
      </c>
      <c r="K327" s="406">
        <v>13839607.967305286</v>
      </c>
      <c r="L327" s="404">
        <v>365</v>
      </c>
      <c r="M327" s="404">
        <v>691601</v>
      </c>
      <c r="N327" s="404">
        <v>4846049</v>
      </c>
      <c r="O327" s="404">
        <v>9722039.2791537717</v>
      </c>
    </row>
    <row r="328" spans="2:15" s="154" customFormat="1" hidden="1" outlineLevel="1">
      <c r="B328" s="165" t="s">
        <v>2326</v>
      </c>
      <c r="C328" s="165" t="s">
        <v>3238</v>
      </c>
      <c r="D328" s="417" t="s">
        <v>3240</v>
      </c>
      <c r="E328" s="403">
        <v>3642401.3092424269</v>
      </c>
      <c r="F328" s="431">
        <v>3642021.8197884429</v>
      </c>
      <c r="G328" s="404">
        <v>15</v>
      </c>
      <c r="H328" s="405">
        <v>47572</v>
      </c>
      <c r="I328" s="404">
        <v>5479</v>
      </c>
      <c r="J328" s="404">
        <v>5478</v>
      </c>
      <c r="K328" s="406">
        <v>3459901.7543263217</v>
      </c>
      <c r="L328" s="404">
        <v>365</v>
      </c>
      <c r="M328" s="404">
        <v>230534</v>
      </c>
      <c r="N328" s="404">
        <v>1615351</v>
      </c>
      <c r="O328" s="404">
        <v>2026670.8197884429</v>
      </c>
    </row>
    <row r="329" spans="2:15" s="154" customFormat="1" hidden="1" outlineLevel="1">
      <c r="B329" s="165" t="s">
        <v>2326</v>
      </c>
      <c r="C329" s="165" t="s">
        <v>3241</v>
      </c>
      <c r="D329" s="417" t="s">
        <v>3242</v>
      </c>
      <c r="E329" s="403">
        <v>1711723.9918285585</v>
      </c>
      <c r="F329" s="431">
        <v>1711545.6530481996</v>
      </c>
      <c r="G329" s="404">
        <v>15</v>
      </c>
      <c r="H329" s="405">
        <v>47572</v>
      </c>
      <c r="I329" s="404">
        <v>5479</v>
      </c>
      <c r="J329" s="404">
        <v>5478</v>
      </c>
      <c r="K329" s="406">
        <v>1625959.4534567716</v>
      </c>
      <c r="L329" s="404">
        <v>365</v>
      </c>
      <c r="M329" s="404">
        <v>108338</v>
      </c>
      <c r="N329" s="404">
        <v>759125</v>
      </c>
      <c r="O329" s="404">
        <v>952420.6530481996</v>
      </c>
    </row>
    <row r="330" spans="2:15" s="154" customFormat="1" hidden="1" outlineLevel="1">
      <c r="B330" s="165" t="s">
        <v>2326</v>
      </c>
      <c r="C330" s="165" t="s">
        <v>3241</v>
      </c>
      <c r="D330" s="417" t="s">
        <v>3243</v>
      </c>
      <c r="E330" s="403">
        <v>427931.24795713963</v>
      </c>
      <c r="F330" s="431">
        <v>427886.6632620499</v>
      </c>
      <c r="G330" s="404">
        <v>5</v>
      </c>
      <c r="H330" s="405">
        <v>43920</v>
      </c>
      <c r="I330" s="404">
        <v>1827</v>
      </c>
      <c r="J330" s="404">
        <v>1826</v>
      </c>
      <c r="K330" s="406">
        <v>406490.10086419294</v>
      </c>
      <c r="L330" s="404">
        <v>0</v>
      </c>
      <c r="M330" s="404">
        <v>0</v>
      </c>
      <c r="N330" s="404">
        <v>427887</v>
      </c>
      <c r="O330" s="403">
        <v>-0.33673795009963214</v>
      </c>
    </row>
    <row r="331" spans="2:15" s="154" customFormat="1" ht="27" hidden="1" outlineLevel="1">
      <c r="B331" s="165" t="s">
        <v>2326</v>
      </c>
      <c r="C331" s="165" t="s">
        <v>2326</v>
      </c>
      <c r="D331" s="417" t="s">
        <v>3244</v>
      </c>
      <c r="E331" s="403">
        <v>8808899.3804625366</v>
      </c>
      <c r="F331" s="431">
        <v>8807981.6111391205</v>
      </c>
      <c r="G331" s="404">
        <v>10</v>
      </c>
      <c r="H331" s="405">
        <v>45746</v>
      </c>
      <c r="I331" s="404">
        <v>3653</v>
      </c>
      <c r="J331" s="404">
        <v>3652</v>
      </c>
      <c r="K331" s="406">
        <v>8367536.6421159934</v>
      </c>
      <c r="L331" s="404">
        <v>365</v>
      </c>
      <c r="M331" s="404">
        <v>836295</v>
      </c>
      <c r="N331" s="404">
        <v>5859921</v>
      </c>
      <c r="O331" s="404">
        <v>2948060.6111391205</v>
      </c>
    </row>
    <row r="332" spans="2:15" s="154" customFormat="1" ht="27" hidden="1" outlineLevel="1">
      <c r="B332" s="165" t="s">
        <v>2326</v>
      </c>
      <c r="C332" s="165" t="s">
        <v>3245</v>
      </c>
      <c r="D332" s="417" t="s">
        <v>3246</v>
      </c>
      <c r="E332" s="403">
        <v>16418629.181224443</v>
      </c>
      <c r="F332" s="431">
        <v>16416918.57991343</v>
      </c>
      <c r="G332" s="404">
        <v>15</v>
      </c>
      <c r="H332" s="405">
        <v>47572</v>
      </c>
      <c r="I332" s="404">
        <v>5479</v>
      </c>
      <c r="J332" s="404">
        <v>5478</v>
      </c>
      <c r="K332" s="406">
        <v>15595987.120852208</v>
      </c>
      <c r="L332" s="404">
        <v>365</v>
      </c>
      <c r="M332" s="404">
        <v>1039163</v>
      </c>
      <c r="N332" s="404">
        <v>7281416</v>
      </c>
      <c r="O332" s="404">
        <v>9135502.5799134299</v>
      </c>
    </row>
    <row r="333" spans="2:15" s="154" customFormat="1" hidden="1" outlineLevel="1">
      <c r="B333" s="165" t="s">
        <v>2326</v>
      </c>
      <c r="C333" s="165" t="s">
        <v>3245</v>
      </c>
      <c r="D333" s="417" t="s">
        <v>3247</v>
      </c>
      <c r="E333" s="403">
        <v>4104657.0453061108</v>
      </c>
      <c r="F333" s="431">
        <v>4104229.3949783575</v>
      </c>
      <c r="G333" s="404">
        <v>3</v>
      </c>
      <c r="H333" s="405">
        <v>43189</v>
      </c>
      <c r="I333" s="404">
        <v>1096</v>
      </c>
      <c r="J333" s="404">
        <v>1095</v>
      </c>
      <c r="K333" s="406">
        <v>3898996.5427130521</v>
      </c>
      <c r="L333" s="404">
        <v>0</v>
      </c>
      <c r="M333" s="404">
        <v>0</v>
      </c>
      <c r="N333" s="404">
        <v>4104229</v>
      </c>
      <c r="O333" s="404">
        <v>0.39497835747897625</v>
      </c>
    </row>
    <row r="334" spans="2:15" s="154" customFormat="1" hidden="1" outlineLevel="1">
      <c r="B334" s="165" t="s">
        <v>2326</v>
      </c>
      <c r="C334" s="165" t="s">
        <v>3248</v>
      </c>
      <c r="D334" s="165" t="s">
        <v>3249</v>
      </c>
      <c r="E334" s="403">
        <v>52860809.873780705</v>
      </c>
      <c r="F334" s="431">
        <v>52855302.485357568</v>
      </c>
      <c r="G334" s="404">
        <v>20</v>
      </c>
      <c r="H334" s="405">
        <v>49398</v>
      </c>
      <c r="I334" s="404">
        <v>7305</v>
      </c>
      <c r="J334" s="404">
        <v>7304</v>
      </c>
      <c r="K334" s="406">
        <v>50212261.99166853</v>
      </c>
      <c r="L334" s="404">
        <v>365</v>
      </c>
      <c r="M334" s="404">
        <v>2509238</v>
      </c>
      <c r="N334" s="404">
        <v>17582232</v>
      </c>
      <c r="O334" s="404">
        <v>35273070.485357568</v>
      </c>
    </row>
    <row r="335" spans="2:15" s="154" customFormat="1" ht="27" hidden="1" outlineLevel="1">
      <c r="B335" s="165" t="s">
        <v>2326</v>
      </c>
      <c r="C335" s="165" t="s">
        <v>3248</v>
      </c>
      <c r="D335" s="165" t="s">
        <v>3250</v>
      </c>
      <c r="E335" s="403">
        <v>26430404.936890353</v>
      </c>
      <c r="F335" s="431">
        <v>26427651.242678784</v>
      </c>
      <c r="G335" s="404">
        <v>20</v>
      </c>
      <c r="H335" s="405">
        <v>49398</v>
      </c>
      <c r="I335" s="404">
        <v>7305</v>
      </c>
      <c r="J335" s="404">
        <v>7304</v>
      </c>
      <c r="K335" s="406">
        <v>25106130.995834265</v>
      </c>
      <c r="L335" s="404">
        <v>365</v>
      </c>
      <c r="M335" s="404">
        <v>1254619</v>
      </c>
      <c r="N335" s="404">
        <v>8791116</v>
      </c>
      <c r="O335" s="404">
        <v>17636535.242678784</v>
      </c>
    </row>
    <row r="336" spans="2:15" s="154" customFormat="1" hidden="1" outlineLevel="1">
      <c r="B336" s="165" t="s">
        <v>2326</v>
      </c>
      <c r="C336" s="165" t="s">
        <v>3248</v>
      </c>
      <c r="D336" s="165" t="s">
        <v>3251</v>
      </c>
      <c r="E336" s="403">
        <v>185012836.5582324</v>
      </c>
      <c r="F336" s="431">
        <v>184993560.69875142</v>
      </c>
      <c r="G336" s="404">
        <v>30</v>
      </c>
      <c r="H336" s="405">
        <v>53051</v>
      </c>
      <c r="I336" s="404">
        <v>10958</v>
      </c>
      <c r="J336" s="404">
        <v>10957</v>
      </c>
      <c r="K336" s="406">
        <v>175742918.8708398</v>
      </c>
      <c r="L336" s="404">
        <v>365</v>
      </c>
      <c r="M336" s="404">
        <v>5854355</v>
      </c>
      <c r="N336" s="404">
        <v>41021468</v>
      </c>
      <c r="O336" s="404">
        <v>143972092.69875142</v>
      </c>
    </row>
    <row r="337" spans="2:15" s="154" customFormat="1" ht="27" hidden="1" outlineLevel="1">
      <c r="B337" s="165" t="s">
        <v>2326</v>
      </c>
      <c r="C337" s="165" t="s">
        <v>3252</v>
      </c>
      <c r="D337" s="165" t="s">
        <v>3253</v>
      </c>
      <c r="E337" s="403">
        <v>835186.58056183183</v>
      </c>
      <c r="F337" s="431">
        <v>835099.56530761218</v>
      </c>
      <c r="G337" s="404">
        <v>5</v>
      </c>
      <c r="H337" s="405">
        <v>43920</v>
      </c>
      <c r="I337" s="404">
        <v>1827</v>
      </c>
      <c r="J337" s="404">
        <v>1826</v>
      </c>
      <c r="K337" s="406">
        <v>793340.23627952056</v>
      </c>
      <c r="L337" s="404">
        <v>0</v>
      </c>
      <c r="M337" s="404">
        <v>0</v>
      </c>
      <c r="N337" s="404">
        <v>835100</v>
      </c>
      <c r="O337" s="403">
        <v>-0.43469238781835884</v>
      </c>
    </row>
    <row r="338" spans="2:15" s="154" customFormat="1" ht="40.5" hidden="1" outlineLevel="1">
      <c r="B338" s="165" t="s">
        <v>2326</v>
      </c>
      <c r="C338" s="165" t="s">
        <v>3252</v>
      </c>
      <c r="D338" s="165" t="s">
        <v>3254</v>
      </c>
      <c r="E338" s="403">
        <v>835186.58056183183</v>
      </c>
      <c r="F338" s="431">
        <v>835099.56530761218</v>
      </c>
      <c r="G338" s="404">
        <v>15</v>
      </c>
      <c r="H338" s="405">
        <v>47572</v>
      </c>
      <c r="I338" s="404">
        <v>5479</v>
      </c>
      <c r="J338" s="404">
        <v>5478</v>
      </c>
      <c r="K338" s="406">
        <v>793340.23627952056</v>
      </c>
      <c r="L338" s="404">
        <v>365</v>
      </c>
      <c r="M338" s="404">
        <v>52860</v>
      </c>
      <c r="N338" s="404">
        <v>370391</v>
      </c>
      <c r="O338" s="404">
        <v>464708.56530761218</v>
      </c>
    </row>
    <row r="339" spans="2:15" s="154" customFormat="1" ht="40.5" hidden="1" outlineLevel="1">
      <c r="B339" s="165" t="s">
        <v>2326</v>
      </c>
      <c r="C339" s="165" t="s">
        <v>3252</v>
      </c>
      <c r="D339" s="165" t="s">
        <v>3255</v>
      </c>
      <c r="E339" s="403">
        <v>1113581.7740824425</v>
      </c>
      <c r="F339" s="431">
        <v>1113465.753743483</v>
      </c>
      <c r="G339" s="404">
        <v>15</v>
      </c>
      <c r="H339" s="405">
        <v>47572</v>
      </c>
      <c r="I339" s="404">
        <v>5479</v>
      </c>
      <c r="J339" s="404">
        <v>5478</v>
      </c>
      <c r="K339" s="406">
        <v>1057786.6650393608</v>
      </c>
      <c r="L339" s="404">
        <v>365</v>
      </c>
      <c r="M339" s="404">
        <v>70480</v>
      </c>
      <c r="N339" s="404">
        <v>493855</v>
      </c>
      <c r="O339" s="404">
        <v>619610.75374348299</v>
      </c>
    </row>
    <row r="340" spans="2:15" s="154" customFormat="1" hidden="1" outlineLevel="1">
      <c r="B340" s="165" t="s">
        <v>2326</v>
      </c>
      <c r="C340" s="165" t="s">
        <v>2326</v>
      </c>
      <c r="D340" s="165" t="s">
        <v>3257</v>
      </c>
      <c r="E340" s="403">
        <v>17980381.868983638</v>
      </c>
      <c r="F340" s="431">
        <v>17978508.5539896</v>
      </c>
      <c r="G340" s="404">
        <v>8</v>
      </c>
      <c r="H340" s="405">
        <v>45015</v>
      </c>
      <c r="I340" s="404">
        <v>2922</v>
      </c>
      <c r="J340" s="404">
        <v>2921</v>
      </c>
      <c r="K340" s="406">
        <v>17079489.460540418</v>
      </c>
      <c r="L340" s="404">
        <v>365</v>
      </c>
      <c r="M340" s="404">
        <v>2134205</v>
      </c>
      <c r="N340" s="404">
        <v>14954376</v>
      </c>
      <c r="O340" s="404">
        <v>3024132.5539896004</v>
      </c>
    </row>
    <row r="341" spans="2:15" s="154" customFormat="1" ht="27" hidden="1" outlineLevel="1">
      <c r="B341" s="165" t="s">
        <v>2326</v>
      </c>
      <c r="C341" s="165" t="s">
        <v>2326</v>
      </c>
      <c r="D341" s="165" t="s">
        <v>3258</v>
      </c>
      <c r="E341" s="403">
        <v>5564282.6109904181</v>
      </c>
      <c r="F341" s="431">
        <v>5563702.8872628184</v>
      </c>
      <c r="G341" s="404">
        <v>10</v>
      </c>
      <c r="H341" s="405">
        <v>45746</v>
      </c>
      <c r="I341" s="404">
        <v>3653</v>
      </c>
      <c r="J341" s="404">
        <v>3652</v>
      </c>
      <c r="K341" s="406">
        <v>5285488.7567132972</v>
      </c>
      <c r="L341" s="404">
        <v>365</v>
      </c>
      <c r="M341" s="404">
        <v>528259</v>
      </c>
      <c r="N341" s="404">
        <v>3701512</v>
      </c>
      <c r="O341" s="404">
        <v>1862190.8872628184</v>
      </c>
    </row>
    <row r="342" spans="2:15" s="154" customFormat="1" hidden="1" outlineLevel="1">
      <c r="B342" s="165"/>
      <c r="C342" s="165"/>
      <c r="D342" s="165"/>
      <c r="E342" s="403"/>
      <c r="F342" s="432"/>
      <c r="G342" s="404"/>
      <c r="H342" s="405"/>
      <c r="I342" s="404"/>
      <c r="J342" s="404"/>
      <c r="K342" s="404"/>
      <c r="L342" s="404"/>
      <c r="M342" s="404"/>
      <c r="N342" s="404"/>
      <c r="O342" s="404"/>
    </row>
    <row r="343" spans="2:15" s="154" customFormat="1" ht="14.25" hidden="1">
      <c r="B343" s="411" t="s">
        <v>1837</v>
      </c>
      <c r="C343" s="165"/>
      <c r="D343" s="165"/>
      <c r="E343" s="412">
        <v>2314607360.8320417</v>
      </c>
      <c r="F343" s="433">
        <f>SUBTOTAL(9,F246:F342)</f>
        <v>2238226012.42243</v>
      </c>
      <c r="G343" s="404"/>
      <c r="H343" s="405"/>
      <c r="I343" s="404"/>
      <c r="J343" s="404"/>
      <c r="K343" s="404"/>
      <c r="L343" s="404"/>
      <c r="M343" s="413">
        <f t="shared" ref="M343:O343" si="3">SUBTOTAL(9,M246:M342)</f>
        <v>138723895</v>
      </c>
      <c r="N343" s="413">
        <f t="shared" si="3"/>
        <v>1016556885</v>
      </c>
      <c r="O343" s="413">
        <f t="shared" si="3"/>
        <v>1221669127.4224303</v>
      </c>
    </row>
    <row r="344" spans="2:15" s="154" customFormat="1" ht="14.25" hidden="1">
      <c r="B344" s="165"/>
      <c r="C344" s="165"/>
      <c r="D344" s="165"/>
      <c r="E344" s="412"/>
      <c r="F344" s="435"/>
      <c r="G344" s="404"/>
      <c r="H344" s="405"/>
      <c r="I344" s="404"/>
      <c r="J344" s="404"/>
      <c r="K344" s="404"/>
      <c r="L344" s="404"/>
      <c r="M344" s="404"/>
      <c r="N344" s="404"/>
      <c r="O344" s="404"/>
    </row>
    <row r="345" spans="2:15" s="154" customFormat="1" ht="14.25" hidden="1">
      <c r="B345" s="411" t="s">
        <v>2327</v>
      </c>
      <c r="C345" s="165"/>
      <c r="D345" s="165"/>
      <c r="E345" s="412"/>
      <c r="F345" s="432"/>
      <c r="G345" s="404"/>
      <c r="H345" s="405"/>
      <c r="I345" s="404"/>
      <c r="J345" s="404"/>
      <c r="K345" s="404"/>
      <c r="L345" s="404"/>
      <c r="M345" s="404"/>
      <c r="N345" s="404"/>
      <c r="O345" s="404"/>
    </row>
    <row r="346" spans="2:15" s="154" customFormat="1" hidden="1" outlineLevel="1">
      <c r="B346" s="165" t="s">
        <v>2327</v>
      </c>
      <c r="C346" s="165" t="s">
        <v>3288</v>
      </c>
      <c r="D346" s="165" t="s">
        <v>3289</v>
      </c>
      <c r="E346" s="403">
        <v>69238775.947232917</v>
      </c>
      <c r="F346" s="431">
        <v>65367814.335669793</v>
      </c>
      <c r="G346" s="404">
        <v>30</v>
      </c>
      <c r="H346" s="405">
        <v>52564</v>
      </c>
      <c r="I346" s="404">
        <v>10957</v>
      </c>
      <c r="J346" s="404">
        <v>10471</v>
      </c>
      <c r="K346" s="406">
        <v>61905875.538308159</v>
      </c>
      <c r="L346" s="404">
        <v>365</v>
      </c>
      <c r="M346" s="404">
        <v>2157926</v>
      </c>
      <c r="N346" s="404">
        <v>15144451</v>
      </c>
      <c r="O346" s="404">
        <v>50223363.335669801</v>
      </c>
    </row>
    <row r="347" spans="2:15" s="159" customFormat="1" hidden="1" outlineLevel="1">
      <c r="B347" s="165" t="s">
        <v>2327</v>
      </c>
      <c r="C347" s="165" t="s">
        <v>3288</v>
      </c>
      <c r="D347" s="165" t="s">
        <v>3290</v>
      </c>
      <c r="E347" s="403">
        <v>167315046.7253781</v>
      </c>
      <c r="F347" s="431">
        <v>157960893.36559343</v>
      </c>
      <c r="G347" s="404">
        <v>30</v>
      </c>
      <c r="H347" s="405">
        <v>52564</v>
      </c>
      <c r="I347" s="404">
        <v>10957</v>
      </c>
      <c r="J347" s="404">
        <v>10471</v>
      </c>
      <c r="K347" s="406">
        <v>149595141.02932453</v>
      </c>
      <c r="L347" s="404">
        <v>365</v>
      </c>
      <c r="M347" s="404">
        <v>5214614</v>
      </c>
      <c r="N347" s="404">
        <v>36596466</v>
      </c>
      <c r="O347" s="404">
        <v>121364427.36559343</v>
      </c>
    </row>
    <row r="348" spans="2:15" s="154" customFormat="1" hidden="1" outlineLevel="1">
      <c r="B348" s="165" t="s">
        <v>2327</v>
      </c>
      <c r="C348" s="165" t="s">
        <v>3291</v>
      </c>
      <c r="D348" s="165" t="s">
        <v>3292</v>
      </c>
      <c r="E348" s="403">
        <v>11365591.465249689</v>
      </c>
      <c r="F348" s="431">
        <v>10730170.517006384</v>
      </c>
      <c r="G348" s="404">
        <v>15</v>
      </c>
      <c r="H348" s="405">
        <v>47086</v>
      </c>
      <c r="I348" s="404">
        <v>5479</v>
      </c>
      <c r="J348" s="404">
        <v>4993</v>
      </c>
      <c r="K348" s="406">
        <v>10161890.943743899</v>
      </c>
      <c r="L348" s="404">
        <v>365</v>
      </c>
      <c r="M348" s="404">
        <v>742858</v>
      </c>
      <c r="N348" s="404">
        <v>5213421</v>
      </c>
      <c r="O348" s="404">
        <v>5516749.5170063842</v>
      </c>
    </row>
    <row r="349" spans="2:15" s="154" customFormat="1" hidden="1" outlineLevel="1">
      <c r="B349" s="165" t="s">
        <v>2327</v>
      </c>
      <c r="C349" s="165" t="s">
        <v>3291</v>
      </c>
      <c r="D349" s="165" t="s">
        <v>3293</v>
      </c>
      <c r="E349" s="403">
        <v>21561289.883110248</v>
      </c>
      <c r="F349" s="431">
        <v>20355853.683717355</v>
      </c>
      <c r="G349" s="404">
        <v>15</v>
      </c>
      <c r="H349" s="405">
        <v>47086</v>
      </c>
      <c r="I349" s="404">
        <v>5479</v>
      </c>
      <c r="J349" s="404">
        <v>4993</v>
      </c>
      <c r="K349" s="406">
        <v>19277789.189561844</v>
      </c>
      <c r="L349" s="404">
        <v>365</v>
      </c>
      <c r="M349" s="404">
        <v>1409252</v>
      </c>
      <c r="N349" s="404">
        <v>9890212</v>
      </c>
      <c r="O349" s="404">
        <v>10465641.683717355</v>
      </c>
    </row>
    <row r="350" spans="2:15" s="154" customFormat="1" hidden="1" outlineLevel="1">
      <c r="B350" s="165" t="s">
        <v>2327</v>
      </c>
      <c r="C350" s="165" t="s">
        <v>3291</v>
      </c>
      <c r="D350" s="165" t="s">
        <v>3293</v>
      </c>
      <c r="E350" s="403">
        <v>155808980.43270928</v>
      </c>
      <c r="F350" s="431">
        <v>147098101.55771747</v>
      </c>
      <c r="G350" s="404">
        <v>15</v>
      </c>
      <c r="H350" s="405">
        <v>47086</v>
      </c>
      <c r="I350" s="404">
        <v>5479</v>
      </c>
      <c r="J350" s="404">
        <v>4993</v>
      </c>
      <c r="K350" s="406">
        <v>139307652.536082</v>
      </c>
      <c r="L350" s="404">
        <v>365</v>
      </c>
      <c r="M350" s="404">
        <v>10183716</v>
      </c>
      <c r="N350" s="404">
        <v>71469913</v>
      </c>
      <c r="O350" s="404">
        <v>75628188.557717472</v>
      </c>
    </row>
    <row r="351" spans="2:15" s="154" customFormat="1" ht="27" hidden="1" outlineLevel="1">
      <c r="B351" s="165" t="s">
        <v>2327</v>
      </c>
      <c r="C351" s="165" t="s">
        <v>3291</v>
      </c>
      <c r="D351" s="165" t="s">
        <v>3294</v>
      </c>
      <c r="E351" s="403">
        <v>15204221.674525995</v>
      </c>
      <c r="F351" s="431">
        <v>14354192.792252135</v>
      </c>
      <c r="G351" s="404">
        <v>10</v>
      </c>
      <c r="H351" s="405">
        <v>45259</v>
      </c>
      <c r="I351" s="404">
        <v>3652</v>
      </c>
      <c r="J351" s="404">
        <v>3166</v>
      </c>
      <c r="K351" s="406">
        <v>13593981.708525835</v>
      </c>
      <c r="L351" s="404">
        <v>365</v>
      </c>
      <c r="M351" s="404">
        <v>1567215</v>
      </c>
      <c r="N351" s="404">
        <v>10998807</v>
      </c>
      <c r="O351" s="404">
        <v>3355385.7922521345</v>
      </c>
    </row>
    <row r="352" spans="2:15" s="154" customFormat="1" hidden="1" outlineLevel="1">
      <c r="B352" s="165" t="s">
        <v>2327</v>
      </c>
      <c r="C352" s="165" t="s">
        <v>3295</v>
      </c>
      <c r="D352" s="165" t="s">
        <v>3296</v>
      </c>
      <c r="E352" s="403">
        <v>18266954.998201393</v>
      </c>
      <c r="F352" s="431">
        <v>17245696.635557353</v>
      </c>
      <c r="G352" s="404">
        <v>20</v>
      </c>
      <c r="H352" s="405">
        <v>48912</v>
      </c>
      <c r="I352" s="404">
        <v>7305</v>
      </c>
      <c r="J352" s="404">
        <v>6819</v>
      </c>
      <c r="K352" s="406">
        <v>16332348.885647284</v>
      </c>
      <c r="L352" s="404">
        <v>365</v>
      </c>
      <c r="M352" s="404">
        <v>874220</v>
      </c>
      <c r="N352" s="404">
        <v>6135327</v>
      </c>
      <c r="O352" s="404">
        <v>11110369.635557353</v>
      </c>
    </row>
    <row r="353" spans="2:15" s="154" customFormat="1" hidden="1" outlineLevel="1">
      <c r="B353" s="165" t="s">
        <v>2327</v>
      </c>
      <c r="C353" s="165" t="s">
        <v>3295</v>
      </c>
      <c r="D353" s="165" t="s">
        <v>3297</v>
      </c>
      <c r="E353" s="403">
        <v>19954114.916700386</v>
      </c>
      <c r="F353" s="431">
        <v>18838531.743341781</v>
      </c>
      <c r="G353" s="404">
        <v>20</v>
      </c>
      <c r="H353" s="405">
        <v>48912</v>
      </c>
      <c r="I353" s="404">
        <v>7305</v>
      </c>
      <c r="J353" s="404">
        <v>6819</v>
      </c>
      <c r="K353" s="406">
        <v>17840825.99750676</v>
      </c>
      <c r="L353" s="404">
        <v>365</v>
      </c>
      <c r="M353" s="404">
        <v>954964</v>
      </c>
      <c r="N353" s="404">
        <v>6701994</v>
      </c>
      <c r="O353" s="404">
        <v>12136537.743341781</v>
      </c>
    </row>
    <row r="354" spans="2:15" s="154" customFormat="1" hidden="1" outlineLevel="1">
      <c r="B354" s="165" t="s">
        <v>2327</v>
      </c>
      <c r="C354" s="165" t="s">
        <v>3295</v>
      </c>
      <c r="D354" s="165" t="s">
        <v>3298</v>
      </c>
      <c r="E354" s="403">
        <v>39927130.150086381</v>
      </c>
      <c r="F354" s="431">
        <v>37694907.148644499</v>
      </c>
      <c r="G354" s="404">
        <v>25</v>
      </c>
      <c r="H354" s="405">
        <v>50738</v>
      </c>
      <c r="I354" s="404">
        <v>9131</v>
      </c>
      <c r="J354" s="404">
        <v>8645</v>
      </c>
      <c r="K354" s="406">
        <v>35698550.641140178</v>
      </c>
      <c r="L354" s="404">
        <v>365</v>
      </c>
      <c r="M354" s="404">
        <v>1507226</v>
      </c>
      <c r="N354" s="404">
        <v>10577801</v>
      </c>
      <c r="O354" s="404">
        <v>27117106.148644499</v>
      </c>
    </row>
    <row r="355" spans="2:15" s="154" customFormat="1" hidden="1" outlineLevel="1">
      <c r="B355" s="165" t="s">
        <v>2327</v>
      </c>
      <c r="C355" s="165" t="s">
        <v>3295</v>
      </c>
      <c r="D355" s="165" t="s">
        <v>3299</v>
      </c>
      <c r="E355" s="403">
        <v>750156.96566187788</v>
      </c>
      <c r="F355" s="431">
        <v>708217.59737812995</v>
      </c>
      <c r="G355" s="404">
        <v>15</v>
      </c>
      <c r="H355" s="405">
        <v>47086</v>
      </c>
      <c r="I355" s="404">
        <v>5479</v>
      </c>
      <c r="J355" s="404">
        <v>4993</v>
      </c>
      <c r="K355" s="406">
        <v>670709.74909503607</v>
      </c>
      <c r="L355" s="404">
        <v>365</v>
      </c>
      <c r="M355" s="404">
        <v>49030</v>
      </c>
      <c r="N355" s="404">
        <v>344097</v>
      </c>
      <c r="O355" s="404">
        <v>364120.59737812995</v>
      </c>
    </row>
    <row r="356" spans="2:15" s="154" customFormat="1" hidden="1" outlineLevel="1">
      <c r="B356" s="165" t="s">
        <v>2327</v>
      </c>
      <c r="C356" s="165" t="s">
        <v>3295</v>
      </c>
      <c r="D356" s="165" t="s">
        <v>3300</v>
      </c>
      <c r="E356" s="403">
        <v>1885964.2318193621</v>
      </c>
      <c r="F356" s="431">
        <v>1780524.8385160125</v>
      </c>
      <c r="G356" s="404">
        <v>5</v>
      </c>
      <c r="H356" s="405">
        <v>43433</v>
      </c>
      <c r="I356" s="404">
        <v>1826</v>
      </c>
      <c r="J356" s="404">
        <v>1340</v>
      </c>
      <c r="K356" s="406">
        <v>1686226.6269250445</v>
      </c>
      <c r="L356" s="404">
        <v>0</v>
      </c>
      <c r="M356" s="404">
        <v>0</v>
      </c>
      <c r="N356" s="404">
        <v>1780525</v>
      </c>
      <c r="O356" s="403">
        <v>-0.16148398746736348</v>
      </c>
    </row>
    <row r="357" spans="2:15" s="154" customFormat="1" ht="27" hidden="1" outlineLevel="1">
      <c r="B357" s="165" t="s">
        <v>2327</v>
      </c>
      <c r="C357" s="165" t="s">
        <v>3295</v>
      </c>
      <c r="D357" s="165" t="s">
        <v>3301</v>
      </c>
      <c r="E357" s="403">
        <v>7347302.3603750905</v>
      </c>
      <c r="F357" s="431">
        <v>6936533.6133687058</v>
      </c>
      <c r="G357" s="404">
        <v>20</v>
      </c>
      <c r="H357" s="405">
        <v>48912</v>
      </c>
      <c r="I357" s="404">
        <v>7305</v>
      </c>
      <c r="J357" s="404">
        <v>6819</v>
      </c>
      <c r="K357" s="406">
        <v>6569168.4953499511</v>
      </c>
      <c r="L357" s="404">
        <v>365</v>
      </c>
      <c r="M357" s="404">
        <v>351627</v>
      </c>
      <c r="N357" s="404">
        <v>2467740</v>
      </c>
      <c r="O357" s="404">
        <v>4468793.6133687058</v>
      </c>
    </row>
    <row r="358" spans="2:15" s="154" customFormat="1" hidden="1" outlineLevel="1">
      <c r="B358" s="165" t="s">
        <v>2327</v>
      </c>
      <c r="C358" s="165" t="s">
        <v>3295</v>
      </c>
      <c r="D358" s="165" t="s">
        <v>3297</v>
      </c>
      <c r="E358" s="403">
        <v>39086453.67234683</v>
      </c>
      <c r="F358" s="431">
        <v>36901230.736721039</v>
      </c>
      <c r="G358" s="404">
        <v>25</v>
      </c>
      <c r="H358" s="405">
        <v>50738</v>
      </c>
      <c r="I358" s="404">
        <v>9131</v>
      </c>
      <c r="J358" s="404">
        <v>8645</v>
      </c>
      <c r="K358" s="406">
        <v>34946908.0531037</v>
      </c>
      <c r="L358" s="404">
        <v>365</v>
      </c>
      <c r="M358" s="404">
        <v>1475491</v>
      </c>
      <c r="N358" s="404">
        <v>10355083</v>
      </c>
      <c r="O358" s="404">
        <v>26546147.736721039</v>
      </c>
    </row>
    <row r="359" spans="2:15" s="154" customFormat="1" hidden="1" outlineLevel="1">
      <c r="B359" s="165" t="s">
        <v>2327</v>
      </c>
      <c r="C359" s="165" t="s">
        <v>3295</v>
      </c>
      <c r="D359" s="165" t="s">
        <v>399</v>
      </c>
      <c r="E359" s="403">
        <v>41563218.072248861</v>
      </c>
      <c r="F359" s="431">
        <v>39239525.607330218</v>
      </c>
      <c r="G359" s="404">
        <v>25</v>
      </c>
      <c r="H359" s="405">
        <v>50738</v>
      </c>
      <c r="I359" s="404">
        <v>9131</v>
      </c>
      <c r="J359" s="404">
        <v>8645</v>
      </c>
      <c r="K359" s="406">
        <v>37161364.703717776</v>
      </c>
      <c r="L359" s="404">
        <v>365</v>
      </c>
      <c r="M359" s="404">
        <v>1568988</v>
      </c>
      <c r="N359" s="404">
        <v>11011248</v>
      </c>
      <c r="O359" s="404">
        <v>28228277.607330218</v>
      </c>
    </row>
    <row r="360" spans="2:15" s="154" customFormat="1" hidden="1" outlineLevel="1">
      <c r="B360" s="165" t="s">
        <v>2327</v>
      </c>
      <c r="C360" s="165" t="s">
        <v>3295</v>
      </c>
      <c r="D360" s="165" t="s">
        <v>3302</v>
      </c>
      <c r="E360" s="403">
        <v>6575506.213363504</v>
      </c>
      <c r="F360" s="431">
        <v>6207886.6177122397</v>
      </c>
      <c r="G360" s="404">
        <v>10</v>
      </c>
      <c r="H360" s="405">
        <v>45259</v>
      </c>
      <c r="I360" s="404">
        <v>3652</v>
      </c>
      <c r="J360" s="404">
        <v>3166</v>
      </c>
      <c r="K360" s="406">
        <v>5879111.3070440646</v>
      </c>
      <c r="L360" s="404">
        <v>365</v>
      </c>
      <c r="M360" s="404">
        <v>677788</v>
      </c>
      <c r="N360" s="404">
        <v>4756755</v>
      </c>
      <c r="O360" s="404">
        <v>1451131.6177122397</v>
      </c>
    </row>
    <row r="361" spans="2:15" s="154" customFormat="1" hidden="1" outlineLevel="1">
      <c r="B361" s="165" t="s">
        <v>2327</v>
      </c>
      <c r="C361" s="165" t="s">
        <v>3295</v>
      </c>
      <c r="D361" s="165" t="s">
        <v>3303</v>
      </c>
      <c r="E361" s="403">
        <v>7890607.4375475282</v>
      </c>
      <c r="F361" s="431">
        <v>7449463.8906179173</v>
      </c>
      <c r="G361" s="404">
        <v>15</v>
      </c>
      <c r="H361" s="405">
        <v>47086</v>
      </c>
      <c r="I361" s="404">
        <v>5479</v>
      </c>
      <c r="J361" s="404">
        <v>4993</v>
      </c>
      <c r="K361" s="406">
        <v>7054933.5187405404</v>
      </c>
      <c r="L361" s="404">
        <v>365</v>
      </c>
      <c r="M361" s="404">
        <v>515732</v>
      </c>
      <c r="N361" s="404">
        <v>3619438</v>
      </c>
      <c r="O361" s="404">
        <v>3830025.8906179173</v>
      </c>
    </row>
    <row r="362" spans="2:15" s="154" customFormat="1" hidden="1" outlineLevel="1">
      <c r="B362" s="165" t="s">
        <v>2327</v>
      </c>
      <c r="C362" s="165" t="s">
        <v>3295</v>
      </c>
      <c r="D362" s="165" t="s">
        <v>399</v>
      </c>
      <c r="E362" s="403">
        <v>42894658.368531451</v>
      </c>
      <c r="F362" s="431">
        <v>40496528.495895363</v>
      </c>
      <c r="G362" s="404">
        <v>20</v>
      </c>
      <c r="H362" s="405">
        <v>48912</v>
      </c>
      <c r="I362" s="404">
        <v>7305</v>
      </c>
      <c r="J362" s="404">
        <v>6819</v>
      </c>
      <c r="K362" s="406">
        <v>38351795.577468783</v>
      </c>
      <c r="L362" s="404">
        <v>365</v>
      </c>
      <c r="M362" s="404">
        <v>2052853</v>
      </c>
      <c r="N362" s="404">
        <v>14407042</v>
      </c>
      <c r="O362" s="404">
        <v>26089486.495895356</v>
      </c>
    </row>
    <row r="363" spans="2:15" s="154" customFormat="1" hidden="1" outlineLevel="1">
      <c r="B363" s="165" t="s">
        <v>2327</v>
      </c>
      <c r="C363" s="165" t="s">
        <v>3295</v>
      </c>
      <c r="D363" s="165" t="s">
        <v>399</v>
      </c>
      <c r="E363" s="403">
        <v>35923379.684045002</v>
      </c>
      <c r="F363" s="431">
        <v>33914996.01239033</v>
      </c>
      <c r="G363" s="404">
        <v>20</v>
      </c>
      <c r="H363" s="405">
        <v>48912</v>
      </c>
      <c r="I363" s="404">
        <v>7305</v>
      </c>
      <c r="J363" s="404">
        <v>6819</v>
      </c>
      <c r="K363" s="406">
        <v>32118827.02818808</v>
      </c>
      <c r="L363" s="404">
        <v>365</v>
      </c>
      <c r="M363" s="404">
        <v>1719222</v>
      </c>
      <c r="N363" s="404">
        <v>12065600</v>
      </c>
      <c r="O363" s="404">
        <v>21849396.01239033</v>
      </c>
    </row>
    <row r="364" spans="2:15" s="154" customFormat="1" hidden="1" outlineLevel="1">
      <c r="B364" s="165" t="s">
        <v>2327</v>
      </c>
      <c r="C364" s="165" t="s">
        <v>3295</v>
      </c>
      <c r="D364" s="165" t="s">
        <v>3304</v>
      </c>
      <c r="E364" s="403">
        <v>22151166.456354957</v>
      </c>
      <c r="F364" s="431">
        <v>20912751.788826313</v>
      </c>
      <c r="G364" s="404">
        <v>20</v>
      </c>
      <c r="H364" s="405">
        <v>48912</v>
      </c>
      <c r="I364" s="404">
        <v>7305</v>
      </c>
      <c r="J364" s="404">
        <v>6819</v>
      </c>
      <c r="K364" s="406">
        <v>19805193.466008566</v>
      </c>
      <c r="L364" s="404">
        <v>365</v>
      </c>
      <c r="M364" s="404">
        <v>1060111</v>
      </c>
      <c r="N364" s="404">
        <v>7439920</v>
      </c>
      <c r="O364" s="404">
        <v>13472831.788826313</v>
      </c>
    </row>
    <row r="365" spans="2:15" s="154" customFormat="1" hidden="1" outlineLevel="1">
      <c r="B365" s="165" t="s">
        <v>2327</v>
      </c>
      <c r="C365" s="165" t="s">
        <v>3295</v>
      </c>
      <c r="D365" s="165" t="s">
        <v>3305</v>
      </c>
      <c r="E365" s="403">
        <v>22710321.422284976</v>
      </c>
      <c r="F365" s="431">
        <v>21440645.818673927</v>
      </c>
      <c r="G365" s="404">
        <v>20</v>
      </c>
      <c r="H365" s="405">
        <v>48912</v>
      </c>
      <c r="I365" s="404">
        <v>7305</v>
      </c>
      <c r="J365" s="404">
        <v>6819</v>
      </c>
      <c r="K365" s="406">
        <v>20305129.747559678</v>
      </c>
      <c r="L365" s="404">
        <v>365</v>
      </c>
      <c r="M365" s="404">
        <v>1086871</v>
      </c>
      <c r="N365" s="404">
        <v>7627724</v>
      </c>
      <c r="O365" s="404">
        <v>13812921.818673927</v>
      </c>
    </row>
    <row r="366" spans="2:15" s="154" customFormat="1" hidden="1" outlineLevel="1">
      <c r="B366" s="165" t="s">
        <v>2327</v>
      </c>
      <c r="C366" s="165" t="s">
        <v>3306</v>
      </c>
      <c r="D366" s="165" t="s">
        <v>3307</v>
      </c>
      <c r="E366" s="403">
        <v>1688628.3689827835</v>
      </c>
      <c r="F366" s="431">
        <v>1594221.4923639575</v>
      </c>
      <c r="G366" s="404">
        <v>10</v>
      </c>
      <c r="H366" s="405">
        <v>45259</v>
      </c>
      <c r="I366" s="404">
        <v>3652</v>
      </c>
      <c r="J366" s="404">
        <v>3166</v>
      </c>
      <c r="K366" s="406">
        <v>1509790.0739148182</v>
      </c>
      <c r="L366" s="404">
        <v>365</v>
      </c>
      <c r="M366" s="404">
        <v>174060</v>
      </c>
      <c r="N366" s="404">
        <v>1221563</v>
      </c>
      <c r="O366" s="404">
        <v>372658.49236395746</v>
      </c>
    </row>
    <row r="367" spans="2:15" s="154" customFormat="1" hidden="1" outlineLevel="1">
      <c r="B367" s="165" t="s">
        <v>2327</v>
      </c>
      <c r="C367" s="165" t="s">
        <v>3306</v>
      </c>
      <c r="D367" s="165" t="s">
        <v>3308</v>
      </c>
      <c r="E367" s="403">
        <v>10264951.311163304</v>
      </c>
      <c r="F367" s="431">
        <v>9691064.3277831096</v>
      </c>
      <c r="G367" s="404">
        <v>10</v>
      </c>
      <c r="H367" s="405">
        <v>45259</v>
      </c>
      <c r="I367" s="404">
        <v>3652</v>
      </c>
      <c r="J367" s="404">
        <v>3166</v>
      </c>
      <c r="K367" s="406">
        <v>9177816.7622249443</v>
      </c>
      <c r="L367" s="404">
        <v>365</v>
      </c>
      <c r="M367" s="404">
        <v>1058087</v>
      </c>
      <c r="N367" s="404">
        <v>7425716</v>
      </c>
      <c r="O367" s="404">
        <v>2265348.3277831096</v>
      </c>
    </row>
    <row r="368" spans="2:15" s="154" customFormat="1" ht="27" hidden="1" outlineLevel="1">
      <c r="B368" s="165" t="s">
        <v>2327</v>
      </c>
      <c r="C368" s="165" t="s">
        <v>3306</v>
      </c>
      <c r="D368" s="165" t="s">
        <v>3309</v>
      </c>
      <c r="E368" s="403">
        <v>312134.45713230694</v>
      </c>
      <c r="F368" s="431">
        <v>294683.8578651268</v>
      </c>
      <c r="G368" s="404">
        <v>10</v>
      </c>
      <c r="H368" s="405">
        <v>45259</v>
      </c>
      <c r="I368" s="404">
        <v>3652</v>
      </c>
      <c r="J368" s="404">
        <v>3166</v>
      </c>
      <c r="K368" s="406">
        <v>279077.13500851148</v>
      </c>
      <c r="L368" s="404">
        <v>365</v>
      </c>
      <c r="M368" s="404">
        <v>32174</v>
      </c>
      <c r="N368" s="404">
        <v>225799</v>
      </c>
      <c r="O368" s="404">
        <v>68884.857865126804</v>
      </c>
    </row>
    <row r="369" spans="2:15" s="154" customFormat="1" hidden="1" outlineLevel="1">
      <c r="B369" s="165" t="s">
        <v>2327</v>
      </c>
      <c r="C369" s="165" t="s">
        <v>3306</v>
      </c>
      <c r="D369" s="165" t="s">
        <v>3310</v>
      </c>
      <c r="E369" s="403">
        <v>17663874.473284233</v>
      </c>
      <c r="F369" s="431">
        <v>16676332.723968135</v>
      </c>
      <c r="G369" s="404">
        <v>10</v>
      </c>
      <c r="H369" s="405">
        <v>45259</v>
      </c>
      <c r="I369" s="404">
        <v>3652</v>
      </c>
      <c r="J369" s="404">
        <v>3166</v>
      </c>
      <c r="K369" s="406">
        <v>15793139.000303922</v>
      </c>
      <c r="L369" s="404">
        <v>365</v>
      </c>
      <c r="M369" s="404">
        <v>1820750</v>
      </c>
      <c r="N369" s="404">
        <v>12778131</v>
      </c>
      <c r="O369" s="404">
        <v>3898201.7239681333</v>
      </c>
    </row>
    <row r="370" spans="2:15" s="154" customFormat="1" hidden="1" outlineLevel="1">
      <c r="B370" s="165" t="s">
        <v>2327</v>
      </c>
      <c r="C370" s="165" t="s">
        <v>3306</v>
      </c>
      <c r="D370" s="165" t="s">
        <v>3311</v>
      </c>
      <c r="E370" s="403">
        <v>12710641.647772651</v>
      </c>
      <c r="F370" s="431">
        <v>12000022.373355674</v>
      </c>
      <c r="G370" s="404">
        <v>10</v>
      </c>
      <c r="H370" s="405">
        <v>45259</v>
      </c>
      <c r="I370" s="404">
        <v>3652</v>
      </c>
      <c r="J370" s="404">
        <v>3166</v>
      </c>
      <c r="K370" s="406">
        <v>11364490.290967042</v>
      </c>
      <c r="L370" s="404">
        <v>365</v>
      </c>
      <c r="M370" s="404">
        <v>1310183</v>
      </c>
      <c r="N370" s="404">
        <v>9194940</v>
      </c>
      <c r="O370" s="404">
        <v>2805082.3733556736</v>
      </c>
    </row>
    <row r="371" spans="2:15" s="154" customFormat="1" ht="27" hidden="1" outlineLevel="1">
      <c r="B371" s="165" t="s">
        <v>2327</v>
      </c>
      <c r="C371" s="165" t="s">
        <v>3306</v>
      </c>
      <c r="D371" s="165" t="s">
        <v>3312</v>
      </c>
      <c r="E371" s="403">
        <v>15091090.572985666</v>
      </c>
      <c r="F371" s="431">
        <v>14247386.537747359</v>
      </c>
      <c r="G371" s="404">
        <v>10</v>
      </c>
      <c r="H371" s="405">
        <v>45259</v>
      </c>
      <c r="I371" s="404">
        <v>3652</v>
      </c>
      <c r="J371" s="404">
        <v>3166</v>
      </c>
      <c r="K371" s="406">
        <v>13492832.009098077</v>
      </c>
      <c r="L371" s="404">
        <v>365</v>
      </c>
      <c r="M371" s="404">
        <v>1555554</v>
      </c>
      <c r="N371" s="404">
        <v>10916969</v>
      </c>
      <c r="O371" s="404">
        <v>3330417.5377473608</v>
      </c>
    </row>
    <row r="372" spans="2:15" s="154" customFormat="1" hidden="1" outlineLevel="1">
      <c r="B372" s="165" t="s">
        <v>2327</v>
      </c>
      <c r="C372" s="165" t="s">
        <v>3306</v>
      </c>
      <c r="D372" s="165" t="s">
        <v>3313</v>
      </c>
      <c r="E372" s="403">
        <v>25439699.573075105</v>
      </c>
      <c r="F372" s="431">
        <v>24017431.515974235</v>
      </c>
      <c r="G372" s="404">
        <v>15</v>
      </c>
      <c r="H372" s="405">
        <v>47086</v>
      </c>
      <c r="I372" s="404">
        <v>5479</v>
      </c>
      <c r="J372" s="404">
        <v>4993</v>
      </c>
      <c r="K372" s="406">
        <v>22745446.53732048</v>
      </c>
      <c r="L372" s="404">
        <v>365</v>
      </c>
      <c r="M372" s="404">
        <v>1662745</v>
      </c>
      <c r="N372" s="404">
        <v>11669242</v>
      </c>
      <c r="O372" s="404">
        <v>12348189.515974235</v>
      </c>
    </row>
    <row r="373" spans="2:15" s="154" customFormat="1" hidden="1" outlineLevel="1">
      <c r="B373" s="165" t="s">
        <v>2327</v>
      </c>
      <c r="C373" s="165" t="s">
        <v>3306</v>
      </c>
      <c r="D373" s="165" t="s">
        <v>3314</v>
      </c>
      <c r="E373" s="403">
        <v>12890286.036689231</v>
      </c>
      <c r="F373" s="431">
        <v>12169623.352332514</v>
      </c>
      <c r="G373" s="404">
        <v>10</v>
      </c>
      <c r="H373" s="405">
        <v>45259</v>
      </c>
      <c r="I373" s="404">
        <v>3652</v>
      </c>
      <c r="J373" s="404">
        <v>3166</v>
      </c>
      <c r="K373" s="406">
        <v>11525109.050498052</v>
      </c>
      <c r="L373" s="404">
        <v>365</v>
      </c>
      <c r="M373" s="404">
        <v>1328700</v>
      </c>
      <c r="N373" s="404">
        <v>9324894</v>
      </c>
      <c r="O373" s="404">
        <v>2844729.3523325138</v>
      </c>
    </row>
    <row r="374" spans="2:15" s="154" customFormat="1" hidden="1" outlineLevel="1">
      <c r="B374" s="165" t="s">
        <v>2327</v>
      </c>
      <c r="C374" s="165" t="s">
        <v>3306</v>
      </c>
      <c r="D374" s="165" t="s">
        <v>3315</v>
      </c>
      <c r="E374" s="403">
        <v>201766591.35744753</v>
      </c>
      <c r="F374" s="431">
        <v>190486340.87197503</v>
      </c>
      <c r="G374" s="404">
        <v>20</v>
      </c>
      <c r="H374" s="405">
        <v>48912</v>
      </c>
      <c r="I374" s="404">
        <v>7305</v>
      </c>
      <c r="J374" s="404">
        <v>6819</v>
      </c>
      <c r="K374" s="406">
        <v>180398011.30410266</v>
      </c>
      <c r="L374" s="404">
        <v>365</v>
      </c>
      <c r="M374" s="404">
        <v>9656148</v>
      </c>
      <c r="N374" s="404">
        <v>67767411</v>
      </c>
      <c r="O374" s="404">
        <v>122718929.87197503</v>
      </c>
    </row>
    <row r="375" spans="2:15" s="154" customFormat="1" ht="27" hidden="1" outlineLevel="1">
      <c r="B375" s="165" t="s">
        <v>2327</v>
      </c>
      <c r="C375" s="165" t="s">
        <v>3306</v>
      </c>
      <c r="D375" s="165" t="s">
        <v>3316</v>
      </c>
      <c r="E375" s="403">
        <v>18207755.665652271</v>
      </c>
      <c r="F375" s="431">
        <v>17189806.934935402</v>
      </c>
      <c r="G375" s="404">
        <v>10</v>
      </c>
      <c r="H375" s="405">
        <v>45259</v>
      </c>
      <c r="I375" s="404">
        <v>3652</v>
      </c>
      <c r="J375" s="404">
        <v>3166</v>
      </c>
      <c r="K375" s="406">
        <v>16279419.151652789</v>
      </c>
      <c r="L375" s="404">
        <v>365</v>
      </c>
      <c r="M375" s="404">
        <v>1876812</v>
      </c>
      <c r="N375" s="404">
        <v>13171577</v>
      </c>
      <c r="O375" s="404">
        <v>4018229.9349354021</v>
      </c>
    </row>
    <row r="376" spans="2:15" s="154" customFormat="1" ht="27" hidden="1" outlineLevel="1">
      <c r="B376" s="165" t="s">
        <v>2327</v>
      </c>
      <c r="C376" s="165" t="s">
        <v>3306</v>
      </c>
      <c r="D376" s="165" t="s">
        <v>3317</v>
      </c>
      <c r="E376" s="403">
        <v>55329499.125207573</v>
      </c>
      <c r="F376" s="431">
        <v>52236169.312694751</v>
      </c>
      <c r="G376" s="404">
        <v>10</v>
      </c>
      <c r="H376" s="405">
        <v>45259</v>
      </c>
      <c r="I376" s="404">
        <v>3652</v>
      </c>
      <c r="J376" s="404">
        <v>3166</v>
      </c>
      <c r="K376" s="406">
        <v>49469694.356434375</v>
      </c>
      <c r="L376" s="404">
        <v>365</v>
      </c>
      <c r="M376" s="404">
        <v>5703234</v>
      </c>
      <c r="N376" s="404">
        <v>40025629</v>
      </c>
      <c r="O376" s="404">
        <v>12210540.312694751</v>
      </c>
    </row>
    <row r="377" spans="2:15" s="154" customFormat="1" hidden="1" outlineLevel="1">
      <c r="B377" s="165"/>
      <c r="C377" s="165"/>
      <c r="D377" s="165"/>
      <c r="E377" s="403"/>
      <c r="F377" s="432"/>
      <c r="G377" s="404"/>
      <c r="H377" s="405"/>
      <c r="I377" s="404"/>
      <c r="J377" s="404"/>
      <c r="K377" s="406"/>
      <c r="L377" s="404"/>
      <c r="M377" s="404"/>
      <c r="N377" s="404"/>
      <c r="O377" s="404"/>
    </row>
    <row r="378" spans="2:15" s="154" customFormat="1" hidden="1" outlineLevel="1">
      <c r="B378" s="165" t="s">
        <v>2327</v>
      </c>
      <c r="C378" s="165" t="s">
        <v>2302</v>
      </c>
      <c r="D378" s="165" t="s">
        <v>2302</v>
      </c>
      <c r="E378" s="403">
        <v>74737.732955910134</v>
      </c>
      <c r="F378" s="431">
        <v>70559.350946881503</v>
      </c>
      <c r="G378" s="404">
        <v>7</v>
      </c>
      <c r="H378" s="405">
        <v>44164</v>
      </c>
      <c r="I378" s="404">
        <v>2557</v>
      </c>
      <c r="J378" s="404">
        <v>2071</v>
      </c>
      <c r="K378" s="406">
        <v>66822.464299086001</v>
      </c>
      <c r="L378" s="404">
        <v>0</v>
      </c>
      <c r="M378" s="404">
        <v>0</v>
      </c>
      <c r="N378" s="404">
        <v>70559</v>
      </c>
      <c r="O378" s="404">
        <v>0.35094688150275033</v>
      </c>
    </row>
    <row r="379" spans="2:15" s="154" customFormat="1" hidden="1" outlineLevel="1">
      <c r="B379" s="165" t="s">
        <v>2327</v>
      </c>
      <c r="C379" s="165" t="s">
        <v>2302</v>
      </c>
      <c r="D379" s="165" t="s">
        <v>2302</v>
      </c>
      <c r="E379" s="403">
        <v>174388.47514473778</v>
      </c>
      <c r="F379" s="431">
        <v>164638.89326428252</v>
      </c>
      <c r="G379" s="404">
        <v>15</v>
      </c>
      <c r="H379" s="405">
        <v>47086</v>
      </c>
      <c r="I379" s="404">
        <v>5479</v>
      </c>
      <c r="J379" s="404">
        <v>4993</v>
      </c>
      <c r="K379" s="406">
        <v>155919.46950704561</v>
      </c>
      <c r="L379" s="404">
        <v>365</v>
      </c>
      <c r="M379" s="404">
        <v>11398</v>
      </c>
      <c r="N379" s="404">
        <v>79992</v>
      </c>
      <c r="O379" s="404">
        <v>84646.893264282495</v>
      </c>
    </row>
    <row r="380" spans="2:15" s="154" customFormat="1" hidden="1" outlineLevel="1">
      <c r="B380" s="165"/>
      <c r="C380" s="165"/>
      <c r="D380" s="165"/>
      <c r="E380" s="403"/>
      <c r="F380" s="432"/>
      <c r="G380" s="404"/>
      <c r="H380" s="405"/>
      <c r="I380" s="404"/>
      <c r="J380" s="404"/>
      <c r="K380" s="406"/>
      <c r="L380" s="404"/>
      <c r="M380" s="404"/>
      <c r="N380" s="404"/>
      <c r="O380" s="404"/>
    </row>
    <row r="381" spans="2:15" s="154" customFormat="1" hidden="1" outlineLevel="1">
      <c r="B381" s="165" t="s">
        <v>2327</v>
      </c>
      <c r="C381" s="165" t="s">
        <v>2302</v>
      </c>
      <c r="D381" s="165" t="s">
        <v>3318</v>
      </c>
      <c r="E381" s="403">
        <v>201994.42619743821</v>
      </c>
      <c r="F381" s="431">
        <v>190701.49217598714</v>
      </c>
      <c r="G381" s="404">
        <v>7</v>
      </c>
      <c r="H381" s="405">
        <v>44164</v>
      </c>
      <c r="I381" s="404">
        <v>2557</v>
      </c>
      <c r="J381" s="404">
        <v>2071</v>
      </c>
      <c r="K381" s="406">
        <v>180601.77086611523</v>
      </c>
      <c r="L381" s="404">
        <v>0</v>
      </c>
      <c r="M381" s="404">
        <v>0</v>
      </c>
      <c r="N381" s="404">
        <v>190701</v>
      </c>
      <c r="O381" s="404">
        <v>0.49217598713585176</v>
      </c>
    </row>
    <row r="382" spans="2:15" s="154" customFormat="1" hidden="1" outlineLevel="1">
      <c r="B382" s="165" t="s">
        <v>2327</v>
      </c>
      <c r="C382" s="165" t="s">
        <v>2302</v>
      </c>
      <c r="D382" s="165" t="s">
        <v>3318</v>
      </c>
      <c r="E382" s="403">
        <v>471320.71345145209</v>
      </c>
      <c r="F382" s="431">
        <v>444970.42060801177</v>
      </c>
      <c r="G382" s="404">
        <v>15</v>
      </c>
      <c r="H382" s="405">
        <v>47086</v>
      </c>
      <c r="I382" s="404">
        <v>5479</v>
      </c>
      <c r="J382" s="404">
        <v>4993</v>
      </c>
      <c r="K382" s="406">
        <v>421404.3849354391</v>
      </c>
      <c r="L382" s="404">
        <v>365</v>
      </c>
      <c r="M382" s="404">
        <v>30806</v>
      </c>
      <c r="N382" s="404">
        <v>216198</v>
      </c>
      <c r="O382" s="404">
        <v>228772.42060801171</v>
      </c>
    </row>
    <row r="383" spans="2:15" s="154" customFormat="1" hidden="1" outlineLevel="1">
      <c r="B383" s="165"/>
      <c r="C383" s="165"/>
      <c r="D383" s="165"/>
      <c r="E383" s="403"/>
      <c r="F383" s="432"/>
      <c r="G383" s="404"/>
      <c r="H383" s="405"/>
      <c r="I383" s="404"/>
      <c r="J383" s="404"/>
      <c r="K383" s="406"/>
      <c r="L383" s="404"/>
      <c r="M383" s="404"/>
      <c r="N383" s="404"/>
      <c r="O383" s="404"/>
    </row>
    <row r="384" spans="2:15" s="154" customFormat="1" hidden="1" outlineLevel="1">
      <c r="B384" s="165" t="s">
        <v>2327</v>
      </c>
      <c r="C384" s="165" t="s">
        <v>3291</v>
      </c>
      <c r="D384" s="165" t="s">
        <v>3293</v>
      </c>
      <c r="E384" s="403">
        <v>41706933.126983739</v>
      </c>
      <c r="F384" s="431">
        <v>41702587.824577846</v>
      </c>
      <c r="G384" s="404">
        <v>15</v>
      </c>
      <c r="H384" s="405">
        <v>47572</v>
      </c>
      <c r="I384" s="404">
        <v>5479</v>
      </c>
      <c r="J384" s="404">
        <v>5478</v>
      </c>
      <c r="K384" s="406">
        <v>39617241.168228656</v>
      </c>
      <c r="L384" s="404">
        <v>365</v>
      </c>
      <c r="M384" s="404">
        <v>2639703</v>
      </c>
      <c r="N384" s="404">
        <v>18496399</v>
      </c>
      <c r="O384" s="404">
        <v>23206188.824577846</v>
      </c>
    </row>
    <row r="385" spans="2:15" s="154" customFormat="1" hidden="1" outlineLevel="1">
      <c r="B385" s="165" t="s">
        <v>2327</v>
      </c>
      <c r="C385" s="165" t="s">
        <v>3295</v>
      </c>
      <c r="D385" s="165" t="s">
        <v>3296</v>
      </c>
      <c r="E385" s="403">
        <v>35302695.124313422</v>
      </c>
      <c r="F385" s="431">
        <v>35299017.057507895</v>
      </c>
      <c r="G385" s="404">
        <v>20</v>
      </c>
      <c r="H385" s="405">
        <v>49398</v>
      </c>
      <c r="I385" s="404">
        <v>7305</v>
      </c>
      <c r="J385" s="404">
        <v>7304</v>
      </c>
      <c r="K385" s="406">
        <v>33533882.301292226</v>
      </c>
      <c r="L385" s="404">
        <v>365</v>
      </c>
      <c r="M385" s="404">
        <v>1675776</v>
      </c>
      <c r="N385" s="404">
        <v>11742162</v>
      </c>
      <c r="O385" s="404">
        <v>23556855.057507895</v>
      </c>
    </row>
    <row r="386" spans="2:15" s="154" customFormat="1" hidden="1" outlineLevel="1">
      <c r="B386" s="165" t="s">
        <v>2327</v>
      </c>
      <c r="C386" s="165" t="s">
        <v>3295</v>
      </c>
      <c r="D386" s="165" t="s">
        <v>3297</v>
      </c>
      <c r="E386" s="403">
        <v>38481379.297558263</v>
      </c>
      <c r="F386" s="431">
        <v>38477370.05451373</v>
      </c>
      <c r="G386" s="404">
        <v>20</v>
      </c>
      <c r="H386" s="405">
        <v>49398</v>
      </c>
      <c r="I386" s="404">
        <v>7305</v>
      </c>
      <c r="J386" s="404">
        <v>7304</v>
      </c>
      <c r="K386" s="406">
        <v>36553301.089635819</v>
      </c>
      <c r="L386" s="404">
        <v>365</v>
      </c>
      <c r="M386" s="404">
        <v>1826664</v>
      </c>
      <c r="N386" s="404">
        <v>12799436</v>
      </c>
      <c r="O386" s="404">
        <v>25677934.05451373</v>
      </c>
    </row>
    <row r="387" spans="2:15" s="154" customFormat="1" hidden="1" outlineLevel="1">
      <c r="B387" s="165" t="s">
        <v>2327</v>
      </c>
      <c r="C387" s="165" t="s">
        <v>3295</v>
      </c>
      <c r="D387" s="165" t="s">
        <v>3298</v>
      </c>
      <c r="E387" s="403">
        <v>77022722.334296316</v>
      </c>
      <c r="F387" s="431">
        <v>77014697.600933686</v>
      </c>
      <c r="G387" s="404">
        <v>25</v>
      </c>
      <c r="H387" s="405">
        <v>51225</v>
      </c>
      <c r="I387" s="404">
        <v>9132</v>
      </c>
      <c r="J387" s="404">
        <v>9131</v>
      </c>
      <c r="K387" s="406">
        <v>73163561.484218866</v>
      </c>
      <c r="L387" s="404">
        <v>365</v>
      </c>
      <c r="M387" s="404">
        <v>2924619</v>
      </c>
      <c r="N387" s="404">
        <v>20492807</v>
      </c>
      <c r="O387" s="404">
        <v>56521890.600933686</v>
      </c>
    </row>
    <row r="388" spans="2:15" s="154" customFormat="1" hidden="1" outlineLevel="1">
      <c r="B388" s="165" t="s">
        <v>2327</v>
      </c>
      <c r="C388" s="165" t="s">
        <v>3295</v>
      </c>
      <c r="D388" s="165" t="s">
        <v>3297</v>
      </c>
      <c r="E388" s="403">
        <v>75372105.501146764</v>
      </c>
      <c r="F388" s="431">
        <v>75364252.739925116</v>
      </c>
      <c r="G388" s="404">
        <v>25</v>
      </c>
      <c r="H388" s="405">
        <v>51225</v>
      </c>
      <c r="I388" s="404">
        <v>9132</v>
      </c>
      <c r="J388" s="404">
        <v>9131</v>
      </c>
      <c r="K388" s="406">
        <v>71595647.464867771</v>
      </c>
      <c r="L388" s="404">
        <v>365</v>
      </c>
      <c r="M388" s="404">
        <v>2861944</v>
      </c>
      <c r="N388" s="404">
        <v>20053642</v>
      </c>
      <c r="O388" s="404">
        <v>55310610.739925116</v>
      </c>
    </row>
    <row r="389" spans="2:15" s="154" customFormat="1" hidden="1" outlineLevel="1">
      <c r="B389" s="165" t="s">
        <v>2327</v>
      </c>
      <c r="C389" s="165" t="s">
        <v>3295</v>
      </c>
      <c r="D389" s="165" t="s">
        <v>399</v>
      </c>
      <c r="E389" s="403">
        <v>80313962.578164637</v>
      </c>
      <c r="F389" s="431">
        <v>80305594.941694066</v>
      </c>
      <c r="G389" s="404">
        <v>25</v>
      </c>
      <c r="H389" s="405">
        <v>51225</v>
      </c>
      <c r="I389" s="404">
        <v>9132</v>
      </c>
      <c r="J389" s="404">
        <v>9131</v>
      </c>
      <c r="K389" s="406">
        <v>76289896.812785834</v>
      </c>
      <c r="L389" s="404">
        <v>365</v>
      </c>
      <c r="M389" s="404">
        <v>3049591</v>
      </c>
      <c r="N389" s="404">
        <v>21368484</v>
      </c>
      <c r="O389" s="404">
        <v>58937110.941694066</v>
      </c>
    </row>
    <row r="390" spans="2:15" s="154" customFormat="1" hidden="1" outlineLevel="1">
      <c r="B390" s="165" t="s">
        <v>2327</v>
      </c>
      <c r="C390" s="165" t="s">
        <v>3295</v>
      </c>
      <c r="D390" s="165" t="s">
        <v>399</v>
      </c>
      <c r="E390" s="403">
        <v>82941720.149702996</v>
      </c>
      <c r="F390" s="431">
        <v>82933078.736218303</v>
      </c>
      <c r="G390" s="404">
        <v>20</v>
      </c>
      <c r="H390" s="405">
        <v>49398</v>
      </c>
      <c r="I390" s="404">
        <v>7305</v>
      </c>
      <c r="J390" s="404">
        <v>7304</v>
      </c>
      <c r="K390" s="406">
        <v>78785992.728733152</v>
      </c>
      <c r="L390" s="404">
        <v>365</v>
      </c>
      <c r="M390" s="404">
        <v>3937142</v>
      </c>
      <c r="N390" s="404">
        <v>27587555</v>
      </c>
      <c r="O390" s="404">
        <v>55345523.736218303</v>
      </c>
    </row>
    <row r="391" spans="2:15" s="154" customFormat="1" hidden="1" outlineLevel="1">
      <c r="B391" s="165" t="s">
        <v>2327</v>
      </c>
      <c r="C391" s="165" t="s">
        <v>3295</v>
      </c>
      <c r="D391" s="165" t="s">
        <v>399</v>
      </c>
      <c r="E391" s="403">
        <v>98471845.788961112</v>
      </c>
      <c r="F391" s="431">
        <v>98461586.344918236</v>
      </c>
      <c r="G391" s="404">
        <v>20</v>
      </c>
      <c r="H391" s="405">
        <v>49398</v>
      </c>
      <c r="I391" s="404">
        <v>7305</v>
      </c>
      <c r="J391" s="404">
        <v>7304</v>
      </c>
      <c r="K391" s="406">
        <v>93537994.055470183</v>
      </c>
      <c r="L391" s="404">
        <v>365</v>
      </c>
      <c r="M391" s="404">
        <v>4674338</v>
      </c>
      <c r="N391" s="404">
        <v>32753088</v>
      </c>
      <c r="O391" s="404">
        <v>65708498.344918236</v>
      </c>
    </row>
    <row r="392" spans="2:15" s="154" customFormat="1" hidden="1" outlineLevel="1">
      <c r="B392" s="165" t="s">
        <v>2327</v>
      </c>
      <c r="C392" s="165" t="s">
        <v>3306</v>
      </c>
      <c r="D392" s="165" t="s">
        <v>3307</v>
      </c>
      <c r="E392" s="403">
        <v>3264326.8057042817</v>
      </c>
      <c r="F392" s="431">
        <v>3263986.7066607624</v>
      </c>
      <c r="G392" s="404">
        <v>10</v>
      </c>
      <c r="H392" s="405">
        <v>45746</v>
      </c>
      <c r="I392" s="404">
        <v>3653</v>
      </c>
      <c r="J392" s="404">
        <v>3652</v>
      </c>
      <c r="K392" s="406">
        <v>3100770.3663755483</v>
      </c>
      <c r="L392" s="404">
        <v>365</v>
      </c>
      <c r="M392" s="404">
        <v>309907</v>
      </c>
      <c r="N392" s="404">
        <v>2171519</v>
      </c>
      <c r="O392" s="404">
        <v>1092467.7066607624</v>
      </c>
    </row>
    <row r="393" spans="2:15" s="154" customFormat="1" hidden="1" outlineLevel="1">
      <c r="B393" s="165" t="s">
        <v>2327</v>
      </c>
      <c r="C393" s="165" t="s">
        <v>3306</v>
      </c>
      <c r="D393" s="165" t="s">
        <v>3308</v>
      </c>
      <c r="E393" s="403">
        <v>19825611.08235839</v>
      </c>
      <c r="F393" s="431">
        <v>19823545.519882675</v>
      </c>
      <c r="G393" s="404">
        <v>10</v>
      </c>
      <c r="H393" s="405">
        <v>45746</v>
      </c>
      <c r="I393" s="404">
        <v>3653</v>
      </c>
      <c r="J393" s="404">
        <v>3652</v>
      </c>
      <c r="K393" s="406">
        <v>18832264.965764757</v>
      </c>
      <c r="L393" s="404">
        <v>365</v>
      </c>
      <c r="M393" s="404">
        <v>1882195</v>
      </c>
      <c r="N393" s="404">
        <v>13188541</v>
      </c>
      <c r="O393" s="404">
        <v>6635004.5198826753</v>
      </c>
    </row>
    <row r="394" spans="2:15" s="154" customFormat="1" ht="27" hidden="1" outlineLevel="1">
      <c r="B394" s="165" t="s">
        <v>2327</v>
      </c>
      <c r="C394" s="165" t="s">
        <v>3306</v>
      </c>
      <c r="D394" s="165" t="s">
        <v>3309</v>
      </c>
      <c r="E394" s="403">
        <v>602866.79797952599</v>
      </c>
      <c r="F394" s="431">
        <v>602803.98731285054</v>
      </c>
      <c r="G394" s="404">
        <v>10</v>
      </c>
      <c r="H394" s="405">
        <v>45746</v>
      </c>
      <c r="I394" s="404">
        <v>3653</v>
      </c>
      <c r="J394" s="404">
        <v>3652</v>
      </c>
      <c r="K394" s="406">
        <v>572660.64741387428</v>
      </c>
      <c r="L394" s="404">
        <v>365</v>
      </c>
      <c r="M394" s="404">
        <v>57235</v>
      </c>
      <c r="N394" s="404">
        <v>401046</v>
      </c>
      <c r="O394" s="404">
        <v>201757.98731285054</v>
      </c>
    </row>
    <row r="395" spans="2:15" s="154" customFormat="1" hidden="1" outlineLevel="1">
      <c r="B395" s="165" t="s">
        <v>2327</v>
      </c>
      <c r="C395" s="165" t="s">
        <v>3306</v>
      </c>
      <c r="D395" s="165" t="s">
        <v>3310</v>
      </c>
      <c r="E395" s="403">
        <v>34159740.203066215</v>
      </c>
      <c r="F395" s="431">
        <v>34156181.216859147</v>
      </c>
      <c r="G395" s="404">
        <v>10</v>
      </c>
      <c r="H395" s="405">
        <v>45746</v>
      </c>
      <c r="I395" s="404">
        <v>3653</v>
      </c>
      <c r="J395" s="404">
        <v>3652</v>
      </c>
      <c r="K395" s="406">
        <v>32448194.206705835</v>
      </c>
      <c r="L395" s="404">
        <v>365</v>
      </c>
      <c r="M395" s="404">
        <v>3243042</v>
      </c>
      <c r="N395" s="404">
        <v>22723996</v>
      </c>
      <c r="O395" s="404">
        <v>11432185.216859147</v>
      </c>
    </row>
    <row r="396" spans="2:15" s="154" customFormat="1" hidden="1" outlineLevel="1">
      <c r="B396" s="165" t="s">
        <v>2327</v>
      </c>
      <c r="C396" s="165" t="s">
        <v>3306</v>
      </c>
      <c r="D396" s="165" t="s">
        <v>3313</v>
      </c>
      <c r="E396" s="403">
        <v>49173144.025842279</v>
      </c>
      <c r="F396" s="431">
        <v>49168020.844575904</v>
      </c>
      <c r="G396" s="404">
        <v>15</v>
      </c>
      <c r="H396" s="405">
        <v>47572</v>
      </c>
      <c r="I396" s="404">
        <v>5479</v>
      </c>
      <c r="J396" s="404">
        <v>5478</v>
      </c>
      <c r="K396" s="406">
        <v>46709363.643283792</v>
      </c>
      <c r="L396" s="404">
        <v>365</v>
      </c>
      <c r="M396" s="404">
        <v>3112252</v>
      </c>
      <c r="N396" s="404">
        <v>21807551</v>
      </c>
      <c r="O396" s="404">
        <v>27360469.844575904</v>
      </c>
    </row>
    <row r="397" spans="2:15" s="154" customFormat="1" ht="27" hidden="1" outlineLevel="1">
      <c r="B397" s="165" t="s">
        <v>2327</v>
      </c>
      <c r="C397" s="165" t="s">
        <v>3306</v>
      </c>
      <c r="D397" s="165" t="s">
        <v>3317</v>
      </c>
      <c r="E397" s="403">
        <v>109044738.74612863</v>
      </c>
      <c r="F397" s="431">
        <v>109033377.74869008</v>
      </c>
      <c r="G397" s="404">
        <v>10</v>
      </c>
      <c r="H397" s="405">
        <v>45746</v>
      </c>
      <c r="I397" s="404">
        <v>3653</v>
      </c>
      <c r="J397" s="404">
        <v>3652</v>
      </c>
      <c r="K397" s="406">
        <v>103581140.81138365</v>
      </c>
      <c r="L397" s="404">
        <v>365</v>
      </c>
      <c r="M397" s="404">
        <v>10352442</v>
      </c>
      <c r="N397" s="404">
        <v>72539561</v>
      </c>
      <c r="O397" s="404">
        <v>36493816.748690084</v>
      </c>
    </row>
    <row r="398" spans="2:15" s="154" customFormat="1" hidden="1" outlineLevel="1">
      <c r="B398" s="165"/>
      <c r="C398" s="165"/>
      <c r="D398" s="165"/>
      <c r="E398" s="403"/>
      <c r="F398" s="432"/>
      <c r="G398" s="404"/>
      <c r="H398" s="405"/>
      <c r="I398" s="404"/>
      <c r="J398" s="404"/>
      <c r="K398" s="406"/>
      <c r="L398" s="404"/>
      <c r="M398" s="404"/>
      <c r="N398" s="404"/>
      <c r="O398" s="404"/>
    </row>
    <row r="399" spans="2:15" s="154" customFormat="1" ht="14.25" hidden="1">
      <c r="B399" s="411" t="s">
        <v>1837</v>
      </c>
      <c r="C399" s="165"/>
      <c r="D399" s="165"/>
      <c r="E399" s="412">
        <v>1865392226.5771222</v>
      </c>
      <c r="F399" s="433">
        <f>+SUBTOTAL(9,F346:F398)</f>
        <v>1802714521.5791914</v>
      </c>
      <c r="G399" s="404"/>
      <c r="H399" s="405"/>
      <c r="I399" s="404"/>
      <c r="J399" s="404"/>
      <c r="K399" s="404"/>
      <c r="L399" s="404"/>
      <c r="M399" s="413">
        <f t="shared" ref="M399:O399" si="4">SUBTOTAL(9,M346:M398)</f>
        <v>103937205</v>
      </c>
      <c r="N399" s="413">
        <f t="shared" si="4"/>
        <v>731008672</v>
      </c>
      <c r="O399" s="413">
        <f t="shared" si="4"/>
        <v>1071705849.5791911</v>
      </c>
    </row>
    <row r="400" spans="2:15" s="154" customFormat="1" hidden="1">
      <c r="B400" s="165"/>
      <c r="C400" s="165"/>
      <c r="D400" s="165"/>
      <c r="E400" s="403"/>
      <c r="F400" s="435"/>
      <c r="G400" s="404"/>
      <c r="H400" s="405"/>
      <c r="I400" s="404"/>
      <c r="J400" s="404"/>
      <c r="K400" s="404"/>
      <c r="L400" s="404"/>
      <c r="M400" s="404"/>
      <c r="N400" s="404"/>
      <c r="O400" s="404"/>
    </row>
    <row r="401" spans="2:15" s="154" customFormat="1" ht="14.25" hidden="1">
      <c r="B401" s="411" t="s">
        <v>2328</v>
      </c>
      <c r="C401" s="165"/>
      <c r="D401" s="165"/>
      <c r="E401" s="403"/>
      <c r="F401" s="432"/>
      <c r="G401" s="404"/>
      <c r="H401" s="405"/>
      <c r="I401" s="404"/>
      <c r="J401" s="404"/>
      <c r="K401" s="404"/>
      <c r="L401" s="404"/>
      <c r="M401" s="404"/>
      <c r="N401" s="404"/>
      <c r="O401" s="404"/>
    </row>
    <row r="402" spans="2:15" s="154" customFormat="1" hidden="1" outlineLevel="1">
      <c r="B402" s="165" t="s">
        <v>2328</v>
      </c>
      <c r="C402" s="165" t="s">
        <v>3319</v>
      </c>
      <c r="D402" s="165" t="s">
        <v>3320</v>
      </c>
      <c r="E402" s="403">
        <v>27163561.422608797</v>
      </c>
      <c r="F402" s="431">
        <v>25645229.554770838</v>
      </c>
      <c r="G402" s="404">
        <v>20</v>
      </c>
      <c r="H402" s="405">
        <v>48912</v>
      </c>
      <c r="I402" s="404">
        <v>7305</v>
      </c>
      <c r="J402" s="404">
        <v>6819</v>
      </c>
      <c r="K402" s="406">
        <v>24287051.483640399</v>
      </c>
      <c r="L402" s="404">
        <v>365</v>
      </c>
      <c r="M402" s="404">
        <v>1300011</v>
      </c>
      <c r="N402" s="404">
        <v>9123263</v>
      </c>
      <c r="O402" s="404">
        <v>16521966.554770838</v>
      </c>
    </row>
    <row r="403" spans="2:15" s="154" customFormat="1" hidden="1" outlineLevel="1">
      <c r="B403" s="165" t="s">
        <v>2328</v>
      </c>
      <c r="C403" s="165" t="s">
        <v>3319</v>
      </c>
      <c r="D403" s="165" t="s">
        <v>3321</v>
      </c>
      <c r="E403" s="403">
        <v>732747.38304729387</v>
      </c>
      <c r="F403" s="431">
        <v>691789.88535363309</v>
      </c>
      <c r="G403" s="404">
        <v>20</v>
      </c>
      <c r="H403" s="405">
        <v>48912</v>
      </c>
      <c r="I403" s="404">
        <v>7305</v>
      </c>
      <c r="J403" s="404">
        <v>6819</v>
      </c>
      <c r="K403" s="406">
        <v>655152.51620126842</v>
      </c>
      <c r="L403" s="404">
        <v>365</v>
      </c>
      <c r="M403" s="404">
        <v>35068</v>
      </c>
      <c r="N403" s="404">
        <v>246102</v>
      </c>
      <c r="O403" s="404">
        <v>445687.88535363309</v>
      </c>
    </row>
    <row r="404" spans="2:15" s="154" customFormat="1" hidden="1" outlineLevel="1">
      <c r="B404" s="165" t="s">
        <v>2328</v>
      </c>
      <c r="C404" s="165" t="s">
        <v>3319</v>
      </c>
      <c r="D404" s="165" t="s">
        <v>3322</v>
      </c>
      <c r="E404" s="403">
        <v>8711567.0291772541</v>
      </c>
      <c r="F404" s="431">
        <v>8224626.0515846247</v>
      </c>
      <c r="G404" s="404">
        <v>20</v>
      </c>
      <c r="H404" s="405">
        <v>48912</v>
      </c>
      <c r="I404" s="404">
        <v>7305</v>
      </c>
      <c r="J404" s="404">
        <v>6819</v>
      </c>
      <c r="K404" s="406">
        <v>7789047.7001257632</v>
      </c>
      <c r="L404" s="404">
        <v>365</v>
      </c>
      <c r="M404" s="404">
        <v>416924</v>
      </c>
      <c r="N404" s="404">
        <v>2925904</v>
      </c>
      <c r="O404" s="404">
        <v>5298722.0515846256</v>
      </c>
    </row>
    <row r="405" spans="2:15" s="154" customFormat="1" hidden="1" outlineLevel="1">
      <c r="B405" s="165" t="s">
        <v>2328</v>
      </c>
      <c r="C405" s="165" t="s">
        <v>3319</v>
      </c>
      <c r="D405" s="165" t="s">
        <v>3323</v>
      </c>
      <c r="E405" s="403">
        <v>1817514.7846461441</v>
      </c>
      <c r="F405" s="431">
        <v>1715923.1610708092</v>
      </c>
      <c r="G405" s="404">
        <v>15</v>
      </c>
      <c r="H405" s="405">
        <v>47086</v>
      </c>
      <c r="I405" s="404">
        <v>5479</v>
      </c>
      <c r="J405" s="404">
        <v>4993</v>
      </c>
      <c r="K405" s="406">
        <v>1625047.4218385019</v>
      </c>
      <c r="L405" s="404">
        <v>365</v>
      </c>
      <c r="M405" s="404">
        <v>118795</v>
      </c>
      <c r="N405" s="404">
        <v>833683</v>
      </c>
      <c r="O405" s="404">
        <v>882240.16107080923</v>
      </c>
    </row>
    <row r="406" spans="2:15" s="154" customFormat="1" hidden="1" outlineLevel="1">
      <c r="B406" s="165" t="s">
        <v>2328</v>
      </c>
      <c r="C406" s="165" t="s">
        <v>3319</v>
      </c>
      <c r="D406" s="165" t="s">
        <v>3324</v>
      </c>
      <c r="E406" s="403">
        <v>6594709.3524526386</v>
      </c>
      <c r="F406" s="431">
        <v>6226092.0995949209</v>
      </c>
      <c r="G406" s="404">
        <v>10</v>
      </c>
      <c r="H406" s="405">
        <v>45259</v>
      </c>
      <c r="I406" s="404">
        <v>3652</v>
      </c>
      <c r="J406" s="404">
        <v>3166</v>
      </c>
      <c r="K406" s="406">
        <v>5896356.6319722887</v>
      </c>
      <c r="L406" s="404">
        <v>365</v>
      </c>
      <c r="M406" s="404">
        <v>679776</v>
      </c>
      <c r="N406" s="404">
        <v>4770556</v>
      </c>
      <c r="O406" s="404">
        <v>1455536.0995949209</v>
      </c>
    </row>
    <row r="407" spans="2:15" s="154" customFormat="1" hidden="1" outlineLevel="1">
      <c r="B407" s="165" t="s">
        <v>2328</v>
      </c>
      <c r="C407" s="165" t="s">
        <v>3319</v>
      </c>
      <c r="D407" s="165" t="s">
        <v>3325</v>
      </c>
      <c r="E407" s="403">
        <v>10991099.280031145</v>
      </c>
      <c r="F407" s="431">
        <v>10376741.871186676</v>
      </c>
      <c r="G407" s="404">
        <v>15</v>
      </c>
      <c r="H407" s="405">
        <v>47086</v>
      </c>
      <c r="I407" s="404">
        <v>5479</v>
      </c>
      <c r="J407" s="404">
        <v>4993</v>
      </c>
      <c r="K407" s="406">
        <v>9827186.9071851205</v>
      </c>
      <c r="L407" s="404">
        <v>365</v>
      </c>
      <c r="M407" s="404">
        <v>718390</v>
      </c>
      <c r="N407" s="404">
        <v>5041544</v>
      </c>
      <c r="O407" s="404">
        <v>5335197.8711866774</v>
      </c>
    </row>
    <row r="408" spans="2:15" s="154" customFormat="1" hidden="1" outlineLevel="1">
      <c r="B408" s="165" t="s">
        <v>2328</v>
      </c>
      <c r="C408" s="165" t="s">
        <v>3319</v>
      </c>
      <c r="D408" s="165" t="s">
        <v>3326</v>
      </c>
      <c r="E408" s="403">
        <v>87827.707562926735</v>
      </c>
      <c r="F408" s="431">
        <v>82918.531824919773</v>
      </c>
      <c r="G408" s="404">
        <v>10</v>
      </c>
      <c r="H408" s="405">
        <v>45259</v>
      </c>
      <c r="I408" s="404">
        <v>3652</v>
      </c>
      <c r="J408" s="404">
        <v>3166</v>
      </c>
      <c r="K408" s="406">
        <v>78527.146446773433</v>
      </c>
      <c r="L408" s="404">
        <v>365</v>
      </c>
      <c r="M408" s="404">
        <v>9053</v>
      </c>
      <c r="N408" s="404">
        <v>63533</v>
      </c>
      <c r="O408" s="404">
        <v>19385.531824919773</v>
      </c>
    </row>
    <row r="409" spans="2:15" s="154" customFormat="1" hidden="1" outlineLevel="1">
      <c r="B409" s="165" t="s">
        <v>2328</v>
      </c>
      <c r="C409" s="165" t="s">
        <v>3319</v>
      </c>
      <c r="D409" s="165" t="s">
        <v>3327</v>
      </c>
      <c r="E409" s="403">
        <v>7542661.5675993813</v>
      </c>
      <c r="F409" s="431">
        <v>7121057.6476521166</v>
      </c>
      <c r="G409" s="404">
        <v>15</v>
      </c>
      <c r="H409" s="405">
        <v>47086</v>
      </c>
      <c r="I409" s="404">
        <v>5479</v>
      </c>
      <c r="J409" s="404">
        <v>4993</v>
      </c>
      <c r="K409" s="406">
        <v>6743924.5692721466</v>
      </c>
      <c r="L409" s="404">
        <v>365</v>
      </c>
      <c r="M409" s="404">
        <v>492997</v>
      </c>
      <c r="N409" s="404">
        <v>3459771</v>
      </c>
      <c r="O409" s="404">
        <v>3661286.6476521157</v>
      </c>
    </row>
    <row r="410" spans="2:15" s="154" customFormat="1" hidden="1" outlineLevel="1">
      <c r="B410" s="165" t="s">
        <v>2328</v>
      </c>
      <c r="C410" s="165" t="s">
        <v>3328</v>
      </c>
      <c r="D410" s="165" t="s">
        <v>3329</v>
      </c>
      <c r="E410" s="403">
        <v>161006881.20454806</v>
      </c>
      <c r="F410" s="431">
        <v>152007255.67087856</v>
      </c>
      <c r="G410" s="404">
        <v>30</v>
      </c>
      <c r="H410" s="405">
        <v>52564</v>
      </c>
      <c r="I410" s="404">
        <v>10957</v>
      </c>
      <c r="J410" s="404">
        <v>10471</v>
      </c>
      <c r="K410" s="406">
        <v>143956911.61065117</v>
      </c>
      <c r="L410" s="404">
        <v>365</v>
      </c>
      <c r="M410" s="404">
        <v>5018076</v>
      </c>
      <c r="N410" s="404">
        <v>35216035</v>
      </c>
      <c r="O410" s="404">
        <v>116791220.67087856</v>
      </c>
    </row>
    <row r="411" spans="2:15" s="154" customFormat="1" hidden="1" outlineLevel="1">
      <c r="B411" s="165" t="s">
        <v>2328</v>
      </c>
      <c r="C411" s="165" t="s">
        <v>3330</v>
      </c>
      <c r="D411" s="165" t="s">
        <v>3331</v>
      </c>
      <c r="E411" s="403">
        <v>149001272.25949621</v>
      </c>
      <c r="F411" s="431">
        <v>140672711.19801024</v>
      </c>
      <c r="G411" s="404">
        <v>30</v>
      </c>
      <c r="H411" s="405">
        <v>52564</v>
      </c>
      <c r="I411" s="404">
        <v>10957</v>
      </c>
      <c r="J411" s="404">
        <v>10471</v>
      </c>
      <c r="K411" s="406">
        <v>133222647.58503546</v>
      </c>
      <c r="L411" s="404">
        <v>365</v>
      </c>
      <c r="M411" s="404">
        <v>4643899</v>
      </c>
      <c r="N411" s="404">
        <v>32590122</v>
      </c>
      <c r="O411" s="404">
        <v>108082589.19801027</v>
      </c>
    </row>
    <row r="412" spans="2:15" s="154" customFormat="1" hidden="1" outlineLevel="1">
      <c r="B412" s="165" t="s">
        <v>2328</v>
      </c>
      <c r="C412" s="165" t="s">
        <v>3330</v>
      </c>
      <c r="D412" s="165" t="s">
        <v>3332</v>
      </c>
      <c r="E412" s="403">
        <v>40414474.949144341</v>
      </c>
      <c r="F412" s="431">
        <v>38155471.2665793</v>
      </c>
      <c r="G412" s="404">
        <v>30</v>
      </c>
      <c r="H412" s="405">
        <v>52564</v>
      </c>
      <c r="I412" s="404">
        <v>10957</v>
      </c>
      <c r="J412" s="404">
        <v>10471</v>
      </c>
      <c r="K412" s="406">
        <v>36134747.519122086</v>
      </c>
      <c r="L412" s="404">
        <v>365</v>
      </c>
      <c r="M412" s="404">
        <v>1259592</v>
      </c>
      <c r="N412" s="404">
        <v>8839609</v>
      </c>
      <c r="O412" s="404">
        <v>29315862.2665793</v>
      </c>
    </row>
    <row r="413" spans="2:15" s="154" customFormat="1" hidden="1" outlineLevel="1">
      <c r="B413" s="165" t="s">
        <v>2328</v>
      </c>
      <c r="C413" s="165" t="s">
        <v>3330</v>
      </c>
      <c r="D413" s="165" t="s">
        <v>3333</v>
      </c>
      <c r="E413" s="403">
        <v>360860483.66777921</v>
      </c>
      <c r="F413" s="431">
        <v>340689859.96648002</v>
      </c>
      <c r="G413" s="404">
        <v>30</v>
      </c>
      <c r="H413" s="405">
        <v>52564</v>
      </c>
      <c r="I413" s="404">
        <v>10957</v>
      </c>
      <c r="J413" s="404">
        <v>10471</v>
      </c>
      <c r="K413" s="406">
        <v>322646835.78309113</v>
      </c>
      <c r="L413" s="404">
        <v>365</v>
      </c>
      <c r="M413" s="404">
        <v>11246881</v>
      </c>
      <c r="N413" s="404">
        <v>78928769</v>
      </c>
      <c r="O413" s="404">
        <v>261761090.96648008</v>
      </c>
    </row>
    <row r="414" spans="2:15" s="154" customFormat="1" hidden="1" outlineLevel="1">
      <c r="B414" s="165" t="s">
        <v>2328</v>
      </c>
      <c r="C414" s="165" t="s">
        <v>3330</v>
      </c>
      <c r="D414" s="165" t="s">
        <v>3334</v>
      </c>
      <c r="E414" s="403">
        <v>1467320.8230590648</v>
      </c>
      <c r="F414" s="431">
        <v>1385303.5496911823</v>
      </c>
      <c r="G414" s="404">
        <v>30</v>
      </c>
      <c r="H414" s="405">
        <v>52564</v>
      </c>
      <c r="I414" s="404">
        <v>10957</v>
      </c>
      <c r="J414" s="404">
        <v>10471</v>
      </c>
      <c r="K414" s="406">
        <v>1311937.5085382292</v>
      </c>
      <c r="L414" s="404">
        <v>365</v>
      </c>
      <c r="M414" s="404">
        <v>45732</v>
      </c>
      <c r="N414" s="404">
        <v>320939</v>
      </c>
      <c r="O414" s="404">
        <v>1064364.5496911823</v>
      </c>
    </row>
    <row r="415" spans="2:15" s="154" customFormat="1" hidden="1" outlineLevel="1">
      <c r="B415" s="165" t="s">
        <v>2328</v>
      </c>
      <c r="C415" s="165" t="s">
        <v>3330</v>
      </c>
      <c r="D415" s="165" t="s">
        <v>3335</v>
      </c>
      <c r="E415" s="403">
        <v>1356467.1639249932</v>
      </c>
      <c r="F415" s="431">
        <v>1280646.2338331556</v>
      </c>
      <c r="G415" s="404">
        <v>30</v>
      </c>
      <c r="H415" s="405">
        <v>52564</v>
      </c>
      <c r="I415" s="404">
        <v>10957</v>
      </c>
      <c r="J415" s="404">
        <v>10471</v>
      </c>
      <c r="K415" s="406">
        <v>1212822.8756369059</v>
      </c>
      <c r="L415" s="404">
        <v>365</v>
      </c>
      <c r="M415" s="404">
        <v>42277</v>
      </c>
      <c r="N415" s="404">
        <v>296693</v>
      </c>
      <c r="O415" s="404">
        <v>983953.23383315559</v>
      </c>
    </row>
    <row r="416" spans="2:15" s="154" customFormat="1" hidden="1" outlineLevel="1">
      <c r="B416" s="165" t="s">
        <v>2328</v>
      </c>
      <c r="C416" s="165" t="s">
        <v>3330</v>
      </c>
      <c r="D416" s="165" t="s">
        <v>3334</v>
      </c>
      <c r="E416" s="403">
        <v>18856656.213741295</v>
      </c>
      <c r="F416" s="431">
        <v>17802646.342294969</v>
      </c>
      <c r="G416" s="404">
        <v>30</v>
      </c>
      <c r="H416" s="405">
        <v>52564</v>
      </c>
      <c r="I416" s="404">
        <v>10957</v>
      </c>
      <c r="J416" s="404">
        <v>10471</v>
      </c>
      <c r="K416" s="406">
        <v>16859813.5316079</v>
      </c>
      <c r="L416" s="404">
        <v>365</v>
      </c>
      <c r="M416" s="404">
        <v>587702</v>
      </c>
      <c r="N416" s="404">
        <v>4124398</v>
      </c>
      <c r="O416" s="404">
        <v>13678248.342294965</v>
      </c>
    </row>
    <row r="417" spans="2:15" s="154" customFormat="1" hidden="1" outlineLevel="1">
      <c r="B417" s="165" t="s">
        <v>2328</v>
      </c>
      <c r="C417" s="165" t="s">
        <v>3330</v>
      </c>
      <c r="D417" s="165" t="s">
        <v>3336</v>
      </c>
      <c r="E417" s="403">
        <v>1504364.4069244713</v>
      </c>
      <c r="F417" s="431">
        <v>1420276.6164222003</v>
      </c>
      <c r="G417" s="404">
        <v>30</v>
      </c>
      <c r="H417" s="405">
        <v>52564</v>
      </c>
      <c r="I417" s="404">
        <v>10957</v>
      </c>
      <c r="J417" s="404">
        <v>10471</v>
      </c>
      <c r="K417" s="406">
        <v>1345058.3960759768</v>
      </c>
      <c r="L417" s="404">
        <v>365</v>
      </c>
      <c r="M417" s="404">
        <v>46886</v>
      </c>
      <c r="N417" s="404">
        <v>329039</v>
      </c>
      <c r="O417" s="404">
        <v>1091237.6164222003</v>
      </c>
    </row>
    <row r="418" spans="2:15" s="154" customFormat="1" hidden="1" outlineLevel="1">
      <c r="B418" s="165" t="s">
        <v>2328</v>
      </c>
      <c r="C418" s="165" t="s">
        <v>3337</v>
      </c>
      <c r="D418" s="165" t="s">
        <v>3338</v>
      </c>
      <c r="E418" s="403">
        <v>4168371.1974054007</v>
      </c>
      <c r="F418" s="431">
        <v>3935376.2948502302</v>
      </c>
      <c r="G418" s="404">
        <v>15</v>
      </c>
      <c r="H418" s="405">
        <v>47086</v>
      </c>
      <c r="I418" s="404">
        <v>5479</v>
      </c>
      <c r="J418" s="404">
        <v>4993</v>
      </c>
      <c r="K418" s="406">
        <v>3726957.7349799601</v>
      </c>
      <c r="L418" s="404">
        <v>365</v>
      </c>
      <c r="M418" s="404">
        <v>272449</v>
      </c>
      <c r="N418" s="404">
        <v>1912003</v>
      </c>
      <c r="O418" s="404">
        <v>2023373.2948502302</v>
      </c>
    </row>
    <row r="419" spans="2:15" s="154" customFormat="1" ht="27" hidden="1" outlineLevel="1">
      <c r="B419" s="165" t="s">
        <v>2328</v>
      </c>
      <c r="C419" s="165" t="s">
        <v>3337</v>
      </c>
      <c r="D419" s="165" t="s">
        <v>3339</v>
      </c>
      <c r="E419" s="403">
        <v>6870744.0784215219</v>
      </c>
      <c r="F419" s="431">
        <v>6486697.6596551407</v>
      </c>
      <c r="G419" s="404">
        <v>15</v>
      </c>
      <c r="H419" s="405">
        <v>47086</v>
      </c>
      <c r="I419" s="404">
        <v>5479</v>
      </c>
      <c r="J419" s="404">
        <v>4993</v>
      </c>
      <c r="K419" s="406">
        <v>6143160.4557340648</v>
      </c>
      <c r="L419" s="404">
        <v>365</v>
      </c>
      <c r="M419" s="404">
        <v>449079</v>
      </c>
      <c r="N419" s="404">
        <v>3151564</v>
      </c>
      <c r="O419" s="404">
        <v>3335133.6596551407</v>
      </c>
    </row>
    <row r="420" spans="2:15" s="154" customFormat="1" hidden="1" outlineLevel="1">
      <c r="B420" s="165" t="s">
        <v>2328</v>
      </c>
      <c r="C420" s="165" t="s">
        <v>3337</v>
      </c>
      <c r="D420" s="165" t="s">
        <v>3340</v>
      </c>
      <c r="E420" s="403">
        <v>33772356.344578944</v>
      </c>
      <c r="F420" s="431">
        <v>31884619.897331581</v>
      </c>
      <c r="G420" s="404">
        <v>30</v>
      </c>
      <c r="H420" s="405">
        <v>52564</v>
      </c>
      <c r="I420" s="404">
        <v>10957</v>
      </c>
      <c r="J420" s="404">
        <v>10471</v>
      </c>
      <c r="K420" s="406">
        <v>30196002.080102634</v>
      </c>
      <c r="L420" s="404">
        <v>365</v>
      </c>
      <c r="M420" s="404">
        <v>1052578</v>
      </c>
      <c r="N420" s="404">
        <v>7386819</v>
      </c>
      <c r="O420" s="404">
        <v>24497800.897331581</v>
      </c>
    </row>
    <row r="421" spans="2:15" s="154" customFormat="1" hidden="1" outlineLevel="1">
      <c r="B421" s="165" t="s">
        <v>2328</v>
      </c>
      <c r="C421" s="165" t="s">
        <v>3337</v>
      </c>
      <c r="D421" s="165" t="s">
        <v>3341</v>
      </c>
      <c r="E421" s="403">
        <v>116548223.53618731</v>
      </c>
      <c r="F421" s="431">
        <v>110033654.97490501</v>
      </c>
      <c r="G421" s="404">
        <v>30</v>
      </c>
      <c r="H421" s="405">
        <v>52564</v>
      </c>
      <c r="I421" s="404">
        <v>10957</v>
      </c>
      <c r="J421" s="404">
        <v>10471</v>
      </c>
      <c r="K421" s="406">
        <v>104206243.79809564</v>
      </c>
      <c r="L421" s="404">
        <v>365</v>
      </c>
      <c r="M421" s="404">
        <v>3632440</v>
      </c>
      <c r="N421" s="404">
        <v>25491869</v>
      </c>
      <c r="O421" s="404">
        <v>84541785.974905014</v>
      </c>
    </row>
    <row r="422" spans="2:15" s="154" customFormat="1" hidden="1" outlineLevel="1">
      <c r="B422" s="165" t="s">
        <v>2328</v>
      </c>
      <c r="C422" s="165" t="s">
        <v>3337</v>
      </c>
      <c r="D422" s="165" t="s">
        <v>3342</v>
      </c>
      <c r="E422" s="403">
        <v>73385465.839753658</v>
      </c>
      <c r="F422" s="431">
        <v>69283518.738866314</v>
      </c>
      <c r="G422" s="404">
        <v>30</v>
      </c>
      <c r="H422" s="405">
        <v>52564</v>
      </c>
      <c r="I422" s="404">
        <v>10957</v>
      </c>
      <c r="J422" s="404">
        <v>10471</v>
      </c>
      <c r="K422" s="406">
        <v>65614245.446878634</v>
      </c>
      <c r="L422" s="404">
        <v>365</v>
      </c>
      <c r="M422" s="404">
        <v>2287193</v>
      </c>
      <c r="N422" s="404">
        <v>16051146</v>
      </c>
      <c r="O422" s="404">
        <v>53232372.738866314</v>
      </c>
    </row>
    <row r="423" spans="2:15" s="154" customFormat="1" hidden="1" outlineLevel="1">
      <c r="B423" s="165" t="s">
        <v>2328</v>
      </c>
      <c r="C423" s="165" t="s">
        <v>3337</v>
      </c>
      <c r="D423" s="165" t="s">
        <v>3343</v>
      </c>
      <c r="E423" s="403">
        <v>21995976.878811829</v>
      </c>
      <c r="F423" s="431">
        <v>20766491.831095602</v>
      </c>
      <c r="G423" s="404">
        <v>30</v>
      </c>
      <c r="H423" s="405">
        <v>52564</v>
      </c>
      <c r="I423" s="404">
        <v>10957</v>
      </c>
      <c r="J423" s="404">
        <v>10471</v>
      </c>
      <c r="K423" s="406">
        <v>19666692.987155013</v>
      </c>
      <c r="L423" s="404">
        <v>365</v>
      </c>
      <c r="M423" s="404">
        <v>685545</v>
      </c>
      <c r="N423" s="404">
        <v>4811042</v>
      </c>
      <c r="O423" s="404">
        <v>15955449.831095602</v>
      </c>
    </row>
    <row r="424" spans="2:15" s="154" customFormat="1" hidden="1" outlineLevel="1">
      <c r="B424" s="165" t="s">
        <v>2328</v>
      </c>
      <c r="C424" s="165" t="s">
        <v>3337</v>
      </c>
      <c r="D424" s="165" t="s">
        <v>3344</v>
      </c>
      <c r="E424" s="403">
        <v>54411348.236970708</v>
      </c>
      <c r="F424" s="431">
        <v>51369976.630940765</v>
      </c>
      <c r="G424" s="404">
        <v>30</v>
      </c>
      <c r="H424" s="405">
        <v>52564</v>
      </c>
      <c r="I424" s="404">
        <v>10957</v>
      </c>
      <c r="J424" s="404">
        <v>10471</v>
      </c>
      <c r="K424" s="406">
        <v>48649409.21909222</v>
      </c>
      <c r="L424" s="404">
        <v>365</v>
      </c>
      <c r="M424" s="404">
        <v>1695830</v>
      </c>
      <c r="N424" s="404">
        <v>11901057</v>
      </c>
      <c r="O424" s="404">
        <v>39468919.630940758</v>
      </c>
    </row>
    <row r="425" spans="2:15" s="154" customFormat="1" hidden="1" outlineLevel="1">
      <c r="B425" s="165" t="s">
        <v>2328</v>
      </c>
      <c r="C425" s="165" t="s">
        <v>3337</v>
      </c>
      <c r="D425" s="165" t="s">
        <v>3345</v>
      </c>
      <c r="E425" s="403">
        <v>14968068.638586275</v>
      </c>
      <c r="F425" s="431">
        <v>14131414.873757966</v>
      </c>
      <c r="G425" s="404">
        <v>30</v>
      </c>
      <c r="H425" s="405">
        <v>52564</v>
      </c>
      <c r="I425" s="404">
        <v>10957</v>
      </c>
      <c r="J425" s="404">
        <v>10471</v>
      </c>
      <c r="K425" s="406">
        <v>13383011.441828653</v>
      </c>
      <c r="L425" s="404">
        <v>365</v>
      </c>
      <c r="M425" s="404">
        <v>466507</v>
      </c>
      <c r="N425" s="404">
        <v>3273871</v>
      </c>
      <c r="O425" s="404">
        <v>10857543.873757968</v>
      </c>
    </row>
    <row r="426" spans="2:15" s="154" customFormat="1" hidden="1" outlineLevel="1">
      <c r="B426" s="165" t="s">
        <v>2328</v>
      </c>
      <c r="C426" s="165" t="s">
        <v>3337</v>
      </c>
      <c r="D426" s="165" t="s">
        <v>3346</v>
      </c>
      <c r="E426" s="403">
        <v>85551387.288049787</v>
      </c>
      <c r="F426" s="431">
        <v>80769414.97455506</v>
      </c>
      <c r="G426" s="404">
        <v>30</v>
      </c>
      <c r="H426" s="405">
        <v>52564</v>
      </c>
      <c r="I426" s="404">
        <v>10957</v>
      </c>
      <c r="J426" s="404">
        <v>10471</v>
      </c>
      <c r="K426" s="406">
        <v>76491845.610152572</v>
      </c>
      <c r="L426" s="404">
        <v>365</v>
      </c>
      <c r="M426" s="404">
        <v>2666367</v>
      </c>
      <c r="N426" s="404">
        <v>18712126</v>
      </c>
      <c r="O426" s="404">
        <v>62057288.97455506</v>
      </c>
    </row>
    <row r="427" spans="2:15" s="154" customFormat="1" hidden="1" outlineLevel="1">
      <c r="B427" s="165" t="s">
        <v>2328</v>
      </c>
      <c r="C427" s="165" t="s">
        <v>3337</v>
      </c>
      <c r="D427" s="165" t="s">
        <v>3346</v>
      </c>
      <c r="E427" s="403">
        <v>216783019.06767344</v>
      </c>
      <c r="F427" s="431">
        <v>204665735.81533867</v>
      </c>
      <c r="G427" s="404">
        <v>30</v>
      </c>
      <c r="H427" s="405">
        <v>52564</v>
      </c>
      <c r="I427" s="404">
        <v>10957</v>
      </c>
      <c r="J427" s="404">
        <v>10471</v>
      </c>
      <c r="K427" s="406">
        <v>193826584.86195499</v>
      </c>
      <c r="L427" s="404">
        <v>365</v>
      </c>
      <c r="M427" s="404">
        <v>6756442</v>
      </c>
      <c r="N427" s="404">
        <v>47415603</v>
      </c>
      <c r="O427" s="404">
        <v>157250132.81533867</v>
      </c>
    </row>
    <row r="428" spans="2:15" s="154" customFormat="1" hidden="1" outlineLevel="1">
      <c r="B428" s="165" t="s">
        <v>2328</v>
      </c>
      <c r="C428" s="165" t="s">
        <v>3337</v>
      </c>
      <c r="D428" s="165" t="s">
        <v>3347</v>
      </c>
      <c r="E428" s="403">
        <v>326531.46225373575</v>
      </c>
      <c r="F428" s="431">
        <v>308279.69142991758</v>
      </c>
      <c r="G428" s="404">
        <v>30</v>
      </c>
      <c r="H428" s="405">
        <v>52564</v>
      </c>
      <c r="I428" s="404">
        <v>10957</v>
      </c>
      <c r="J428" s="404">
        <v>10471</v>
      </c>
      <c r="K428" s="406">
        <v>291953.11831723084</v>
      </c>
      <c r="L428" s="404">
        <v>365</v>
      </c>
      <c r="M428" s="404">
        <v>10177</v>
      </c>
      <c r="N428" s="404">
        <v>71421</v>
      </c>
      <c r="O428" s="404">
        <v>236858.69142991764</v>
      </c>
    </row>
    <row r="429" spans="2:15" s="154" customFormat="1" hidden="1" outlineLevel="1">
      <c r="B429" s="165" t="s">
        <v>2328</v>
      </c>
      <c r="C429" s="165" t="s">
        <v>3348</v>
      </c>
      <c r="D429" s="165" t="s">
        <v>3349</v>
      </c>
      <c r="E429" s="403">
        <v>62464925.663602352</v>
      </c>
      <c r="F429" s="431">
        <v>58973392.082468517</v>
      </c>
      <c r="G429" s="404">
        <v>30</v>
      </c>
      <c r="H429" s="405">
        <v>52564</v>
      </c>
      <c r="I429" s="404">
        <v>10957</v>
      </c>
      <c r="J429" s="404">
        <v>10471</v>
      </c>
      <c r="K429" s="406">
        <v>55850145.799288407</v>
      </c>
      <c r="L429" s="404">
        <v>365</v>
      </c>
      <c r="M429" s="404">
        <v>1946834</v>
      </c>
      <c r="N429" s="404">
        <v>13662563</v>
      </c>
      <c r="O429" s="404">
        <v>45310829.082468525</v>
      </c>
    </row>
    <row r="430" spans="2:15" s="154" customFormat="1" hidden="1" outlineLevel="1">
      <c r="B430" s="165" t="s">
        <v>2328</v>
      </c>
      <c r="C430" s="165" t="s">
        <v>3348</v>
      </c>
      <c r="D430" s="165" t="s">
        <v>3350</v>
      </c>
      <c r="E430" s="403">
        <v>169890749.29442081</v>
      </c>
      <c r="F430" s="431">
        <v>160394551.97356227</v>
      </c>
      <c r="G430" s="404">
        <v>30</v>
      </c>
      <c r="H430" s="405">
        <v>52564</v>
      </c>
      <c r="I430" s="404">
        <v>10957</v>
      </c>
      <c r="J430" s="404">
        <v>10471</v>
      </c>
      <c r="K430" s="406">
        <v>151900014.50884122</v>
      </c>
      <c r="L430" s="404">
        <v>365</v>
      </c>
      <c r="M430" s="404">
        <v>5294958</v>
      </c>
      <c r="N430" s="404">
        <v>37159148</v>
      </c>
      <c r="O430" s="404">
        <v>123235403.97356227</v>
      </c>
    </row>
    <row r="431" spans="2:15" s="154" customFormat="1" hidden="1" outlineLevel="1">
      <c r="B431" s="165" t="s">
        <v>2328</v>
      </c>
      <c r="C431" s="165" t="s">
        <v>3351</v>
      </c>
      <c r="D431" s="165" t="s">
        <v>3352</v>
      </c>
      <c r="E431" s="403">
        <v>6993931.3958826046</v>
      </c>
      <c r="F431" s="431">
        <v>6602999.2650821023</v>
      </c>
      <c r="G431" s="404">
        <v>30</v>
      </c>
      <c r="H431" s="405">
        <v>52564</v>
      </c>
      <c r="I431" s="404">
        <v>10957</v>
      </c>
      <c r="J431" s="404">
        <v>10471</v>
      </c>
      <c r="K431" s="406">
        <v>6253302.6952879718</v>
      </c>
      <c r="L431" s="404">
        <v>365</v>
      </c>
      <c r="M431" s="404">
        <v>217979</v>
      </c>
      <c r="N431" s="404">
        <v>1529740</v>
      </c>
      <c r="O431" s="404">
        <v>5073259.2650821023</v>
      </c>
    </row>
    <row r="432" spans="2:15" s="154" customFormat="1" ht="27" hidden="1" outlineLevel="1">
      <c r="B432" s="165" t="s">
        <v>2328</v>
      </c>
      <c r="C432" s="165" t="s">
        <v>3351</v>
      </c>
      <c r="D432" s="165" t="s">
        <v>3353</v>
      </c>
      <c r="E432" s="403">
        <v>11254600.52881415</v>
      </c>
      <c r="F432" s="431">
        <v>10625514.424827162</v>
      </c>
      <c r="G432" s="404">
        <v>15</v>
      </c>
      <c r="H432" s="405">
        <v>47086</v>
      </c>
      <c r="I432" s="404">
        <v>5479</v>
      </c>
      <c r="J432" s="404">
        <v>4993</v>
      </c>
      <c r="K432" s="406">
        <v>10062784.398386452</v>
      </c>
      <c r="L432" s="404">
        <v>365</v>
      </c>
      <c r="M432" s="404">
        <v>735613</v>
      </c>
      <c r="N432" s="404">
        <v>5162411</v>
      </c>
      <c r="O432" s="404">
        <v>5463103.4248271603</v>
      </c>
    </row>
    <row r="433" spans="2:15" s="154" customFormat="1" hidden="1" outlineLevel="1">
      <c r="B433" s="165" t="s">
        <v>2328</v>
      </c>
      <c r="C433" s="165" t="s">
        <v>3351</v>
      </c>
      <c r="D433" s="165" t="s">
        <v>3354</v>
      </c>
      <c r="E433" s="403">
        <v>1739658.4818204721</v>
      </c>
      <c r="F433" s="431">
        <v>1642418.6967024319</v>
      </c>
      <c r="G433" s="404">
        <v>30</v>
      </c>
      <c r="H433" s="405">
        <v>52564</v>
      </c>
      <c r="I433" s="404">
        <v>10957</v>
      </c>
      <c r="J433" s="404">
        <v>10471</v>
      </c>
      <c r="K433" s="406">
        <v>1555435.7726114083</v>
      </c>
      <c r="L433" s="404">
        <v>365</v>
      </c>
      <c r="M433" s="404">
        <v>54220</v>
      </c>
      <c r="N433" s="404">
        <v>380506</v>
      </c>
      <c r="O433" s="404">
        <v>1261912.6967024319</v>
      </c>
    </row>
    <row r="434" spans="2:15" s="154" customFormat="1" hidden="1" outlineLevel="1">
      <c r="B434" s="165" t="s">
        <v>2328</v>
      </c>
      <c r="C434" s="165" t="s">
        <v>3351</v>
      </c>
      <c r="D434" s="165" t="s">
        <v>3355</v>
      </c>
      <c r="E434" s="403">
        <v>1338121878.3790398</v>
      </c>
      <c r="F434" s="431">
        <v>1263326343.8633494</v>
      </c>
      <c r="G434" s="404">
        <v>30</v>
      </c>
      <c r="H434" s="405">
        <v>52564</v>
      </c>
      <c r="I434" s="404">
        <v>10957</v>
      </c>
      <c r="J434" s="404">
        <v>10471</v>
      </c>
      <c r="K434" s="406">
        <v>1196420249.9443974</v>
      </c>
      <c r="L434" s="404">
        <v>365</v>
      </c>
      <c r="M434" s="404">
        <v>41705032</v>
      </c>
      <c r="N434" s="404">
        <v>292679081</v>
      </c>
      <c r="O434" s="404">
        <v>970647262.86334944</v>
      </c>
    </row>
    <row r="435" spans="2:15" s="154" customFormat="1" hidden="1" outlineLevel="1">
      <c r="B435" s="165" t="s">
        <v>2328</v>
      </c>
      <c r="C435" s="165" t="s">
        <v>3351</v>
      </c>
      <c r="D435" s="165" t="s">
        <v>3356</v>
      </c>
      <c r="E435" s="403">
        <v>5074459.9529488543</v>
      </c>
      <c r="F435" s="431">
        <v>4790818.456854091</v>
      </c>
      <c r="G435" s="404">
        <v>30</v>
      </c>
      <c r="H435" s="405">
        <v>52564</v>
      </c>
      <c r="I435" s="404">
        <v>10957</v>
      </c>
      <c r="J435" s="404">
        <v>10471</v>
      </c>
      <c r="K435" s="406">
        <v>4537095.4592066472</v>
      </c>
      <c r="L435" s="404">
        <v>365</v>
      </c>
      <c r="M435" s="404">
        <v>158155</v>
      </c>
      <c r="N435" s="404">
        <v>1109905</v>
      </c>
      <c r="O435" s="404">
        <v>3680913.4568540901</v>
      </c>
    </row>
    <row r="436" spans="2:15" s="154" customFormat="1" hidden="1" outlineLevel="1">
      <c r="B436" s="165" t="s">
        <v>2328</v>
      </c>
      <c r="C436" s="165" t="s">
        <v>3351</v>
      </c>
      <c r="D436" s="165" t="s">
        <v>3357</v>
      </c>
      <c r="E436" s="403">
        <v>17049770.081224803</v>
      </c>
      <c r="F436" s="431">
        <v>16096757.718740737</v>
      </c>
      <c r="G436" s="404">
        <v>15</v>
      </c>
      <c r="H436" s="405">
        <v>47086</v>
      </c>
      <c r="I436" s="404">
        <v>5479</v>
      </c>
      <c r="J436" s="404">
        <v>4993</v>
      </c>
      <c r="K436" s="406">
        <v>15244269.214679496</v>
      </c>
      <c r="L436" s="404">
        <v>365</v>
      </c>
      <c r="M436" s="404">
        <v>1114392</v>
      </c>
      <c r="N436" s="404">
        <v>7820620</v>
      </c>
      <c r="O436" s="404">
        <v>8276137.7187407371</v>
      </c>
    </row>
    <row r="437" spans="2:15" s="154" customFormat="1" hidden="1" outlineLevel="1">
      <c r="B437" s="165"/>
      <c r="C437" s="165"/>
      <c r="D437" s="165"/>
      <c r="E437" s="403"/>
      <c r="F437" s="432"/>
      <c r="G437" s="404"/>
      <c r="H437" s="405"/>
      <c r="I437" s="404"/>
      <c r="J437" s="404"/>
      <c r="K437" s="404"/>
      <c r="L437" s="404"/>
      <c r="M437" s="404"/>
      <c r="N437" s="404"/>
      <c r="O437" s="404"/>
    </row>
    <row r="438" spans="2:15" s="154" customFormat="1" ht="40.5" hidden="1" outlineLevel="1">
      <c r="B438" s="165" t="s">
        <v>2328</v>
      </c>
      <c r="C438" s="165" t="s">
        <v>3351</v>
      </c>
      <c r="D438" s="165" t="s">
        <v>3358</v>
      </c>
      <c r="E438" s="403">
        <v>380827672.6539619</v>
      </c>
      <c r="F438" s="431">
        <v>359540964.84992403</v>
      </c>
      <c r="G438" s="404">
        <v>50</v>
      </c>
      <c r="H438" s="405">
        <v>59869</v>
      </c>
      <c r="I438" s="404">
        <v>18262</v>
      </c>
      <c r="J438" s="404">
        <v>17776</v>
      </c>
      <c r="K438" s="406">
        <v>340499581.21722591</v>
      </c>
      <c r="L438" s="404">
        <v>365</v>
      </c>
      <c r="M438" s="404">
        <v>6991581</v>
      </c>
      <c r="N438" s="404">
        <v>49065770</v>
      </c>
      <c r="O438" s="404">
        <v>310475194.84992403</v>
      </c>
    </row>
    <row r="439" spans="2:15" s="154" customFormat="1" ht="40.5" hidden="1" outlineLevel="1">
      <c r="B439" s="165" t="s">
        <v>2328</v>
      </c>
      <c r="C439" s="165" t="s">
        <v>3351</v>
      </c>
      <c r="D439" s="165" t="s">
        <v>3359</v>
      </c>
      <c r="E439" s="403">
        <v>190413836.32698095</v>
      </c>
      <c r="F439" s="431">
        <v>179770482.42496201</v>
      </c>
      <c r="G439" s="404">
        <v>50</v>
      </c>
      <c r="H439" s="405">
        <v>59869</v>
      </c>
      <c r="I439" s="404">
        <v>18262</v>
      </c>
      <c r="J439" s="404">
        <v>17776</v>
      </c>
      <c r="K439" s="406">
        <v>170249790.60861295</v>
      </c>
      <c r="L439" s="404">
        <v>365</v>
      </c>
      <c r="M439" s="404">
        <v>3495791</v>
      </c>
      <c r="N439" s="404">
        <v>24532888</v>
      </c>
      <c r="O439" s="404">
        <v>155237594.42496201</v>
      </c>
    </row>
    <row r="440" spans="2:15" s="154" customFormat="1" ht="40.5" hidden="1" outlineLevel="1">
      <c r="B440" s="165" t="s">
        <v>2328</v>
      </c>
      <c r="C440" s="165" t="s">
        <v>3351</v>
      </c>
      <c r="D440" s="165" t="s">
        <v>3360</v>
      </c>
      <c r="E440" s="403">
        <v>63471278.775660299</v>
      </c>
      <c r="F440" s="431">
        <v>59923494.141653985</v>
      </c>
      <c r="G440" s="404">
        <v>50</v>
      </c>
      <c r="H440" s="405">
        <v>59869</v>
      </c>
      <c r="I440" s="404">
        <v>18262</v>
      </c>
      <c r="J440" s="404">
        <v>17776</v>
      </c>
      <c r="K440" s="406">
        <v>56749930.20287098</v>
      </c>
      <c r="L440" s="404">
        <v>365</v>
      </c>
      <c r="M440" s="404">
        <v>1165264</v>
      </c>
      <c r="N440" s="404">
        <v>8177631</v>
      </c>
      <c r="O440" s="404">
        <v>51745863.141653992</v>
      </c>
    </row>
    <row r="441" spans="2:15" s="154" customFormat="1" hidden="1" outlineLevel="1">
      <c r="B441" s="165"/>
      <c r="C441" s="165"/>
      <c r="D441" s="165"/>
      <c r="E441" s="403"/>
      <c r="F441" s="432"/>
      <c r="G441" s="404"/>
      <c r="H441" s="405"/>
      <c r="I441" s="404"/>
      <c r="J441" s="404"/>
      <c r="K441" s="404"/>
      <c r="L441" s="404"/>
      <c r="M441" s="404"/>
      <c r="N441" s="404"/>
      <c r="O441" s="404"/>
    </row>
    <row r="442" spans="2:15" s="154" customFormat="1" hidden="1" outlineLevel="1">
      <c r="B442" s="165" t="s">
        <v>2328</v>
      </c>
      <c r="C442" s="165" t="s">
        <v>3351</v>
      </c>
      <c r="D442" s="165" t="s">
        <v>3361</v>
      </c>
      <c r="E442" s="403">
        <v>1592357.6399700965</v>
      </c>
      <c r="F442" s="431">
        <v>1503351.3570188337</v>
      </c>
      <c r="G442" s="404">
        <v>30</v>
      </c>
      <c r="H442" s="405">
        <v>52564</v>
      </c>
      <c r="I442" s="404">
        <v>10957</v>
      </c>
      <c r="J442" s="404">
        <v>10471</v>
      </c>
      <c r="K442" s="406">
        <v>1423733.475020329</v>
      </c>
      <c r="L442" s="404">
        <v>365</v>
      </c>
      <c r="M442" s="404">
        <v>49629</v>
      </c>
      <c r="N442" s="404">
        <v>348288</v>
      </c>
      <c r="O442" s="404">
        <v>1155063.3570188337</v>
      </c>
    </row>
    <row r="443" spans="2:15" s="154" customFormat="1" hidden="1" outlineLevel="1">
      <c r="B443" s="165" t="s">
        <v>2328</v>
      </c>
      <c r="C443" s="165" t="s">
        <v>3362</v>
      </c>
      <c r="D443" s="165" t="s">
        <v>3363</v>
      </c>
      <c r="E443" s="403">
        <v>23554943.224755608</v>
      </c>
      <c r="F443" s="431">
        <v>22238318.232522272</v>
      </c>
      <c r="G443" s="404">
        <v>15</v>
      </c>
      <c r="H443" s="405">
        <v>47086</v>
      </c>
      <c r="I443" s="404">
        <v>5479</v>
      </c>
      <c r="J443" s="404">
        <v>4993</v>
      </c>
      <c r="K443" s="406">
        <v>21060571.071284492</v>
      </c>
      <c r="L443" s="404">
        <v>365</v>
      </c>
      <c r="M443" s="404">
        <v>1539577</v>
      </c>
      <c r="N443" s="404">
        <v>10804499</v>
      </c>
      <c r="O443" s="404">
        <v>11433819.232522272</v>
      </c>
    </row>
    <row r="444" spans="2:15" s="154" customFormat="1" hidden="1" outlineLevel="1">
      <c r="B444" s="165"/>
      <c r="C444" s="165"/>
      <c r="D444" s="165"/>
      <c r="E444" s="403"/>
      <c r="F444" s="432"/>
      <c r="G444" s="404"/>
      <c r="H444" s="405"/>
      <c r="I444" s="404"/>
      <c r="J444" s="404"/>
      <c r="K444" s="404"/>
      <c r="L444" s="404"/>
      <c r="M444" s="404"/>
      <c r="N444" s="404"/>
      <c r="O444" s="404"/>
    </row>
    <row r="445" spans="2:15" s="154" customFormat="1" ht="27" hidden="1" outlineLevel="1">
      <c r="B445" s="165" t="s">
        <v>2328</v>
      </c>
      <c r="C445" s="165" t="s">
        <v>3364</v>
      </c>
      <c r="D445" s="165" t="s">
        <v>3365</v>
      </c>
      <c r="E445" s="403">
        <v>16584699.307564683</v>
      </c>
      <c r="F445" s="431">
        <v>15657682.485797048</v>
      </c>
      <c r="G445" s="404">
        <v>30</v>
      </c>
      <c r="H445" s="405">
        <v>52564</v>
      </c>
      <c r="I445" s="404">
        <v>10957</v>
      </c>
      <c r="J445" s="404">
        <v>10471</v>
      </c>
      <c r="K445" s="406">
        <v>14828447.520418813</v>
      </c>
      <c r="L445" s="404">
        <v>365</v>
      </c>
      <c r="M445" s="404">
        <v>516893</v>
      </c>
      <c r="N445" s="404">
        <v>3627470</v>
      </c>
      <c r="O445" s="404">
        <v>12030212.485797048</v>
      </c>
    </row>
    <row r="446" spans="2:15" s="154" customFormat="1" ht="27" hidden="1" outlineLevel="1">
      <c r="B446" s="165" t="s">
        <v>2328</v>
      </c>
      <c r="C446" s="165" t="s">
        <v>3364</v>
      </c>
      <c r="D446" s="165" t="s">
        <v>3366</v>
      </c>
      <c r="E446" s="403">
        <v>38697632.286069974</v>
      </c>
      <c r="F446" s="431">
        <v>36534593.059138216</v>
      </c>
      <c r="G446" s="404">
        <v>3</v>
      </c>
      <c r="H446" s="405">
        <v>42703</v>
      </c>
      <c r="I446" s="404">
        <v>1096</v>
      </c>
      <c r="J446" s="404">
        <v>610</v>
      </c>
      <c r="K446" s="406">
        <v>34599711.444834709</v>
      </c>
      <c r="L446" s="404">
        <v>0</v>
      </c>
      <c r="M446" s="404">
        <v>0</v>
      </c>
      <c r="N446" s="404">
        <v>36534593</v>
      </c>
      <c r="O446" s="404">
        <v>5.9138208627700806E-2</v>
      </c>
    </row>
    <row r="447" spans="2:15" s="154" customFormat="1" hidden="1" outlineLevel="1">
      <c r="B447" s="165"/>
      <c r="C447" s="165"/>
      <c r="D447" s="165"/>
      <c r="E447" s="403"/>
      <c r="F447" s="432"/>
      <c r="G447" s="404"/>
      <c r="H447" s="405"/>
      <c r="I447" s="404"/>
      <c r="J447" s="404"/>
      <c r="K447" s="404"/>
      <c r="L447" s="404"/>
      <c r="M447" s="404"/>
      <c r="N447" s="404"/>
      <c r="O447" s="404"/>
    </row>
    <row r="448" spans="2:15" s="154" customFormat="1" hidden="1" outlineLevel="1">
      <c r="B448" s="165" t="s">
        <v>2328</v>
      </c>
      <c r="C448" s="165" t="s">
        <v>3367</v>
      </c>
      <c r="D448" s="165" t="s">
        <v>3368</v>
      </c>
      <c r="E448" s="403">
        <v>36525879.017066672</v>
      </c>
      <c r="F448" s="431">
        <v>34484231.903121188</v>
      </c>
      <c r="G448" s="404">
        <v>30</v>
      </c>
      <c r="H448" s="405">
        <v>52564</v>
      </c>
      <c r="I448" s="404">
        <v>10957</v>
      </c>
      <c r="J448" s="404">
        <v>10471</v>
      </c>
      <c r="K448" s="406">
        <v>32657937.952267855</v>
      </c>
      <c r="L448" s="404">
        <v>365</v>
      </c>
      <c r="M448" s="404">
        <v>1138396</v>
      </c>
      <c r="N448" s="404">
        <v>7989077</v>
      </c>
      <c r="O448" s="404">
        <v>26495154.903121188</v>
      </c>
    </row>
    <row r="449" spans="2:15" s="154" customFormat="1" hidden="1" outlineLevel="1">
      <c r="B449" s="165"/>
      <c r="C449" s="165"/>
      <c r="D449" s="165"/>
      <c r="E449" s="403"/>
      <c r="F449" s="432"/>
      <c r="G449" s="404"/>
      <c r="H449" s="405"/>
      <c r="I449" s="404"/>
      <c r="J449" s="404"/>
      <c r="K449" s="406"/>
      <c r="L449" s="404"/>
      <c r="M449" s="404"/>
      <c r="N449" s="404"/>
      <c r="O449" s="404"/>
    </row>
    <row r="450" spans="2:15" s="154" customFormat="1" hidden="1" outlineLevel="1">
      <c r="B450" s="165" t="s">
        <v>2328</v>
      </c>
      <c r="C450" s="165" t="s">
        <v>3319</v>
      </c>
      <c r="D450" s="165" t="s">
        <v>3320</v>
      </c>
      <c r="E450" s="403">
        <v>52510077.9444011</v>
      </c>
      <c r="F450" s="431">
        <v>52504608.230357386</v>
      </c>
      <c r="G450" s="404">
        <v>20</v>
      </c>
      <c r="H450" s="405">
        <v>49398</v>
      </c>
      <c r="I450" s="404">
        <v>7305</v>
      </c>
      <c r="J450" s="404">
        <v>7304</v>
      </c>
      <c r="K450" s="406">
        <v>49879104.333137333</v>
      </c>
      <c r="L450" s="404">
        <v>365</v>
      </c>
      <c r="M450" s="404">
        <v>2492589</v>
      </c>
      <c r="N450" s="404">
        <v>17465054</v>
      </c>
      <c r="O450" s="404">
        <v>35039554.230357386</v>
      </c>
    </row>
    <row r="451" spans="2:15" s="154" customFormat="1" hidden="1" outlineLevel="1">
      <c r="B451" s="165" t="s">
        <v>2328</v>
      </c>
      <c r="C451" s="165" t="s">
        <v>3319</v>
      </c>
      <c r="D451" s="165" t="s">
        <v>3321</v>
      </c>
      <c r="E451" s="403">
        <v>1416525.5282793611</v>
      </c>
      <c r="F451" s="431">
        <v>1416377.9758098181</v>
      </c>
      <c r="G451" s="404">
        <v>20</v>
      </c>
      <c r="H451" s="405">
        <v>49398</v>
      </c>
      <c r="I451" s="404">
        <v>7305</v>
      </c>
      <c r="J451" s="404">
        <v>7304</v>
      </c>
      <c r="K451" s="406">
        <v>1345551.6993958501</v>
      </c>
      <c r="L451" s="404">
        <v>365</v>
      </c>
      <c r="M451" s="404">
        <v>67241</v>
      </c>
      <c r="N451" s="404">
        <v>471143</v>
      </c>
      <c r="O451" s="404">
        <v>945234.97580981813</v>
      </c>
    </row>
    <row r="452" spans="2:15" s="154" customFormat="1" hidden="1" outlineLevel="1">
      <c r="B452" s="165" t="s">
        <v>2328</v>
      </c>
      <c r="C452" s="165" t="s">
        <v>3319</v>
      </c>
      <c r="D452" s="165" t="s">
        <v>3322</v>
      </c>
      <c r="E452" s="403">
        <v>16845285.663364779</v>
      </c>
      <c r="F452" s="431">
        <v>16843530.973660421</v>
      </c>
      <c r="G452" s="404">
        <v>20</v>
      </c>
      <c r="H452" s="405">
        <v>49398</v>
      </c>
      <c r="I452" s="404">
        <v>7305</v>
      </c>
      <c r="J452" s="404">
        <v>7304</v>
      </c>
      <c r="K452" s="406">
        <v>16001266.690492181</v>
      </c>
      <c r="L452" s="404">
        <v>365</v>
      </c>
      <c r="M452" s="404">
        <v>799625</v>
      </c>
      <c r="N452" s="404">
        <v>5602807</v>
      </c>
      <c r="O452" s="404">
        <v>11240723.973660421</v>
      </c>
    </row>
    <row r="453" spans="2:15" s="154" customFormat="1" hidden="1" outlineLevel="1">
      <c r="B453" s="165" t="s">
        <v>2328</v>
      </c>
      <c r="C453" s="165" t="s">
        <v>3319</v>
      </c>
      <c r="D453" s="165" t="s">
        <v>3323</v>
      </c>
      <c r="E453" s="403">
        <v>3509221.7339612907</v>
      </c>
      <c r="F453" s="431">
        <v>3508856.1957936096</v>
      </c>
      <c r="G453" s="404">
        <v>15</v>
      </c>
      <c r="H453" s="405">
        <v>47572</v>
      </c>
      <c r="I453" s="404">
        <v>5479</v>
      </c>
      <c r="J453" s="404">
        <v>5478</v>
      </c>
      <c r="K453" s="406">
        <v>3333395.109095545</v>
      </c>
      <c r="L453" s="404">
        <v>365</v>
      </c>
      <c r="M453" s="404">
        <v>222105</v>
      </c>
      <c r="N453" s="404">
        <v>1556243</v>
      </c>
      <c r="O453" s="404">
        <v>1952613.1957936096</v>
      </c>
    </row>
    <row r="454" spans="2:15" s="154" customFormat="1" hidden="1" outlineLevel="1">
      <c r="B454" s="165" t="s">
        <v>2328</v>
      </c>
      <c r="C454" s="165" t="s">
        <v>3337</v>
      </c>
      <c r="D454" s="165" t="s">
        <v>3338</v>
      </c>
      <c r="E454" s="403">
        <v>8047272.753597796</v>
      </c>
      <c r="F454" s="431">
        <v>8046434.5090767797</v>
      </c>
      <c r="G454" s="404">
        <v>15</v>
      </c>
      <c r="H454" s="405">
        <v>47572</v>
      </c>
      <c r="I454" s="404">
        <v>5479</v>
      </c>
      <c r="J454" s="404">
        <v>5478</v>
      </c>
      <c r="K454" s="406">
        <v>7644070.8713968899</v>
      </c>
      <c r="L454" s="404">
        <v>365</v>
      </c>
      <c r="M454" s="404">
        <v>509326</v>
      </c>
      <c r="N454" s="404">
        <v>3568741</v>
      </c>
      <c r="O454" s="404">
        <v>4477693.5090767797</v>
      </c>
    </row>
    <row r="455" spans="2:15" s="154" customFormat="1" ht="27" hidden="1" outlineLevel="1">
      <c r="B455" s="165" t="s">
        <v>2328</v>
      </c>
      <c r="C455" s="165" t="s">
        <v>3337</v>
      </c>
      <c r="D455" s="165" t="s">
        <v>3339</v>
      </c>
      <c r="E455" s="403">
        <v>13263769.877886169</v>
      </c>
      <c r="F455" s="431">
        <v>13262388.256862955</v>
      </c>
      <c r="G455" s="404">
        <v>15</v>
      </c>
      <c r="H455" s="405">
        <v>47572</v>
      </c>
      <c r="I455" s="404">
        <v>5479</v>
      </c>
      <c r="J455" s="404">
        <v>5478</v>
      </c>
      <c r="K455" s="406">
        <v>12599199.762968646</v>
      </c>
      <c r="L455" s="404">
        <v>365</v>
      </c>
      <c r="M455" s="404">
        <v>839487</v>
      </c>
      <c r="N455" s="404">
        <v>5882111</v>
      </c>
      <c r="O455" s="404">
        <v>7380277.2568629552</v>
      </c>
    </row>
    <row r="456" spans="2:15" s="154" customFormat="1" hidden="1" outlineLevel="1">
      <c r="B456" s="165" t="s">
        <v>2328</v>
      </c>
      <c r="C456" s="165" t="s">
        <v>3337</v>
      </c>
      <c r="D456" s="165" t="s">
        <v>3340</v>
      </c>
      <c r="E456" s="403">
        <v>65121812.347536623</v>
      </c>
      <c r="F456" s="431">
        <v>65115028.931797445</v>
      </c>
      <c r="G456" s="404">
        <v>30</v>
      </c>
      <c r="H456" s="405">
        <v>53051</v>
      </c>
      <c r="I456" s="404">
        <v>10958</v>
      </c>
      <c r="J456" s="404">
        <v>10957</v>
      </c>
      <c r="K456" s="406">
        <v>61858938.314420611</v>
      </c>
      <c r="L456" s="404">
        <v>365</v>
      </c>
      <c r="M456" s="404">
        <v>2060647</v>
      </c>
      <c r="N456" s="404">
        <v>14438527</v>
      </c>
      <c r="O456" s="404">
        <v>50676501.931797445</v>
      </c>
    </row>
    <row r="457" spans="2:15" s="154" customFormat="1" hidden="1" outlineLevel="1">
      <c r="B457" s="165" t="s">
        <v>2328</v>
      </c>
      <c r="C457" s="165" t="s">
        <v>3337</v>
      </c>
      <c r="D457" s="165" t="s">
        <v>3341</v>
      </c>
      <c r="E457" s="403">
        <v>224697946.5339939</v>
      </c>
      <c r="F457" s="431">
        <v>224674540.86517978</v>
      </c>
      <c r="G457" s="404">
        <v>30</v>
      </c>
      <c r="H457" s="405">
        <v>53051</v>
      </c>
      <c r="I457" s="404">
        <v>10958</v>
      </c>
      <c r="J457" s="404">
        <v>10957</v>
      </c>
      <c r="K457" s="406">
        <v>213439643.53848007</v>
      </c>
      <c r="L457" s="404">
        <v>365</v>
      </c>
      <c r="M457" s="404">
        <v>7110110</v>
      </c>
      <c r="N457" s="404">
        <v>49819064</v>
      </c>
      <c r="O457" s="404">
        <v>174855476.86517978</v>
      </c>
    </row>
    <row r="458" spans="2:15" s="154" customFormat="1" hidden="1" outlineLevel="1">
      <c r="B458" s="165" t="s">
        <v>2328</v>
      </c>
      <c r="C458" s="165" t="s">
        <v>3337</v>
      </c>
      <c r="D458" s="165" t="s">
        <v>3342</v>
      </c>
      <c r="E458" s="403">
        <v>141501612.77621147</v>
      </c>
      <c r="F458" s="431">
        <v>141486873.25596538</v>
      </c>
      <c r="G458" s="404">
        <v>30</v>
      </c>
      <c r="H458" s="405">
        <v>53051</v>
      </c>
      <c r="I458" s="404">
        <v>10958</v>
      </c>
      <c r="J458" s="404">
        <v>10957</v>
      </c>
      <c r="K458" s="406">
        <v>134411792.61715481</v>
      </c>
      <c r="L458" s="404">
        <v>365</v>
      </c>
      <c r="M458" s="404">
        <v>4477531</v>
      </c>
      <c r="N458" s="404">
        <v>31373130</v>
      </c>
      <c r="O458" s="404">
        <v>110113743.25596538</v>
      </c>
    </row>
    <row r="459" spans="2:15" s="154" customFormat="1" hidden="1" outlineLevel="1">
      <c r="B459" s="165" t="s">
        <v>2328</v>
      </c>
      <c r="C459" s="165" t="s">
        <v>3337</v>
      </c>
      <c r="D459" s="165" t="s">
        <v>3343</v>
      </c>
      <c r="E459" s="403">
        <v>42434624.037475489</v>
      </c>
      <c r="F459" s="431">
        <v>42430203.83342538</v>
      </c>
      <c r="G459" s="404">
        <v>30</v>
      </c>
      <c r="H459" s="405">
        <v>53051</v>
      </c>
      <c r="I459" s="404">
        <v>10958</v>
      </c>
      <c r="J459" s="404">
        <v>10957</v>
      </c>
      <c r="K459" s="406">
        <v>40308472.631551608</v>
      </c>
      <c r="L459" s="404">
        <v>365</v>
      </c>
      <c r="M459" s="404">
        <v>1342757</v>
      </c>
      <c r="N459" s="404">
        <v>9408420</v>
      </c>
      <c r="O459" s="404">
        <v>33021783.83342538</v>
      </c>
    </row>
    <row r="460" spans="2:15" s="154" customFormat="1" hidden="1" outlineLevel="1">
      <c r="B460" s="165" t="s">
        <v>2328</v>
      </c>
      <c r="C460" s="165" t="s">
        <v>3337</v>
      </c>
      <c r="D460" s="165" t="s">
        <v>3344</v>
      </c>
      <c r="E460" s="403">
        <v>105021751.71112406</v>
      </c>
      <c r="F460" s="431">
        <v>105010812.11681552</v>
      </c>
      <c r="G460" s="404">
        <v>30</v>
      </c>
      <c r="H460" s="405">
        <v>53051</v>
      </c>
      <c r="I460" s="404">
        <v>10958</v>
      </c>
      <c r="J460" s="404">
        <v>10957</v>
      </c>
      <c r="K460" s="406">
        <v>99759724.531259313</v>
      </c>
      <c r="L460" s="404">
        <v>365</v>
      </c>
      <c r="M460" s="404">
        <v>3323200</v>
      </c>
      <c r="N460" s="404">
        <v>23284972</v>
      </c>
      <c r="O460" s="404">
        <v>81725840.116815522</v>
      </c>
    </row>
    <row r="461" spans="2:15" s="154" customFormat="1" hidden="1" outlineLevel="1">
      <c r="B461" s="165" t="s">
        <v>2328</v>
      </c>
      <c r="C461" s="165" t="s">
        <v>3337</v>
      </c>
      <c r="D461" s="165" t="s">
        <v>3345</v>
      </c>
      <c r="E461" s="403">
        <v>28912807.722838212</v>
      </c>
      <c r="F461" s="431">
        <v>28909796.019176725</v>
      </c>
      <c r="G461" s="404">
        <v>30</v>
      </c>
      <c r="H461" s="405">
        <v>53051</v>
      </c>
      <c r="I461" s="404">
        <v>10958</v>
      </c>
      <c r="J461" s="404">
        <v>10957</v>
      </c>
      <c r="K461" s="406">
        <v>27464155.633034814</v>
      </c>
      <c r="L461" s="404">
        <v>365</v>
      </c>
      <c r="M461" s="404">
        <v>914887</v>
      </c>
      <c r="N461" s="404">
        <v>6410424</v>
      </c>
      <c r="O461" s="404">
        <v>22499372.019176725</v>
      </c>
    </row>
    <row r="462" spans="2:15" s="154" customFormat="1" hidden="1" outlineLevel="1">
      <c r="B462" s="165" t="s">
        <v>2328</v>
      </c>
      <c r="C462" s="165" t="s">
        <v>3337</v>
      </c>
      <c r="D462" s="165" t="s">
        <v>3346</v>
      </c>
      <c r="E462" s="403">
        <v>165451375.90459675</v>
      </c>
      <c r="F462" s="431">
        <v>165434141.65635327</v>
      </c>
      <c r="G462" s="404">
        <v>30</v>
      </c>
      <c r="H462" s="405">
        <v>53051</v>
      </c>
      <c r="I462" s="404">
        <v>10958</v>
      </c>
      <c r="J462" s="404">
        <v>10957</v>
      </c>
      <c r="K462" s="406">
        <v>157161572.86112344</v>
      </c>
      <c r="L462" s="404">
        <v>365</v>
      </c>
      <c r="M462" s="404">
        <v>5235372</v>
      </c>
      <c r="N462" s="404">
        <v>36683166</v>
      </c>
      <c r="O462" s="404">
        <v>128750975.65635327</v>
      </c>
    </row>
    <row r="463" spans="2:15" s="154" customFormat="1" hidden="1" outlineLevel="1">
      <c r="B463" s="165" t="s">
        <v>2328</v>
      </c>
      <c r="C463" s="165" t="s">
        <v>3348</v>
      </c>
      <c r="D463" s="165" t="s">
        <v>3349</v>
      </c>
      <c r="E463" s="403">
        <v>120760437.7727709</v>
      </c>
      <c r="F463" s="431">
        <v>120747858.75756785</v>
      </c>
      <c r="G463" s="404">
        <v>30</v>
      </c>
      <c r="H463" s="405">
        <v>53051</v>
      </c>
      <c r="I463" s="404">
        <v>10958</v>
      </c>
      <c r="J463" s="404">
        <v>10957</v>
      </c>
      <c r="K463" s="406">
        <v>114709836.86892931</v>
      </c>
      <c r="L463" s="404">
        <v>365</v>
      </c>
      <c r="M463" s="404">
        <v>3821218</v>
      </c>
      <c r="N463" s="404">
        <v>26774483</v>
      </c>
      <c r="O463" s="404">
        <v>93973375.757567853</v>
      </c>
    </row>
    <row r="464" spans="2:15" s="154" customFormat="1" hidden="1" outlineLevel="1">
      <c r="B464" s="165" t="s">
        <v>2328</v>
      </c>
      <c r="C464" s="165" t="s">
        <v>3351</v>
      </c>
      <c r="D464" s="165" t="s">
        <v>3352</v>
      </c>
      <c r="E464" s="403">
        <v>13518785.056615293</v>
      </c>
      <c r="F464" s="431">
        <v>13517376.87198391</v>
      </c>
      <c r="G464" s="404">
        <v>30</v>
      </c>
      <c r="H464" s="405">
        <v>53051</v>
      </c>
      <c r="I464" s="404">
        <v>10958</v>
      </c>
      <c r="J464" s="404">
        <v>10957</v>
      </c>
      <c r="K464" s="406">
        <v>12841437.619153146</v>
      </c>
      <c r="L464" s="404">
        <v>365</v>
      </c>
      <c r="M464" s="404">
        <v>427774</v>
      </c>
      <c r="N464" s="404">
        <v>2997324</v>
      </c>
      <c r="O464" s="404">
        <v>10520052.87198391</v>
      </c>
    </row>
    <row r="465" spans="2:15" s="154" customFormat="1" hidden="1" outlineLevel="1">
      <c r="B465" s="165"/>
      <c r="C465" s="165"/>
      <c r="D465" s="165"/>
      <c r="E465" s="403"/>
      <c r="F465" s="432"/>
      <c r="G465" s="404"/>
      <c r="H465" s="405"/>
      <c r="I465" s="404"/>
      <c r="J465" s="404"/>
      <c r="K465" s="404"/>
      <c r="L465" s="404"/>
      <c r="M465" s="404"/>
      <c r="N465" s="404"/>
      <c r="O465" s="404"/>
    </row>
    <row r="466" spans="2:15" s="154" customFormat="1" ht="14.25" hidden="1">
      <c r="B466" s="411" t="s">
        <v>1837</v>
      </c>
      <c r="C466" s="165"/>
      <c r="D466" s="165"/>
      <c r="E466" s="412">
        <v>4794162682.1588736</v>
      </c>
      <c r="F466" s="433">
        <f>+SUBTOTAL(9,F402:F465)</f>
        <v>4582148474.4155045</v>
      </c>
      <c r="G466" s="404"/>
      <c r="H466" s="405"/>
      <c r="I466" s="404"/>
      <c r="J466" s="404"/>
      <c r="K466" s="404"/>
      <c r="L466" s="404"/>
      <c r="M466" s="413">
        <f t="shared" ref="M466:O466" si="5">SUBTOTAL(9,M402:M465)</f>
        <v>146404849</v>
      </c>
      <c r="N466" s="413">
        <f t="shared" si="5"/>
        <v>1063608280</v>
      </c>
      <c r="O466" s="413">
        <f t="shared" si="5"/>
        <v>3518540194.4155064</v>
      </c>
    </row>
    <row r="467" spans="2:15" s="154" customFormat="1" hidden="1">
      <c r="B467" s="165"/>
      <c r="C467" s="165"/>
      <c r="D467" s="165"/>
      <c r="E467" s="403"/>
      <c r="F467" s="435"/>
      <c r="G467" s="404"/>
      <c r="H467" s="405"/>
      <c r="I467" s="404"/>
      <c r="J467" s="404"/>
      <c r="K467" s="404"/>
      <c r="L467" s="404"/>
      <c r="M467" s="404"/>
      <c r="N467" s="404"/>
      <c r="O467" s="404"/>
    </row>
    <row r="468" spans="2:15" s="154" customFormat="1" ht="14.25" hidden="1">
      <c r="B468" s="411" t="s">
        <v>2329</v>
      </c>
      <c r="C468" s="165"/>
      <c r="D468" s="165"/>
      <c r="E468" s="403"/>
      <c r="F468" s="432"/>
      <c r="G468" s="404"/>
      <c r="H468" s="405"/>
      <c r="I468" s="404"/>
      <c r="J468" s="404"/>
      <c r="K468" s="404"/>
      <c r="L468" s="404"/>
      <c r="M468" s="404"/>
      <c r="N468" s="404"/>
      <c r="O468" s="404"/>
    </row>
    <row r="469" spans="2:15" s="154" customFormat="1" hidden="1" outlineLevel="1">
      <c r="B469" s="165" t="s">
        <v>2329</v>
      </c>
      <c r="C469" s="165" t="s">
        <v>2329</v>
      </c>
      <c r="D469" s="165" t="s">
        <v>3369</v>
      </c>
      <c r="E469" s="403">
        <v>3578555.4166246462</v>
      </c>
      <c r="F469" s="431">
        <v>3378481.1669361014</v>
      </c>
      <c r="G469" s="404">
        <v>20</v>
      </c>
      <c r="H469" s="405">
        <v>48912</v>
      </c>
      <c r="I469" s="404">
        <v>7305</v>
      </c>
      <c r="J469" s="404">
        <v>6819</v>
      </c>
      <c r="K469" s="406">
        <v>3199553.396104869</v>
      </c>
      <c r="L469" s="404">
        <v>365</v>
      </c>
      <c r="M469" s="404">
        <v>171262</v>
      </c>
      <c r="N469" s="404">
        <v>1201933</v>
      </c>
      <c r="O469" s="404">
        <v>2176548.1669361014</v>
      </c>
    </row>
    <row r="470" spans="2:15" s="154" customFormat="1" hidden="1" outlineLevel="1">
      <c r="B470" s="165" t="s">
        <v>2329</v>
      </c>
      <c r="C470" s="165" t="s">
        <v>2329</v>
      </c>
      <c r="D470" s="165" t="s">
        <v>2329</v>
      </c>
      <c r="E470" s="403">
        <v>6684792.4309499543</v>
      </c>
      <c r="F470" s="431">
        <v>6311050.983566992</v>
      </c>
      <c r="G470" s="404">
        <v>20</v>
      </c>
      <c r="H470" s="405">
        <v>48912</v>
      </c>
      <c r="I470" s="404">
        <v>7305</v>
      </c>
      <c r="J470" s="404">
        <v>6819</v>
      </c>
      <c r="K470" s="406">
        <v>5976811.3620194951</v>
      </c>
      <c r="L470" s="404">
        <v>365</v>
      </c>
      <c r="M470" s="404">
        <v>319920</v>
      </c>
      <c r="N470" s="404">
        <v>2245229</v>
      </c>
      <c r="O470" s="404">
        <v>4065821.9835669929</v>
      </c>
    </row>
    <row r="471" spans="2:15" s="154" customFormat="1" hidden="1" outlineLevel="1">
      <c r="B471" s="165" t="s">
        <v>2329</v>
      </c>
      <c r="C471" s="165" t="s">
        <v>2329</v>
      </c>
      <c r="D471" s="165" t="s">
        <v>3370</v>
      </c>
      <c r="E471" s="403">
        <v>16606709.632044856</v>
      </c>
      <c r="F471" s="431">
        <v>15678241.580923053</v>
      </c>
      <c r="G471" s="404">
        <v>25</v>
      </c>
      <c r="H471" s="405">
        <v>50738</v>
      </c>
      <c r="I471" s="404">
        <v>9131</v>
      </c>
      <c r="J471" s="404">
        <v>8645</v>
      </c>
      <c r="K471" s="406">
        <v>14847906.099320808</v>
      </c>
      <c r="L471" s="404">
        <v>365</v>
      </c>
      <c r="M471" s="404">
        <v>626893</v>
      </c>
      <c r="N471" s="404">
        <v>4399592</v>
      </c>
      <c r="O471" s="404">
        <v>11278649.580923051</v>
      </c>
    </row>
    <row r="472" spans="2:15" s="154" customFormat="1" hidden="1" outlineLevel="1">
      <c r="B472" s="165"/>
      <c r="C472" s="165"/>
      <c r="D472" s="165"/>
      <c r="E472" s="403"/>
      <c r="F472" s="432"/>
      <c r="G472" s="404"/>
      <c r="H472" s="405"/>
      <c r="I472" s="404"/>
      <c r="J472" s="404"/>
      <c r="K472" s="406"/>
      <c r="L472" s="404"/>
      <c r="M472" s="404"/>
      <c r="N472" s="404"/>
      <c r="O472" s="404"/>
    </row>
    <row r="473" spans="2:15" s="154" customFormat="1" hidden="1" outlineLevel="1">
      <c r="B473" s="165" t="s">
        <v>2329</v>
      </c>
      <c r="C473" s="165" t="s">
        <v>2329</v>
      </c>
      <c r="D473" s="165" t="s">
        <v>3369</v>
      </c>
      <c r="E473" s="403">
        <v>6911950.7886547502</v>
      </c>
      <c r="F473" s="431">
        <v>6911230.6330208015</v>
      </c>
      <c r="G473" s="404">
        <v>20</v>
      </c>
      <c r="H473" s="405">
        <v>49398</v>
      </c>
      <c r="I473" s="404">
        <v>7305</v>
      </c>
      <c r="J473" s="404">
        <v>7304</v>
      </c>
      <c r="K473" s="406">
        <v>6565633.0935880635</v>
      </c>
      <c r="L473" s="404">
        <v>365</v>
      </c>
      <c r="M473" s="404">
        <v>328102</v>
      </c>
      <c r="N473" s="404">
        <v>2299021</v>
      </c>
      <c r="O473" s="404">
        <v>4612209.6330208015</v>
      </c>
    </row>
    <row r="474" spans="2:15" s="154" customFormat="1" hidden="1" outlineLevel="1">
      <c r="B474" s="165" t="s">
        <v>2329</v>
      </c>
      <c r="C474" s="165" t="s">
        <v>2329</v>
      </c>
      <c r="D474" s="165" t="s">
        <v>2329</v>
      </c>
      <c r="E474" s="403">
        <v>12911618.768718529</v>
      </c>
      <c r="F474" s="431">
        <v>12910273.508197255</v>
      </c>
      <c r="G474" s="404">
        <v>20</v>
      </c>
      <c r="H474" s="405">
        <v>49398</v>
      </c>
      <c r="I474" s="404">
        <v>7305</v>
      </c>
      <c r="J474" s="404">
        <v>7304</v>
      </c>
      <c r="K474" s="406">
        <v>12264692.569761328</v>
      </c>
      <c r="L474" s="404">
        <v>365</v>
      </c>
      <c r="M474" s="404">
        <v>612899</v>
      </c>
      <c r="N474" s="404">
        <v>4294603</v>
      </c>
      <c r="O474" s="404">
        <v>8615670.5081972554</v>
      </c>
    </row>
    <row r="475" spans="2:15" s="154" customFormat="1" hidden="1" outlineLevel="1">
      <c r="B475" s="165" t="s">
        <v>2329</v>
      </c>
      <c r="C475" s="165" t="s">
        <v>2329</v>
      </c>
      <c r="D475" s="165" t="s">
        <v>3370</v>
      </c>
      <c r="E475" s="403">
        <v>32121596.873597987</v>
      </c>
      <c r="F475" s="431">
        <v>32118250.127120774</v>
      </c>
      <c r="G475" s="404">
        <v>25</v>
      </c>
      <c r="H475" s="405">
        <v>51225</v>
      </c>
      <c r="I475" s="404">
        <v>9132</v>
      </c>
      <c r="J475" s="404">
        <v>9131</v>
      </c>
      <c r="K475" s="406">
        <v>30512170.283440873</v>
      </c>
      <c r="L475" s="404">
        <v>365</v>
      </c>
      <c r="M475" s="404">
        <v>1219685</v>
      </c>
      <c r="N475" s="404">
        <v>8546372</v>
      </c>
      <c r="O475" s="404">
        <v>23571878.127120774</v>
      </c>
    </row>
    <row r="476" spans="2:15" s="154" customFormat="1" hidden="1" outlineLevel="1">
      <c r="B476" s="165"/>
      <c r="C476" s="165"/>
      <c r="D476" s="165"/>
      <c r="E476" s="403"/>
      <c r="F476" s="432"/>
      <c r="G476" s="404"/>
      <c r="H476" s="405"/>
      <c r="I476" s="404"/>
      <c r="J476" s="404"/>
      <c r="K476" s="406"/>
      <c r="L476" s="404"/>
      <c r="M476" s="404"/>
      <c r="N476" s="404"/>
      <c r="O476" s="404"/>
    </row>
    <row r="477" spans="2:15" s="154" customFormat="1" hidden="1" outlineLevel="1">
      <c r="B477" s="165"/>
      <c r="C477" s="165"/>
      <c r="D477" s="165"/>
      <c r="E477" s="403"/>
      <c r="F477" s="432"/>
      <c r="G477" s="404"/>
      <c r="H477" s="405"/>
      <c r="I477" s="404"/>
      <c r="J477" s="404"/>
      <c r="K477" s="404"/>
      <c r="L477" s="404"/>
      <c r="M477" s="404"/>
      <c r="N477" s="404"/>
      <c r="O477" s="404"/>
    </row>
    <row r="478" spans="2:15" s="154" customFormat="1" ht="14.25" hidden="1">
      <c r="B478" s="411" t="s">
        <v>1837</v>
      </c>
      <c r="C478" s="165"/>
      <c r="D478" s="165"/>
      <c r="E478" s="412">
        <v>78815223.910590738</v>
      </c>
      <c r="F478" s="433">
        <f>SUBTOTAL(9,F469:F477)</f>
        <v>77307527.999764979</v>
      </c>
      <c r="G478" s="404"/>
      <c r="H478" s="405"/>
      <c r="I478" s="404"/>
      <c r="J478" s="404"/>
      <c r="K478" s="404"/>
      <c r="L478" s="404"/>
      <c r="M478" s="413">
        <f t="shared" ref="M478:O478" si="6">SUBTOTAL(9,M469:M477)</f>
        <v>3278761</v>
      </c>
      <c r="N478" s="413">
        <f t="shared" si="6"/>
        <v>22986750</v>
      </c>
      <c r="O478" s="413">
        <f t="shared" si="6"/>
        <v>54320777.999764979</v>
      </c>
    </row>
    <row r="479" spans="2:15" s="154" customFormat="1" ht="14.25" hidden="1">
      <c r="B479" s="165"/>
      <c r="C479" s="165"/>
      <c r="D479" s="165"/>
      <c r="E479" s="412"/>
      <c r="F479" s="435"/>
      <c r="G479" s="404"/>
      <c r="H479" s="405"/>
      <c r="I479" s="404"/>
      <c r="J479" s="404"/>
      <c r="K479" s="404"/>
      <c r="L479" s="404"/>
      <c r="M479" s="404"/>
      <c r="N479" s="404"/>
      <c r="O479" s="404"/>
    </row>
    <row r="480" spans="2:15" s="154" customFormat="1" ht="14.25" hidden="1">
      <c r="B480" s="411" t="s">
        <v>2330</v>
      </c>
      <c r="C480" s="165"/>
      <c r="D480" s="165"/>
      <c r="E480" s="412"/>
      <c r="F480" s="432"/>
      <c r="G480" s="404"/>
      <c r="H480" s="405"/>
      <c r="I480" s="404"/>
      <c r="J480" s="404"/>
      <c r="K480" s="404"/>
      <c r="L480" s="404"/>
      <c r="M480" s="404"/>
      <c r="N480" s="404"/>
      <c r="O480" s="404"/>
    </row>
    <row r="481" spans="2:15" s="154" customFormat="1" hidden="1" outlineLevel="1">
      <c r="B481" s="165" t="s">
        <v>2330</v>
      </c>
      <c r="C481" s="165" t="s">
        <v>3371</v>
      </c>
      <c r="D481" s="165" t="s">
        <v>3372</v>
      </c>
      <c r="E481" s="403">
        <v>4504830.6385051655</v>
      </c>
      <c r="F481" s="431">
        <v>4253048.1014630422</v>
      </c>
      <c r="G481" s="404">
        <v>30</v>
      </c>
      <c r="H481" s="405">
        <v>52564</v>
      </c>
      <c r="I481" s="404">
        <v>10957</v>
      </c>
      <c r="J481" s="404">
        <v>10471</v>
      </c>
      <c r="K481" s="406">
        <v>4027806.569537784</v>
      </c>
      <c r="L481" s="404">
        <v>365</v>
      </c>
      <c r="M481" s="404">
        <v>140402</v>
      </c>
      <c r="N481" s="404">
        <v>985307</v>
      </c>
      <c r="O481" s="404">
        <v>3267741.1014630422</v>
      </c>
    </row>
    <row r="482" spans="2:15" s="154" customFormat="1" ht="27" hidden="1" outlineLevel="1">
      <c r="B482" s="165" t="s">
        <v>2330</v>
      </c>
      <c r="C482" s="165" t="s">
        <v>3371</v>
      </c>
      <c r="D482" s="165" t="s">
        <v>3373</v>
      </c>
      <c r="E482" s="403">
        <v>2252415.3192525827</v>
      </c>
      <c r="F482" s="431">
        <v>2126524.0507315211</v>
      </c>
      <c r="G482" s="404">
        <v>25</v>
      </c>
      <c r="H482" s="405">
        <v>50738</v>
      </c>
      <c r="I482" s="404">
        <v>9131</v>
      </c>
      <c r="J482" s="404">
        <v>8645</v>
      </c>
      <c r="K482" s="406">
        <v>2013903.284768892</v>
      </c>
      <c r="L482" s="404">
        <v>365</v>
      </c>
      <c r="M482" s="404">
        <v>85029</v>
      </c>
      <c r="N482" s="404">
        <v>596713</v>
      </c>
      <c r="O482" s="404">
        <v>1529811.0507315211</v>
      </c>
    </row>
    <row r="483" spans="2:15" s="154" customFormat="1" ht="27" hidden="1" outlineLevel="1">
      <c r="B483" s="165" t="s">
        <v>2330</v>
      </c>
      <c r="C483" s="165" t="s">
        <v>3371</v>
      </c>
      <c r="D483" s="165" t="s">
        <v>3374</v>
      </c>
      <c r="E483" s="403">
        <v>4504829.2393599804</v>
      </c>
      <c r="F483" s="431">
        <v>4253046.7796677696</v>
      </c>
      <c r="G483" s="404">
        <v>25</v>
      </c>
      <c r="H483" s="405">
        <v>50738</v>
      </c>
      <c r="I483" s="404">
        <v>9131</v>
      </c>
      <c r="J483" s="404">
        <v>8645</v>
      </c>
      <c r="K483" s="406">
        <v>4027805.3176997704</v>
      </c>
      <c r="L483" s="404">
        <v>365</v>
      </c>
      <c r="M483" s="404">
        <v>170058</v>
      </c>
      <c r="N483" s="404">
        <v>1193425</v>
      </c>
      <c r="O483" s="404">
        <v>3059621.7796677696</v>
      </c>
    </row>
    <row r="484" spans="2:15" s="154" customFormat="1" hidden="1" outlineLevel="1">
      <c r="B484" s="165"/>
      <c r="C484" s="165"/>
      <c r="D484" s="165"/>
      <c r="E484" s="403"/>
      <c r="F484" s="431">
        <v>0</v>
      </c>
      <c r="G484" s="404"/>
      <c r="H484" s="405"/>
      <c r="I484" s="404"/>
      <c r="J484" s="404"/>
      <c r="K484" s="404"/>
      <c r="L484" s="404"/>
      <c r="M484" s="404"/>
      <c r="N484" s="404"/>
      <c r="O484" s="404"/>
    </row>
    <row r="485" spans="2:15" s="154" customFormat="1" hidden="1" outlineLevel="1">
      <c r="B485" s="165" t="s">
        <v>2330</v>
      </c>
      <c r="C485" s="165" t="s">
        <v>3371</v>
      </c>
      <c r="D485" s="165" t="s">
        <v>3375</v>
      </c>
      <c r="E485" s="403">
        <v>4503474.6999190301</v>
      </c>
      <c r="F485" s="431">
        <v>4251767.9534243094</v>
      </c>
      <c r="G485" s="404">
        <v>30</v>
      </c>
      <c r="H485" s="405">
        <v>52564</v>
      </c>
      <c r="I485" s="404">
        <v>10957</v>
      </c>
      <c r="J485" s="404">
        <v>10471</v>
      </c>
      <c r="K485" s="406">
        <v>4026594.218428358</v>
      </c>
      <c r="L485" s="404">
        <v>365</v>
      </c>
      <c r="M485" s="404">
        <v>140360</v>
      </c>
      <c r="N485" s="404">
        <v>985011</v>
      </c>
      <c r="O485" s="404">
        <v>3266756.9534243094</v>
      </c>
    </row>
    <row r="486" spans="2:15" s="154" customFormat="1" ht="27" hidden="1" outlineLevel="1">
      <c r="B486" s="165" t="s">
        <v>2330</v>
      </c>
      <c r="C486" s="165" t="s">
        <v>3371</v>
      </c>
      <c r="D486" s="165" t="s">
        <v>3376</v>
      </c>
      <c r="E486" s="403">
        <v>2251738.5498216348</v>
      </c>
      <c r="F486" s="431">
        <v>2125885.1378833121</v>
      </c>
      <c r="G486" s="404">
        <v>25</v>
      </c>
      <c r="H486" s="405">
        <v>50738</v>
      </c>
      <c r="I486" s="404">
        <v>9131</v>
      </c>
      <c r="J486" s="404">
        <v>8645</v>
      </c>
      <c r="K486" s="406">
        <v>2013298.2103922304</v>
      </c>
      <c r="L486" s="404">
        <v>365</v>
      </c>
      <c r="M486" s="404">
        <v>85003</v>
      </c>
      <c r="N486" s="404">
        <v>596531</v>
      </c>
      <c r="O486" s="404">
        <v>1529354.1378833121</v>
      </c>
    </row>
    <row r="487" spans="2:15" s="154" customFormat="1" ht="27" hidden="1" outlineLevel="1">
      <c r="B487" s="165" t="s">
        <v>2330</v>
      </c>
      <c r="C487" s="165" t="s">
        <v>3371</v>
      </c>
      <c r="D487" s="165" t="s">
        <v>3377</v>
      </c>
      <c r="E487" s="403">
        <v>4503474.6999190301</v>
      </c>
      <c r="F487" s="431">
        <v>4251767.9534243094</v>
      </c>
      <c r="G487" s="404">
        <v>25</v>
      </c>
      <c r="H487" s="405">
        <v>50738</v>
      </c>
      <c r="I487" s="404">
        <v>9131</v>
      </c>
      <c r="J487" s="404">
        <v>8645</v>
      </c>
      <c r="K487" s="406">
        <v>4026594.218428358</v>
      </c>
      <c r="L487" s="404">
        <v>365</v>
      </c>
      <c r="M487" s="404">
        <v>170007</v>
      </c>
      <c r="N487" s="404">
        <v>1193066</v>
      </c>
      <c r="O487" s="404">
        <v>3058701.9534243094</v>
      </c>
    </row>
    <row r="488" spans="2:15" s="154" customFormat="1" hidden="1" outlineLevel="1">
      <c r="B488" s="165"/>
      <c r="C488" s="165"/>
      <c r="D488" s="165"/>
      <c r="E488" s="403"/>
      <c r="F488" s="432"/>
      <c r="G488" s="404"/>
      <c r="H488" s="405"/>
      <c r="I488" s="404"/>
      <c r="J488" s="404"/>
      <c r="K488" s="404"/>
      <c r="L488" s="404"/>
      <c r="M488" s="404"/>
      <c r="N488" s="404"/>
      <c r="O488" s="404"/>
    </row>
    <row r="489" spans="2:15" s="154" customFormat="1" hidden="1" outlineLevel="1">
      <c r="B489" s="165" t="s">
        <v>2330</v>
      </c>
      <c r="C489" s="165" t="s">
        <v>3371</v>
      </c>
      <c r="D489" s="165" t="s">
        <v>3378</v>
      </c>
      <c r="E489" s="403">
        <v>4503474.6999190301</v>
      </c>
      <c r="F489" s="431">
        <v>4251767.9534243094</v>
      </c>
      <c r="G489" s="404">
        <v>30</v>
      </c>
      <c r="H489" s="405">
        <v>52564</v>
      </c>
      <c r="I489" s="404">
        <v>10957</v>
      </c>
      <c r="J489" s="404">
        <v>10471</v>
      </c>
      <c r="K489" s="406">
        <v>4026594.218428358</v>
      </c>
      <c r="L489" s="404">
        <v>365</v>
      </c>
      <c r="M489" s="404">
        <v>140360</v>
      </c>
      <c r="N489" s="404">
        <v>985011</v>
      </c>
      <c r="O489" s="404">
        <v>3266756.9534243094</v>
      </c>
    </row>
    <row r="490" spans="2:15" s="154" customFormat="1" ht="27" hidden="1" outlineLevel="1">
      <c r="B490" s="165" t="s">
        <v>2330</v>
      </c>
      <c r="C490" s="165" t="s">
        <v>3371</v>
      </c>
      <c r="D490" s="165" t="s">
        <v>3379</v>
      </c>
      <c r="E490" s="403">
        <v>2251738.5498216348</v>
      </c>
      <c r="F490" s="431">
        <v>2125885.1378833121</v>
      </c>
      <c r="G490" s="404">
        <v>25</v>
      </c>
      <c r="H490" s="405">
        <v>50738</v>
      </c>
      <c r="I490" s="404">
        <v>9131</v>
      </c>
      <c r="J490" s="404">
        <v>8645</v>
      </c>
      <c r="K490" s="406">
        <v>2013298.2103922304</v>
      </c>
      <c r="L490" s="404">
        <v>365</v>
      </c>
      <c r="M490" s="404">
        <v>85003</v>
      </c>
      <c r="N490" s="404">
        <v>596531</v>
      </c>
      <c r="O490" s="404">
        <v>1529354.1378833121</v>
      </c>
    </row>
    <row r="491" spans="2:15" s="154" customFormat="1" ht="27" hidden="1" outlineLevel="1">
      <c r="B491" s="165" t="s">
        <v>2330</v>
      </c>
      <c r="C491" s="165" t="s">
        <v>3371</v>
      </c>
      <c r="D491" s="165" t="s">
        <v>3380</v>
      </c>
      <c r="E491" s="403">
        <v>4503474.6999190301</v>
      </c>
      <c r="F491" s="431">
        <v>4251767.9534243094</v>
      </c>
      <c r="G491" s="404">
        <v>25</v>
      </c>
      <c r="H491" s="405">
        <v>50738</v>
      </c>
      <c r="I491" s="404">
        <v>9131</v>
      </c>
      <c r="J491" s="404">
        <v>8645</v>
      </c>
      <c r="K491" s="406">
        <v>4026594.218428358</v>
      </c>
      <c r="L491" s="404">
        <v>365</v>
      </c>
      <c r="M491" s="404">
        <v>170007</v>
      </c>
      <c r="N491" s="404">
        <v>1193066</v>
      </c>
      <c r="O491" s="404">
        <v>3058701.9534243094</v>
      </c>
    </row>
    <row r="492" spans="2:15" s="154" customFormat="1" hidden="1" outlineLevel="1">
      <c r="B492" s="165"/>
      <c r="C492" s="165"/>
      <c r="D492" s="165"/>
      <c r="E492" s="403"/>
      <c r="F492" s="432"/>
      <c r="G492" s="404"/>
      <c r="H492" s="405"/>
      <c r="I492" s="404"/>
      <c r="J492" s="404"/>
      <c r="K492" s="404"/>
      <c r="L492" s="404"/>
      <c r="M492" s="404"/>
      <c r="N492" s="404"/>
      <c r="O492" s="404"/>
    </row>
    <row r="493" spans="2:15" s="154" customFormat="1" hidden="1" outlineLevel="1">
      <c r="B493" s="165" t="s">
        <v>2330</v>
      </c>
      <c r="C493" s="165" t="s">
        <v>3371</v>
      </c>
      <c r="D493" s="165" t="s">
        <v>3381</v>
      </c>
      <c r="E493" s="403">
        <v>20075853.881913539</v>
      </c>
      <c r="F493" s="431">
        <v>18953780.847233567</v>
      </c>
      <c r="G493" s="404">
        <v>25</v>
      </c>
      <c r="H493" s="405">
        <v>50738</v>
      </c>
      <c r="I493" s="404">
        <v>9131</v>
      </c>
      <c r="J493" s="404">
        <v>8645</v>
      </c>
      <c r="K493" s="406">
        <v>17949988.153137889</v>
      </c>
      <c r="L493" s="404">
        <v>365</v>
      </c>
      <c r="M493" s="404">
        <v>757865</v>
      </c>
      <c r="N493" s="404">
        <v>5318511</v>
      </c>
      <c r="O493" s="404">
        <v>13635269.847233567</v>
      </c>
    </row>
    <row r="494" spans="2:15" s="154" customFormat="1" hidden="1" outlineLevel="1">
      <c r="B494" s="165" t="s">
        <v>2330</v>
      </c>
      <c r="C494" s="165" t="s">
        <v>3371</v>
      </c>
      <c r="D494" s="165" t="s">
        <v>3382</v>
      </c>
      <c r="E494" s="403">
        <v>5260094.0029361024</v>
      </c>
      <c r="F494" s="431">
        <v>4966098.5318537019</v>
      </c>
      <c r="G494" s="404">
        <v>25</v>
      </c>
      <c r="H494" s="405">
        <v>50738</v>
      </c>
      <c r="I494" s="404">
        <v>9131</v>
      </c>
      <c r="J494" s="404">
        <v>8645</v>
      </c>
      <c r="K494" s="406">
        <v>4703093.8317068964</v>
      </c>
      <c r="L494" s="404">
        <v>365</v>
      </c>
      <c r="M494" s="404">
        <v>198569</v>
      </c>
      <c r="N494" s="404">
        <v>1393509</v>
      </c>
      <c r="O494" s="404">
        <v>3572589.5318537019</v>
      </c>
    </row>
    <row r="495" spans="2:15" s="154" customFormat="1" hidden="1" outlineLevel="1">
      <c r="B495" s="165" t="s">
        <v>2330</v>
      </c>
      <c r="C495" s="165" t="s">
        <v>3371</v>
      </c>
      <c r="D495" s="165" t="s">
        <v>3383</v>
      </c>
      <c r="E495" s="403">
        <v>26480082.454716727</v>
      </c>
      <c r="F495" s="431">
        <v>25000066.27508539</v>
      </c>
      <c r="G495" s="404">
        <v>25</v>
      </c>
      <c r="H495" s="405">
        <v>50738</v>
      </c>
      <c r="I495" s="404">
        <v>9131</v>
      </c>
      <c r="J495" s="404">
        <v>8645</v>
      </c>
      <c r="K495" s="406">
        <v>23676062.152349554</v>
      </c>
      <c r="L495" s="404">
        <v>365</v>
      </c>
      <c r="M495" s="404">
        <v>999626</v>
      </c>
      <c r="N495" s="404">
        <v>7015129</v>
      </c>
      <c r="O495" s="404">
        <v>17984937.27508539</v>
      </c>
    </row>
    <row r="496" spans="2:15" s="154" customFormat="1" hidden="1" outlineLevel="1">
      <c r="B496" s="165"/>
      <c r="C496" s="165"/>
      <c r="D496" s="165"/>
      <c r="E496" s="403"/>
      <c r="F496" s="432"/>
      <c r="G496" s="404"/>
      <c r="H496" s="405"/>
      <c r="I496" s="404"/>
      <c r="J496" s="404"/>
      <c r="K496" s="404"/>
      <c r="L496" s="404"/>
      <c r="M496" s="404"/>
      <c r="N496" s="404"/>
      <c r="O496" s="404"/>
    </row>
    <row r="497" spans="2:15" s="154" customFormat="1" hidden="1" outlineLevel="1">
      <c r="B497" s="165" t="s">
        <v>2330</v>
      </c>
      <c r="C497" s="165" t="s">
        <v>3371</v>
      </c>
      <c r="D497" s="165" t="s">
        <v>3384</v>
      </c>
      <c r="E497" s="403">
        <v>5660825.4825360561</v>
      </c>
      <c r="F497" s="431">
        <v>5344432.4602773106</v>
      </c>
      <c r="G497" s="404">
        <v>25</v>
      </c>
      <c r="H497" s="405">
        <v>50738</v>
      </c>
      <c r="I497" s="404">
        <v>9131</v>
      </c>
      <c r="J497" s="404">
        <v>8645</v>
      </c>
      <c r="K497" s="406">
        <v>5061391.186150508</v>
      </c>
      <c r="L497" s="404">
        <v>365</v>
      </c>
      <c r="M497" s="404">
        <v>213697</v>
      </c>
      <c r="N497" s="404">
        <v>1499672</v>
      </c>
      <c r="O497" s="404">
        <v>3844760.4602773106</v>
      </c>
    </row>
    <row r="498" spans="2:15" s="154" customFormat="1" ht="27" hidden="1" outlineLevel="1">
      <c r="B498" s="165" t="s">
        <v>2330</v>
      </c>
      <c r="C498" s="165" t="s">
        <v>3371</v>
      </c>
      <c r="D498" s="165" t="s">
        <v>3385</v>
      </c>
      <c r="E498" s="403">
        <v>2426069.7630354231</v>
      </c>
      <c r="F498" s="431">
        <v>2290472.6990522658</v>
      </c>
      <c r="G498" s="404">
        <v>25</v>
      </c>
      <c r="H498" s="405">
        <v>50738</v>
      </c>
      <c r="I498" s="404">
        <v>9131</v>
      </c>
      <c r="J498" s="404">
        <v>8645</v>
      </c>
      <c r="K498" s="406">
        <v>2169169.2109004948</v>
      </c>
      <c r="L498" s="404">
        <v>365</v>
      </c>
      <c r="M498" s="404">
        <v>91584</v>
      </c>
      <c r="N498" s="404">
        <v>642714</v>
      </c>
      <c r="O498" s="404">
        <v>1647758.6990522658</v>
      </c>
    </row>
    <row r="499" spans="2:15" s="154" customFormat="1" hidden="1" outlineLevel="1">
      <c r="B499" s="165"/>
      <c r="C499" s="165"/>
      <c r="D499" s="165"/>
      <c r="E499" s="403"/>
      <c r="F499" s="432"/>
      <c r="G499" s="404"/>
      <c r="H499" s="405"/>
      <c r="I499" s="404"/>
      <c r="J499" s="404"/>
      <c r="K499" s="404"/>
      <c r="L499" s="404"/>
      <c r="M499" s="404"/>
      <c r="N499" s="404"/>
      <c r="O499" s="404"/>
    </row>
    <row r="500" spans="2:15" s="154" customFormat="1" hidden="1" outlineLevel="1">
      <c r="B500" s="165" t="s">
        <v>2330</v>
      </c>
      <c r="C500" s="165" t="s">
        <v>3386</v>
      </c>
      <c r="D500" s="165" t="s">
        <v>3387</v>
      </c>
      <c r="E500" s="403">
        <v>113721812.294028</v>
      </c>
      <c r="F500" s="431">
        <v>107365709.58607483</v>
      </c>
      <c r="G500" s="165">
        <v>30</v>
      </c>
      <c r="H500" s="405">
        <v>52564</v>
      </c>
      <c r="I500" s="404">
        <v>10957</v>
      </c>
      <c r="J500" s="404">
        <v>10471</v>
      </c>
      <c r="K500" s="406">
        <v>101679618.97137342</v>
      </c>
      <c r="L500" s="404">
        <v>365</v>
      </c>
      <c r="M500" s="404">
        <v>3544366</v>
      </c>
      <c r="N500" s="404">
        <v>24873491</v>
      </c>
      <c r="O500" s="404">
        <v>82492218.586074829</v>
      </c>
    </row>
    <row r="501" spans="2:15" s="154" customFormat="1" hidden="1" outlineLevel="1">
      <c r="B501" s="165" t="s">
        <v>2330</v>
      </c>
      <c r="C501" s="165" t="s">
        <v>3386</v>
      </c>
      <c r="D501" s="165" t="s">
        <v>3388</v>
      </c>
      <c r="E501" s="403">
        <v>28483287.343435679</v>
      </c>
      <c r="F501" s="431">
        <v>26891308.700725067</v>
      </c>
      <c r="G501" s="165">
        <v>30</v>
      </c>
      <c r="H501" s="405">
        <v>52564</v>
      </c>
      <c r="I501" s="404">
        <v>10957</v>
      </c>
      <c r="J501" s="404">
        <v>10471</v>
      </c>
      <c r="K501" s="406">
        <v>25467144.333553288</v>
      </c>
      <c r="L501" s="404">
        <v>365</v>
      </c>
      <c r="M501" s="404">
        <v>887738</v>
      </c>
      <c r="N501" s="404">
        <v>6229928</v>
      </c>
      <c r="O501" s="404">
        <v>20661380.700725071</v>
      </c>
    </row>
    <row r="502" spans="2:15" s="154" customFormat="1" hidden="1" outlineLevel="1">
      <c r="B502" s="165" t="s">
        <v>2330</v>
      </c>
      <c r="C502" s="165" t="s">
        <v>3389</v>
      </c>
      <c r="D502" s="165" t="s">
        <v>3390</v>
      </c>
      <c r="E502" s="403">
        <v>783413110.97127318</v>
      </c>
      <c r="F502" s="431">
        <v>739626839.39461625</v>
      </c>
      <c r="G502" s="404">
        <v>30</v>
      </c>
      <c r="H502" s="405">
        <v>52564</v>
      </c>
      <c r="I502" s="404">
        <v>10957</v>
      </c>
      <c r="J502" s="404">
        <v>10471</v>
      </c>
      <c r="K502" s="406">
        <v>700456183.84605265</v>
      </c>
      <c r="L502" s="404">
        <v>365</v>
      </c>
      <c r="M502" s="404">
        <v>24416628</v>
      </c>
      <c r="N502" s="404">
        <v>171349900</v>
      </c>
      <c r="O502" s="404">
        <v>568276939.39461625</v>
      </c>
    </row>
    <row r="503" spans="2:15" s="154" customFormat="1" hidden="1" outlineLevel="1">
      <c r="B503" s="165" t="s">
        <v>2330</v>
      </c>
      <c r="C503" s="165" t="s">
        <v>3389</v>
      </c>
      <c r="D503" s="165" t="s">
        <v>3391</v>
      </c>
      <c r="E503" s="403">
        <v>824367.82942266413</v>
      </c>
      <c r="F503" s="431">
        <v>778292.52977444616</v>
      </c>
      <c r="G503" s="404">
        <v>15</v>
      </c>
      <c r="H503" s="405">
        <v>47086</v>
      </c>
      <c r="I503" s="404">
        <v>5479</v>
      </c>
      <c r="J503" s="404">
        <v>4993</v>
      </c>
      <c r="K503" s="406">
        <v>737074.13830331294</v>
      </c>
      <c r="L503" s="404">
        <v>365</v>
      </c>
      <c r="M503" s="404">
        <v>53882</v>
      </c>
      <c r="N503" s="404">
        <v>378130</v>
      </c>
      <c r="O503" s="404">
        <v>400162.52977444616</v>
      </c>
    </row>
    <row r="504" spans="2:15" s="154" customFormat="1" hidden="1" outlineLevel="1">
      <c r="B504" s="165" t="s">
        <v>2330</v>
      </c>
      <c r="C504" s="165" t="s">
        <v>3389</v>
      </c>
      <c r="D504" s="165" t="s">
        <v>3392</v>
      </c>
      <c r="E504" s="403">
        <v>93750316.800650328</v>
      </c>
      <c r="F504" s="431">
        <v>88510454.455190837</v>
      </c>
      <c r="G504" s="404">
        <v>30</v>
      </c>
      <c r="H504" s="405">
        <v>52564</v>
      </c>
      <c r="I504" s="404">
        <v>10957</v>
      </c>
      <c r="J504" s="404">
        <v>10471</v>
      </c>
      <c r="K504" s="406">
        <v>83822938.615158305</v>
      </c>
      <c r="L504" s="404">
        <v>365</v>
      </c>
      <c r="M504" s="404">
        <v>2921915</v>
      </c>
      <c r="N504" s="404">
        <v>20505282</v>
      </c>
      <c r="O504" s="404">
        <v>68005172.455190822</v>
      </c>
    </row>
    <row r="505" spans="2:15" s="154" customFormat="1" hidden="1" outlineLevel="1">
      <c r="B505" s="165" t="s">
        <v>2330</v>
      </c>
      <c r="C505" s="165" t="s">
        <v>3389</v>
      </c>
      <c r="D505" s="165" t="s">
        <v>3393</v>
      </c>
      <c r="E505" s="403">
        <v>12877915.485541247</v>
      </c>
      <c r="F505" s="431">
        <v>12158147.155949604</v>
      </c>
      <c r="G505" s="404">
        <v>30</v>
      </c>
      <c r="H505" s="405">
        <v>52564</v>
      </c>
      <c r="I505" s="404">
        <v>10957</v>
      </c>
      <c r="J505" s="404">
        <v>10471</v>
      </c>
      <c r="K505" s="406">
        <v>11514251.381672541</v>
      </c>
      <c r="L505" s="404">
        <v>365</v>
      </c>
      <c r="M505" s="404">
        <v>401366</v>
      </c>
      <c r="N505" s="404">
        <v>2816687</v>
      </c>
      <c r="O505" s="404">
        <v>9341460.1559496038</v>
      </c>
    </row>
    <row r="506" spans="2:15" s="154" customFormat="1" ht="27" hidden="1" outlineLevel="1">
      <c r="B506" s="165" t="s">
        <v>2330</v>
      </c>
      <c r="C506" s="165" t="s">
        <v>3389</v>
      </c>
      <c r="D506" s="165" t="s">
        <v>3394</v>
      </c>
      <c r="E506" s="403">
        <v>135980796.79014531</v>
      </c>
      <c r="F506" s="431">
        <v>128380602.10893495</v>
      </c>
      <c r="G506" s="404">
        <v>20</v>
      </c>
      <c r="H506" s="405">
        <v>48912</v>
      </c>
      <c r="I506" s="404">
        <v>7305</v>
      </c>
      <c r="J506" s="404">
        <v>6819</v>
      </c>
      <c r="K506" s="406">
        <v>121581562.26942769</v>
      </c>
      <c r="L506" s="404">
        <v>365</v>
      </c>
      <c r="M506" s="404">
        <v>6507885</v>
      </c>
      <c r="N506" s="404">
        <v>45670740</v>
      </c>
      <c r="O506" s="404">
        <v>82709862.108934954</v>
      </c>
    </row>
    <row r="507" spans="2:15" s="154" customFormat="1" hidden="1" outlineLevel="1">
      <c r="B507" s="165" t="s">
        <v>2330</v>
      </c>
      <c r="C507" s="165" t="s">
        <v>3389</v>
      </c>
      <c r="D507" s="165" t="s">
        <v>3395</v>
      </c>
      <c r="E507" s="403">
        <v>22539180.623870809</v>
      </c>
      <c r="F507" s="431">
        <v>21279427.989671811</v>
      </c>
      <c r="G507" s="404">
        <v>30</v>
      </c>
      <c r="H507" s="405">
        <v>52564</v>
      </c>
      <c r="I507" s="404">
        <v>10957</v>
      </c>
      <c r="J507" s="404">
        <v>10471</v>
      </c>
      <c r="K507" s="406">
        <v>20152468.958478272</v>
      </c>
      <c r="L507" s="404">
        <v>365</v>
      </c>
      <c r="M507" s="404">
        <v>702478</v>
      </c>
      <c r="N507" s="404">
        <v>4929819</v>
      </c>
      <c r="O507" s="404">
        <v>16349608.989671811</v>
      </c>
    </row>
    <row r="508" spans="2:15" s="154" customFormat="1" hidden="1" outlineLevel="1">
      <c r="B508" s="165" t="s">
        <v>2330</v>
      </c>
      <c r="C508" s="165" t="s">
        <v>3389</v>
      </c>
      <c r="D508" s="165" t="s">
        <v>3396</v>
      </c>
      <c r="E508" s="403">
        <v>22198388.793783534</v>
      </c>
      <c r="F508" s="431">
        <v>20957683.648931488</v>
      </c>
      <c r="G508" s="404">
        <v>10</v>
      </c>
      <c r="H508" s="405">
        <v>45259</v>
      </c>
      <c r="I508" s="404">
        <v>3652</v>
      </c>
      <c r="J508" s="404">
        <v>3166</v>
      </c>
      <c r="K508" s="406">
        <v>19847764.20924231</v>
      </c>
      <c r="L508" s="404">
        <v>365</v>
      </c>
      <c r="M508" s="404">
        <v>2288198</v>
      </c>
      <c r="N508" s="404">
        <v>16058012</v>
      </c>
      <c r="O508" s="404">
        <v>4899671.6489314884</v>
      </c>
    </row>
    <row r="509" spans="2:15" s="154" customFormat="1" hidden="1" outlineLevel="1">
      <c r="B509" s="165" t="s">
        <v>2330</v>
      </c>
      <c r="C509" s="165" t="s">
        <v>3389</v>
      </c>
      <c r="D509" s="165" t="s">
        <v>3397</v>
      </c>
      <c r="E509" s="403">
        <v>6788910.6466337154</v>
      </c>
      <c r="F509" s="431">
        <v>6409467.0614186451</v>
      </c>
      <c r="G509" s="404">
        <v>8</v>
      </c>
      <c r="H509" s="405">
        <v>44529</v>
      </c>
      <c r="I509" s="404">
        <v>2922</v>
      </c>
      <c r="J509" s="404">
        <v>2436</v>
      </c>
      <c r="K509" s="406">
        <v>6070021.5290869595</v>
      </c>
      <c r="L509" s="404">
        <v>0</v>
      </c>
      <c r="M509" s="404">
        <v>936278</v>
      </c>
      <c r="N509" s="404">
        <v>6409467</v>
      </c>
      <c r="O509" s="404">
        <v>6.1418645083904266E-2</v>
      </c>
    </row>
    <row r="510" spans="2:15" s="154" customFormat="1" hidden="1" outlineLevel="1">
      <c r="B510" s="165" t="s">
        <v>2330</v>
      </c>
      <c r="C510" s="165"/>
      <c r="D510" s="165" t="s">
        <v>3398</v>
      </c>
      <c r="E510" s="403">
        <v>22899100.095632795</v>
      </c>
      <c r="F510" s="431">
        <v>21619230.971132122</v>
      </c>
      <c r="G510" s="404">
        <v>5</v>
      </c>
      <c r="H510" s="405">
        <v>43433</v>
      </c>
      <c r="I510" s="404">
        <v>1826</v>
      </c>
      <c r="J510" s="404">
        <v>1340</v>
      </c>
      <c r="K510" s="406">
        <v>20474275.966350481</v>
      </c>
      <c r="L510" s="404">
        <v>0</v>
      </c>
      <c r="M510" s="404">
        <v>0</v>
      </c>
      <c r="N510" s="404">
        <v>21619231</v>
      </c>
      <c r="O510" s="403">
        <v>-2.8867878019809723E-2</v>
      </c>
    </row>
    <row r="511" spans="2:15" s="154" customFormat="1" hidden="1" outlineLevel="1">
      <c r="B511" s="165"/>
      <c r="C511" s="165"/>
      <c r="D511" s="165"/>
      <c r="E511" s="403"/>
      <c r="F511" s="432"/>
      <c r="G511" s="404"/>
      <c r="H511" s="405"/>
      <c r="I511" s="404"/>
      <c r="J511" s="404"/>
      <c r="K511" s="406"/>
      <c r="L511" s="404"/>
      <c r="M511" s="404"/>
      <c r="N511" s="404"/>
      <c r="O511" s="404"/>
    </row>
    <row r="512" spans="2:15" s="154" customFormat="1" hidden="1" outlineLevel="1">
      <c r="B512" s="165" t="s">
        <v>2330</v>
      </c>
      <c r="C512" s="165" t="s">
        <v>3399</v>
      </c>
      <c r="D512" s="165" t="s">
        <v>3400</v>
      </c>
      <c r="E512" s="403">
        <v>9395583.2600399386</v>
      </c>
      <c r="F512" s="431">
        <v>8870448.3696775548</v>
      </c>
      <c r="G512" s="404">
        <v>5</v>
      </c>
      <c r="H512" s="405">
        <v>43433</v>
      </c>
      <c r="I512" s="404">
        <v>1826</v>
      </c>
      <c r="J512" s="404">
        <v>1340</v>
      </c>
      <c r="K512" s="406">
        <v>8400669.2066755593</v>
      </c>
      <c r="L512" s="404">
        <v>0</v>
      </c>
      <c r="M512" s="404">
        <v>0</v>
      </c>
      <c r="N512" s="404">
        <v>8870448</v>
      </c>
      <c r="O512" s="404">
        <v>0.36967755667865276</v>
      </c>
    </row>
    <row r="513" spans="2:15" s="154" customFormat="1" hidden="1" outlineLevel="1">
      <c r="B513" s="165" t="s">
        <v>2330</v>
      </c>
      <c r="C513" s="165" t="s">
        <v>3399</v>
      </c>
      <c r="D513" s="165" t="s">
        <v>3401</v>
      </c>
      <c r="E513" s="403">
        <v>28186751.179844059</v>
      </c>
      <c r="F513" s="431">
        <v>26611346.431374986</v>
      </c>
      <c r="G513" s="404">
        <v>20</v>
      </c>
      <c r="H513" s="405">
        <v>48912</v>
      </c>
      <c r="I513" s="404">
        <v>7305</v>
      </c>
      <c r="J513" s="404">
        <v>6819</v>
      </c>
      <c r="K513" s="406">
        <v>25202008.872382782</v>
      </c>
      <c r="L513" s="404">
        <v>365</v>
      </c>
      <c r="M513" s="404">
        <v>1348986</v>
      </c>
      <c r="N513" s="404">
        <v>9466852</v>
      </c>
      <c r="O513" s="404">
        <v>17144494.431374986</v>
      </c>
    </row>
    <row r="514" spans="2:15" s="154" customFormat="1" hidden="1" outlineLevel="1">
      <c r="B514" s="165"/>
      <c r="C514" s="165"/>
      <c r="D514" s="165"/>
      <c r="E514" s="403"/>
      <c r="F514" s="432"/>
      <c r="G514" s="404"/>
      <c r="H514" s="405"/>
      <c r="I514" s="404"/>
      <c r="J514" s="404"/>
      <c r="K514" s="404"/>
      <c r="L514" s="404"/>
      <c r="M514" s="404"/>
      <c r="N514" s="404"/>
      <c r="O514" s="404"/>
    </row>
    <row r="515" spans="2:15" s="154" customFormat="1" ht="27" hidden="1" outlineLevel="1">
      <c r="B515" s="165" t="s">
        <v>2330</v>
      </c>
      <c r="C515" s="165" t="s">
        <v>3402</v>
      </c>
      <c r="D515" s="165" t="s">
        <v>3403</v>
      </c>
      <c r="E515" s="403">
        <v>4276150.8901368435</v>
      </c>
      <c r="F515" s="431">
        <v>4037149.6524997898</v>
      </c>
      <c r="G515" s="404">
        <v>15</v>
      </c>
      <c r="H515" s="405">
        <v>47086</v>
      </c>
      <c r="I515" s="404">
        <v>5479</v>
      </c>
      <c r="J515" s="404">
        <v>4993</v>
      </c>
      <c r="K515" s="406">
        <v>3823342.1079929476</v>
      </c>
      <c r="L515" s="404">
        <v>365</v>
      </c>
      <c r="M515" s="404">
        <v>279495</v>
      </c>
      <c r="N515" s="404">
        <v>1961428</v>
      </c>
      <c r="O515" s="404">
        <v>2075721.6524997898</v>
      </c>
    </row>
    <row r="516" spans="2:15" s="154" customFormat="1" ht="27" hidden="1" outlineLevel="1">
      <c r="B516" s="165" t="s">
        <v>2330</v>
      </c>
      <c r="C516" s="165" t="s">
        <v>3402</v>
      </c>
      <c r="D516" s="165" t="s">
        <v>3404</v>
      </c>
      <c r="E516" s="403">
        <v>17104599.466356058</v>
      </c>
      <c r="F516" s="431">
        <v>16148594.742149858</v>
      </c>
      <c r="G516" s="404">
        <v>20</v>
      </c>
      <c r="H516" s="405">
        <v>48912</v>
      </c>
      <c r="I516" s="404">
        <v>7305</v>
      </c>
      <c r="J516" s="404">
        <v>6819</v>
      </c>
      <c r="K516" s="406">
        <v>15293364.768832054</v>
      </c>
      <c r="L516" s="404">
        <v>365</v>
      </c>
      <c r="M516" s="404">
        <v>818607</v>
      </c>
      <c r="N516" s="404">
        <v>5744782</v>
      </c>
      <c r="O516" s="404">
        <v>10403812.742149856</v>
      </c>
    </row>
    <row r="517" spans="2:15" s="154" customFormat="1" hidden="1" outlineLevel="1">
      <c r="B517" s="165"/>
      <c r="C517" s="165"/>
      <c r="D517" s="165"/>
      <c r="E517" s="403"/>
      <c r="F517" s="432"/>
      <c r="G517" s="404"/>
      <c r="H517" s="405"/>
      <c r="I517" s="404"/>
      <c r="J517" s="404"/>
      <c r="K517" s="404"/>
      <c r="L517" s="404"/>
      <c r="M517" s="404"/>
      <c r="N517" s="404"/>
      <c r="O517" s="404"/>
    </row>
    <row r="518" spans="2:15" s="154" customFormat="1" hidden="1" outlineLevel="1">
      <c r="B518" s="165" t="s">
        <v>2330</v>
      </c>
      <c r="C518" s="165" t="s">
        <v>3402</v>
      </c>
      <c r="D518" s="165" t="s">
        <v>3405</v>
      </c>
      <c r="E518" s="403">
        <v>12275803.012075614</v>
      </c>
      <c r="F518" s="431">
        <v>11589687.82728835</v>
      </c>
      <c r="G518" s="404">
        <v>15</v>
      </c>
      <c r="H518" s="405">
        <v>47086</v>
      </c>
      <c r="I518" s="404">
        <v>5479</v>
      </c>
      <c r="J518" s="404">
        <v>4993</v>
      </c>
      <c r="K518" s="406">
        <v>10975897.676684568</v>
      </c>
      <c r="L518" s="404">
        <v>365</v>
      </c>
      <c r="M518" s="404">
        <v>802364</v>
      </c>
      <c r="N518" s="404">
        <v>5630793</v>
      </c>
      <c r="O518" s="404">
        <v>5958894.8272883482</v>
      </c>
    </row>
    <row r="519" spans="2:15" s="154" customFormat="1" hidden="1" outlineLevel="1">
      <c r="B519" s="165"/>
      <c r="C519" s="165"/>
      <c r="D519" s="165"/>
      <c r="E519" s="403"/>
      <c r="F519" s="432"/>
      <c r="G519" s="404"/>
      <c r="H519" s="405"/>
      <c r="I519" s="404"/>
      <c r="J519" s="404"/>
      <c r="K519" s="404"/>
      <c r="L519" s="404"/>
      <c r="M519" s="404"/>
      <c r="N519" s="404"/>
      <c r="O519" s="404"/>
    </row>
    <row r="520" spans="2:15" s="154" customFormat="1" ht="40.5" hidden="1" outlineLevel="1">
      <c r="B520" s="165" t="s">
        <v>2330</v>
      </c>
      <c r="C520" s="165" t="s">
        <v>3402</v>
      </c>
      <c r="D520" s="165" t="s">
        <v>3406</v>
      </c>
      <c r="E520" s="403">
        <v>8795879.5769423824</v>
      </c>
      <c r="F520" s="431">
        <v>8304263.1166146798</v>
      </c>
      <c r="G520" s="404">
        <v>15</v>
      </c>
      <c r="H520" s="405">
        <v>47086</v>
      </c>
      <c r="I520" s="404">
        <v>5479</v>
      </c>
      <c r="J520" s="404">
        <v>4993</v>
      </c>
      <c r="K520" s="406">
        <v>7864469.1377675608</v>
      </c>
      <c r="L520" s="404">
        <v>365</v>
      </c>
      <c r="M520" s="404">
        <v>574911</v>
      </c>
      <c r="N520" s="404">
        <v>4034584</v>
      </c>
      <c r="O520" s="404">
        <v>4269679.1166146798</v>
      </c>
    </row>
    <row r="521" spans="2:15" s="154" customFormat="1" ht="40.5" hidden="1" outlineLevel="1">
      <c r="B521" s="165" t="s">
        <v>2330</v>
      </c>
      <c r="C521" s="165" t="s">
        <v>3402</v>
      </c>
      <c r="D521" s="165" t="s">
        <v>3407</v>
      </c>
      <c r="E521" s="403">
        <v>20523720.20936079</v>
      </c>
      <c r="F521" s="431">
        <v>19376615.087544039</v>
      </c>
      <c r="G521" s="404">
        <v>20</v>
      </c>
      <c r="H521" s="405">
        <v>48912</v>
      </c>
      <c r="I521" s="404">
        <v>7305</v>
      </c>
      <c r="J521" s="404">
        <v>6819</v>
      </c>
      <c r="K521" s="406">
        <v>18350429.077076003</v>
      </c>
      <c r="L521" s="404">
        <v>365</v>
      </c>
      <c r="M521" s="404">
        <v>982242</v>
      </c>
      <c r="N521" s="404">
        <v>6893133</v>
      </c>
      <c r="O521" s="404">
        <v>12483482.087544043</v>
      </c>
    </row>
    <row r="522" spans="2:15" s="154" customFormat="1" hidden="1" outlineLevel="1">
      <c r="B522" s="165"/>
      <c r="C522" s="165"/>
      <c r="D522" s="165"/>
      <c r="E522" s="403"/>
      <c r="F522" s="432"/>
      <c r="G522" s="404"/>
      <c r="H522" s="405"/>
      <c r="I522" s="404"/>
      <c r="J522" s="404"/>
      <c r="K522" s="404"/>
      <c r="L522" s="404"/>
      <c r="M522" s="404"/>
      <c r="N522" s="404"/>
      <c r="O522" s="404"/>
    </row>
    <row r="523" spans="2:15" s="154" customFormat="1" ht="27" hidden="1" outlineLevel="1">
      <c r="B523" s="165" t="s">
        <v>2330</v>
      </c>
      <c r="C523" s="165"/>
      <c r="D523" s="165" t="s">
        <v>3408</v>
      </c>
      <c r="E523" s="403">
        <v>9772285.723429488</v>
      </c>
      <c r="F523" s="431">
        <v>9226096.2895318456</v>
      </c>
      <c r="G523" s="404">
        <v>15</v>
      </c>
      <c r="H523" s="405">
        <v>47086</v>
      </c>
      <c r="I523" s="404">
        <v>5479</v>
      </c>
      <c r="J523" s="404">
        <v>4993</v>
      </c>
      <c r="K523" s="406">
        <v>8737482.003360372</v>
      </c>
      <c r="L523" s="404">
        <v>365</v>
      </c>
      <c r="M523" s="404">
        <v>638730</v>
      </c>
      <c r="N523" s="404">
        <v>4482451</v>
      </c>
      <c r="O523" s="404">
        <v>4743645.2895318456</v>
      </c>
    </row>
    <row r="524" spans="2:15" s="154" customFormat="1" ht="27" hidden="1" outlineLevel="1">
      <c r="B524" s="165" t="s">
        <v>2330</v>
      </c>
      <c r="C524" s="165"/>
      <c r="D524" s="165" t="s">
        <v>3409</v>
      </c>
      <c r="E524" s="403">
        <v>14658429.785006355</v>
      </c>
      <c r="F524" s="431">
        <v>13839145.595468929</v>
      </c>
      <c r="G524" s="404">
        <v>20</v>
      </c>
      <c r="H524" s="405">
        <v>48912</v>
      </c>
      <c r="I524" s="404">
        <v>7305</v>
      </c>
      <c r="J524" s="404">
        <v>6819</v>
      </c>
      <c r="K524" s="406">
        <v>13106224.10621861</v>
      </c>
      <c r="L524" s="404">
        <v>365</v>
      </c>
      <c r="M524" s="404">
        <v>701536</v>
      </c>
      <c r="N524" s="404">
        <v>4923207</v>
      </c>
      <c r="O524" s="404">
        <v>8915938.5954689272</v>
      </c>
    </row>
    <row r="525" spans="2:15" s="154" customFormat="1" hidden="1" outlineLevel="1">
      <c r="B525" s="165"/>
      <c r="C525" s="165"/>
      <c r="D525" s="165"/>
      <c r="E525" s="403"/>
      <c r="F525" s="432"/>
      <c r="G525" s="404"/>
      <c r="H525" s="405"/>
      <c r="I525" s="404"/>
      <c r="J525" s="404"/>
      <c r="K525" s="404"/>
      <c r="L525" s="404"/>
      <c r="M525" s="404"/>
      <c r="N525" s="404"/>
      <c r="O525" s="404"/>
    </row>
    <row r="526" spans="2:15" s="154" customFormat="1" hidden="1" outlineLevel="1">
      <c r="B526" s="165" t="s">
        <v>2330</v>
      </c>
      <c r="C526" s="165" t="s">
        <v>3402</v>
      </c>
      <c r="D526" s="165" t="s">
        <v>3410</v>
      </c>
      <c r="E526" s="403">
        <v>4303546.2702073706</v>
      </c>
      <c r="F526" s="431">
        <v>4063013.8744077012</v>
      </c>
      <c r="G526" s="404">
        <v>15</v>
      </c>
      <c r="H526" s="405">
        <v>47086</v>
      </c>
      <c r="I526" s="404">
        <v>5479</v>
      </c>
      <c r="J526" s="404">
        <v>4993</v>
      </c>
      <c r="K526" s="406">
        <v>3847836.5608973326</v>
      </c>
      <c r="L526" s="404">
        <v>365</v>
      </c>
      <c r="M526" s="404">
        <v>281286</v>
      </c>
      <c r="N526" s="404">
        <v>1973996</v>
      </c>
      <c r="O526" s="404">
        <v>2089017.8744077012</v>
      </c>
    </row>
    <row r="527" spans="2:15" s="154" customFormat="1" hidden="1" outlineLevel="1">
      <c r="B527" s="165" t="s">
        <v>2330</v>
      </c>
      <c r="C527" s="165" t="s">
        <v>3402</v>
      </c>
      <c r="D527" s="165" t="s">
        <v>3411</v>
      </c>
      <c r="E527" s="403">
        <v>6455318.5095517896</v>
      </c>
      <c r="F527" s="431">
        <v>6094519.9100894732</v>
      </c>
      <c r="G527" s="404">
        <v>20</v>
      </c>
      <c r="H527" s="405">
        <v>48912</v>
      </c>
      <c r="I527" s="404">
        <v>7305</v>
      </c>
      <c r="J527" s="404">
        <v>6819</v>
      </c>
      <c r="K527" s="406">
        <v>5771753.9846118838</v>
      </c>
      <c r="L527" s="404">
        <v>365</v>
      </c>
      <c r="M527" s="404">
        <v>308944</v>
      </c>
      <c r="N527" s="404">
        <v>2168094</v>
      </c>
      <c r="O527" s="404">
        <v>3926425.9100894732</v>
      </c>
    </row>
    <row r="528" spans="2:15" s="154" customFormat="1" hidden="1" outlineLevel="1">
      <c r="B528" s="165"/>
      <c r="C528" s="165"/>
      <c r="D528" s="165"/>
      <c r="E528" s="403"/>
      <c r="F528" s="432"/>
      <c r="G528" s="404"/>
      <c r="H528" s="405"/>
      <c r="I528" s="404"/>
      <c r="J528" s="404"/>
      <c r="K528" s="404"/>
      <c r="L528" s="404"/>
      <c r="M528" s="404"/>
      <c r="N528" s="404"/>
      <c r="O528" s="404"/>
    </row>
    <row r="529" spans="2:15" s="154" customFormat="1" ht="27" hidden="1" outlineLevel="1">
      <c r="B529" s="165" t="s">
        <v>2330</v>
      </c>
      <c r="C529" s="165" t="s">
        <v>3402</v>
      </c>
      <c r="D529" s="165" t="s">
        <v>3412</v>
      </c>
      <c r="E529" s="403">
        <v>5925082.4092146792</v>
      </c>
      <c r="F529" s="431">
        <v>5593919.6338369129</v>
      </c>
      <c r="G529" s="404">
        <v>15</v>
      </c>
      <c r="H529" s="405">
        <v>47086</v>
      </c>
      <c r="I529" s="404">
        <v>5479</v>
      </c>
      <c r="J529" s="404">
        <v>4993</v>
      </c>
      <c r="K529" s="406">
        <v>5297665.5133761801</v>
      </c>
      <c r="L529" s="404">
        <v>365</v>
      </c>
      <c r="M529" s="404">
        <v>387272</v>
      </c>
      <c r="N529" s="404">
        <v>2717780</v>
      </c>
      <c r="O529" s="404">
        <v>2876139.6338369139</v>
      </c>
    </row>
    <row r="530" spans="2:15" s="154" customFormat="1" ht="27" hidden="1" outlineLevel="1">
      <c r="B530" s="165" t="s">
        <v>2330</v>
      </c>
      <c r="C530" s="165" t="s">
        <v>3402</v>
      </c>
      <c r="D530" s="165" t="s">
        <v>3413</v>
      </c>
      <c r="E530" s="403">
        <v>8887623.8661748357</v>
      </c>
      <c r="F530" s="431">
        <v>8390879.6615153439</v>
      </c>
      <c r="G530" s="404">
        <v>20</v>
      </c>
      <c r="H530" s="405">
        <v>48912</v>
      </c>
      <c r="I530" s="404">
        <v>7305</v>
      </c>
      <c r="J530" s="404">
        <v>6819</v>
      </c>
      <c r="K530" s="406">
        <v>7946498.4682066021</v>
      </c>
      <c r="L530" s="404">
        <v>365</v>
      </c>
      <c r="M530" s="404">
        <v>425352</v>
      </c>
      <c r="N530" s="404">
        <v>2985015</v>
      </c>
      <c r="O530" s="404">
        <v>5405864.6615153439</v>
      </c>
    </row>
    <row r="531" spans="2:15" s="154" customFormat="1" hidden="1" outlineLevel="1">
      <c r="B531" s="165"/>
      <c r="C531" s="165"/>
      <c r="D531" s="165"/>
      <c r="E531" s="403"/>
      <c r="F531" s="432"/>
      <c r="G531" s="404"/>
      <c r="H531" s="405"/>
      <c r="I531" s="404"/>
      <c r="J531" s="404"/>
      <c r="K531" s="404"/>
      <c r="L531" s="404"/>
      <c r="M531" s="404"/>
      <c r="N531" s="404"/>
      <c r="O531" s="404"/>
    </row>
    <row r="532" spans="2:15" s="154" customFormat="1" hidden="1" outlineLevel="1">
      <c r="B532" s="165" t="s">
        <v>2330</v>
      </c>
      <c r="C532" s="165" t="s">
        <v>3402</v>
      </c>
      <c r="D532" s="165" t="s">
        <v>3414</v>
      </c>
      <c r="E532" s="403">
        <v>5205708.8266005078</v>
      </c>
      <c r="F532" s="431">
        <v>4914753.028538133</v>
      </c>
      <c r="G532" s="404">
        <v>15</v>
      </c>
      <c r="H532" s="405">
        <v>47086</v>
      </c>
      <c r="I532" s="404">
        <v>5479</v>
      </c>
      <c r="J532" s="404">
        <v>4993</v>
      </c>
      <c r="K532" s="406">
        <v>4654467.587208109</v>
      </c>
      <c r="L532" s="404">
        <v>365</v>
      </c>
      <c r="M532" s="404">
        <v>340252</v>
      </c>
      <c r="N532" s="404">
        <v>2387806</v>
      </c>
      <c r="O532" s="404">
        <v>2526947.0285381339</v>
      </c>
    </row>
    <row r="533" spans="2:15" s="154" customFormat="1" hidden="1" outlineLevel="1">
      <c r="B533" s="165" t="s">
        <v>2330</v>
      </c>
      <c r="C533" s="165" t="s">
        <v>3402</v>
      </c>
      <c r="D533" s="165" t="s">
        <v>3415</v>
      </c>
      <c r="E533" s="403">
        <v>7808565.9869795926</v>
      </c>
      <c r="F533" s="431">
        <v>7372132.1380173694</v>
      </c>
      <c r="G533" s="404">
        <v>20</v>
      </c>
      <c r="H533" s="405">
        <v>48912</v>
      </c>
      <c r="I533" s="404">
        <v>7305</v>
      </c>
      <c r="J533" s="404">
        <v>6819</v>
      </c>
      <c r="K533" s="406">
        <v>6981703.8386683902</v>
      </c>
      <c r="L533" s="404">
        <v>365</v>
      </c>
      <c r="M533" s="404">
        <v>373709</v>
      </c>
      <c r="N533" s="404">
        <v>2622598</v>
      </c>
      <c r="O533" s="404">
        <v>4749534.1380173694</v>
      </c>
    </row>
    <row r="534" spans="2:15" s="154" customFormat="1" hidden="1" outlineLevel="1">
      <c r="B534" s="165"/>
      <c r="C534" s="165"/>
      <c r="D534" s="165"/>
      <c r="E534" s="403"/>
      <c r="F534" s="432"/>
      <c r="G534" s="404"/>
      <c r="H534" s="405"/>
      <c r="I534" s="404"/>
      <c r="J534" s="404"/>
      <c r="K534" s="404"/>
      <c r="L534" s="404"/>
      <c r="M534" s="404"/>
      <c r="N534" s="404"/>
      <c r="O534" s="404"/>
    </row>
    <row r="535" spans="2:15" s="154" customFormat="1" ht="27" hidden="1" outlineLevel="1">
      <c r="B535" s="165" t="s">
        <v>2330</v>
      </c>
      <c r="C535" s="165" t="s">
        <v>3402</v>
      </c>
      <c r="D535" s="165" t="s">
        <v>3416</v>
      </c>
      <c r="E535" s="403">
        <v>5421643.1224405216</v>
      </c>
      <c r="F535" s="431">
        <v>5118618.3803699734</v>
      </c>
      <c r="G535" s="404">
        <v>15</v>
      </c>
      <c r="H535" s="405">
        <v>47086</v>
      </c>
      <c r="I535" s="404">
        <v>5479</v>
      </c>
      <c r="J535" s="404">
        <v>4993</v>
      </c>
      <c r="K535" s="406">
        <v>4847536.2242479464</v>
      </c>
      <c r="L535" s="404">
        <v>365</v>
      </c>
      <c r="M535" s="404">
        <v>354366</v>
      </c>
      <c r="N535" s="404">
        <v>2486854</v>
      </c>
      <c r="O535" s="404">
        <v>2631764.3803699724</v>
      </c>
    </row>
    <row r="536" spans="2:15" s="154" customFormat="1" ht="27" hidden="1" outlineLevel="1">
      <c r="B536" s="165" t="s">
        <v>2330</v>
      </c>
      <c r="C536" s="165" t="s">
        <v>3402</v>
      </c>
      <c r="D536" s="165" t="s">
        <v>3417</v>
      </c>
      <c r="E536" s="403">
        <v>8132468.9305041283</v>
      </c>
      <c r="F536" s="431">
        <v>7677931.6655426631</v>
      </c>
      <c r="G536" s="404">
        <v>20</v>
      </c>
      <c r="H536" s="405">
        <v>48912</v>
      </c>
      <c r="I536" s="404">
        <v>7305</v>
      </c>
      <c r="J536" s="404">
        <v>6819</v>
      </c>
      <c r="K536" s="406">
        <v>7271308.2190174563</v>
      </c>
      <c r="L536" s="404">
        <v>365</v>
      </c>
      <c r="M536" s="404">
        <v>389211</v>
      </c>
      <c r="N536" s="404">
        <v>2731387</v>
      </c>
      <c r="O536" s="404">
        <v>4946544.6655426631</v>
      </c>
    </row>
    <row r="537" spans="2:15" s="154" customFormat="1" hidden="1" outlineLevel="1">
      <c r="B537" s="165"/>
      <c r="C537" s="165"/>
      <c r="D537" s="165"/>
      <c r="E537" s="403"/>
      <c r="F537" s="432"/>
      <c r="G537" s="404"/>
      <c r="H537" s="405"/>
      <c r="I537" s="404"/>
      <c r="J537" s="404"/>
      <c r="K537" s="404"/>
      <c r="L537" s="404"/>
      <c r="M537" s="404"/>
      <c r="N537" s="404"/>
      <c r="O537" s="404"/>
    </row>
    <row r="538" spans="2:15" s="154" customFormat="1" ht="27" hidden="1" outlineLevel="1">
      <c r="B538" s="165" t="s">
        <v>2330</v>
      </c>
      <c r="C538" s="165" t="s">
        <v>3402</v>
      </c>
      <c r="D538" s="165" t="s">
        <v>3416</v>
      </c>
      <c r="E538" s="403">
        <v>17432777.104446396</v>
      </c>
      <c r="F538" s="431">
        <v>16458429.989723271</v>
      </c>
      <c r="G538" s="404">
        <v>15</v>
      </c>
      <c r="H538" s="405">
        <v>47086</v>
      </c>
      <c r="I538" s="404">
        <v>5479</v>
      </c>
      <c r="J538" s="404">
        <v>4993</v>
      </c>
      <c r="K538" s="406">
        <v>15586791.134500949</v>
      </c>
      <c r="L538" s="404">
        <v>365</v>
      </c>
      <c r="M538" s="404">
        <v>1139431</v>
      </c>
      <c r="N538" s="404">
        <v>7996247</v>
      </c>
      <c r="O538" s="404">
        <v>8462182.9897232689</v>
      </c>
    </row>
    <row r="539" spans="2:15" s="154" customFormat="1" ht="27" hidden="1" outlineLevel="1">
      <c r="B539" s="165" t="s">
        <v>2330</v>
      </c>
      <c r="C539" s="165" t="s">
        <v>3402</v>
      </c>
      <c r="D539" s="165" t="s">
        <v>3418</v>
      </c>
      <c r="E539" s="403">
        <v>26149166.503903139</v>
      </c>
      <c r="F539" s="431">
        <v>24687645.757338405</v>
      </c>
      <c r="G539" s="404">
        <v>20</v>
      </c>
      <c r="H539" s="405">
        <v>48912</v>
      </c>
      <c r="I539" s="404">
        <v>7305</v>
      </c>
      <c r="J539" s="404">
        <v>6819</v>
      </c>
      <c r="K539" s="406">
        <v>23380187.432143249</v>
      </c>
      <c r="L539" s="404">
        <v>365</v>
      </c>
      <c r="M539" s="404">
        <v>1251469</v>
      </c>
      <c r="N539" s="404">
        <v>8782503</v>
      </c>
      <c r="O539" s="404">
        <v>15905142.757338405</v>
      </c>
    </row>
    <row r="540" spans="2:15" s="154" customFormat="1" hidden="1" outlineLevel="1">
      <c r="B540" s="165"/>
      <c r="C540" s="165"/>
      <c r="D540" s="165"/>
      <c r="E540" s="403"/>
      <c r="F540" s="432"/>
      <c r="G540" s="404"/>
      <c r="H540" s="405"/>
      <c r="I540" s="404"/>
      <c r="J540" s="404"/>
      <c r="K540" s="404"/>
      <c r="L540" s="404"/>
      <c r="M540" s="404"/>
      <c r="N540" s="404"/>
      <c r="O540" s="404"/>
    </row>
    <row r="541" spans="2:15" s="154" customFormat="1" ht="27" hidden="1" outlineLevel="1">
      <c r="B541" s="165" t="s">
        <v>2330</v>
      </c>
      <c r="C541" s="165" t="s">
        <v>3419</v>
      </c>
      <c r="D541" s="165" t="s">
        <v>3420</v>
      </c>
      <c r="E541" s="403">
        <v>8023249.394644605</v>
      </c>
      <c r="F541" s="431">
        <v>7574816.584646971</v>
      </c>
      <c r="G541" s="404">
        <v>10</v>
      </c>
      <c r="H541" s="405">
        <v>45259</v>
      </c>
      <c r="I541" s="404">
        <v>3652</v>
      </c>
      <c r="J541" s="404">
        <v>3166</v>
      </c>
      <c r="K541" s="406">
        <v>7173654.1149147404</v>
      </c>
      <c r="L541" s="404">
        <v>365</v>
      </c>
      <c r="M541" s="404">
        <v>827032</v>
      </c>
      <c r="N541" s="404">
        <v>5803908</v>
      </c>
      <c r="O541" s="404">
        <v>1770908.584646971</v>
      </c>
    </row>
    <row r="542" spans="2:15" s="154" customFormat="1" hidden="1" outlineLevel="1">
      <c r="B542" s="165" t="s">
        <v>2330</v>
      </c>
      <c r="C542" s="165" t="s">
        <v>3419</v>
      </c>
      <c r="D542" s="165" t="s">
        <v>3421</v>
      </c>
      <c r="E542" s="403">
        <v>8023249.394644605</v>
      </c>
      <c r="F542" s="431">
        <v>7574816.584646971</v>
      </c>
      <c r="G542" s="404">
        <v>10</v>
      </c>
      <c r="H542" s="405">
        <v>45259</v>
      </c>
      <c r="I542" s="404">
        <v>3652</v>
      </c>
      <c r="J542" s="404">
        <v>3166</v>
      </c>
      <c r="K542" s="406">
        <v>7173654.1149147404</v>
      </c>
      <c r="L542" s="404">
        <v>365</v>
      </c>
      <c r="M542" s="404">
        <v>827032</v>
      </c>
      <c r="N542" s="404">
        <v>5803908</v>
      </c>
      <c r="O542" s="404">
        <v>1770908.584646971</v>
      </c>
    </row>
    <row r="543" spans="2:15" s="154" customFormat="1" hidden="1" outlineLevel="1">
      <c r="B543" s="165" t="s">
        <v>2330</v>
      </c>
      <c r="C543" s="165" t="s">
        <v>3419</v>
      </c>
      <c r="D543" s="165" t="s">
        <v>3422</v>
      </c>
      <c r="E543" s="403">
        <v>11316457.015291773</v>
      </c>
      <c r="F543" s="431">
        <v>10683961.26266792</v>
      </c>
      <c r="G543" s="404">
        <v>10</v>
      </c>
      <c r="H543" s="405">
        <v>45259</v>
      </c>
      <c r="I543" s="404">
        <v>3652</v>
      </c>
      <c r="J543" s="404">
        <v>3166</v>
      </c>
      <c r="K543" s="406">
        <v>10118138.411903333</v>
      </c>
      <c r="L543" s="404">
        <v>365</v>
      </c>
      <c r="M543" s="404">
        <v>1166494</v>
      </c>
      <c r="N543" s="404">
        <v>8186169</v>
      </c>
      <c r="O543" s="404">
        <v>2497792.2626679223</v>
      </c>
    </row>
    <row r="544" spans="2:15" s="154" customFormat="1" hidden="1" outlineLevel="1">
      <c r="B544" s="165" t="s">
        <v>2330</v>
      </c>
      <c r="C544" s="165" t="s">
        <v>3419</v>
      </c>
      <c r="D544" s="165" t="s">
        <v>3423</v>
      </c>
      <c r="E544" s="403">
        <v>2779970.6962812874</v>
      </c>
      <c r="F544" s="431">
        <v>2624593.4624698455</v>
      </c>
      <c r="G544" s="404">
        <v>25</v>
      </c>
      <c r="H544" s="405">
        <v>50738</v>
      </c>
      <c r="I544" s="404">
        <v>9131</v>
      </c>
      <c r="J544" s="404">
        <v>8645</v>
      </c>
      <c r="K544" s="406">
        <v>2485594.9276557812</v>
      </c>
      <c r="L544" s="404">
        <v>365</v>
      </c>
      <c r="M544" s="404">
        <v>104944</v>
      </c>
      <c r="N544" s="404">
        <v>736472</v>
      </c>
      <c r="O544" s="404">
        <v>1888121.4624698455</v>
      </c>
    </row>
    <row r="545" spans="2:15" s="154" customFormat="1" hidden="1" outlineLevel="1">
      <c r="B545" s="165" t="s">
        <v>2330</v>
      </c>
      <c r="C545" s="165" t="s">
        <v>3419</v>
      </c>
      <c r="D545" s="165" t="s">
        <v>3424</v>
      </c>
      <c r="E545" s="403">
        <v>10973594.377232485</v>
      </c>
      <c r="F545" s="431">
        <v>10360261.81210823</v>
      </c>
      <c r="G545" s="404">
        <v>15</v>
      </c>
      <c r="H545" s="405">
        <v>47086</v>
      </c>
      <c r="I545" s="404">
        <v>5479</v>
      </c>
      <c r="J545" s="404">
        <v>4993</v>
      </c>
      <c r="K545" s="406">
        <v>9811582.0932466052</v>
      </c>
      <c r="L545" s="404">
        <v>365</v>
      </c>
      <c r="M545" s="404">
        <v>717250</v>
      </c>
      <c r="N545" s="404">
        <v>5033484</v>
      </c>
      <c r="O545" s="404">
        <v>5326777.8121082298</v>
      </c>
    </row>
    <row r="546" spans="2:15" s="154" customFormat="1" hidden="1" outlineLevel="1">
      <c r="B546" s="165" t="s">
        <v>2330</v>
      </c>
      <c r="C546" s="165" t="s">
        <v>3425</v>
      </c>
      <c r="D546" s="165" t="s">
        <v>3426</v>
      </c>
      <c r="E546" s="403">
        <v>4310418.9799833149</v>
      </c>
      <c r="F546" s="431">
        <v>4069502.433848259</v>
      </c>
      <c r="G546" s="404">
        <v>10</v>
      </c>
      <c r="H546" s="405">
        <v>45259</v>
      </c>
      <c r="I546" s="404">
        <v>3652</v>
      </c>
      <c r="J546" s="404">
        <v>3166</v>
      </c>
      <c r="K546" s="406">
        <v>3853981.4848490939</v>
      </c>
      <c r="L546" s="404">
        <v>365</v>
      </c>
      <c r="M546" s="404">
        <v>444316</v>
      </c>
      <c r="N546" s="404">
        <v>3118100</v>
      </c>
      <c r="O546" s="404">
        <v>951402.4338482595</v>
      </c>
    </row>
    <row r="547" spans="2:15" s="154" customFormat="1" hidden="1" outlineLevel="1">
      <c r="B547" s="165" t="s">
        <v>2330</v>
      </c>
      <c r="C547" s="165" t="s">
        <v>3425</v>
      </c>
      <c r="D547" s="165" t="s">
        <v>3427</v>
      </c>
      <c r="E547" s="403">
        <v>1077604.0976244076</v>
      </c>
      <c r="F547" s="431">
        <v>1017374.9968797263</v>
      </c>
      <c r="G547" s="404">
        <v>10</v>
      </c>
      <c r="H547" s="405">
        <v>45259</v>
      </c>
      <c r="I547" s="404">
        <v>3652</v>
      </c>
      <c r="J547" s="404">
        <v>3166</v>
      </c>
      <c r="K547" s="406">
        <v>963494.79199850606</v>
      </c>
      <c r="L547" s="404">
        <v>365</v>
      </c>
      <c r="M547" s="404">
        <v>111079</v>
      </c>
      <c r="N547" s="404">
        <v>779525</v>
      </c>
      <c r="O547" s="404">
        <v>237849.99687972642</v>
      </c>
    </row>
    <row r="548" spans="2:15" s="154" customFormat="1" hidden="1" outlineLevel="1">
      <c r="B548" s="165" t="s">
        <v>2330</v>
      </c>
      <c r="C548" s="165" t="s">
        <v>3425</v>
      </c>
      <c r="D548" s="165" t="s">
        <v>3428</v>
      </c>
      <c r="E548" s="403">
        <v>1347005.19571622</v>
      </c>
      <c r="F548" s="431">
        <v>1271718.801890827</v>
      </c>
      <c r="G548" s="404">
        <v>10</v>
      </c>
      <c r="H548" s="405">
        <v>45259</v>
      </c>
      <c r="I548" s="404">
        <v>3652</v>
      </c>
      <c r="J548" s="404">
        <v>3166</v>
      </c>
      <c r="K548" s="406">
        <v>1204368.5421050161</v>
      </c>
      <c r="L548" s="404">
        <v>365</v>
      </c>
      <c r="M548" s="404">
        <v>138849</v>
      </c>
      <c r="N548" s="404">
        <v>974407</v>
      </c>
      <c r="O548" s="404">
        <v>297311.80189082702</v>
      </c>
    </row>
    <row r="549" spans="2:15" s="154" customFormat="1" hidden="1" outlineLevel="1">
      <c r="B549" s="165" t="s">
        <v>2330</v>
      </c>
      <c r="C549" s="165" t="s">
        <v>3425</v>
      </c>
      <c r="D549" s="165" t="s">
        <v>3429</v>
      </c>
      <c r="E549" s="403">
        <v>538803.19618362503</v>
      </c>
      <c r="F549" s="431">
        <v>508688.61002220173</v>
      </c>
      <c r="G549" s="404">
        <v>10</v>
      </c>
      <c r="H549" s="405">
        <v>45259</v>
      </c>
      <c r="I549" s="404">
        <v>3652</v>
      </c>
      <c r="J549" s="404">
        <v>3166</v>
      </c>
      <c r="K549" s="406">
        <v>481748.45021302049</v>
      </c>
      <c r="L549" s="404">
        <v>365</v>
      </c>
      <c r="M549" s="404">
        <v>55540</v>
      </c>
      <c r="N549" s="404">
        <v>389765</v>
      </c>
      <c r="O549" s="404">
        <v>118923.61002220173</v>
      </c>
    </row>
    <row r="550" spans="2:15" s="154" customFormat="1" hidden="1" outlineLevel="1">
      <c r="B550" s="165" t="s">
        <v>2330</v>
      </c>
      <c r="C550" s="165" t="s">
        <v>3425</v>
      </c>
      <c r="D550" s="165" t="s">
        <v>3430</v>
      </c>
      <c r="E550" s="403">
        <v>57203959.523544244</v>
      </c>
      <c r="F550" s="431">
        <v>54006734.326773673</v>
      </c>
      <c r="G550" s="404">
        <v>25</v>
      </c>
      <c r="H550" s="405">
        <v>50738</v>
      </c>
      <c r="I550" s="404">
        <v>9131</v>
      </c>
      <c r="J550" s="404">
        <v>8645</v>
      </c>
      <c r="K550" s="406">
        <v>51146536.350596458</v>
      </c>
      <c r="L550" s="404">
        <v>365</v>
      </c>
      <c r="M550" s="404">
        <v>2159455</v>
      </c>
      <c r="N550" s="404">
        <v>15154525</v>
      </c>
      <c r="O550" s="404">
        <v>38852209.326773673</v>
      </c>
    </row>
    <row r="551" spans="2:15" s="154" customFormat="1" hidden="1" outlineLevel="1">
      <c r="B551" s="165"/>
      <c r="C551" s="165"/>
      <c r="D551" s="165"/>
      <c r="E551" s="403"/>
      <c r="F551" s="432"/>
      <c r="G551" s="404"/>
      <c r="H551" s="405"/>
      <c r="I551" s="404"/>
      <c r="J551" s="404"/>
      <c r="K551" s="404"/>
      <c r="L551" s="404"/>
      <c r="M551" s="404"/>
      <c r="N551" s="404"/>
      <c r="O551" s="404"/>
    </row>
    <row r="552" spans="2:15" s="154" customFormat="1" hidden="1" outlineLevel="1">
      <c r="B552" s="165" t="s">
        <v>2330</v>
      </c>
      <c r="C552" s="165" t="s">
        <v>3431</v>
      </c>
      <c r="D552" s="165" t="s">
        <v>3432</v>
      </c>
      <c r="E552" s="403">
        <v>21617821.975264877</v>
      </c>
      <c r="F552" s="431">
        <v>20409565.639049202</v>
      </c>
      <c r="G552" s="404">
        <v>30</v>
      </c>
      <c r="H552" s="405">
        <v>52564</v>
      </c>
      <c r="I552" s="404">
        <v>10957</v>
      </c>
      <c r="J552" s="404">
        <v>10471</v>
      </c>
      <c r="K552" s="406">
        <v>19328674.54028596</v>
      </c>
      <c r="L552" s="404">
        <v>365</v>
      </c>
      <c r="M552" s="404">
        <v>673762</v>
      </c>
      <c r="N552" s="404">
        <v>4728297</v>
      </c>
      <c r="O552" s="404">
        <v>15681268.639049202</v>
      </c>
    </row>
    <row r="553" spans="2:15" s="154" customFormat="1" ht="27" hidden="1" outlineLevel="1">
      <c r="B553" s="165" t="s">
        <v>2330</v>
      </c>
      <c r="C553" s="165" t="s">
        <v>3431</v>
      </c>
      <c r="D553" s="165" t="s">
        <v>3433</v>
      </c>
      <c r="E553" s="403">
        <v>21617821.975264877</v>
      </c>
      <c r="F553" s="431">
        <v>20409565.639049202</v>
      </c>
      <c r="G553" s="404">
        <v>25</v>
      </c>
      <c r="H553" s="405">
        <v>50738</v>
      </c>
      <c r="I553" s="404">
        <v>9131</v>
      </c>
      <c r="J553" s="404">
        <v>8645</v>
      </c>
      <c r="K553" s="406">
        <v>19328674.54028596</v>
      </c>
      <c r="L553" s="404">
        <v>365</v>
      </c>
      <c r="M553" s="404">
        <v>816075</v>
      </c>
      <c r="N553" s="404">
        <v>5727014</v>
      </c>
      <c r="O553" s="404">
        <v>14682551.639049202</v>
      </c>
    </row>
    <row r="554" spans="2:15" s="154" customFormat="1" hidden="1" outlineLevel="1">
      <c r="B554" s="165" t="s">
        <v>2330</v>
      </c>
      <c r="C554" s="165" t="s">
        <v>3431</v>
      </c>
      <c r="D554" s="165" t="s">
        <v>3434</v>
      </c>
      <c r="E554" s="403">
        <v>14411882.513338475</v>
      </c>
      <c r="F554" s="431">
        <v>13606378.241475916</v>
      </c>
      <c r="G554" s="404">
        <v>15</v>
      </c>
      <c r="H554" s="405">
        <v>47086</v>
      </c>
      <c r="I554" s="404">
        <v>5479</v>
      </c>
      <c r="J554" s="404">
        <v>4993</v>
      </c>
      <c r="K554" s="406">
        <v>12885784.115808992</v>
      </c>
      <c r="L554" s="404">
        <v>365</v>
      </c>
      <c r="M554" s="404">
        <v>941981</v>
      </c>
      <c r="N554" s="404">
        <v>6610592</v>
      </c>
      <c r="O554" s="404">
        <v>6995786.2414759155</v>
      </c>
    </row>
    <row r="555" spans="2:15" s="154" customFormat="1" hidden="1" outlineLevel="1">
      <c r="B555" s="165" t="s">
        <v>2330</v>
      </c>
      <c r="C555" s="165" t="s">
        <v>3431</v>
      </c>
      <c r="D555" s="165" t="s">
        <v>3435</v>
      </c>
      <c r="E555" s="403">
        <v>14411882.513338475</v>
      </c>
      <c r="F555" s="431">
        <v>13606378.241475916</v>
      </c>
      <c r="G555" s="404">
        <v>25</v>
      </c>
      <c r="H555" s="405">
        <v>50738</v>
      </c>
      <c r="I555" s="404">
        <v>9131</v>
      </c>
      <c r="J555" s="404">
        <v>8645</v>
      </c>
      <c r="K555" s="406">
        <v>12885784.115808992</v>
      </c>
      <c r="L555" s="404">
        <v>365</v>
      </c>
      <c r="M555" s="404">
        <v>544050</v>
      </c>
      <c r="N555" s="404">
        <v>3818009</v>
      </c>
      <c r="O555" s="404">
        <v>9788369.2414759155</v>
      </c>
    </row>
    <row r="556" spans="2:15" s="154" customFormat="1" hidden="1" outlineLevel="1">
      <c r="B556" s="165"/>
      <c r="C556" s="165"/>
      <c r="D556" s="165"/>
      <c r="E556" s="403"/>
      <c r="F556" s="432"/>
      <c r="G556" s="404"/>
      <c r="H556" s="405"/>
      <c r="I556" s="404"/>
      <c r="J556" s="404"/>
      <c r="K556" s="404"/>
      <c r="L556" s="404"/>
      <c r="M556" s="404"/>
      <c r="N556" s="404"/>
      <c r="O556" s="404"/>
    </row>
    <row r="557" spans="2:15" s="154" customFormat="1" hidden="1" outlineLevel="1">
      <c r="B557" s="165" t="s">
        <v>2330</v>
      </c>
      <c r="C557" s="165" t="s">
        <v>3431</v>
      </c>
      <c r="D557" s="165" t="s">
        <v>3436</v>
      </c>
      <c r="E557" s="403">
        <v>11314848.646141915</v>
      </c>
      <c r="F557" s="431">
        <v>10682442.694642851</v>
      </c>
      <c r="G557" s="404">
        <v>10</v>
      </c>
      <c r="H557" s="405">
        <v>45259</v>
      </c>
      <c r="I557" s="404">
        <v>3652</v>
      </c>
      <c r="J557" s="404">
        <v>3166</v>
      </c>
      <c r="K557" s="406">
        <v>10116700.262335757</v>
      </c>
      <c r="L557" s="404">
        <v>365</v>
      </c>
      <c r="M557" s="404">
        <v>1166328</v>
      </c>
      <c r="N557" s="404">
        <v>8185005</v>
      </c>
      <c r="O557" s="404">
        <v>2497437.694642853</v>
      </c>
    </row>
    <row r="558" spans="2:15" s="154" customFormat="1" hidden="1" outlineLevel="1">
      <c r="B558" s="165" t="s">
        <v>2330</v>
      </c>
      <c r="C558" s="165" t="s">
        <v>3431</v>
      </c>
      <c r="D558" s="165" t="s">
        <v>3437</v>
      </c>
      <c r="E558" s="403">
        <v>2072233.9071082876</v>
      </c>
      <c r="F558" s="431">
        <v>1956413.2493878515</v>
      </c>
      <c r="G558" s="404">
        <v>20</v>
      </c>
      <c r="H558" s="405">
        <v>48912</v>
      </c>
      <c r="I558" s="404">
        <v>7305</v>
      </c>
      <c r="J558" s="404">
        <v>6819</v>
      </c>
      <c r="K558" s="406">
        <v>1852801.554032437</v>
      </c>
      <c r="L558" s="404">
        <v>365</v>
      </c>
      <c r="M558" s="404">
        <v>99175</v>
      </c>
      <c r="N558" s="404">
        <v>695985</v>
      </c>
      <c r="O558" s="404">
        <v>1260428.2493878515</v>
      </c>
    </row>
    <row r="559" spans="2:15" s="154" customFormat="1" hidden="1" outlineLevel="1">
      <c r="B559" s="165" t="s">
        <v>2330</v>
      </c>
      <c r="C559" s="165" t="s">
        <v>3438</v>
      </c>
      <c r="D559" s="165"/>
      <c r="E559" s="403">
        <v>13971186.4900955</v>
      </c>
      <c r="F559" s="431">
        <v>13190313.481780658</v>
      </c>
      <c r="G559" s="404">
        <v>20</v>
      </c>
      <c r="H559" s="405">
        <v>48912</v>
      </c>
      <c r="I559" s="404">
        <v>7305</v>
      </c>
      <c r="J559" s="404">
        <v>6819</v>
      </c>
      <c r="K559" s="406">
        <v>12491754.157275882</v>
      </c>
      <c r="L559" s="404">
        <v>365</v>
      </c>
      <c r="M559" s="404">
        <v>668645</v>
      </c>
      <c r="N559" s="404">
        <v>4692387</v>
      </c>
      <c r="O559" s="404">
        <v>8497926.4817806575</v>
      </c>
    </row>
    <row r="560" spans="2:15" s="154" customFormat="1" hidden="1" outlineLevel="1">
      <c r="B560" s="165"/>
      <c r="C560" s="165"/>
      <c r="D560" s="165"/>
      <c r="E560" s="403"/>
      <c r="F560" s="432"/>
      <c r="G560" s="404"/>
      <c r="H560" s="405"/>
      <c r="I560" s="404"/>
      <c r="J560" s="404"/>
      <c r="K560" s="406"/>
      <c r="L560" s="404"/>
      <c r="M560" s="404"/>
      <c r="N560" s="404"/>
      <c r="O560" s="404"/>
    </row>
    <row r="561" spans="2:15" s="154" customFormat="1" hidden="1" outlineLevel="1">
      <c r="B561" s="165" t="s">
        <v>2330</v>
      </c>
      <c r="C561" s="165" t="s">
        <v>3371</v>
      </c>
      <c r="D561" s="165" t="s">
        <v>3372</v>
      </c>
      <c r="E561" s="403">
        <v>8686715.8784373123</v>
      </c>
      <c r="F561" s="431">
        <v>8685811.0951001998</v>
      </c>
      <c r="G561" s="404">
        <v>30</v>
      </c>
      <c r="H561" s="405">
        <v>53051</v>
      </c>
      <c r="I561" s="404">
        <v>10958</v>
      </c>
      <c r="J561" s="404">
        <v>10957</v>
      </c>
      <c r="K561" s="406">
        <v>8251475.3011783343</v>
      </c>
      <c r="L561" s="404">
        <v>365</v>
      </c>
      <c r="M561" s="404">
        <v>274873</v>
      </c>
      <c r="N561" s="404">
        <v>1925959</v>
      </c>
      <c r="O561" s="404">
        <v>6759852.0951001998</v>
      </c>
    </row>
    <row r="562" spans="2:15" s="154" customFormat="1" ht="27" hidden="1" outlineLevel="1">
      <c r="B562" s="165" t="s">
        <v>2330</v>
      </c>
      <c r="C562" s="165" t="s">
        <v>3371</v>
      </c>
      <c r="D562" s="165" t="s">
        <v>3373</v>
      </c>
      <c r="E562" s="403">
        <v>4343358.4392186562</v>
      </c>
      <c r="F562" s="431">
        <v>4342906.0475500999</v>
      </c>
      <c r="G562" s="404">
        <v>25</v>
      </c>
      <c r="H562" s="405">
        <v>51225</v>
      </c>
      <c r="I562" s="404">
        <v>9132</v>
      </c>
      <c r="J562" s="404">
        <v>9131</v>
      </c>
      <c r="K562" s="406">
        <v>4125738.1255891672</v>
      </c>
      <c r="L562" s="404">
        <v>365</v>
      </c>
      <c r="M562" s="404">
        <v>164921</v>
      </c>
      <c r="N562" s="404">
        <v>1155555</v>
      </c>
      <c r="O562" s="404">
        <v>3187351.0475500999</v>
      </c>
    </row>
    <row r="563" spans="2:15" s="154" customFormat="1" ht="27" hidden="1" outlineLevel="1">
      <c r="B563" s="165" t="s">
        <v>2330</v>
      </c>
      <c r="C563" s="165" t="s">
        <v>3371</v>
      </c>
      <c r="D563" s="165" t="s">
        <v>3374</v>
      </c>
      <c r="E563" s="403">
        <v>8686715.8784373123</v>
      </c>
      <c r="F563" s="431">
        <v>8685811.0951001998</v>
      </c>
      <c r="G563" s="404">
        <v>25</v>
      </c>
      <c r="H563" s="405">
        <v>51225</v>
      </c>
      <c r="I563" s="404">
        <v>9132</v>
      </c>
      <c r="J563" s="404">
        <v>9131</v>
      </c>
      <c r="K563" s="406">
        <v>8251475.3011783343</v>
      </c>
      <c r="L563" s="404">
        <v>365</v>
      </c>
      <c r="M563" s="404">
        <v>329842</v>
      </c>
      <c r="N563" s="404">
        <v>2311110</v>
      </c>
      <c r="O563" s="404">
        <v>6374701.0951001998</v>
      </c>
    </row>
    <row r="564" spans="2:15" s="154" customFormat="1" hidden="1" outlineLevel="1">
      <c r="B564" s="165" t="s">
        <v>2330</v>
      </c>
      <c r="C564" s="165" t="s">
        <v>3371</v>
      </c>
      <c r="D564" s="165" t="s">
        <v>3375</v>
      </c>
      <c r="E564" s="403">
        <v>8684103.2732177563</v>
      </c>
      <c r="F564" s="431">
        <v>8683198.7619814929</v>
      </c>
      <c r="G564" s="404">
        <v>30</v>
      </c>
      <c r="H564" s="405">
        <v>53051</v>
      </c>
      <c r="I564" s="404">
        <v>10958</v>
      </c>
      <c r="J564" s="404">
        <v>10957</v>
      </c>
      <c r="K564" s="406">
        <v>8248993.5983206052</v>
      </c>
      <c r="L564" s="404">
        <v>365</v>
      </c>
      <c r="M564" s="404">
        <v>274791</v>
      </c>
      <c r="N564" s="404">
        <v>1925383</v>
      </c>
      <c r="O564" s="404">
        <v>6757815.7619814929</v>
      </c>
    </row>
    <row r="565" spans="2:15" s="154" customFormat="1" ht="27" hidden="1" outlineLevel="1">
      <c r="B565" s="165" t="s">
        <v>2330</v>
      </c>
      <c r="C565" s="165" t="s">
        <v>3371</v>
      </c>
      <c r="D565" s="165" t="s">
        <v>3376</v>
      </c>
      <c r="E565" s="403">
        <v>4342051.6366088782</v>
      </c>
      <c r="F565" s="431">
        <v>4341599.3809907464</v>
      </c>
      <c r="G565" s="404">
        <v>25</v>
      </c>
      <c r="H565" s="405">
        <v>51225</v>
      </c>
      <c r="I565" s="404">
        <v>9132</v>
      </c>
      <c r="J565" s="404">
        <v>9131</v>
      </c>
      <c r="K565" s="406">
        <v>4124496.7991603026</v>
      </c>
      <c r="L565" s="404">
        <v>365</v>
      </c>
      <c r="M565" s="404">
        <v>164871</v>
      </c>
      <c r="N565" s="404">
        <v>1155205</v>
      </c>
      <c r="O565" s="404">
        <v>3186394.3809907464</v>
      </c>
    </row>
    <row r="566" spans="2:15" s="154" customFormat="1" ht="27" hidden="1" outlineLevel="1">
      <c r="B566" s="165" t="s">
        <v>2330</v>
      </c>
      <c r="C566" s="165" t="s">
        <v>3371</v>
      </c>
      <c r="D566" s="165" t="s">
        <v>3377</v>
      </c>
      <c r="E566" s="403">
        <v>8684103.2732177563</v>
      </c>
      <c r="F566" s="431">
        <v>8683198.7619814929</v>
      </c>
      <c r="G566" s="404">
        <v>25</v>
      </c>
      <c r="H566" s="405">
        <v>51225</v>
      </c>
      <c r="I566" s="404">
        <v>9132</v>
      </c>
      <c r="J566" s="404">
        <v>9131</v>
      </c>
      <c r="K566" s="406">
        <v>8248993.5983206052</v>
      </c>
      <c r="L566" s="404">
        <v>365</v>
      </c>
      <c r="M566" s="404">
        <v>329743</v>
      </c>
      <c r="N566" s="404">
        <v>2310415</v>
      </c>
      <c r="O566" s="404">
        <v>6372783.7619814929</v>
      </c>
    </row>
    <row r="567" spans="2:15" s="154" customFormat="1" hidden="1" outlineLevel="1">
      <c r="B567" s="165" t="s">
        <v>2330</v>
      </c>
      <c r="C567" s="165" t="s">
        <v>3371</v>
      </c>
      <c r="D567" s="165" t="s">
        <v>3378</v>
      </c>
      <c r="E567" s="403">
        <v>8684103.2732177563</v>
      </c>
      <c r="F567" s="431">
        <v>8683198.7619814929</v>
      </c>
      <c r="G567" s="404">
        <v>30</v>
      </c>
      <c r="H567" s="405">
        <v>53051</v>
      </c>
      <c r="I567" s="404">
        <v>10958</v>
      </c>
      <c r="J567" s="404">
        <v>10957</v>
      </c>
      <c r="K567" s="406">
        <v>8248993.5983206052</v>
      </c>
      <c r="L567" s="404">
        <v>365</v>
      </c>
      <c r="M567" s="404">
        <v>274791</v>
      </c>
      <c r="N567" s="404">
        <v>1925383</v>
      </c>
      <c r="O567" s="404">
        <v>6757815.7619814929</v>
      </c>
    </row>
    <row r="568" spans="2:15" s="154" customFormat="1" ht="27" hidden="1" outlineLevel="1">
      <c r="B568" s="165" t="s">
        <v>2330</v>
      </c>
      <c r="C568" s="165" t="s">
        <v>3371</v>
      </c>
      <c r="D568" s="165" t="s">
        <v>3379</v>
      </c>
      <c r="E568" s="403">
        <v>4342051.6366088782</v>
      </c>
      <c r="F568" s="431">
        <v>4341599.3809907464</v>
      </c>
      <c r="G568" s="404">
        <v>25</v>
      </c>
      <c r="H568" s="405">
        <v>51225</v>
      </c>
      <c r="I568" s="404">
        <v>9132</v>
      </c>
      <c r="J568" s="404">
        <v>9131</v>
      </c>
      <c r="K568" s="406">
        <v>4124496.7991603026</v>
      </c>
      <c r="L568" s="404">
        <v>365</v>
      </c>
      <c r="M568" s="404">
        <v>164871</v>
      </c>
      <c r="N568" s="404">
        <v>1155205</v>
      </c>
      <c r="O568" s="404">
        <v>3186394.3809907464</v>
      </c>
    </row>
    <row r="569" spans="2:15" s="154" customFormat="1" ht="27" hidden="1" outlineLevel="1">
      <c r="B569" s="165" t="s">
        <v>2330</v>
      </c>
      <c r="C569" s="165" t="s">
        <v>3371</v>
      </c>
      <c r="D569" s="165" t="s">
        <v>3380</v>
      </c>
      <c r="E569" s="403">
        <v>8684103.2732177563</v>
      </c>
      <c r="F569" s="431">
        <v>8683198.7619814929</v>
      </c>
      <c r="G569" s="404">
        <v>25</v>
      </c>
      <c r="H569" s="405">
        <v>51225</v>
      </c>
      <c r="I569" s="404">
        <v>9132</v>
      </c>
      <c r="J569" s="404">
        <v>9131</v>
      </c>
      <c r="K569" s="406">
        <v>8248993.5983206052</v>
      </c>
      <c r="L569" s="404">
        <v>365</v>
      </c>
      <c r="M569" s="404">
        <v>329743</v>
      </c>
      <c r="N569" s="404">
        <v>2310415</v>
      </c>
      <c r="O569" s="404">
        <v>6372783.7619814929</v>
      </c>
    </row>
    <row r="570" spans="2:15" s="154" customFormat="1" hidden="1" outlineLevel="1">
      <c r="B570" s="165" t="s">
        <v>2330</v>
      </c>
      <c r="C570" s="165" t="s">
        <v>3371</v>
      </c>
      <c r="D570" s="165" t="s">
        <v>3382</v>
      </c>
      <c r="E570" s="403">
        <v>10171397.224109679</v>
      </c>
      <c r="F570" s="431">
        <v>10170337.800668713</v>
      </c>
      <c r="G570" s="404">
        <v>25</v>
      </c>
      <c r="H570" s="405">
        <v>51225</v>
      </c>
      <c r="I570" s="404">
        <v>9132</v>
      </c>
      <c r="J570" s="404">
        <v>9131</v>
      </c>
      <c r="K570" s="406">
        <v>9661767.939463228</v>
      </c>
      <c r="L570" s="404">
        <v>365</v>
      </c>
      <c r="M570" s="404">
        <v>386217</v>
      </c>
      <c r="N570" s="404">
        <v>2706113</v>
      </c>
      <c r="O570" s="404">
        <v>7464224.8006687127</v>
      </c>
    </row>
    <row r="571" spans="2:15" s="154" customFormat="1" hidden="1" outlineLevel="1">
      <c r="B571" s="165" t="s">
        <v>2330</v>
      </c>
      <c r="C571" s="165" t="s">
        <v>3371</v>
      </c>
      <c r="D571" s="165" t="s">
        <v>3384</v>
      </c>
      <c r="E571" s="403">
        <v>10913200.965864718</v>
      </c>
      <c r="F571" s="431">
        <v>10912064.278176636</v>
      </c>
      <c r="G571" s="404">
        <v>25</v>
      </c>
      <c r="H571" s="405">
        <v>51225</v>
      </c>
      <c r="I571" s="404">
        <v>9132</v>
      </c>
      <c r="J571" s="404">
        <v>9131</v>
      </c>
      <c r="K571" s="406">
        <v>10366404.229883399</v>
      </c>
      <c r="L571" s="404">
        <v>365</v>
      </c>
      <c r="M571" s="404">
        <v>414384</v>
      </c>
      <c r="N571" s="404">
        <v>2903471</v>
      </c>
      <c r="O571" s="404">
        <v>8008593.2781766355</v>
      </c>
    </row>
    <row r="572" spans="2:15" s="154" customFormat="1" ht="27" hidden="1" outlineLevel="1">
      <c r="B572" s="165" t="s">
        <v>2330</v>
      </c>
      <c r="C572" s="165" t="s">
        <v>3371</v>
      </c>
      <c r="D572" s="165" t="s">
        <v>3385</v>
      </c>
      <c r="E572" s="403">
        <v>4677085.4139420213</v>
      </c>
      <c r="F572" s="431">
        <v>4676598.2620756999</v>
      </c>
      <c r="G572" s="404">
        <v>25</v>
      </c>
      <c r="H572" s="405">
        <v>51225</v>
      </c>
      <c r="I572" s="404">
        <v>9132</v>
      </c>
      <c r="J572" s="404">
        <v>9131</v>
      </c>
      <c r="K572" s="406">
        <v>4442743.9913785988</v>
      </c>
      <c r="L572" s="404">
        <v>365</v>
      </c>
      <c r="M572" s="404">
        <v>177593</v>
      </c>
      <c r="N572" s="404">
        <v>1244344</v>
      </c>
      <c r="O572" s="404">
        <v>3432254.2620756999</v>
      </c>
    </row>
    <row r="573" spans="2:15" s="154" customFormat="1" hidden="1" outlineLevel="1">
      <c r="B573" s="165" t="s">
        <v>2330</v>
      </c>
      <c r="C573" s="165" t="s">
        <v>3386</v>
      </c>
      <c r="D573" s="165" t="s">
        <v>3387</v>
      </c>
      <c r="E573" s="403">
        <v>219700458.66726699</v>
      </c>
      <c r="F573" s="431">
        <v>219677575.29927096</v>
      </c>
      <c r="G573" s="404">
        <v>30</v>
      </c>
      <c r="H573" s="405">
        <v>53051</v>
      </c>
      <c r="I573" s="404">
        <v>10958</v>
      </c>
      <c r="J573" s="404">
        <v>10957</v>
      </c>
      <c r="K573" s="406">
        <v>208692552.36590761</v>
      </c>
      <c r="L573" s="404">
        <v>365</v>
      </c>
      <c r="M573" s="404">
        <v>6951974</v>
      </c>
      <c r="N573" s="404">
        <v>48710510</v>
      </c>
      <c r="O573" s="404">
        <v>170967065.29927096</v>
      </c>
    </row>
    <row r="574" spans="2:15" s="154" customFormat="1" hidden="1" outlineLevel="1">
      <c r="B574" s="165" t="s">
        <v>2330</v>
      </c>
      <c r="C574" s="165" t="s">
        <v>3386</v>
      </c>
      <c r="D574" s="165" t="s">
        <v>3388</v>
      </c>
      <c r="E574" s="403">
        <v>55067734.472165428</v>
      </c>
      <c r="F574" s="431">
        <v>55061998.775231726</v>
      </c>
      <c r="G574" s="404">
        <v>30</v>
      </c>
      <c r="H574" s="405">
        <v>53051</v>
      </c>
      <c r="I574" s="404">
        <v>10958</v>
      </c>
      <c r="J574" s="404">
        <v>10957</v>
      </c>
      <c r="K574" s="406">
        <v>52308612.051623456</v>
      </c>
      <c r="L574" s="404">
        <v>365</v>
      </c>
      <c r="M574" s="404">
        <v>1742506</v>
      </c>
      <c r="N574" s="404">
        <v>12209246</v>
      </c>
      <c r="O574" s="404">
        <v>42852752.775231726</v>
      </c>
    </row>
    <row r="575" spans="2:15" s="154" customFormat="1" ht="27" hidden="1" outlineLevel="1">
      <c r="B575" s="165" t="s">
        <v>2330</v>
      </c>
      <c r="C575" s="165" t="s">
        <v>3419</v>
      </c>
      <c r="D575" s="165" t="s">
        <v>3420</v>
      </c>
      <c r="E575" s="403">
        <v>15509936.327095341</v>
      </c>
      <c r="F575" s="431">
        <v>15508320.856638623</v>
      </c>
      <c r="G575" s="404">
        <v>10</v>
      </c>
      <c r="H575" s="405">
        <v>45746</v>
      </c>
      <c r="I575" s="404">
        <v>3653</v>
      </c>
      <c r="J575" s="404">
        <v>3652</v>
      </c>
      <c r="K575" s="406">
        <v>14732824.040283857</v>
      </c>
      <c r="L575" s="404">
        <v>365</v>
      </c>
      <c r="M575" s="404">
        <v>1472476</v>
      </c>
      <c r="N575" s="404">
        <v>10317221</v>
      </c>
      <c r="O575" s="404">
        <v>5191099.8566386234</v>
      </c>
    </row>
    <row r="576" spans="2:15" s="154" customFormat="1" hidden="1" outlineLevel="1">
      <c r="B576" s="165" t="s">
        <v>2330</v>
      </c>
      <c r="C576" s="165" t="s">
        <v>3419</v>
      </c>
      <c r="D576" s="165" t="s">
        <v>3421</v>
      </c>
      <c r="E576" s="403">
        <v>15509936.327095341</v>
      </c>
      <c r="F576" s="431">
        <v>15508320.856638623</v>
      </c>
      <c r="G576" s="404">
        <v>10</v>
      </c>
      <c r="H576" s="405">
        <v>45746</v>
      </c>
      <c r="I576" s="404">
        <v>3653</v>
      </c>
      <c r="J576" s="404">
        <v>3652</v>
      </c>
      <c r="K576" s="406">
        <v>14732824.040283857</v>
      </c>
      <c r="L576" s="404">
        <v>365</v>
      </c>
      <c r="M576" s="404">
        <v>1472476</v>
      </c>
      <c r="N576" s="404">
        <v>10317221</v>
      </c>
      <c r="O576" s="404">
        <v>5191099.8566386234</v>
      </c>
    </row>
    <row r="577" spans="2:15" s="154" customFormat="1" hidden="1" outlineLevel="1">
      <c r="B577" s="165" t="s">
        <v>2330</v>
      </c>
      <c r="C577" s="165" t="s">
        <v>3419</v>
      </c>
      <c r="D577" s="165" t="s">
        <v>3422</v>
      </c>
      <c r="E577" s="403">
        <v>21886768.389303539</v>
      </c>
      <c r="F577" s="431">
        <v>21884488.726423573</v>
      </c>
      <c r="G577" s="404">
        <v>10</v>
      </c>
      <c r="H577" s="405">
        <v>45746</v>
      </c>
      <c r="I577" s="404">
        <v>3653</v>
      </c>
      <c r="J577" s="404">
        <v>3652</v>
      </c>
      <c r="K577" s="406">
        <v>20790150.306958396</v>
      </c>
      <c r="L577" s="404">
        <v>365</v>
      </c>
      <c r="M577" s="404">
        <v>2077876</v>
      </c>
      <c r="N577" s="404">
        <v>14559088</v>
      </c>
      <c r="O577" s="404">
        <v>7325400.7264235727</v>
      </c>
    </row>
    <row r="578" spans="2:15" s="154" customFormat="1" hidden="1" outlineLevel="1">
      <c r="B578" s="165" t="s">
        <v>2330</v>
      </c>
      <c r="C578" s="165" t="s">
        <v>3419</v>
      </c>
      <c r="D578" s="165" t="s">
        <v>3423</v>
      </c>
      <c r="E578" s="403">
        <v>5374030.0662268754</v>
      </c>
      <c r="F578" s="431">
        <v>5373470.3227245854</v>
      </c>
      <c r="G578" s="404">
        <v>25</v>
      </c>
      <c r="H578" s="405">
        <v>51225</v>
      </c>
      <c r="I578" s="404">
        <v>9132</v>
      </c>
      <c r="J578" s="404">
        <v>9131</v>
      </c>
      <c r="K578" s="406">
        <v>5104768.8194132419</v>
      </c>
      <c r="L578" s="404">
        <v>365</v>
      </c>
      <c r="M578" s="404">
        <v>204057</v>
      </c>
      <c r="N578" s="404">
        <v>1429769</v>
      </c>
      <c r="O578" s="404">
        <v>3943701.3227245854</v>
      </c>
    </row>
    <row r="579" spans="2:15" s="154" customFormat="1" hidden="1" outlineLevel="1">
      <c r="B579" s="165" t="s">
        <v>2330</v>
      </c>
      <c r="C579" s="165" t="s">
        <v>3419</v>
      </c>
      <c r="D579" s="165" t="s">
        <v>3424</v>
      </c>
      <c r="E579" s="403">
        <v>21213321.421124253</v>
      </c>
      <c r="F579" s="431">
        <v>21211111.902508389</v>
      </c>
      <c r="G579" s="404">
        <v>15</v>
      </c>
      <c r="H579" s="405">
        <v>47572</v>
      </c>
      <c r="I579" s="404">
        <v>5479</v>
      </c>
      <c r="J579" s="404">
        <v>5478</v>
      </c>
      <c r="K579" s="406">
        <v>20150445.831452176</v>
      </c>
      <c r="L579" s="404">
        <v>365</v>
      </c>
      <c r="M579" s="404">
        <v>1342627</v>
      </c>
      <c r="N579" s="404">
        <v>9407407</v>
      </c>
      <c r="O579" s="404">
        <v>11803704.902508389</v>
      </c>
    </row>
    <row r="580" spans="2:15" s="154" customFormat="1" hidden="1" outlineLevel="1">
      <c r="B580" s="165"/>
      <c r="C580" s="165"/>
      <c r="D580" s="165"/>
      <c r="E580" s="403"/>
      <c r="F580" s="432"/>
      <c r="G580" s="404"/>
      <c r="H580" s="405"/>
      <c r="I580" s="404"/>
      <c r="J580" s="404"/>
      <c r="K580" s="404"/>
      <c r="L580" s="404"/>
      <c r="M580" s="404"/>
      <c r="N580" s="404"/>
      <c r="O580" s="404"/>
    </row>
    <row r="581" spans="2:15" s="154" customFormat="1" ht="14.25" hidden="1">
      <c r="B581" s="411" t="s">
        <v>1837</v>
      </c>
      <c r="C581" s="165"/>
      <c r="D581" s="165"/>
      <c r="E581" s="412">
        <v>2208043834.7172823</v>
      </c>
      <c r="F581" s="433">
        <f>SUBTOTAL(9,F481:F580)</f>
        <v>2109467001.7796092</v>
      </c>
      <c r="G581" s="404"/>
      <c r="H581" s="405"/>
      <c r="I581" s="404"/>
      <c r="J581" s="404"/>
      <c r="K581" s="404"/>
      <c r="L581" s="404"/>
      <c r="M581" s="413">
        <f t="shared" ref="M581:O581" si="7">SUBTOTAL(9,M481:M580)</f>
        <v>87519106</v>
      </c>
      <c r="N581" s="413">
        <f t="shared" si="7"/>
        <v>644311413</v>
      </c>
      <c r="O581" s="413">
        <f t="shared" si="7"/>
        <v>1465155588.7796097</v>
      </c>
    </row>
    <row r="582" spans="2:15" s="154" customFormat="1" hidden="1">
      <c r="B582" s="165"/>
      <c r="C582" s="165"/>
      <c r="D582" s="165"/>
      <c r="E582" s="403"/>
      <c r="F582" s="435"/>
      <c r="G582" s="404"/>
      <c r="H582" s="405"/>
      <c r="I582" s="404"/>
      <c r="J582" s="404"/>
      <c r="K582" s="404"/>
      <c r="L582" s="404"/>
      <c r="M582" s="404"/>
      <c r="N582" s="404"/>
      <c r="O582" s="404"/>
    </row>
    <row r="583" spans="2:15" s="154" customFormat="1" ht="14.25" hidden="1">
      <c r="B583" s="411" t="s">
        <v>2331</v>
      </c>
      <c r="C583" s="165"/>
      <c r="D583" s="165"/>
      <c r="E583" s="403"/>
      <c r="F583" s="432"/>
      <c r="G583" s="404"/>
      <c r="H583" s="405"/>
      <c r="I583" s="404"/>
      <c r="J583" s="404"/>
      <c r="K583" s="404"/>
      <c r="L583" s="404"/>
      <c r="M583" s="404"/>
      <c r="N583" s="404"/>
      <c r="O583" s="404"/>
    </row>
    <row r="584" spans="2:15" s="154" customFormat="1" hidden="1" outlineLevel="1">
      <c r="B584" s="165" t="s">
        <v>2331</v>
      </c>
      <c r="C584" s="165" t="s">
        <v>2331</v>
      </c>
      <c r="D584" s="165"/>
      <c r="E584" s="403">
        <v>1080756575.4502404</v>
      </c>
      <c r="F584" s="431">
        <v>1020414336.9146513</v>
      </c>
      <c r="G584" s="404">
        <v>25</v>
      </c>
      <c r="H584" s="405">
        <v>50738</v>
      </c>
      <c r="I584" s="404">
        <v>9131</v>
      </c>
      <c r="J584" s="404">
        <v>8645</v>
      </c>
      <c r="K584" s="406">
        <v>966376508.1421392</v>
      </c>
      <c r="L584" s="404">
        <v>365</v>
      </c>
      <c r="M584" s="404">
        <v>40801322</v>
      </c>
      <c r="N584" s="404">
        <v>286287730</v>
      </c>
      <c r="O584" s="404">
        <v>734126606.91465116</v>
      </c>
    </row>
    <row r="585" spans="2:15" s="154" customFormat="1" hidden="1" outlineLevel="1">
      <c r="B585" s="165"/>
      <c r="C585" s="165" t="s">
        <v>3439</v>
      </c>
      <c r="D585" s="165"/>
      <c r="E585" s="403">
        <v>2721837.2879416095</v>
      </c>
      <c r="F585" s="431">
        <v>2569868.0399364973</v>
      </c>
      <c r="G585" s="404">
        <v>25</v>
      </c>
      <c r="H585" s="405">
        <v>50738</v>
      </c>
      <c r="I585" s="404">
        <v>9131</v>
      </c>
      <c r="J585" s="404">
        <v>8645</v>
      </c>
      <c r="K585" s="406">
        <v>2433776.1755394172</v>
      </c>
      <c r="L585" s="404">
        <v>365</v>
      </c>
      <c r="M585" s="404">
        <v>102756</v>
      </c>
      <c r="N585" s="404">
        <v>721002</v>
      </c>
      <c r="O585" s="404">
        <v>1848866.0399364978</v>
      </c>
    </row>
    <row r="586" spans="2:15" s="154" customFormat="1" hidden="1" outlineLevel="1">
      <c r="B586" s="165"/>
      <c r="C586" s="165"/>
      <c r="D586" s="165"/>
      <c r="E586" s="403"/>
      <c r="F586" s="432"/>
      <c r="G586" s="404"/>
      <c r="H586" s="405"/>
      <c r="I586" s="404"/>
      <c r="J586" s="404"/>
      <c r="K586" s="404"/>
      <c r="L586" s="404"/>
      <c r="M586" s="404"/>
      <c r="N586" s="404"/>
      <c r="O586" s="404"/>
    </row>
    <row r="587" spans="2:15" s="154" customFormat="1" ht="14.25" hidden="1">
      <c r="B587" s="411" t="s">
        <v>1837</v>
      </c>
      <c r="C587" s="165"/>
      <c r="D587" s="165"/>
      <c r="E587" s="412">
        <v>1083478412.7381821</v>
      </c>
      <c r="F587" s="433">
        <f>SUBTOTAL(9,F584:F586)</f>
        <v>1022984204.9545878</v>
      </c>
      <c r="G587" s="404"/>
      <c r="H587" s="405"/>
      <c r="I587" s="404"/>
      <c r="J587" s="404"/>
      <c r="K587" s="404"/>
      <c r="L587" s="404"/>
      <c r="M587" s="413">
        <f t="shared" ref="M587:O587" si="8">SUBTOTAL(9,M584:M586)</f>
        <v>40904078</v>
      </c>
      <c r="N587" s="413">
        <f t="shared" si="8"/>
        <v>287008732</v>
      </c>
      <c r="O587" s="413">
        <f t="shared" si="8"/>
        <v>735975472.9545877</v>
      </c>
    </row>
    <row r="588" spans="2:15" s="154" customFormat="1" hidden="1">
      <c r="B588" s="165"/>
      <c r="C588" s="165"/>
      <c r="D588" s="165"/>
      <c r="E588" s="403"/>
      <c r="F588" s="434"/>
      <c r="G588" s="404"/>
      <c r="H588" s="405"/>
      <c r="I588" s="404"/>
      <c r="J588" s="404"/>
      <c r="K588" s="404"/>
      <c r="L588" s="404"/>
      <c r="M588" s="404"/>
      <c r="N588" s="404"/>
      <c r="O588" s="404"/>
    </row>
    <row r="589" spans="2:15" s="154" customFormat="1" ht="14.25" hidden="1">
      <c r="B589" s="411" t="s">
        <v>2332</v>
      </c>
      <c r="C589" s="165"/>
      <c r="D589" s="165"/>
      <c r="E589" s="403"/>
      <c r="F589" s="432"/>
      <c r="G589" s="404"/>
      <c r="H589" s="405"/>
      <c r="I589" s="404"/>
      <c r="J589" s="404"/>
      <c r="K589" s="404"/>
      <c r="L589" s="404"/>
      <c r="M589" s="404"/>
      <c r="N589" s="404"/>
      <c r="O589" s="404"/>
    </row>
    <row r="590" spans="2:15" s="154" customFormat="1" hidden="1" outlineLevel="1">
      <c r="B590" s="165" t="s">
        <v>2332</v>
      </c>
      <c r="C590" s="165" t="s">
        <v>3440</v>
      </c>
      <c r="D590" s="165" t="s">
        <v>3440</v>
      </c>
      <c r="E590" s="403">
        <v>49650508.287241831</v>
      </c>
      <c r="F590" s="431">
        <v>46874968.037996598</v>
      </c>
      <c r="G590" s="404">
        <v>30</v>
      </c>
      <c r="H590" s="405">
        <v>52564</v>
      </c>
      <c r="I590" s="404">
        <v>10957</v>
      </c>
      <c r="J590" s="404">
        <v>10471</v>
      </c>
      <c r="K590" s="406">
        <v>44392442.623634502</v>
      </c>
      <c r="L590" s="404">
        <v>365</v>
      </c>
      <c r="M590" s="404">
        <v>1547440</v>
      </c>
      <c r="N590" s="404">
        <v>10859848</v>
      </c>
      <c r="O590" s="404">
        <v>36015120.037996598</v>
      </c>
    </row>
    <row r="591" spans="2:15" s="154" customFormat="1" hidden="1" outlineLevel="1">
      <c r="B591" s="165" t="s">
        <v>2332</v>
      </c>
      <c r="C591" s="165" t="s">
        <v>3440</v>
      </c>
      <c r="D591" s="165" t="s">
        <v>3440</v>
      </c>
      <c r="E591" s="403">
        <v>21278790.819341343</v>
      </c>
      <c r="F591" s="431">
        <v>20089273.50748121</v>
      </c>
      <c r="G591" s="404">
        <v>25</v>
      </c>
      <c r="H591" s="405">
        <v>50738</v>
      </c>
      <c r="I591" s="404">
        <v>9131</v>
      </c>
      <c r="J591" s="404">
        <v>8645</v>
      </c>
      <c r="K591" s="406">
        <v>19025333.966514148</v>
      </c>
      <c r="L591" s="404">
        <v>365</v>
      </c>
      <c r="M591" s="404">
        <v>803267</v>
      </c>
      <c r="N591" s="404">
        <v>5637284</v>
      </c>
      <c r="O591" s="404">
        <v>14451989.507481214</v>
      </c>
    </row>
    <row r="592" spans="2:15" s="154" customFormat="1" hidden="1" outlineLevel="1">
      <c r="B592" s="165"/>
      <c r="C592" s="165"/>
      <c r="D592" s="165"/>
      <c r="E592" s="403"/>
      <c r="F592" s="432"/>
      <c r="G592" s="404"/>
      <c r="H592" s="405"/>
      <c r="I592" s="404"/>
      <c r="J592" s="404"/>
      <c r="K592" s="404"/>
      <c r="L592" s="404"/>
      <c r="M592" s="404"/>
      <c r="N592" s="404"/>
      <c r="O592" s="404"/>
    </row>
    <row r="593" spans="2:15" s="154" customFormat="1" hidden="1" outlineLevel="1">
      <c r="B593" s="165" t="s">
        <v>2332</v>
      </c>
      <c r="C593" s="165" t="s">
        <v>3441</v>
      </c>
      <c r="D593" s="165" t="s">
        <v>3266</v>
      </c>
      <c r="E593" s="403">
        <v>60909274.559162423</v>
      </c>
      <c r="F593" s="431">
        <v>57504351.844256066</v>
      </c>
      <c r="G593" s="404">
        <v>30</v>
      </c>
      <c r="H593" s="405">
        <v>52564</v>
      </c>
      <c r="I593" s="404">
        <v>10957</v>
      </c>
      <c r="J593" s="404">
        <v>10471</v>
      </c>
      <c r="K593" s="406">
        <v>54458888.116297945</v>
      </c>
      <c r="L593" s="404">
        <v>365</v>
      </c>
      <c r="M593" s="404">
        <v>1898338</v>
      </c>
      <c r="N593" s="404">
        <v>13322431</v>
      </c>
      <c r="O593" s="404">
        <v>44181920.844256066</v>
      </c>
    </row>
    <row r="594" spans="2:15" s="154" customFormat="1" hidden="1" outlineLevel="1">
      <c r="B594" s="165" t="s">
        <v>2332</v>
      </c>
      <c r="C594" s="165" t="s">
        <v>3441</v>
      </c>
      <c r="D594" s="165" t="s">
        <v>3442</v>
      </c>
      <c r="E594" s="403">
        <v>121818473.84972195</v>
      </c>
      <c r="F594" s="431">
        <v>115008632.74688663</v>
      </c>
      <c r="G594" s="404">
        <v>25</v>
      </c>
      <c r="H594" s="405">
        <v>50738</v>
      </c>
      <c r="I594" s="404">
        <v>9131</v>
      </c>
      <c r="J594" s="404">
        <v>8645</v>
      </c>
      <c r="K594" s="406">
        <v>108917709.05440053</v>
      </c>
      <c r="L594" s="404">
        <v>365</v>
      </c>
      <c r="M594" s="404">
        <v>4598608</v>
      </c>
      <c r="N594" s="404">
        <v>32272778</v>
      </c>
      <c r="O594" s="404">
        <v>82735854.746886626</v>
      </c>
    </row>
    <row r="595" spans="2:15" s="154" customFormat="1" hidden="1" outlineLevel="1">
      <c r="B595" s="165" t="s">
        <v>2332</v>
      </c>
      <c r="C595" s="165" t="s">
        <v>3441</v>
      </c>
      <c r="D595" s="165" t="s">
        <v>3443</v>
      </c>
      <c r="E595" s="403">
        <v>60139906.51375033</v>
      </c>
      <c r="F595" s="431">
        <v>56777992.689854108</v>
      </c>
      <c r="G595" s="404">
        <v>30</v>
      </c>
      <c r="H595" s="405">
        <v>52564</v>
      </c>
      <c r="I595" s="404">
        <v>10957</v>
      </c>
      <c r="J595" s="404">
        <v>10471</v>
      </c>
      <c r="K595" s="406">
        <v>53770997.364166602</v>
      </c>
      <c r="L595" s="404">
        <v>365</v>
      </c>
      <c r="M595" s="404">
        <v>1874359</v>
      </c>
      <c r="N595" s="404">
        <v>13154148</v>
      </c>
      <c r="O595" s="404">
        <v>43623844.689854115</v>
      </c>
    </row>
    <row r="596" spans="2:15" s="154" customFormat="1" hidden="1" outlineLevel="1">
      <c r="B596" s="165" t="s">
        <v>2332</v>
      </c>
      <c r="C596" s="165" t="s">
        <v>3441</v>
      </c>
      <c r="D596" s="165" t="s">
        <v>3444</v>
      </c>
      <c r="E596" s="403">
        <v>62101487.336076289</v>
      </c>
      <c r="F596" s="431">
        <v>58629918.151831828</v>
      </c>
      <c r="G596" s="404">
        <v>20</v>
      </c>
      <c r="H596" s="405">
        <v>48912</v>
      </c>
      <c r="I596" s="404">
        <v>7305</v>
      </c>
      <c r="J596" s="404">
        <v>6819</v>
      </c>
      <c r="K596" s="406">
        <v>55524843.785028011</v>
      </c>
      <c r="L596" s="404">
        <v>365</v>
      </c>
      <c r="M596" s="404">
        <v>2972073</v>
      </c>
      <c r="N596" s="404">
        <v>20857845</v>
      </c>
      <c r="O596" s="404">
        <v>37772073.151831828</v>
      </c>
    </row>
    <row r="597" spans="2:15" s="154" customFormat="1" hidden="1" outlineLevel="1">
      <c r="B597" s="165" t="s">
        <v>2332</v>
      </c>
      <c r="C597" s="165" t="s">
        <v>3441</v>
      </c>
      <c r="D597" s="165" t="s">
        <v>3445</v>
      </c>
      <c r="E597" s="403">
        <v>37560705.739549711</v>
      </c>
      <c r="F597" s="431">
        <v>35461004.240215495</v>
      </c>
      <c r="G597" s="404">
        <v>25</v>
      </c>
      <c r="H597" s="405">
        <v>50738</v>
      </c>
      <c r="I597" s="404">
        <v>9131</v>
      </c>
      <c r="J597" s="404">
        <v>8645</v>
      </c>
      <c r="K597" s="406">
        <v>33582968.95323801</v>
      </c>
      <c r="L597" s="404">
        <v>365</v>
      </c>
      <c r="M597" s="404">
        <v>1417904</v>
      </c>
      <c r="N597" s="404">
        <v>9950773</v>
      </c>
      <c r="O597" s="404">
        <v>25510231.240215495</v>
      </c>
    </row>
    <row r="598" spans="2:15" s="154" customFormat="1" hidden="1" outlineLevel="1">
      <c r="B598" s="165" t="s">
        <v>2332</v>
      </c>
      <c r="C598" s="165" t="s">
        <v>3441</v>
      </c>
      <c r="D598" s="165" t="s">
        <v>3446</v>
      </c>
      <c r="E598" s="403">
        <v>37560705.739549711</v>
      </c>
      <c r="F598" s="431">
        <v>35461004.240215495</v>
      </c>
      <c r="G598" s="404">
        <v>25</v>
      </c>
      <c r="H598" s="405">
        <v>50738</v>
      </c>
      <c r="I598" s="404">
        <v>9131</v>
      </c>
      <c r="J598" s="404">
        <v>8645</v>
      </c>
      <c r="K598" s="406">
        <v>33582968.95323801</v>
      </c>
      <c r="L598" s="404">
        <v>365</v>
      </c>
      <c r="M598" s="404">
        <v>1417904</v>
      </c>
      <c r="N598" s="404">
        <v>9950773</v>
      </c>
      <c r="O598" s="404">
        <v>25510231.240215495</v>
      </c>
    </row>
    <row r="599" spans="2:15" s="154" customFormat="1" hidden="1" outlineLevel="1">
      <c r="B599" s="165" t="s">
        <v>2332</v>
      </c>
      <c r="C599" s="165" t="s">
        <v>3441</v>
      </c>
      <c r="D599" s="165" t="s">
        <v>3447</v>
      </c>
      <c r="E599" s="403">
        <v>31525721.322402894</v>
      </c>
      <c r="F599" s="431">
        <v>29763384.710509371</v>
      </c>
      <c r="G599" s="404">
        <v>25</v>
      </c>
      <c r="H599" s="405">
        <v>50738</v>
      </c>
      <c r="I599" s="404">
        <v>9131</v>
      </c>
      <c r="J599" s="404">
        <v>8645</v>
      </c>
      <c r="K599" s="406">
        <v>28187098.644389223</v>
      </c>
      <c r="L599" s="404">
        <v>365</v>
      </c>
      <c r="M599" s="404">
        <v>1190086</v>
      </c>
      <c r="N599" s="404">
        <v>8351957</v>
      </c>
      <c r="O599" s="404">
        <v>21411427.710509367</v>
      </c>
    </row>
    <row r="600" spans="2:15" s="154" customFormat="1" ht="27" hidden="1" outlineLevel="1">
      <c r="B600" s="165" t="s">
        <v>2332</v>
      </c>
      <c r="C600" s="165" t="s">
        <v>3441</v>
      </c>
      <c r="D600" s="165" t="s">
        <v>3448</v>
      </c>
      <c r="E600" s="403">
        <v>143832.80116493275</v>
      </c>
      <c r="F600" s="431">
        <v>135792.29661834717</v>
      </c>
      <c r="G600" s="404">
        <v>25</v>
      </c>
      <c r="H600" s="405">
        <v>50738</v>
      </c>
      <c r="I600" s="404">
        <v>9131</v>
      </c>
      <c r="J600" s="404">
        <v>8645</v>
      </c>
      <c r="K600" s="406">
        <v>128600.65656010053</v>
      </c>
      <c r="L600" s="404">
        <v>365</v>
      </c>
      <c r="M600" s="404">
        <v>5430</v>
      </c>
      <c r="N600" s="404">
        <v>38107</v>
      </c>
      <c r="O600" s="404">
        <v>97685.296618347173</v>
      </c>
    </row>
    <row r="601" spans="2:15" s="154" customFormat="1" hidden="1" outlineLevel="1">
      <c r="B601" s="165" t="s">
        <v>2332</v>
      </c>
      <c r="C601" s="165" t="s">
        <v>3441</v>
      </c>
      <c r="D601" s="165" t="s">
        <v>3049</v>
      </c>
      <c r="E601" s="403">
        <v>31594947.572359778</v>
      </c>
      <c r="F601" s="431">
        <v>29828741.088164035</v>
      </c>
      <c r="G601" s="404">
        <v>15</v>
      </c>
      <c r="H601" s="405">
        <v>47086</v>
      </c>
      <c r="I601" s="404">
        <v>5479</v>
      </c>
      <c r="J601" s="404">
        <v>4993</v>
      </c>
      <c r="K601" s="406">
        <v>28248993.709546052</v>
      </c>
      <c r="L601" s="404">
        <v>365</v>
      </c>
      <c r="M601" s="404">
        <v>2065068</v>
      </c>
      <c r="N601" s="404">
        <v>14492533</v>
      </c>
      <c r="O601" s="404">
        <v>15336208.088164039</v>
      </c>
    </row>
    <row r="602" spans="2:15" s="154" customFormat="1" hidden="1" outlineLevel="1">
      <c r="B602" s="165" t="s">
        <v>2332</v>
      </c>
      <c r="C602" s="165" t="s">
        <v>3441</v>
      </c>
      <c r="D602" s="165" t="s">
        <v>3449</v>
      </c>
      <c r="E602" s="403">
        <v>19244127.655257966</v>
      </c>
      <c r="F602" s="431">
        <v>18168351.187524594</v>
      </c>
      <c r="G602" s="404">
        <v>10</v>
      </c>
      <c r="H602" s="405">
        <v>45259</v>
      </c>
      <c r="I602" s="404">
        <v>3652</v>
      </c>
      <c r="J602" s="404">
        <v>3166</v>
      </c>
      <c r="K602" s="406">
        <v>17206144.804761697</v>
      </c>
      <c r="L602" s="404">
        <v>365</v>
      </c>
      <c r="M602" s="404">
        <v>1983652</v>
      </c>
      <c r="N602" s="404">
        <v>13921161</v>
      </c>
      <c r="O602" s="404">
        <v>4247190.1875245944</v>
      </c>
    </row>
    <row r="603" spans="2:15" s="154" customFormat="1" hidden="1" outlineLevel="1">
      <c r="B603" s="165" t="s">
        <v>2332</v>
      </c>
      <c r="C603" s="165" t="s">
        <v>3441</v>
      </c>
      <c r="D603" s="165" t="s">
        <v>3047</v>
      </c>
      <c r="E603" s="403">
        <v>10711929.459031161</v>
      </c>
      <c r="F603" s="431">
        <v>10113116.045578606</v>
      </c>
      <c r="G603" s="404">
        <v>25</v>
      </c>
      <c r="H603" s="405">
        <v>50738</v>
      </c>
      <c r="I603" s="404">
        <v>9131</v>
      </c>
      <c r="J603" s="404">
        <v>8645</v>
      </c>
      <c r="K603" s="406">
        <v>9577519.5726270471</v>
      </c>
      <c r="L603" s="404">
        <v>365</v>
      </c>
      <c r="M603" s="404">
        <v>404372</v>
      </c>
      <c r="N603" s="404">
        <v>2837860</v>
      </c>
      <c r="O603" s="404">
        <v>7275256.0455786046</v>
      </c>
    </row>
    <row r="604" spans="2:15" s="154" customFormat="1" hidden="1" outlineLevel="1">
      <c r="B604" s="165" t="s">
        <v>2332</v>
      </c>
      <c r="C604" s="165" t="s">
        <v>3441</v>
      </c>
      <c r="D604" s="165" t="s">
        <v>3450</v>
      </c>
      <c r="E604" s="403">
        <v>6415905.7337494334</v>
      </c>
      <c r="F604" s="431">
        <v>6057246.656080883</v>
      </c>
      <c r="G604" s="404">
        <v>10</v>
      </c>
      <c r="H604" s="405">
        <v>45259</v>
      </c>
      <c r="I604" s="404">
        <v>3652</v>
      </c>
      <c r="J604" s="404">
        <v>3166</v>
      </c>
      <c r="K604" s="406">
        <v>5736451.3693934111</v>
      </c>
      <c r="L604" s="404">
        <v>365</v>
      </c>
      <c r="M604" s="404">
        <v>661341</v>
      </c>
      <c r="N604" s="404">
        <v>4641255</v>
      </c>
      <c r="O604" s="404">
        <v>1415991.656080883</v>
      </c>
    </row>
    <row r="605" spans="2:15" s="154" customFormat="1" hidden="1" outlineLevel="1">
      <c r="B605" s="165" t="s">
        <v>2332</v>
      </c>
      <c r="C605" s="165" t="s">
        <v>3451</v>
      </c>
      <c r="D605" s="165" t="s">
        <v>3452</v>
      </c>
      <c r="E605" s="403">
        <v>87424740.701664269</v>
      </c>
      <c r="F605" s="431">
        <v>82537562.44784984</v>
      </c>
      <c r="G605" s="404">
        <v>30</v>
      </c>
      <c r="H605" s="405">
        <v>52564</v>
      </c>
      <c r="I605" s="404">
        <v>10957</v>
      </c>
      <c r="J605" s="404">
        <v>10471</v>
      </c>
      <c r="K605" s="406">
        <v>78166325.412766621</v>
      </c>
      <c r="L605" s="404">
        <v>365</v>
      </c>
      <c r="M605" s="404">
        <v>2724736</v>
      </c>
      <c r="N605" s="404">
        <v>19122047</v>
      </c>
      <c r="O605" s="404">
        <v>63415515.44784984</v>
      </c>
    </row>
    <row r="606" spans="2:15" s="154" customFormat="1" ht="27" hidden="1" outlineLevel="1">
      <c r="B606" s="165" t="s">
        <v>2332</v>
      </c>
      <c r="C606" s="165" t="s">
        <v>3453</v>
      </c>
      <c r="D606" s="165" t="s">
        <v>3454</v>
      </c>
      <c r="E606" s="403">
        <v>20126842.470399275</v>
      </c>
      <c r="F606" s="431">
        <v>19001720.839239582</v>
      </c>
      <c r="G606" s="404">
        <v>30</v>
      </c>
      <c r="H606" s="405">
        <v>52564</v>
      </c>
      <c r="I606" s="404">
        <v>10957</v>
      </c>
      <c r="J606" s="404">
        <v>10471</v>
      </c>
      <c r="K606" s="406">
        <v>17995378.715719618</v>
      </c>
      <c r="L606" s="404">
        <v>365</v>
      </c>
      <c r="M606" s="404">
        <v>627286</v>
      </c>
      <c r="N606" s="404">
        <v>4402259</v>
      </c>
      <c r="O606" s="404">
        <v>14599461.839239582</v>
      </c>
    </row>
    <row r="607" spans="2:15" s="154" customFormat="1" hidden="1" outlineLevel="1">
      <c r="B607" s="165" t="s">
        <v>2332</v>
      </c>
      <c r="C607" s="165" t="s">
        <v>3453</v>
      </c>
      <c r="D607" s="165" t="s">
        <v>3455</v>
      </c>
      <c r="E607" s="403">
        <v>608801189.60497928</v>
      </c>
      <c r="F607" s="431">
        <v>574768261.35928786</v>
      </c>
      <c r="G607" s="404">
        <v>30</v>
      </c>
      <c r="H607" s="405">
        <v>52564</v>
      </c>
      <c r="I607" s="404">
        <v>10957</v>
      </c>
      <c r="J607" s="404">
        <v>10471</v>
      </c>
      <c r="K607" s="406">
        <v>544328201.87903893</v>
      </c>
      <c r="L607" s="404">
        <v>365</v>
      </c>
      <c r="M607" s="404">
        <v>18974290</v>
      </c>
      <c r="N607" s="404">
        <v>133160525</v>
      </c>
      <c r="O607" s="404">
        <v>441607736.35928786</v>
      </c>
    </row>
    <row r="608" spans="2:15" s="154" customFormat="1" hidden="1" outlineLevel="1">
      <c r="B608" s="165" t="s">
        <v>2332</v>
      </c>
      <c r="C608" s="165" t="s">
        <v>3453</v>
      </c>
      <c r="D608" s="165" t="s">
        <v>3456</v>
      </c>
      <c r="E608" s="403">
        <v>608801189.60497928</v>
      </c>
      <c r="F608" s="431">
        <v>574768261.35928786</v>
      </c>
      <c r="G608" s="404">
        <v>30</v>
      </c>
      <c r="H608" s="405">
        <v>52564</v>
      </c>
      <c r="I608" s="404">
        <v>10957</v>
      </c>
      <c r="J608" s="404">
        <v>10471</v>
      </c>
      <c r="K608" s="406">
        <v>544328201.87903893</v>
      </c>
      <c r="L608" s="404">
        <v>365</v>
      </c>
      <c r="M608" s="404">
        <v>18974290</v>
      </c>
      <c r="N608" s="404">
        <v>133160525</v>
      </c>
      <c r="O608" s="404">
        <v>441607736.35928786</v>
      </c>
    </row>
    <row r="609" spans="2:15" s="154" customFormat="1" hidden="1" outlineLevel="1">
      <c r="B609" s="165" t="s">
        <v>2332</v>
      </c>
      <c r="C609" s="165" t="s">
        <v>3453</v>
      </c>
      <c r="D609" s="165" t="s">
        <v>3457</v>
      </c>
      <c r="E609" s="403">
        <v>111398909.28964633</v>
      </c>
      <c r="F609" s="431">
        <v>105171537.92194816</v>
      </c>
      <c r="G609" s="404">
        <v>30</v>
      </c>
      <c r="H609" s="405">
        <v>52564</v>
      </c>
      <c r="I609" s="404">
        <v>10957</v>
      </c>
      <c r="J609" s="404">
        <v>10471</v>
      </c>
      <c r="K609" s="406">
        <v>99601592.457465842</v>
      </c>
      <c r="L609" s="404">
        <v>365</v>
      </c>
      <c r="M609" s="404">
        <v>3471930</v>
      </c>
      <c r="N609" s="404">
        <v>24365814</v>
      </c>
      <c r="O609" s="404">
        <v>80805723.921948165</v>
      </c>
    </row>
    <row r="610" spans="2:15" s="154" customFormat="1" hidden="1" outlineLevel="1">
      <c r="B610" s="165" t="s">
        <v>2332</v>
      </c>
      <c r="C610" s="165" t="s">
        <v>3453</v>
      </c>
      <c r="D610" s="165" t="s">
        <v>3033</v>
      </c>
      <c r="E610" s="403">
        <v>107697589.93088254</v>
      </c>
      <c r="F610" s="431">
        <v>101677128.08543019</v>
      </c>
      <c r="G610" s="404">
        <v>30</v>
      </c>
      <c r="H610" s="405">
        <v>52564</v>
      </c>
      <c r="I610" s="404">
        <v>10957</v>
      </c>
      <c r="J610" s="404">
        <v>10471</v>
      </c>
      <c r="K610" s="406">
        <v>96292248.588886067</v>
      </c>
      <c r="L610" s="404">
        <v>365</v>
      </c>
      <c r="M610" s="404">
        <v>3356573</v>
      </c>
      <c r="N610" s="404">
        <v>23556244</v>
      </c>
      <c r="O610" s="404">
        <v>78120884.08543019</v>
      </c>
    </row>
    <row r="611" spans="2:15" s="154" customFormat="1" hidden="1" outlineLevel="1">
      <c r="B611" s="165" t="s">
        <v>2332</v>
      </c>
      <c r="C611" s="165" t="s">
        <v>3453</v>
      </c>
      <c r="D611" s="165" t="s">
        <v>3458</v>
      </c>
      <c r="E611" s="403">
        <v>85818350.902094468</v>
      </c>
      <c r="F611" s="431">
        <v>81020972.371611103</v>
      </c>
      <c r="G611" s="404">
        <v>10</v>
      </c>
      <c r="H611" s="405">
        <v>45259</v>
      </c>
      <c r="I611" s="404">
        <v>3652</v>
      </c>
      <c r="J611" s="404">
        <v>3166</v>
      </c>
      <c r="K611" s="406">
        <v>76730054.826506376</v>
      </c>
      <c r="L611" s="404">
        <v>365</v>
      </c>
      <c r="M611" s="404">
        <v>8846011</v>
      </c>
      <c r="N611" s="404">
        <v>62080818</v>
      </c>
      <c r="O611" s="404">
        <v>18940154.371611103</v>
      </c>
    </row>
    <row r="612" spans="2:15" s="154" customFormat="1" hidden="1" outlineLevel="1">
      <c r="B612" s="165" t="s">
        <v>2332</v>
      </c>
      <c r="C612" s="165" t="s">
        <v>3453</v>
      </c>
      <c r="D612" s="165" t="s">
        <v>3459</v>
      </c>
      <c r="E612" s="403">
        <v>10023332.734626884</v>
      </c>
      <c r="F612" s="431">
        <v>9463012.9541265983</v>
      </c>
      <c r="G612" s="404">
        <v>10</v>
      </c>
      <c r="H612" s="405">
        <v>45259</v>
      </c>
      <c r="I612" s="404">
        <v>3652</v>
      </c>
      <c r="J612" s="404">
        <v>3166</v>
      </c>
      <c r="K612" s="406">
        <v>8961846.317395255</v>
      </c>
      <c r="L612" s="404">
        <v>365</v>
      </c>
      <c r="M612" s="404">
        <v>1033188</v>
      </c>
      <c r="N612" s="404">
        <v>7250857</v>
      </c>
      <c r="O612" s="404">
        <v>2212155.9541265983</v>
      </c>
    </row>
    <row r="613" spans="2:15" s="154" customFormat="1" hidden="1" outlineLevel="1">
      <c r="B613" s="165" t="s">
        <v>2332</v>
      </c>
      <c r="C613" s="165" t="s">
        <v>3453</v>
      </c>
      <c r="D613" s="165" t="s">
        <v>3460</v>
      </c>
      <c r="E613" s="403">
        <v>10023332.734626884</v>
      </c>
      <c r="F613" s="431">
        <v>9463012.9541265983</v>
      </c>
      <c r="G613" s="404">
        <v>10</v>
      </c>
      <c r="H613" s="405">
        <v>45259</v>
      </c>
      <c r="I613" s="404">
        <v>3652</v>
      </c>
      <c r="J613" s="404">
        <v>3166</v>
      </c>
      <c r="K613" s="406">
        <v>8961846.317395255</v>
      </c>
      <c r="L613" s="404">
        <v>365</v>
      </c>
      <c r="M613" s="404">
        <v>1033188</v>
      </c>
      <c r="N613" s="404">
        <v>7250857</v>
      </c>
      <c r="O613" s="404">
        <v>2212155.9541265983</v>
      </c>
    </row>
    <row r="614" spans="2:15" s="154" customFormat="1" hidden="1" outlineLevel="1">
      <c r="B614" s="165" t="s">
        <v>2332</v>
      </c>
      <c r="C614" s="165" t="s">
        <v>3453</v>
      </c>
      <c r="D614" s="165" t="s">
        <v>3461</v>
      </c>
      <c r="E614" s="403">
        <v>3608380.8109040228</v>
      </c>
      <c r="F614" s="431">
        <v>3406666.7145276461</v>
      </c>
      <c r="G614" s="404">
        <v>5</v>
      </c>
      <c r="H614" s="405">
        <v>43433</v>
      </c>
      <c r="I614" s="404">
        <v>1826</v>
      </c>
      <c r="J614" s="404">
        <v>1340</v>
      </c>
      <c r="K614" s="406">
        <v>3226247.6739824452</v>
      </c>
      <c r="L614" s="404">
        <v>0</v>
      </c>
      <c r="M614" s="404">
        <v>0</v>
      </c>
      <c r="N614" s="404">
        <v>3406667</v>
      </c>
      <c r="O614" s="403">
        <v>-0.28547235392034054</v>
      </c>
    </row>
    <row r="615" spans="2:15" s="154" customFormat="1" ht="27" hidden="1" outlineLevel="1">
      <c r="B615" s="165" t="s">
        <v>2332</v>
      </c>
      <c r="C615" s="165" t="s">
        <v>3453</v>
      </c>
      <c r="D615" s="165" t="s">
        <v>3462</v>
      </c>
      <c r="E615" s="403">
        <v>2405587.1087611713</v>
      </c>
      <c r="F615" s="431">
        <v>2271111.0683840467</v>
      </c>
      <c r="G615" s="404">
        <v>5</v>
      </c>
      <c r="H615" s="405">
        <v>43433</v>
      </c>
      <c r="I615" s="404">
        <v>1826</v>
      </c>
      <c r="J615" s="404">
        <v>1340</v>
      </c>
      <c r="K615" s="406">
        <v>2150831.7129459884</v>
      </c>
      <c r="L615" s="404">
        <v>0</v>
      </c>
      <c r="M615" s="404">
        <v>0</v>
      </c>
      <c r="N615" s="404">
        <v>2271111</v>
      </c>
      <c r="O615" s="404">
        <v>6.8384047131985426E-2</v>
      </c>
    </row>
    <row r="616" spans="2:15" s="154" customFormat="1" ht="27" hidden="1" outlineLevel="1">
      <c r="B616" s="165" t="s">
        <v>2332</v>
      </c>
      <c r="C616" s="165" t="s">
        <v>3453</v>
      </c>
      <c r="D616" s="165" t="s">
        <v>3463</v>
      </c>
      <c r="E616" s="403">
        <v>6013966.5191592667</v>
      </c>
      <c r="F616" s="431">
        <v>5677776.4598309044</v>
      </c>
      <c r="G616" s="404">
        <v>10</v>
      </c>
      <c r="H616" s="405">
        <v>45259</v>
      </c>
      <c r="I616" s="404">
        <v>3652</v>
      </c>
      <c r="J616" s="404">
        <v>3166</v>
      </c>
      <c r="K616" s="406">
        <v>5377078.1338729411</v>
      </c>
      <c r="L616" s="404">
        <v>365</v>
      </c>
      <c r="M616" s="404">
        <v>619910</v>
      </c>
      <c r="N616" s="404">
        <v>4350493</v>
      </c>
      <c r="O616" s="404">
        <v>1327283.4598309044</v>
      </c>
    </row>
    <row r="617" spans="2:15" s="154" customFormat="1" hidden="1" outlineLevel="1">
      <c r="B617" s="165" t="s">
        <v>2332</v>
      </c>
      <c r="C617" s="165" t="s">
        <v>3453</v>
      </c>
      <c r="D617" s="165" t="s">
        <v>3464</v>
      </c>
      <c r="E617" s="403">
        <v>37687659.030708395</v>
      </c>
      <c r="F617" s="431">
        <v>35580860.581804641</v>
      </c>
      <c r="G617" s="404">
        <v>15</v>
      </c>
      <c r="H617" s="405">
        <v>47086</v>
      </c>
      <c r="I617" s="404">
        <v>5479</v>
      </c>
      <c r="J617" s="404">
        <v>4993</v>
      </c>
      <c r="K617" s="406">
        <v>33696477.630269222</v>
      </c>
      <c r="L617" s="404">
        <v>365</v>
      </c>
      <c r="M617" s="404">
        <v>2463291</v>
      </c>
      <c r="N617" s="404">
        <v>17287242</v>
      </c>
      <c r="O617" s="404">
        <v>18293618.581804641</v>
      </c>
    </row>
    <row r="618" spans="2:15" s="154" customFormat="1" hidden="1" outlineLevel="1">
      <c r="B618" s="165" t="s">
        <v>2332</v>
      </c>
      <c r="C618" s="165" t="s">
        <v>3453</v>
      </c>
      <c r="D618" s="165" t="s">
        <v>3465</v>
      </c>
      <c r="E618" s="403">
        <v>12028011.341877567</v>
      </c>
      <c r="F618" s="431">
        <v>11355626.894310953</v>
      </c>
      <c r="G618" s="404">
        <v>10</v>
      </c>
      <c r="H618" s="405">
        <v>45259</v>
      </c>
      <c r="I618" s="404">
        <v>3652</v>
      </c>
      <c r="J618" s="404">
        <v>3166</v>
      </c>
      <c r="K618" s="406">
        <v>10754226.327217074</v>
      </c>
      <c r="L618" s="404">
        <v>365</v>
      </c>
      <c r="M618" s="404">
        <v>1239827</v>
      </c>
      <c r="N618" s="404">
        <v>8701038</v>
      </c>
      <c r="O618" s="404">
        <v>2654588.8943109531</v>
      </c>
    </row>
    <row r="619" spans="2:15" s="154" customFormat="1" hidden="1" outlineLevel="1">
      <c r="B619" s="165" t="s">
        <v>2332</v>
      </c>
      <c r="C619" s="165" t="s">
        <v>3453</v>
      </c>
      <c r="D619" s="165" t="s">
        <v>3466</v>
      </c>
      <c r="E619" s="403">
        <v>20046660.374280762</v>
      </c>
      <c r="F619" s="431">
        <v>18926021.039665423</v>
      </c>
      <c r="G619" s="404">
        <v>25</v>
      </c>
      <c r="H619" s="405">
        <v>50738</v>
      </c>
      <c r="I619" s="404">
        <v>9131</v>
      </c>
      <c r="J619" s="404">
        <v>8645</v>
      </c>
      <c r="K619" s="406">
        <v>17923688.020951383</v>
      </c>
      <c r="L619" s="404">
        <v>365</v>
      </c>
      <c r="M619" s="404">
        <v>756755</v>
      </c>
      <c r="N619" s="404">
        <v>5310865</v>
      </c>
      <c r="O619" s="404">
        <v>13615156.03966542</v>
      </c>
    </row>
    <row r="620" spans="2:15" s="154" customFormat="1" hidden="1" outlineLevel="1">
      <c r="B620" s="165" t="s">
        <v>2332</v>
      </c>
      <c r="C620" s="165" t="s">
        <v>3453</v>
      </c>
      <c r="D620" s="165" t="s">
        <v>3467</v>
      </c>
      <c r="E620" s="403">
        <v>20046660.374280762</v>
      </c>
      <c r="F620" s="431">
        <v>18926021.039665423</v>
      </c>
      <c r="G620" s="404">
        <v>20</v>
      </c>
      <c r="H620" s="405">
        <v>48912</v>
      </c>
      <c r="I620" s="404">
        <v>7305</v>
      </c>
      <c r="J620" s="404">
        <v>6819</v>
      </c>
      <c r="K620" s="406">
        <v>17923688.020951383</v>
      </c>
      <c r="L620" s="404">
        <v>365</v>
      </c>
      <c r="M620" s="404">
        <v>959400</v>
      </c>
      <c r="N620" s="404">
        <v>6733016</v>
      </c>
      <c r="O620" s="404">
        <v>12193005.03966542</v>
      </c>
    </row>
    <row r="621" spans="2:15" s="154" customFormat="1" hidden="1" outlineLevel="1">
      <c r="B621" s="165" t="s">
        <v>2332</v>
      </c>
      <c r="C621" s="165" t="s">
        <v>3453</v>
      </c>
      <c r="D621" s="165" t="s">
        <v>3468</v>
      </c>
      <c r="E621" s="403">
        <v>31072294.46061559</v>
      </c>
      <c r="F621" s="431">
        <v>29335305.137730785</v>
      </c>
      <c r="G621" s="404">
        <v>25</v>
      </c>
      <c r="H621" s="405">
        <v>50738</v>
      </c>
      <c r="I621" s="404">
        <v>9131</v>
      </c>
      <c r="J621" s="404">
        <v>8645</v>
      </c>
      <c r="K621" s="406">
        <v>27781690.414700005</v>
      </c>
      <c r="L621" s="404">
        <v>365</v>
      </c>
      <c r="M621" s="404">
        <v>1172969</v>
      </c>
      <c r="N621" s="404">
        <v>8231832</v>
      </c>
      <c r="O621" s="404">
        <v>21103473.137730785</v>
      </c>
    </row>
    <row r="622" spans="2:15" s="154" customFormat="1" hidden="1" outlineLevel="1">
      <c r="B622" s="165" t="s">
        <v>2332</v>
      </c>
      <c r="C622" s="165" t="s">
        <v>3453</v>
      </c>
      <c r="D622" s="165" t="s">
        <v>3469</v>
      </c>
      <c r="E622" s="403">
        <v>98453682.601455286</v>
      </c>
      <c r="F622" s="431">
        <v>92949969.4457324</v>
      </c>
      <c r="G622" s="404">
        <v>30</v>
      </c>
      <c r="H622" s="405">
        <v>52564</v>
      </c>
      <c r="I622" s="404">
        <v>10957</v>
      </c>
      <c r="J622" s="404">
        <v>10471</v>
      </c>
      <c r="K622" s="406">
        <v>88027285.315659642</v>
      </c>
      <c r="L622" s="404">
        <v>365</v>
      </c>
      <c r="M622" s="404">
        <v>3068471</v>
      </c>
      <c r="N622" s="404">
        <v>21534361</v>
      </c>
      <c r="O622" s="404">
        <v>71415608.4457324</v>
      </c>
    </row>
    <row r="623" spans="2:15" s="154" customFormat="1" hidden="1" outlineLevel="1">
      <c r="B623" s="165" t="s">
        <v>2332</v>
      </c>
      <c r="C623" s="165" t="s">
        <v>3453</v>
      </c>
      <c r="D623" s="165" t="s">
        <v>3470</v>
      </c>
      <c r="E623" s="403">
        <v>21282162.654759783</v>
      </c>
      <c r="F623" s="431">
        <v>20092456.889890172</v>
      </c>
      <c r="G623" s="404">
        <v>20</v>
      </c>
      <c r="H623" s="405">
        <v>48912</v>
      </c>
      <c r="I623" s="404">
        <v>7305</v>
      </c>
      <c r="J623" s="404">
        <v>6819</v>
      </c>
      <c r="K623" s="406">
        <v>19028348.757152185</v>
      </c>
      <c r="L623" s="404">
        <v>365</v>
      </c>
      <c r="M623" s="404">
        <v>1018529</v>
      </c>
      <c r="N623" s="404">
        <v>7147980</v>
      </c>
      <c r="O623" s="404">
        <v>12944476.889890175</v>
      </c>
    </row>
    <row r="624" spans="2:15" s="154" customFormat="1" hidden="1" outlineLevel="1">
      <c r="B624" s="165"/>
      <c r="C624" s="165"/>
      <c r="D624" s="165"/>
      <c r="E624" s="403"/>
      <c r="F624" s="432"/>
      <c r="G624" s="404"/>
      <c r="H624" s="405"/>
      <c r="I624" s="404"/>
      <c r="J624" s="404"/>
      <c r="K624" s="404"/>
      <c r="L624" s="404"/>
      <c r="M624" s="404"/>
      <c r="N624" s="404"/>
      <c r="O624" s="404"/>
    </row>
    <row r="625" spans="2:15" s="154" customFormat="1" hidden="1" outlineLevel="1">
      <c r="B625" s="165" t="s">
        <v>2332</v>
      </c>
      <c r="C625" s="165" t="s">
        <v>3471</v>
      </c>
      <c r="D625" s="165" t="s">
        <v>3472</v>
      </c>
      <c r="E625" s="403">
        <v>56289299.211335361</v>
      </c>
      <c r="F625" s="431">
        <v>53142640.311673522</v>
      </c>
      <c r="G625" s="404">
        <v>25</v>
      </c>
      <c r="H625" s="405">
        <v>50738</v>
      </c>
      <c r="I625" s="404">
        <v>9131</v>
      </c>
      <c r="J625" s="404">
        <v>8645</v>
      </c>
      <c r="K625" s="406">
        <v>50328175.351106755</v>
      </c>
      <c r="L625" s="404">
        <v>365</v>
      </c>
      <c r="M625" s="404">
        <v>2124903</v>
      </c>
      <c r="N625" s="404">
        <v>14912451</v>
      </c>
      <c r="O625" s="404">
        <v>38230189.311673522</v>
      </c>
    </row>
    <row r="626" spans="2:15" s="154" customFormat="1" hidden="1" outlineLevel="1">
      <c r="B626" s="165" t="s">
        <v>2332</v>
      </c>
      <c r="C626" s="165" t="s">
        <v>3471</v>
      </c>
      <c r="D626" s="165" t="s">
        <v>3473</v>
      </c>
      <c r="E626" s="403">
        <v>84433948.617140889</v>
      </c>
      <c r="F626" s="431">
        <v>79713960.3063391</v>
      </c>
      <c r="G626" s="404">
        <v>15</v>
      </c>
      <c r="H626" s="405">
        <v>47086</v>
      </c>
      <c r="I626" s="404">
        <v>5479</v>
      </c>
      <c r="J626" s="404">
        <v>4993</v>
      </c>
      <c r="K626" s="406">
        <v>75492262.875482053</v>
      </c>
      <c r="L626" s="404">
        <v>365</v>
      </c>
      <c r="M626" s="404">
        <v>5518661</v>
      </c>
      <c r="N626" s="404">
        <v>38729660</v>
      </c>
      <c r="O626" s="404">
        <v>40984300.3063391</v>
      </c>
    </row>
    <row r="627" spans="2:15" s="154" customFormat="1" hidden="1" outlineLevel="1">
      <c r="B627" s="165"/>
      <c r="C627" s="165"/>
      <c r="D627" s="165"/>
      <c r="E627" s="403"/>
      <c r="F627" s="432"/>
      <c r="G627" s="404"/>
      <c r="H627" s="405"/>
      <c r="I627" s="404"/>
      <c r="J627" s="404"/>
      <c r="K627" s="404"/>
      <c r="L627" s="404"/>
      <c r="M627" s="404"/>
      <c r="N627" s="404"/>
      <c r="O627" s="404"/>
    </row>
    <row r="628" spans="2:15" s="154" customFormat="1" hidden="1" outlineLevel="1">
      <c r="B628" s="165" t="s">
        <v>2332</v>
      </c>
      <c r="C628" s="165" t="s">
        <v>3471</v>
      </c>
      <c r="D628" s="165" t="s">
        <v>3474</v>
      </c>
      <c r="E628" s="403">
        <v>56289299.211335361</v>
      </c>
      <c r="F628" s="431">
        <v>53142640.311673522</v>
      </c>
      <c r="G628" s="404">
        <v>25</v>
      </c>
      <c r="H628" s="405">
        <v>50738</v>
      </c>
      <c r="I628" s="404">
        <v>9131</v>
      </c>
      <c r="J628" s="404">
        <v>8645</v>
      </c>
      <c r="K628" s="406">
        <v>50328175.351106755</v>
      </c>
      <c r="L628" s="404">
        <v>365</v>
      </c>
      <c r="M628" s="404">
        <v>2124903</v>
      </c>
      <c r="N628" s="404">
        <v>14912451</v>
      </c>
      <c r="O628" s="404">
        <v>38230189.311673522</v>
      </c>
    </row>
    <row r="629" spans="2:15" s="154" customFormat="1" hidden="1" outlineLevel="1">
      <c r="B629" s="165" t="s">
        <v>2332</v>
      </c>
      <c r="C629" s="165" t="s">
        <v>3471</v>
      </c>
      <c r="D629" s="165" t="s">
        <v>3475</v>
      </c>
      <c r="E629" s="403">
        <v>84433948.617140889</v>
      </c>
      <c r="F629" s="431">
        <v>79713960.3063391</v>
      </c>
      <c r="G629" s="404">
        <v>15</v>
      </c>
      <c r="H629" s="405">
        <v>47086</v>
      </c>
      <c r="I629" s="404">
        <v>5479</v>
      </c>
      <c r="J629" s="404">
        <v>4993</v>
      </c>
      <c r="K629" s="406">
        <v>75492262.875482053</v>
      </c>
      <c r="L629" s="404">
        <v>365</v>
      </c>
      <c r="M629" s="404">
        <v>5518661</v>
      </c>
      <c r="N629" s="404">
        <v>38729660</v>
      </c>
      <c r="O629" s="404">
        <v>40984300.3063391</v>
      </c>
    </row>
    <row r="630" spans="2:15" s="154" customFormat="1" hidden="1" outlineLevel="1">
      <c r="B630" s="165"/>
      <c r="C630" s="165"/>
      <c r="D630" s="165"/>
      <c r="E630" s="403"/>
      <c r="F630" s="432"/>
      <c r="G630" s="404"/>
      <c r="H630" s="405"/>
      <c r="I630" s="404"/>
      <c r="J630" s="404"/>
      <c r="K630" s="404"/>
      <c r="L630" s="404"/>
      <c r="M630" s="404"/>
      <c r="N630" s="404"/>
      <c r="O630" s="404"/>
    </row>
    <row r="631" spans="2:15" s="154" customFormat="1" hidden="1" outlineLevel="1">
      <c r="B631" s="165" t="s">
        <v>2332</v>
      </c>
      <c r="C631" s="165" t="s">
        <v>3471</v>
      </c>
      <c r="D631" s="165" t="s">
        <v>3476</v>
      </c>
      <c r="E631" s="403">
        <v>56289299.211335361</v>
      </c>
      <c r="F631" s="431">
        <v>53142640.311673522</v>
      </c>
      <c r="G631" s="404">
        <v>25</v>
      </c>
      <c r="H631" s="405">
        <v>50738</v>
      </c>
      <c r="I631" s="404">
        <v>9131</v>
      </c>
      <c r="J631" s="404">
        <v>8645</v>
      </c>
      <c r="K631" s="406">
        <v>50328175.351106755</v>
      </c>
      <c r="L631" s="404">
        <v>365</v>
      </c>
      <c r="M631" s="404">
        <v>2124903</v>
      </c>
      <c r="N631" s="404">
        <v>14912451</v>
      </c>
      <c r="O631" s="404">
        <v>38230189.311673522</v>
      </c>
    </row>
    <row r="632" spans="2:15" s="154" customFormat="1" hidden="1" outlineLevel="1">
      <c r="B632" s="165" t="s">
        <v>2332</v>
      </c>
      <c r="C632" s="165" t="s">
        <v>3471</v>
      </c>
      <c r="D632" s="165" t="s">
        <v>3477</v>
      </c>
      <c r="E632" s="403">
        <v>84433948.617140889</v>
      </c>
      <c r="F632" s="431">
        <v>79713960.3063391</v>
      </c>
      <c r="G632" s="404">
        <v>15</v>
      </c>
      <c r="H632" s="405">
        <v>47086</v>
      </c>
      <c r="I632" s="404">
        <v>5479</v>
      </c>
      <c r="J632" s="404">
        <v>4993</v>
      </c>
      <c r="K632" s="406">
        <v>75492262.875482053</v>
      </c>
      <c r="L632" s="404">
        <v>365</v>
      </c>
      <c r="M632" s="404">
        <v>5518661</v>
      </c>
      <c r="N632" s="404">
        <v>38729660</v>
      </c>
      <c r="O632" s="404">
        <v>40984300.3063391</v>
      </c>
    </row>
    <row r="633" spans="2:15" s="154" customFormat="1" hidden="1" outlineLevel="1">
      <c r="B633" s="165"/>
      <c r="C633" s="165"/>
      <c r="D633" s="165"/>
      <c r="E633" s="403"/>
      <c r="F633" s="432"/>
      <c r="G633" s="404"/>
      <c r="H633" s="405"/>
      <c r="I633" s="404"/>
      <c r="J633" s="404"/>
      <c r="K633" s="404"/>
      <c r="L633" s="404"/>
      <c r="M633" s="404"/>
      <c r="N633" s="404"/>
      <c r="O633" s="404"/>
    </row>
    <row r="634" spans="2:15" s="154" customFormat="1" hidden="1" outlineLevel="1">
      <c r="B634" s="165" t="s">
        <v>2332</v>
      </c>
      <c r="C634" s="165" t="s">
        <v>3471</v>
      </c>
      <c r="D634" s="165" t="s">
        <v>3478</v>
      </c>
      <c r="E634" s="403">
        <v>10354615.514248626</v>
      </c>
      <c r="F634" s="431">
        <v>9775776.4828743339</v>
      </c>
      <c r="G634" s="404">
        <v>25</v>
      </c>
      <c r="H634" s="405">
        <v>50738</v>
      </c>
      <c r="I634" s="404">
        <v>9131</v>
      </c>
      <c r="J634" s="404">
        <v>8645</v>
      </c>
      <c r="K634" s="406">
        <v>9258045.7071619034</v>
      </c>
      <c r="L634" s="404">
        <v>365</v>
      </c>
      <c r="M634" s="404">
        <v>390883</v>
      </c>
      <c r="N634" s="404">
        <v>2743196</v>
      </c>
      <c r="O634" s="404">
        <v>7032580.4828743339</v>
      </c>
    </row>
    <row r="635" spans="2:15" s="154" customFormat="1" hidden="1" outlineLevel="1">
      <c r="B635" s="165" t="s">
        <v>2332</v>
      </c>
      <c r="C635" s="165" t="s">
        <v>3471</v>
      </c>
      <c r="D635" s="165" t="s">
        <v>3049</v>
      </c>
      <c r="E635" s="403">
        <v>81331964.240900263</v>
      </c>
      <c r="F635" s="431">
        <v>76785381.655934796</v>
      </c>
      <c r="G635" s="404">
        <v>25</v>
      </c>
      <c r="H635" s="405">
        <v>50738</v>
      </c>
      <c r="I635" s="404">
        <v>9131</v>
      </c>
      <c r="J635" s="404">
        <v>8645</v>
      </c>
      <c r="K635" s="406">
        <v>72718783.443889782</v>
      </c>
      <c r="L635" s="404">
        <v>365</v>
      </c>
      <c r="M635" s="404">
        <v>3070255</v>
      </c>
      <c r="N635" s="404">
        <v>21546881</v>
      </c>
      <c r="O635" s="404">
        <v>55238500.655934796</v>
      </c>
    </row>
    <row r="636" spans="2:15" s="154" customFormat="1" hidden="1" outlineLevel="1">
      <c r="B636" s="165"/>
      <c r="C636" s="165"/>
      <c r="D636" s="165"/>
      <c r="E636" s="403"/>
      <c r="F636" s="432"/>
      <c r="G636" s="404"/>
      <c r="H636" s="405"/>
      <c r="I636" s="404"/>
      <c r="J636" s="404"/>
      <c r="K636" s="404"/>
      <c r="L636" s="404"/>
      <c r="M636" s="404"/>
      <c r="N636" s="404"/>
      <c r="O636" s="404"/>
    </row>
    <row r="637" spans="2:15" s="154" customFormat="1" hidden="1" outlineLevel="1">
      <c r="B637" s="165" t="s">
        <v>2332</v>
      </c>
      <c r="C637" s="165" t="s">
        <v>3479</v>
      </c>
      <c r="D637" s="165" t="s">
        <v>3480</v>
      </c>
      <c r="E637" s="403">
        <v>13649152.161549203</v>
      </c>
      <c r="F637" s="431">
        <v>12886143.48854843</v>
      </c>
      <c r="G637" s="404">
        <v>25</v>
      </c>
      <c r="H637" s="405">
        <v>50738</v>
      </c>
      <c r="I637" s="404">
        <v>9131</v>
      </c>
      <c r="J637" s="404">
        <v>8645</v>
      </c>
      <c r="K637" s="406">
        <v>12203685.880470969</v>
      </c>
      <c r="L637" s="404">
        <v>365</v>
      </c>
      <c r="M637" s="404">
        <v>515251</v>
      </c>
      <c r="N637" s="404">
        <v>3616004</v>
      </c>
      <c r="O637" s="404">
        <v>9270139.4885484297</v>
      </c>
    </row>
    <row r="638" spans="2:15" s="154" customFormat="1" hidden="1" outlineLevel="1">
      <c r="B638" s="165" t="s">
        <v>2332</v>
      </c>
      <c r="C638" s="165" t="s">
        <v>3479</v>
      </c>
      <c r="D638" s="165" t="s">
        <v>3481</v>
      </c>
      <c r="E638" s="403">
        <v>20473723.40128047</v>
      </c>
      <c r="F638" s="431">
        <v>19329210.576484524</v>
      </c>
      <c r="G638" s="404">
        <v>15</v>
      </c>
      <c r="H638" s="405">
        <v>47086</v>
      </c>
      <c r="I638" s="404">
        <v>5479</v>
      </c>
      <c r="J638" s="404">
        <v>4993</v>
      </c>
      <c r="K638" s="406">
        <v>18305524.406420499</v>
      </c>
      <c r="L638" s="404">
        <v>365</v>
      </c>
      <c r="M638" s="404">
        <v>1338177</v>
      </c>
      <c r="N638" s="404">
        <v>9391252</v>
      </c>
      <c r="O638" s="404">
        <v>9937958.5764845237</v>
      </c>
    </row>
    <row r="639" spans="2:15" s="154" customFormat="1" hidden="1" outlineLevel="1">
      <c r="B639" s="165"/>
      <c r="C639" s="165"/>
      <c r="D639" s="165"/>
      <c r="E639" s="403"/>
      <c r="F639" s="432"/>
      <c r="G639" s="404"/>
      <c r="H639" s="405"/>
      <c r="I639" s="404"/>
      <c r="J639" s="404"/>
      <c r="K639" s="404"/>
      <c r="L639" s="404"/>
      <c r="M639" s="404"/>
      <c r="N639" s="404"/>
      <c r="O639" s="404"/>
    </row>
    <row r="640" spans="2:15" s="154" customFormat="1" hidden="1" outlineLevel="1">
      <c r="B640" s="165" t="s">
        <v>2332</v>
      </c>
      <c r="C640" s="165" t="s">
        <v>3479</v>
      </c>
      <c r="D640" s="165" t="s">
        <v>3482</v>
      </c>
      <c r="E640" s="403">
        <v>14785178.062351713</v>
      </c>
      <c r="F640" s="431">
        <v>13958663.745592862</v>
      </c>
      <c r="G640" s="404">
        <v>25</v>
      </c>
      <c r="H640" s="405">
        <v>50738</v>
      </c>
      <c r="I640" s="404">
        <v>9131</v>
      </c>
      <c r="J640" s="404">
        <v>8645</v>
      </c>
      <c r="K640" s="406">
        <v>13219404.842475276</v>
      </c>
      <c r="L640" s="404">
        <v>365</v>
      </c>
      <c r="M640" s="404">
        <v>558136</v>
      </c>
      <c r="N640" s="404">
        <v>3916967</v>
      </c>
      <c r="O640" s="404">
        <v>10041696.745592862</v>
      </c>
    </row>
    <row r="641" spans="2:15" s="154" customFormat="1" hidden="1" outlineLevel="1">
      <c r="B641" s="165" t="s">
        <v>2332</v>
      </c>
      <c r="C641" s="165" t="s">
        <v>3479</v>
      </c>
      <c r="D641" s="165" t="s">
        <v>3483</v>
      </c>
      <c r="E641" s="403">
        <v>22177766.688408285</v>
      </c>
      <c r="F641" s="431">
        <v>20937995.180382807</v>
      </c>
      <c r="G641" s="404">
        <v>15</v>
      </c>
      <c r="H641" s="405">
        <v>47086</v>
      </c>
      <c r="I641" s="404">
        <v>5479</v>
      </c>
      <c r="J641" s="404">
        <v>4993</v>
      </c>
      <c r="K641" s="406">
        <v>19829106.845962394</v>
      </c>
      <c r="L641" s="404">
        <v>365</v>
      </c>
      <c r="M641" s="404">
        <v>1449554</v>
      </c>
      <c r="N641" s="404">
        <v>10172891</v>
      </c>
      <c r="O641" s="404">
        <v>10765104.180382807</v>
      </c>
    </row>
    <row r="642" spans="2:15" s="154" customFormat="1" hidden="1" outlineLevel="1">
      <c r="B642" s="165"/>
      <c r="C642" s="165"/>
      <c r="D642" s="165"/>
      <c r="E642" s="403"/>
      <c r="F642" s="432"/>
      <c r="G642" s="404"/>
      <c r="H642" s="405"/>
      <c r="I642" s="404"/>
      <c r="J642" s="404"/>
      <c r="K642" s="404"/>
      <c r="L642" s="404"/>
      <c r="M642" s="404"/>
      <c r="N642" s="404"/>
      <c r="O642" s="404"/>
    </row>
    <row r="643" spans="2:15" s="154" customFormat="1" hidden="1" outlineLevel="1">
      <c r="B643" s="165" t="s">
        <v>2332</v>
      </c>
      <c r="C643" s="165" t="s">
        <v>3479</v>
      </c>
      <c r="D643" s="165" t="s">
        <v>3484</v>
      </c>
      <c r="E643" s="403">
        <v>13480607.891257269</v>
      </c>
      <c r="F643" s="431">
        <v>12727021.011798365</v>
      </c>
      <c r="G643" s="404">
        <v>25</v>
      </c>
      <c r="H643" s="405">
        <v>50738</v>
      </c>
      <c r="I643" s="404">
        <v>9131</v>
      </c>
      <c r="J643" s="404">
        <v>8645</v>
      </c>
      <c r="K643" s="406">
        <v>12052990.6172355</v>
      </c>
      <c r="L643" s="404">
        <v>365</v>
      </c>
      <c r="M643" s="404">
        <v>508889</v>
      </c>
      <c r="N643" s="404">
        <v>3571354</v>
      </c>
      <c r="O643" s="404">
        <v>9155667.0117983632</v>
      </c>
    </row>
    <row r="644" spans="2:15" s="154" customFormat="1" hidden="1" outlineLevel="1">
      <c r="B644" s="165" t="s">
        <v>2332</v>
      </c>
      <c r="C644" s="165" t="s">
        <v>3479</v>
      </c>
      <c r="D644" s="165" t="s">
        <v>3485</v>
      </c>
      <c r="E644" s="403">
        <v>20220913.284395207</v>
      </c>
      <c r="F644" s="431">
        <v>19090532.968108729</v>
      </c>
      <c r="G644" s="404">
        <v>15</v>
      </c>
      <c r="H644" s="405">
        <v>47086</v>
      </c>
      <c r="I644" s="404">
        <v>5479</v>
      </c>
      <c r="J644" s="404">
        <v>4993</v>
      </c>
      <c r="K644" s="406">
        <v>18079487.303888969</v>
      </c>
      <c r="L644" s="404">
        <v>365</v>
      </c>
      <c r="M644" s="404">
        <v>1321653</v>
      </c>
      <c r="N644" s="404">
        <v>9275288</v>
      </c>
      <c r="O644" s="404">
        <v>9815244.9681087285</v>
      </c>
    </row>
    <row r="645" spans="2:15" s="154" customFormat="1" hidden="1" outlineLevel="1">
      <c r="B645" s="165"/>
      <c r="C645" s="165"/>
      <c r="D645" s="165"/>
      <c r="E645" s="403"/>
      <c r="F645" s="432"/>
      <c r="G645" s="404"/>
      <c r="H645" s="405"/>
      <c r="I645" s="404"/>
      <c r="J645" s="404"/>
      <c r="K645" s="404"/>
      <c r="L645" s="404"/>
      <c r="M645" s="404"/>
      <c r="N645" s="404"/>
      <c r="O645" s="404"/>
    </row>
    <row r="646" spans="2:15" s="154" customFormat="1" hidden="1" outlineLevel="1">
      <c r="B646" s="165" t="s">
        <v>2332</v>
      </c>
      <c r="C646" s="165" t="s">
        <v>3479</v>
      </c>
      <c r="D646" s="165" t="s">
        <v>3486</v>
      </c>
      <c r="E646" s="403">
        <v>13799975.968974588</v>
      </c>
      <c r="F646" s="431">
        <v>13028535.935374277</v>
      </c>
      <c r="G646" s="404">
        <v>25</v>
      </c>
      <c r="H646" s="405">
        <v>50738</v>
      </c>
      <c r="I646" s="404">
        <v>9131</v>
      </c>
      <c r="J646" s="404">
        <v>8645</v>
      </c>
      <c r="K646" s="406">
        <v>12338537.136925548</v>
      </c>
      <c r="L646" s="404">
        <v>365</v>
      </c>
      <c r="M646" s="404">
        <v>520945</v>
      </c>
      <c r="N646" s="404">
        <v>3655963</v>
      </c>
      <c r="O646" s="404">
        <v>9372572.9353742786</v>
      </c>
    </row>
    <row r="647" spans="2:15" s="154" customFormat="1" hidden="1" outlineLevel="1">
      <c r="B647" s="165" t="s">
        <v>2332</v>
      </c>
      <c r="C647" s="165" t="s">
        <v>3479</v>
      </c>
      <c r="D647" s="165" t="s">
        <v>3487</v>
      </c>
      <c r="E647" s="403">
        <v>20699963.01135302</v>
      </c>
      <c r="F647" s="431">
        <v>19542803.068319503</v>
      </c>
      <c r="G647" s="404">
        <v>15</v>
      </c>
      <c r="H647" s="405">
        <v>47086</v>
      </c>
      <c r="I647" s="404">
        <v>5479</v>
      </c>
      <c r="J647" s="404">
        <v>4993</v>
      </c>
      <c r="K647" s="406">
        <v>18507804.917751852</v>
      </c>
      <c r="L647" s="404">
        <v>365</v>
      </c>
      <c r="M647" s="404">
        <v>1352964</v>
      </c>
      <c r="N647" s="404">
        <v>9495027</v>
      </c>
      <c r="O647" s="404">
        <v>10047776.068319503</v>
      </c>
    </row>
    <row r="648" spans="2:15" s="154" customFormat="1" hidden="1" outlineLevel="1">
      <c r="B648" s="165"/>
      <c r="C648" s="165"/>
      <c r="D648" s="165"/>
      <c r="E648" s="403"/>
      <c r="F648" s="432"/>
      <c r="G648" s="404"/>
      <c r="H648" s="405"/>
      <c r="I648" s="404"/>
      <c r="J648" s="404"/>
      <c r="K648" s="404"/>
      <c r="L648" s="404"/>
      <c r="M648" s="404"/>
      <c r="N648" s="404"/>
      <c r="O648" s="404"/>
    </row>
    <row r="649" spans="2:15" s="154" customFormat="1" hidden="1" outlineLevel="1">
      <c r="B649" s="165"/>
      <c r="C649" s="165"/>
      <c r="D649" s="165"/>
      <c r="E649" s="403"/>
      <c r="F649" s="432"/>
      <c r="G649" s="404"/>
      <c r="H649" s="405"/>
      <c r="I649" s="404"/>
      <c r="J649" s="404"/>
      <c r="K649" s="404"/>
      <c r="L649" s="404"/>
      <c r="M649" s="404"/>
      <c r="N649" s="404"/>
      <c r="O649" s="404"/>
    </row>
    <row r="650" spans="2:15" s="154" customFormat="1" ht="27" hidden="1" outlineLevel="1">
      <c r="B650" s="165" t="s">
        <v>2332</v>
      </c>
      <c r="C650" s="165" t="s">
        <v>3488</v>
      </c>
      <c r="D650" s="165" t="s">
        <v>3489</v>
      </c>
      <c r="E650" s="403">
        <v>4176626.0881879553</v>
      </c>
      <c r="F650" s="431">
        <v>3943146.2431190307</v>
      </c>
      <c r="G650" s="404">
        <v>15</v>
      </c>
      <c r="H650" s="405">
        <v>47086</v>
      </c>
      <c r="I650" s="404">
        <v>5479</v>
      </c>
      <c r="J650" s="404">
        <v>4993</v>
      </c>
      <c r="K650" s="406">
        <v>3734314.938709633</v>
      </c>
      <c r="L650" s="404">
        <v>365</v>
      </c>
      <c r="M650" s="404">
        <v>272987</v>
      </c>
      <c r="N650" s="404">
        <v>1915808</v>
      </c>
      <c r="O650" s="404">
        <v>2027338.2431190307</v>
      </c>
    </row>
    <row r="651" spans="2:15" s="154" customFormat="1" ht="27" hidden="1" outlineLevel="1">
      <c r="B651" s="165" t="s">
        <v>2332</v>
      </c>
      <c r="C651" s="165" t="s">
        <v>3488</v>
      </c>
      <c r="D651" s="165" t="s">
        <v>3490</v>
      </c>
      <c r="E651" s="403">
        <v>27177332.923113488</v>
      </c>
      <c r="F651" s="431">
        <v>25658077.955790043</v>
      </c>
      <c r="G651" s="404">
        <v>15</v>
      </c>
      <c r="H651" s="405">
        <v>47086</v>
      </c>
      <c r="I651" s="404">
        <v>5479</v>
      </c>
      <c r="J651" s="404">
        <v>4993</v>
      </c>
      <c r="K651" s="406">
        <v>24299211.309634365</v>
      </c>
      <c r="L651" s="404">
        <v>365</v>
      </c>
      <c r="M651" s="404">
        <v>1776329</v>
      </c>
      <c r="N651" s="404">
        <v>12466180</v>
      </c>
      <c r="O651" s="404">
        <v>13191897.955790039</v>
      </c>
    </row>
    <row r="652" spans="2:15" s="154" customFormat="1" hidden="1" outlineLevel="1">
      <c r="B652" s="165" t="s">
        <v>2332</v>
      </c>
      <c r="C652" s="165" t="s">
        <v>3488</v>
      </c>
      <c r="D652" s="165" t="s">
        <v>3491</v>
      </c>
      <c r="E652" s="403">
        <v>183949719.13685396</v>
      </c>
      <c r="F652" s="431">
        <v>173666645.25560156</v>
      </c>
      <c r="G652" s="404">
        <v>30</v>
      </c>
      <c r="H652" s="405">
        <v>52564</v>
      </c>
      <c r="I652" s="404">
        <v>10957</v>
      </c>
      <c r="J652" s="404">
        <v>10471</v>
      </c>
      <c r="K652" s="406">
        <v>164469159.29875886</v>
      </c>
      <c r="L652" s="404">
        <v>365</v>
      </c>
      <c r="M652" s="404">
        <v>5733096</v>
      </c>
      <c r="N652" s="404">
        <v>40234552</v>
      </c>
      <c r="O652" s="404">
        <v>133432093.25560156</v>
      </c>
    </row>
    <row r="653" spans="2:15" s="154" customFormat="1" hidden="1" outlineLevel="1">
      <c r="B653" s="165"/>
      <c r="C653" s="165"/>
      <c r="D653" s="165"/>
      <c r="E653" s="403"/>
      <c r="F653" s="432"/>
      <c r="G653" s="404"/>
      <c r="H653" s="405"/>
      <c r="I653" s="404"/>
      <c r="J653" s="404"/>
      <c r="K653" s="404"/>
      <c r="L653" s="404"/>
      <c r="M653" s="404"/>
      <c r="N653" s="404"/>
      <c r="O653" s="404"/>
    </row>
    <row r="654" spans="2:15" s="154" customFormat="1" hidden="1" outlineLevel="1">
      <c r="B654" s="165" t="s">
        <v>2332</v>
      </c>
      <c r="C654" s="165" t="s">
        <v>3488</v>
      </c>
      <c r="D654" s="165" t="s">
        <v>3492</v>
      </c>
      <c r="E654" s="403">
        <v>633786956.56046224</v>
      </c>
      <c r="F654" s="431">
        <v>598357285.32553411</v>
      </c>
      <c r="G654" s="404">
        <v>30</v>
      </c>
      <c r="H654" s="405">
        <v>52564</v>
      </c>
      <c r="I654" s="404">
        <v>10957</v>
      </c>
      <c r="J654" s="404">
        <v>10471</v>
      </c>
      <c r="K654" s="406">
        <v>566667937.49751103</v>
      </c>
      <c r="L654" s="404">
        <v>365</v>
      </c>
      <c r="M654" s="404">
        <v>19753013</v>
      </c>
      <c r="N654" s="404">
        <v>138625559</v>
      </c>
      <c r="O654" s="404">
        <v>459731726.32553411</v>
      </c>
    </row>
    <row r="655" spans="2:15" s="154" customFormat="1" hidden="1" outlineLevel="1">
      <c r="B655" s="165" t="s">
        <v>2332</v>
      </c>
      <c r="C655" s="165" t="s">
        <v>3488</v>
      </c>
      <c r="D655" s="165" t="s">
        <v>3493</v>
      </c>
      <c r="E655" s="403">
        <v>422524638.54187673</v>
      </c>
      <c r="F655" s="431">
        <v>398904857.69086277</v>
      </c>
      <c r="G655" s="404">
        <v>30</v>
      </c>
      <c r="H655" s="405">
        <v>52564</v>
      </c>
      <c r="I655" s="404">
        <v>10957</v>
      </c>
      <c r="J655" s="404">
        <v>10471</v>
      </c>
      <c r="K655" s="406">
        <v>377778625.76376891</v>
      </c>
      <c r="L655" s="404">
        <v>365</v>
      </c>
      <c r="M655" s="404">
        <v>13168675</v>
      </c>
      <c r="N655" s="404">
        <v>92417038</v>
      </c>
      <c r="O655" s="404">
        <v>306487819.69086277</v>
      </c>
    </row>
    <row r="656" spans="2:15" s="154" customFormat="1" hidden="1" outlineLevel="1">
      <c r="B656" s="165"/>
      <c r="C656" s="165"/>
      <c r="D656" s="165"/>
      <c r="E656" s="403"/>
      <c r="F656" s="432"/>
      <c r="G656" s="404"/>
      <c r="H656" s="405"/>
      <c r="I656" s="404"/>
      <c r="J656" s="404"/>
      <c r="K656" s="404"/>
      <c r="L656" s="404"/>
      <c r="M656" s="404"/>
      <c r="N656" s="404"/>
      <c r="O656" s="404"/>
    </row>
    <row r="657" spans="2:15" s="154" customFormat="1" hidden="1" outlineLevel="1">
      <c r="B657" s="165" t="s">
        <v>2332</v>
      </c>
      <c r="C657" s="165" t="s">
        <v>3488</v>
      </c>
      <c r="D657" s="165" t="s">
        <v>3494</v>
      </c>
      <c r="E657" s="403">
        <v>10550419.360652005</v>
      </c>
      <c r="F657" s="431">
        <v>9960634.608899096</v>
      </c>
      <c r="G657" s="404">
        <v>20</v>
      </c>
      <c r="H657" s="405">
        <v>48912</v>
      </c>
      <c r="I657" s="404">
        <v>7305</v>
      </c>
      <c r="J657" s="404">
        <v>6819</v>
      </c>
      <c r="K657" s="406">
        <v>9433113.6408664975</v>
      </c>
      <c r="L657" s="404">
        <v>365</v>
      </c>
      <c r="M657" s="404">
        <v>504925</v>
      </c>
      <c r="N657" s="404">
        <v>3543537</v>
      </c>
      <c r="O657" s="404">
        <v>6417097.6088990979</v>
      </c>
    </row>
    <row r="658" spans="2:15" s="154" customFormat="1" hidden="1" outlineLevel="1">
      <c r="B658" s="165" t="s">
        <v>2332</v>
      </c>
      <c r="C658" s="165" t="s">
        <v>3488</v>
      </c>
      <c r="D658" s="165" t="s">
        <v>3495</v>
      </c>
      <c r="E658" s="403">
        <v>1550938.3896026895</v>
      </c>
      <c r="F658" s="431">
        <v>1464238.5561489335</v>
      </c>
      <c r="G658" s="404">
        <v>10</v>
      </c>
      <c r="H658" s="405">
        <v>45259</v>
      </c>
      <c r="I658" s="404">
        <v>3652</v>
      </c>
      <c r="J658" s="404">
        <v>3166</v>
      </c>
      <c r="K658" s="406">
        <v>1386691.636668799</v>
      </c>
      <c r="L658" s="404">
        <v>365</v>
      </c>
      <c r="M658" s="404">
        <v>159868</v>
      </c>
      <c r="N658" s="404">
        <v>1121945</v>
      </c>
      <c r="O658" s="404">
        <v>342293.55614893348</v>
      </c>
    </row>
    <row r="659" spans="2:15" s="154" customFormat="1" ht="40.5" hidden="1" outlineLevel="1">
      <c r="B659" s="165" t="s">
        <v>2332</v>
      </c>
      <c r="C659" s="165" t="s">
        <v>3496</v>
      </c>
      <c r="D659" s="165" t="s">
        <v>3497</v>
      </c>
      <c r="E659" s="403">
        <v>2775061.5108131738</v>
      </c>
      <c r="F659" s="431">
        <v>2619931.2395100459</v>
      </c>
      <c r="G659" s="404">
        <v>15</v>
      </c>
      <c r="H659" s="405">
        <v>47086</v>
      </c>
      <c r="I659" s="404">
        <v>5479</v>
      </c>
      <c r="J659" s="404">
        <v>4993</v>
      </c>
      <c r="K659" s="406">
        <v>2481178.1639693868</v>
      </c>
      <c r="L659" s="404">
        <v>365</v>
      </c>
      <c r="M659" s="404">
        <v>181380</v>
      </c>
      <c r="N659" s="404">
        <v>1272915</v>
      </c>
      <c r="O659" s="404">
        <v>1347016.2395100454</v>
      </c>
    </row>
    <row r="660" spans="2:15" s="154" customFormat="1" hidden="1" outlineLevel="1">
      <c r="B660" s="165" t="s">
        <v>2332</v>
      </c>
      <c r="C660" s="165" t="s">
        <v>3496</v>
      </c>
      <c r="D660" s="165" t="s">
        <v>3498</v>
      </c>
      <c r="E660" s="403">
        <v>17210802.940947324</v>
      </c>
      <c r="F660" s="431">
        <v>16248692.438355805</v>
      </c>
      <c r="G660" s="404">
        <v>20</v>
      </c>
      <c r="H660" s="405">
        <v>48912</v>
      </c>
      <c r="I660" s="404">
        <v>7305</v>
      </c>
      <c r="J660" s="404">
        <v>6819</v>
      </c>
      <c r="K660" s="406">
        <v>15388152.291308437</v>
      </c>
      <c r="L660" s="404">
        <v>365</v>
      </c>
      <c r="M660" s="404">
        <v>823680</v>
      </c>
      <c r="N660" s="404">
        <v>5780542</v>
      </c>
      <c r="O660" s="404">
        <v>10468150.438355803</v>
      </c>
    </row>
    <row r="661" spans="2:15" s="154" customFormat="1" hidden="1" outlineLevel="1">
      <c r="B661" s="165" t="s">
        <v>2332</v>
      </c>
      <c r="C661" s="165" t="s">
        <v>3496</v>
      </c>
      <c r="D661" s="165" t="s">
        <v>3499</v>
      </c>
      <c r="E661" s="403">
        <v>27409148.266618181</v>
      </c>
      <c r="F661" s="431">
        <v>25876934.506335005</v>
      </c>
      <c r="G661" s="404">
        <v>20</v>
      </c>
      <c r="H661" s="405">
        <v>48912</v>
      </c>
      <c r="I661" s="404">
        <v>7305</v>
      </c>
      <c r="J661" s="404">
        <v>6819</v>
      </c>
      <c r="K661" s="406">
        <v>24506477.093004096</v>
      </c>
      <c r="L661" s="404">
        <v>365</v>
      </c>
      <c r="M661" s="404">
        <v>1311756</v>
      </c>
      <c r="N661" s="404">
        <v>9205832</v>
      </c>
      <c r="O661" s="404">
        <v>16671102.506335005</v>
      </c>
    </row>
    <row r="662" spans="2:15" s="154" customFormat="1" hidden="1" outlineLevel="1">
      <c r="B662" s="165"/>
      <c r="C662" s="165"/>
      <c r="D662" s="165"/>
      <c r="E662" s="403"/>
      <c r="F662" s="432"/>
      <c r="G662" s="404"/>
      <c r="H662" s="405"/>
      <c r="I662" s="404"/>
      <c r="J662" s="404"/>
      <c r="K662" s="404"/>
      <c r="L662" s="404"/>
      <c r="M662" s="404"/>
      <c r="N662" s="404"/>
      <c r="O662" s="404"/>
    </row>
    <row r="663" spans="2:15" s="154" customFormat="1" hidden="1" outlineLevel="1">
      <c r="B663" s="165" t="s">
        <v>2332</v>
      </c>
      <c r="C663" s="165" t="s">
        <v>3496</v>
      </c>
      <c r="D663" s="165" t="s">
        <v>3500</v>
      </c>
      <c r="E663" s="403">
        <v>67524848.60562171</v>
      </c>
      <c r="F663" s="431">
        <v>63750105.128785655</v>
      </c>
      <c r="G663" s="404">
        <v>25</v>
      </c>
      <c r="H663" s="405">
        <v>50738</v>
      </c>
      <c r="I663" s="404">
        <v>9131</v>
      </c>
      <c r="J663" s="404">
        <v>8645</v>
      </c>
      <c r="K663" s="406">
        <v>60373862.698504567</v>
      </c>
      <c r="L663" s="404">
        <v>365</v>
      </c>
      <c r="M663" s="404">
        <v>2549041</v>
      </c>
      <c r="N663" s="404">
        <v>17889030</v>
      </c>
      <c r="O663" s="404">
        <v>45861075.128785655</v>
      </c>
    </row>
    <row r="664" spans="2:15" s="154" customFormat="1" hidden="1" outlineLevel="1">
      <c r="B664" s="165" t="s">
        <v>2332</v>
      </c>
      <c r="C664" s="165" t="s">
        <v>3496</v>
      </c>
      <c r="D664" s="165" t="s">
        <v>3501</v>
      </c>
      <c r="E664" s="403">
        <v>45016564.838925444</v>
      </c>
      <c r="F664" s="431">
        <v>42500069.23735477</v>
      </c>
      <c r="G664" s="404">
        <v>25</v>
      </c>
      <c r="H664" s="405">
        <v>50738</v>
      </c>
      <c r="I664" s="404">
        <v>9131</v>
      </c>
      <c r="J664" s="404">
        <v>8645</v>
      </c>
      <c r="K664" s="406">
        <v>40249240.995408498</v>
      </c>
      <c r="L664" s="404">
        <v>365</v>
      </c>
      <c r="M664" s="404">
        <v>1699361</v>
      </c>
      <c r="N664" s="404">
        <v>11926021</v>
      </c>
      <c r="O664" s="404">
        <v>30574048.23735477</v>
      </c>
    </row>
    <row r="665" spans="2:15" s="154" customFormat="1" hidden="1" outlineLevel="1">
      <c r="B665" s="165"/>
      <c r="C665" s="165"/>
      <c r="D665" s="165"/>
      <c r="E665" s="403"/>
      <c r="F665" s="432"/>
      <c r="G665" s="404"/>
      <c r="H665" s="405"/>
      <c r="I665" s="404"/>
      <c r="J665" s="404"/>
      <c r="K665" s="404"/>
      <c r="L665" s="404"/>
      <c r="M665" s="404"/>
      <c r="N665" s="404"/>
      <c r="O665" s="404"/>
    </row>
    <row r="666" spans="2:15" s="154" customFormat="1" ht="27" hidden="1" outlineLevel="1">
      <c r="B666" s="165" t="s">
        <v>2332</v>
      </c>
      <c r="C666" s="165" t="s">
        <v>3496</v>
      </c>
      <c r="D666" s="165" t="s">
        <v>3454</v>
      </c>
      <c r="E666" s="403">
        <v>8774000.9904180169</v>
      </c>
      <c r="F666" s="431">
        <v>8283520.7529663555</v>
      </c>
      <c r="G666" s="404">
        <v>25</v>
      </c>
      <c r="H666" s="405">
        <v>50738</v>
      </c>
      <c r="I666" s="404">
        <v>9131</v>
      </c>
      <c r="J666" s="404">
        <v>8645</v>
      </c>
      <c r="K666" s="406">
        <v>7844820.7034454551</v>
      </c>
      <c r="L666" s="404">
        <v>365</v>
      </c>
      <c r="M666" s="404">
        <v>331216</v>
      </c>
      <c r="N666" s="404">
        <v>2324455</v>
      </c>
      <c r="O666" s="404">
        <v>5959065.7529663555</v>
      </c>
    </row>
    <row r="667" spans="2:15" s="154" customFormat="1" ht="27" hidden="1" outlineLevel="1">
      <c r="B667" s="165" t="s">
        <v>2332</v>
      </c>
      <c r="C667" s="165" t="s">
        <v>3496</v>
      </c>
      <c r="D667" s="165" t="s">
        <v>3502</v>
      </c>
      <c r="E667" s="403">
        <v>10202024.18380137</v>
      </c>
      <c r="F667" s="431">
        <v>9631715.2233325299</v>
      </c>
      <c r="G667" s="404">
        <v>25</v>
      </c>
      <c r="H667" s="405">
        <v>50738</v>
      </c>
      <c r="I667" s="404">
        <v>9131</v>
      </c>
      <c r="J667" s="404">
        <v>8645</v>
      </c>
      <c r="K667" s="406">
        <v>9121614.0141424611</v>
      </c>
      <c r="L667" s="404">
        <v>365</v>
      </c>
      <c r="M667" s="404">
        <v>385123</v>
      </c>
      <c r="N667" s="404">
        <v>2702772</v>
      </c>
      <c r="O667" s="404">
        <v>6928943.2233325299</v>
      </c>
    </row>
    <row r="668" spans="2:15" s="154" customFormat="1" hidden="1" outlineLevel="1">
      <c r="B668" s="165" t="s">
        <v>2332</v>
      </c>
      <c r="C668" s="165" t="s">
        <v>3496</v>
      </c>
      <c r="D668" s="165" t="s">
        <v>3503</v>
      </c>
      <c r="E668" s="403">
        <v>96711713.701969936</v>
      </c>
      <c r="F668" s="431">
        <v>91305379.28237471</v>
      </c>
      <c r="G668" s="404">
        <v>15</v>
      </c>
      <c r="H668" s="405">
        <v>47086</v>
      </c>
      <c r="I668" s="404">
        <v>5479</v>
      </c>
      <c r="J668" s="404">
        <v>4993</v>
      </c>
      <c r="K668" s="406">
        <v>86469793.597276211</v>
      </c>
      <c r="L668" s="404">
        <v>365</v>
      </c>
      <c r="M668" s="404">
        <v>6321145</v>
      </c>
      <c r="N668" s="404">
        <v>44361447</v>
      </c>
      <c r="O668" s="404">
        <v>46943932.28237471</v>
      </c>
    </row>
    <row r="669" spans="2:15" s="154" customFormat="1" hidden="1" outlineLevel="1">
      <c r="B669" s="165" t="s">
        <v>2332</v>
      </c>
      <c r="C669" s="165" t="s">
        <v>3496</v>
      </c>
      <c r="D669" s="165" t="s">
        <v>3504</v>
      </c>
      <c r="E669" s="403">
        <v>22610226.187203906</v>
      </c>
      <c r="F669" s="431">
        <v>21346279.590371937</v>
      </c>
      <c r="G669" s="404">
        <v>15</v>
      </c>
      <c r="H669" s="405">
        <v>47086</v>
      </c>
      <c r="I669" s="404">
        <v>5479</v>
      </c>
      <c r="J669" s="404">
        <v>4993</v>
      </c>
      <c r="K669" s="406">
        <v>20215768.281011745</v>
      </c>
      <c r="L669" s="404">
        <v>365</v>
      </c>
      <c r="M669" s="404">
        <v>1477820</v>
      </c>
      <c r="N669" s="404">
        <v>10371260</v>
      </c>
      <c r="O669" s="404">
        <v>10975019.59037194</v>
      </c>
    </row>
    <row r="670" spans="2:15" s="154" customFormat="1" hidden="1" outlineLevel="1">
      <c r="B670" s="165" t="s">
        <v>2332</v>
      </c>
      <c r="C670" s="165" t="s">
        <v>3496</v>
      </c>
      <c r="D670" s="165" t="s">
        <v>3505</v>
      </c>
      <c r="E670" s="403">
        <v>22773161.562595781</v>
      </c>
      <c r="F670" s="431">
        <v>21500106.624948807</v>
      </c>
      <c r="G670" s="404">
        <v>20</v>
      </c>
      <c r="H670" s="405">
        <v>48912</v>
      </c>
      <c r="I670" s="404">
        <v>7305</v>
      </c>
      <c r="J670" s="404">
        <v>6819</v>
      </c>
      <c r="K670" s="406">
        <v>20361448.546819016</v>
      </c>
      <c r="L670" s="404">
        <v>365</v>
      </c>
      <c r="M670" s="404">
        <v>1089885</v>
      </c>
      <c r="N670" s="404">
        <v>7648753</v>
      </c>
      <c r="O670" s="404">
        <v>13851353.624948807</v>
      </c>
    </row>
    <row r="671" spans="2:15" s="154" customFormat="1" hidden="1" outlineLevel="1">
      <c r="B671" s="165" t="s">
        <v>2332</v>
      </c>
      <c r="C671" s="165" t="s">
        <v>3496</v>
      </c>
      <c r="D671" s="165" t="s">
        <v>3506</v>
      </c>
      <c r="E671" s="403">
        <v>5248556.7718778141</v>
      </c>
      <c r="F671" s="431">
        <v>4955154.2864562534</v>
      </c>
      <c r="G671" s="404">
        <v>20</v>
      </c>
      <c r="H671" s="405">
        <v>48912</v>
      </c>
      <c r="I671" s="404">
        <v>7305</v>
      </c>
      <c r="J671" s="404">
        <v>6819</v>
      </c>
      <c r="K671" s="406">
        <v>4692726.4478623625</v>
      </c>
      <c r="L671" s="404">
        <v>365</v>
      </c>
      <c r="M671" s="404">
        <v>251187</v>
      </c>
      <c r="N671" s="404">
        <v>1762817</v>
      </c>
      <c r="O671" s="404">
        <v>3192337.2864562534</v>
      </c>
    </row>
    <row r="672" spans="2:15" s="154" customFormat="1" hidden="1" outlineLevel="1">
      <c r="B672" s="165" t="s">
        <v>2332</v>
      </c>
      <c r="C672" s="165" t="s">
        <v>3496</v>
      </c>
      <c r="D672" s="165" t="s">
        <v>3506</v>
      </c>
      <c r="E672" s="403">
        <v>15428342.322710717</v>
      </c>
      <c r="F672" s="431">
        <v>14565874.131492877</v>
      </c>
      <c r="G672" s="404">
        <v>20</v>
      </c>
      <c r="H672" s="405">
        <v>48912</v>
      </c>
      <c r="I672" s="404">
        <v>7305</v>
      </c>
      <c r="J672" s="404">
        <v>6819</v>
      </c>
      <c r="K672" s="406">
        <v>13794457.015357342</v>
      </c>
      <c r="L672" s="404">
        <v>365</v>
      </c>
      <c r="M672" s="404">
        <v>738375</v>
      </c>
      <c r="N672" s="404">
        <v>5181875</v>
      </c>
      <c r="O672" s="404">
        <v>9383999.1314928774</v>
      </c>
    </row>
    <row r="673" spans="2:15" s="154" customFormat="1" hidden="1" outlineLevel="1">
      <c r="B673" s="165" t="s">
        <v>2332</v>
      </c>
      <c r="C673" s="165" t="s">
        <v>3496</v>
      </c>
      <c r="D673" s="165" t="s">
        <v>3507</v>
      </c>
      <c r="E673" s="403">
        <v>19131751.218048912</v>
      </c>
      <c r="F673" s="431">
        <v>18062256.715762626</v>
      </c>
      <c r="G673" s="404">
        <v>20</v>
      </c>
      <c r="H673" s="405">
        <v>48912</v>
      </c>
      <c r="I673" s="404">
        <v>7305</v>
      </c>
      <c r="J673" s="404">
        <v>6819</v>
      </c>
      <c r="K673" s="406">
        <v>17105669.15486018</v>
      </c>
      <c r="L673" s="404">
        <v>365</v>
      </c>
      <c r="M673" s="404">
        <v>915614</v>
      </c>
      <c r="N673" s="404">
        <v>6425728</v>
      </c>
      <c r="O673" s="404">
        <v>11636528.715762626</v>
      </c>
    </row>
    <row r="674" spans="2:15" s="154" customFormat="1" hidden="1" outlineLevel="1">
      <c r="B674" s="165" t="s">
        <v>2332</v>
      </c>
      <c r="C674" s="165" t="s">
        <v>3496</v>
      </c>
      <c r="D674" s="165" t="s">
        <v>3508</v>
      </c>
      <c r="E674" s="403">
        <v>77639844.925364748</v>
      </c>
      <c r="F674" s="431">
        <v>73299657.500779092</v>
      </c>
      <c r="G674" s="404">
        <v>25</v>
      </c>
      <c r="H674" s="405">
        <v>50738</v>
      </c>
      <c r="I674" s="404">
        <v>9131</v>
      </c>
      <c r="J674" s="404">
        <v>8645</v>
      </c>
      <c r="K674" s="406">
        <v>69417665.25451085</v>
      </c>
      <c r="L674" s="404">
        <v>365</v>
      </c>
      <c r="M674" s="404">
        <v>2930879</v>
      </c>
      <c r="N674" s="404">
        <v>20568748</v>
      </c>
      <c r="O674" s="404">
        <v>52730909.500779092</v>
      </c>
    </row>
    <row r="675" spans="2:15" s="154" customFormat="1" hidden="1" outlineLevel="1">
      <c r="B675" s="165" t="s">
        <v>2332</v>
      </c>
      <c r="C675" s="165" t="s">
        <v>3496</v>
      </c>
      <c r="D675" s="165" t="s">
        <v>3509</v>
      </c>
      <c r="E675" s="403">
        <v>40093244.739745349</v>
      </c>
      <c r="F675" s="431">
        <v>37851970.327846393</v>
      </c>
      <c r="G675" s="404">
        <v>25</v>
      </c>
      <c r="H675" s="405">
        <v>50738</v>
      </c>
      <c r="I675" s="404">
        <v>9131</v>
      </c>
      <c r="J675" s="404">
        <v>8645</v>
      </c>
      <c r="K675" s="406">
        <v>35847308.090859115</v>
      </c>
      <c r="L675" s="404">
        <v>365</v>
      </c>
      <c r="M675" s="404">
        <v>1513507</v>
      </c>
      <c r="N675" s="404">
        <v>10621709</v>
      </c>
      <c r="O675" s="404">
        <v>27230261.327846386</v>
      </c>
    </row>
    <row r="676" spans="2:15" s="154" customFormat="1" hidden="1" outlineLevel="1">
      <c r="B676" s="165" t="s">
        <v>2332</v>
      </c>
      <c r="C676" s="165" t="s">
        <v>3496</v>
      </c>
      <c r="D676" s="165" t="s">
        <v>3510</v>
      </c>
      <c r="E676" s="403">
        <v>62418350.115815304</v>
      </c>
      <c r="F676" s="431">
        <v>58929067.827496193</v>
      </c>
      <c r="G676" s="404">
        <v>25</v>
      </c>
      <c r="H676" s="405">
        <v>50738</v>
      </c>
      <c r="I676" s="404">
        <v>9131</v>
      </c>
      <c r="J676" s="404">
        <v>8645</v>
      </c>
      <c r="K676" s="406">
        <v>55808150.321705431</v>
      </c>
      <c r="L676" s="404">
        <v>365</v>
      </c>
      <c r="M676" s="404">
        <v>2356272</v>
      </c>
      <c r="N676" s="404">
        <v>16536188</v>
      </c>
      <c r="O676" s="404">
        <v>42392879.827496193</v>
      </c>
    </row>
    <row r="677" spans="2:15" s="154" customFormat="1" hidden="1" outlineLevel="1">
      <c r="B677" s="165" t="s">
        <v>2332</v>
      </c>
      <c r="C677" s="165" t="s">
        <v>3496</v>
      </c>
      <c r="D677" s="165" t="s">
        <v>3511</v>
      </c>
      <c r="E677" s="403">
        <v>40991656.042143323</v>
      </c>
      <c r="F677" s="431">
        <v>38700159.087678753</v>
      </c>
      <c r="G677" s="404">
        <v>25</v>
      </c>
      <c r="H677" s="405">
        <v>50738</v>
      </c>
      <c r="I677" s="404">
        <v>9131</v>
      </c>
      <c r="J677" s="404">
        <v>8645</v>
      </c>
      <c r="K677" s="406">
        <v>36650576.28557159</v>
      </c>
      <c r="L677" s="404">
        <v>365</v>
      </c>
      <c r="M677" s="404">
        <v>1547422</v>
      </c>
      <c r="N677" s="404">
        <v>10859722</v>
      </c>
      <c r="O677" s="404">
        <v>27840437.087678753</v>
      </c>
    </row>
    <row r="678" spans="2:15" s="154" customFormat="1" hidden="1" outlineLevel="1">
      <c r="B678" s="165" t="s">
        <v>2332</v>
      </c>
      <c r="C678" s="165" t="s">
        <v>3496</v>
      </c>
      <c r="D678" s="165" t="s">
        <v>3512</v>
      </c>
      <c r="E678" s="403">
        <v>40467385.842700467</v>
      </c>
      <c r="F678" s="431">
        <v>38205196.387948886</v>
      </c>
      <c r="G678" s="404">
        <v>15</v>
      </c>
      <c r="H678" s="405">
        <v>47086</v>
      </c>
      <c r="I678" s="404">
        <v>5479</v>
      </c>
      <c r="J678" s="404">
        <v>4993</v>
      </c>
      <c r="K678" s="406">
        <v>36181827.095813863</v>
      </c>
      <c r="L678" s="404">
        <v>365</v>
      </c>
      <c r="M678" s="404">
        <v>2644976</v>
      </c>
      <c r="N678" s="404">
        <v>18562297</v>
      </c>
      <c r="O678" s="404">
        <v>19642899.387948886</v>
      </c>
    </row>
    <row r="679" spans="2:15" s="154" customFormat="1" hidden="1" outlineLevel="1">
      <c r="B679" s="165" t="s">
        <v>2332</v>
      </c>
      <c r="C679" s="165" t="s">
        <v>3496</v>
      </c>
      <c r="D679" s="165" t="s">
        <v>3513</v>
      </c>
      <c r="E679" s="403">
        <v>16887538.127213355</v>
      </c>
      <c r="F679" s="431">
        <v>15943498.637201898</v>
      </c>
      <c r="G679" s="404">
        <v>30</v>
      </c>
      <c r="H679" s="405">
        <v>52564</v>
      </c>
      <c r="I679" s="404">
        <v>10957</v>
      </c>
      <c r="J679" s="404">
        <v>10471</v>
      </c>
      <c r="K679" s="406">
        <v>15099121.730841231</v>
      </c>
      <c r="L679" s="404">
        <v>365</v>
      </c>
      <c r="M679" s="404">
        <v>526328</v>
      </c>
      <c r="N679" s="404">
        <v>3693741</v>
      </c>
      <c r="O679" s="404">
        <v>12249757.637201898</v>
      </c>
    </row>
    <row r="680" spans="2:15" s="154" customFormat="1" hidden="1" outlineLevel="1">
      <c r="B680" s="165" t="s">
        <v>2332</v>
      </c>
      <c r="C680" s="165" t="s">
        <v>3496</v>
      </c>
      <c r="D680" s="165" t="s">
        <v>3514</v>
      </c>
      <c r="E680" s="403">
        <v>8738007.1522574425</v>
      </c>
      <c r="F680" s="431">
        <v>8249539.0664191339</v>
      </c>
      <c r="G680" s="404">
        <v>10</v>
      </c>
      <c r="H680" s="405">
        <v>45259</v>
      </c>
      <c r="I680" s="404">
        <v>3652</v>
      </c>
      <c r="J680" s="404">
        <v>3166</v>
      </c>
      <c r="K680" s="406">
        <v>7812638.7088062624</v>
      </c>
      <c r="L680" s="404">
        <v>365</v>
      </c>
      <c r="M680" s="404">
        <v>900699</v>
      </c>
      <c r="N680" s="404">
        <v>6321056</v>
      </c>
      <c r="O680" s="404">
        <v>1928483.0664191348</v>
      </c>
    </row>
    <row r="681" spans="2:15" s="154" customFormat="1" hidden="1" outlineLevel="1">
      <c r="B681" s="165" t="s">
        <v>2332</v>
      </c>
      <c r="C681" s="165" t="s">
        <v>3496</v>
      </c>
      <c r="D681" s="165" t="s">
        <v>3515</v>
      </c>
      <c r="E681" s="403">
        <v>4721107.5323237404</v>
      </c>
      <c r="F681" s="431">
        <v>4457190.341188143</v>
      </c>
      <c r="G681" s="404">
        <v>25</v>
      </c>
      <c r="H681" s="405">
        <v>50738</v>
      </c>
      <c r="I681" s="404">
        <v>9131</v>
      </c>
      <c r="J681" s="404">
        <v>8645</v>
      </c>
      <c r="K681" s="406">
        <v>4221134.9645719556</v>
      </c>
      <c r="L681" s="404">
        <v>365</v>
      </c>
      <c r="M681" s="404">
        <v>178220</v>
      </c>
      <c r="N681" s="404">
        <v>1250739</v>
      </c>
      <c r="O681" s="404">
        <v>3206451.341188143</v>
      </c>
    </row>
    <row r="682" spans="2:15" s="154" customFormat="1" hidden="1" outlineLevel="1">
      <c r="B682" s="165" t="s">
        <v>2332</v>
      </c>
      <c r="C682" s="165" t="s">
        <v>3496</v>
      </c>
      <c r="D682" s="165" t="s">
        <v>3516</v>
      </c>
      <c r="E682" s="403">
        <v>12875797.839930246</v>
      </c>
      <c r="F682" s="431">
        <v>12156020.811206928</v>
      </c>
      <c r="G682" s="404">
        <v>20</v>
      </c>
      <c r="H682" s="405">
        <v>48912</v>
      </c>
      <c r="I682" s="404">
        <v>7305</v>
      </c>
      <c r="J682" s="404">
        <v>6819</v>
      </c>
      <c r="K682" s="406">
        <v>11512230.919210415</v>
      </c>
      <c r="L682" s="404">
        <v>365</v>
      </c>
      <c r="M682" s="404">
        <v>616214</v>
      </c>
      <c r="N682" s="404">
        <v>4324556</v>
      </c>
      <c r="O682" s="404">
        <v>7831464.8112069275</v>
      </c>
    </row>
    <row r="683" spans="2:15" s="154" customFormat="1" hidden="1" outlineLevel="1">
      <c r="B683" s="165" t="s">
        <v>2332</v>
      </c>
      <c r="C683" s="165" t="s">
        <v>3496</v>
      </c>
      <c r="D683" s="165" t="s">
        <v>3517</v>
      </c>
      <c r="E683" s="403">
        <v>9109246.6872830745</v>
      </c>
      <c r="F683" s="431">
        <v>8600025.6817761548</v>
      </c>
      <c r="G683" s="404">
        <v>10</v>
      </c>
      <c r="H683" s="405">
        <v>45259</v>
      </c>
      <c r="I683" s="404">
        <v>3652</v>
      </c>
      <c r="J683" s="404">
        <v>3166</v>
      </c>
      <c r="K683" s="406">
        <v>8144563.3474120032</v>
      </c>
      <c r="L683" s="404">
        <v>365</v>
      </c>
      <c r="M683" s="404">
        <v>938966</v>
      </c>
      <c r="N683" s="404">
        <v>6589611</v>
      </c>
      <c r="O683" s="404">
        <v>2010414.6817761566</v>
      </c>
    </row>
    <row r="684" spans="2:15" s="154" customFormat="1" hidden="1" outlineLevel="1">
      <c r="B684" s="165" t="s">
        <v>2332</v>
      </c>
      <c r="C684" s="165" t="s">
        <v>3496</v>
      </c>
      <c r="D684" s="165" t="s">
        <v>3518</v>
      </c>
      <c r="E684" s="403">
        <v>2138662.634833429</v>
      </c>
      <c r="F684" s="431">
        <v>2019108.0762818372</v>
      </c>
      <c r="G684" s="404">
        <v>15</v>
      </c>
      <c r="H684" s="405">
        <v>47086</v>
      </c>
      <c r="I684" s="404">
        <v>5479</v>
      </c>
      <c r="J684" s="404">
        <v>4993</v>
      </c>
      <c r="K684" s="406">
        <v>1912174.9445401658</v>
      </c>
      <c r="L684" s="404">
        <v>365</v>
      </c>
      <c r="M684" s="404">
        <v>139784</v>
      </c>
      <c r="N684" s="404">
        <v>980997</v>
      </c>
      <c r="O684" s="404">
        <v>1038111.0762818372</v>
      </c>
    </row>
    <row r="685" spans="2:15" s="154" customFormat="1" hidden="1" outlineLevel="1">
      <c r="B685" s="165" t="s">
        <v>2332</v>
      </c>
      <c r="C685" s="165" t="s">
        <v>3496</v>
      </c>
      <c r="D685" s="165" t="s">
        <v>3519</v>
      </c>
      <c r="E685" s="403">
        <v>6158121.4183524316</v>
      </c>
      <c r="F685" s="431">
        <v>5813872.8818580192</v>
      </c>
      <c r="G685" s="404">
        <v>20</v>
      </c>
      <c r="H685" s="405">
        <v>48912</v>
      </c>
      <c r="I685" s="404">
        <v>7305</v>
      </c>
      <c r="J685" s="404">
        <v>6819</v>
      </c>
      <c r="K685" s="406">
        <v>5505966.810940397</v>
      </c>
      <c r="L685" s="404">
        <v>365</v>
      </c>
      <c r="M685" s="404">
        <v>294717</v>
      </c>
      <c r="N685" s="404">
        <v>2068309</v>
      </c>
      <c r="O685" s="404">
        <v>3745563.8818580182</v>
      </c>
    </row>
    <row r="686" spans="2:15" s="154" customFormat="1" hidden="1" outlineLevel="1">
      <c r="B686" s="165" t="s">
        <v>2332</v>
      </c>
      <c r="C686" s="165" t="s">
        <v>3496</v>
      </c>
      <c r="D686" s="165" t="s">
        <v>3465</v>
      </c>
      <c r="E686" s="403">
        <v>4277325.3746482544</v>
      </c>
      <c r="F686" s="431">
        <v>4038216.2517413115</v>
      </c>
      <c r="G686" s="404">
        <v>5</v>
      </c>
      <c r="H686" s="405">
        <v>43433</v>
      </c>
      <c r="I686" s="404">
        <v>1826</v>
      </c>
      <c r="J686" s="404">
        <v>1340</v>
      </c>
      <c r="K686" s="406">
        <v>3824349.9830088983</v>
      </c>
      <c r="L686" s="404">
        <v>0</v>
      </c>
      <c r="M686" s="404">
        <v>0</v>
      </c>
      <c r="N686" s="404">
        <v>4038216</v>
      </c>
      <c r="O686" s="403">
        <v>0.25174131104722619</v>
      </c>
    </row>
    <row r="687" spans="2:15" s="154" customFormat="1" hidden="1" outlineLevel="1">
      <c r="B687" s="165" t="s">
        <v>2332</v>
      </c>
      <c r="C687" s="165" t="s">
        <v>3496</v>
      </c>
      <c r="D687" s="165" t="s">
        <v>3520</v>
      </c>
      <c r="E687" s="403">
        <v>3368532.8257281221</v>
      </c>
      <c r="F687" s="431">
        <v>3180226.6272206125</v>
      </c>
      <c r="G687" s="404">
        <v>10</v>
      </c>
      <c r="H687" s="405">
        <v>45259</v>
      </c>
      <c r="I687" s="404">
        <v>3652</v>
      </c>
      <c r="J687" s="404">
        <v>3166</v>
      </c>
      <c r="K687" s="406">
        <v>3011799.9859342063</v>
      </c>
      <c r="L687" s="404">
        <v>365</v>
      </c>
      <c r="M687" s="404">
        <v>347223</v>
      </c>
      <c r="N687" s="404">
        <v>2436791</v>
      </c>
      <c r="O687" s="404">
        <v>743435.62722061248</v>
      </c>
    </row>
    <row r="688" spans="2:15" s="154" customFormat="1" hidden="1" outlineLevel="1">
      <c r="B688" s="165" t="s">
        <v>2332</v>
      </c>
      <c r="C688" s="165" t="s">
        <v>3496</v>
      </c>
      <c r="D688" s="165" t="s">
        <v>3521</v>
      </c>
      <c r="E688" s="403">
        <v>5018076.1702943621</v>
      </c>
      <c r="F688" s="431">
        <v>4737557.9696824197</v>
      </c>
      <c r="G688" s="404">
        <v>5</v>
      </c>
      <c r="H688" s="405">
        <v>43433</v>
      </c>
      <c r="I688" s="404">
        <v>1826</v>
      </c>
      <c r="J688" s="404">
        <v>1340</v>
      </c>
      <c r="K688" s="406">
        <v>4486654.1611677017</v>
      </c>
      <c r="L688" s="404">
        <v>0</v>
      </c>
      <c r="M688" s="404">
        <v>0</v>
      </c>
      <c r="N688" s="404">
        <v>4737558</v>
      </c>
      <c r="O688" s="403">
        <v>-3.0317580327391624E-2</v>
      </c>
    </row>
    <row r="689" spans="2:15" s="154" customFormat="1" hidden="1" outlineLevel="1">
      <c r="B689" s="165" t="s">
        <v>2332</v>
      </c>
      <c r="C689" s="165" t="s">
        <v>3496</v>
      </c>
      <c r="D689" s="165" t="s">
        <v>3522</v>
      </c>
      <c r="E689" s="403">
        <v>2271289.6956446888</v>
      </c>
      <c r="F689" s="431">
        <v>2144321.0929971184</v>
      </c>
      <c r="G689" s="404">
        <v>10</v>
      </c>
      <c r="H689" s="405">
        <v>45259</v>
      </c>
      <c r="I689" s="404">
        <v>3652</v>
      </c>
      <c r="J689" s="404">
        <v>3166</v>
      </c>
      <c r="K689" s="406">
        <v>2030756.6082148838</v>
      </c>
      <c r="L689" s="404">
        <v>365</v>
      </c>
      <c r="M689" s="404">
        <v>234121</v>
      </c>
      <c r="N689" s="404">
        <v>1643048</v>
      </c>
      <c r="O689" s="404">
        <v>501273.09299711837</v>
      </c>
    </row>
    <row r="690" spans="2:15" s="154" customFormat="1" hidden="1" outlineLevel="1">
      <c r="B690" s="165" t="s">
        <v>2332</v>
      </c>
      <c r="C690" s="165" t="s">
        <v>3496</v>
      </c>
      <c r="D690" s="165" t="s">
        <v>3523</v>
      </c>
      <c r="E690" s="403">
        <v>10332009.160822107</v>
      </c>
      <c r="F690" s="431">
        <v>9754433.8236325346</v>
      </c>
      <c r="G690" s="404">
        <v>10</v>
      </c>
      <c r="H690" s="405">
        <v>45259</v>
      </c>
      <c r="I690" s="404">
        <v>3652</v>
      </c>
      <c r="J690" s="404">
        <v>3166</v>
      </c>
      <c r="K690" s="406">
        <v>9237833.365591431</v>
      </c>
      <c r="L690" s="404">
        <v>365</v>
      </c>
      <c r="M690" s="404">
        <v>1065006</v>
      </c>
      <c r="N690" s="404">
        <v>7474154</v>
      </c>
      <c r="O690" s="404">
        <v>2280279.8236325365</v>
      </c>
    </row>
    <row r="691" spans="2:15" s="154" customFormat="1" hidden="1" outlineLevel="1">
      <c r="B691" s="165" t="s">
        <v>2332</v>
      </c>
      <c r="C691" s="165" t="s">
        <v>3496</v>
      </c>
      <c r="D691" s="165" t="s">
        <v>3524</v>
      </c>
      <c r="E691" s="403">
        <v>12283327.81668902</v>
      </c>
      <c r="F691" s="431">
        <v>11596670.751948347</v>
      </c>
      <c r="G691" s="404">
        <v>25</v>
      </c>
      <c r="H691" s="405">
        <v>50738</v>
      </c>
      <c r="I691" s="404">
        <v>9131</v>
      </c>
      <c r="J691" s="404">
        <v>8645</v>
      </c>
      <c r="K691" s="406">
        <v>10982504.361113897</v>
      </c>
      <c r="L691" s="404">
        <v>365</v>
      </c>
      <c r="M691" s="404">
        <v>463692</v>
      </c>
      <c r="N691" s="404">
        <v>3254164</v>
      </c>
      <c r="O691" s="404">
        <v>8342506.7519483473</v>
      </c>
    </row>
    <row r="692" spans="2:15" s="154" customFormat="1" hidden="1" outlineLevel="1">
      <c r="B692" s="165" t="s">
        <v>2332</v>
      </c>
      <c r="C692" s="165" t="s">
        <v>3496</v>
      </c>
      <c r="D692" s="165" t="s">
        <v>3525</v>
      </c>
      <c r="E692" s="403">
        <v>142331078.105979</v>
      </c>
      <c r="F692" s="431">
        <v>134374550.70798963</v>
      </c>
      <c r="G692" s="404">
        <v>30</v>
      </c>
      <c r="H692" s="405">
        <v>52564</v>
      </c>
      <c r="I692" s="404">
        <v>10957</v>
      </c>
      <c r="J692" s="404">
        <v>10471</v>
      </c>
      <c r="K692" s="406">
        <v>127257996.80269068</v>
      </c>
      <c r="L692" s="404">
        <v>365</v>
      </c>
      <c r="M692" s="404">
        <v>4435982</v>
      </c>
      <c r="N692" s="404">
        <v>31131478</v>
      </c>
      <c r="O692" s="404">
        <v>103243072.70798963</v>
      </c>
    </row>
    <row r="693" spans="2:15" s="154" customFormat="1" hidden="1" outlineLevel="1">
      <c r="B693" s="165" t="s">
        <v>2332</v>
      </c>
      <c r="C693" s="165" t="s">
        <v>3496</v>
      </c>
      <c r="D693" s="165" t="s">
        <v>3526</v>
      </c>
      <c r="E693" s="403">
        <v>70163160.545093954</v>
      </c>
      <c r="F693" s="431">
        <v>66240931.346989259</v>
      </c>
      <c r="G693" s="404">
        <v>30</v>
      </c>
      <c r="H693" s="405">
        <v>52564</v>
      </c>
      <c r="I693" s="404">
        <v>10957</v>
      </c>
      <c r="J693" s="404">
        <v>10471</v>
      </c>
      <c r="K693" s="406">
        <v>62732773.319734558</v>
      </c>
      <c r="L693" s="404">
        <v>365</v>
      </c>
      <c r="M693" s="404">
        <v>2186750</v>
      </c>
      <c r="N693" s="404">
        <v>15346491</v>
      </c>
      <c r="O693" s="404">
        <v>50894440.346989259</v>
      </c>
    </row>
    <row r="694" spans="2:15" s="154" customFormat="1" hidden="1" outlineLevel="1">
      <c r="B694" s="165" t="s">
        <v>2332</v>
      </c>
      <c r="C694" s="165" t="s">
        <v>3496</v>
      </c>
      <c r="D694" s="165" t="s">
        <v>3527</v>
      </c>
      <c r="E694" s="403">
        <v>76100116.547624469</v>
      </c>
      <c r="F694" s="431">
        <v>71846002.315180883</v>
      </c>
      <c r="G694" s="404">
        <v>30</v>
      </c>
      <c r="H694" s="405">
        <v>52564</v>
      </c>
      <c r="I694" s="404">
        <v>10957</v>
      </c>
      <c r="J694" s="404">
        <v>10471</v>
      </c>
      <c r="K694" s="406">
        <v>68040996.487799659</v>
      </c>
      <c r="L694" s="404">
        <v>365</v>
      </c>
      <c r="M694" s="404">
        <v>2371785</v>
      </c>
      <c r="N694" s="404">
        <v>16645057</v>
      </c>
      <c r="O694" s="404">
        <v>55200945.315180883</v>
      </c>
    </row>
    <row r="695" spans="2:15" s="154" customFormat="1" hidden="1" outlineLevel="1">
      <c r="B695" s="165" t="s">
        <v>2332</v>
      </c>
      <c r="C695" s="165" t="s">
        <v>3496</v>
      </c>
      <c r="D695" s="165" t="s">
        <v>3528</v>
      </c>
      <c r="E695" s="403">
        <v>6813778.5147110345</v>
      </c>
      <c r="F695" s="431">
        <v>6432877.7692189543</v>
      </c>
      <c r="G695" s="404">
        <v>10</v>
      </c>
      <c r="H695" s="405">
        <v>45259</v>
      </c>
      <c r="I695" s="404">
        <v>3652</v>
      </c>
      <c r="J695" s="404">
        <v>3166</v>
      </c>
      <c r="K695" s="406">
        <v>6092188.8434834024</v>
      </c>
      <c r="L695" s="404">
        <v>365</v>
      </c>
      <c r="M695" s="404">
        <v>702353</v>
      </c>
      <c r="N695" s="404">
        <v>4929074</v>
      </c>
      <c r="O695" s="404">
        <v>1503803.7692189543</v>
      </c>
    </row>
    <row r="696" spans="2:15" s="154" customFormat="1" hidden="1" outlineLevel="1">
      <c r="B696" s="165" t="s">
        <v>2332</v>
      </c>
      <c r="C696" s="165" t="s">
        <v>3496</v>
      </c>
      <c r="D696" s="165" t="s">
        <v>3529</v>
      </c>
      <c r="E696" s="403">
        <v>73877012.755378753</v>
      </c>
      <c r="F696" s="431">
        <v>69747173.433000088</v>
      </c>
      <c r="G696" s="404">
        <v>25</v>
      </c>
      <c r="H696" s="405">
        <v>50738</v>
      </c>
      <c r="I696" s="404">
        <v>9131</v>
      </c>
      <c r="J696" s="404">
        <v>8645</v>
      </c>
      <c r="K696" s="406">
        <v>66053322.795231149</v>
      </c>
      <c r="L696" s="404">
        <v>365</v>
      </c>
      <c r="M696" s="404">
        <v>2788833</v>
      </c>
      <c r="N696" s="404">
        <v>19571877</v>
      </c>
      <c r="O696" s="404">
        <v>50175296.433000088</v>
      </c>
    </row>
    <row r="697" spans="2:15" s="154" customFormat="1" hidden="1" outlineLevel="1">
      <c r="B697" s="165" t="s">
        <v>2332</v>
      </c>
      <c r="C697" s="165" t="s">
        <v>3496</v>
      </c>
      <c r="D697" s="165" t="s">
        <v>3530</v>
      </c>
      <c r="E697" s="403">
        <v>74512319.024441555</v>
      </c>
      <c r="F697" s="431">
        <v>70346965.111344323</v>
      </c>
      <c r="G697" s="404">
        <v>25</v>
      </c>
      <c r="H697" s="405">
        <v>50738</v>
      </c>
      <c r="I697" s="404">
        <v>9131</v>
      </c>
      <c r="J697" s="404">
        <v>8645</v>
      </c>
      <c r="K697" s="406">
        <v>66621349.160122231</v>
      </c>
      <c r="L697" s="404">
        <v>365</v>
      </c>
      <c r="M697" s="404">
        <v>2812816</v>
      </c>
      <c r="N697" s="404">
        <v>19740187</v>
      </c>
      <c r="O697" s="404">
        <v>50606778.111344308</v>
      </c>
    </row>
    <row r="698" spans="2:15" s="154" customFormat="1" hidden="1" outlineLevel="1">
      <c r="B698" s="165" t="s">
        <v>2332</v>
      </c>
      <c r="C698" s="165" t="s">
        <v>3496</v>
      </c>
      <c r="D698" s="165" t="s">
        <v>3531</v>
      </c>
      <c r="E698" s="403">
        <v>73665245.242724359</v>
      </c>
      <c r="F698" s="431">
        <v>69547244.066923469</v>
      </c>
      <c r="G698" s="404">
        <v>25</v>
      </c>
      <c r="H698" s="405">
        <v>50738</v>
      </c>
      <c r="I698" s="404">
        <v>9131</v>
      </c>
      <c r="J698" s="404">
        <v>8645</v>
      </c>
      <c r="K698" s="406">
        <v>65863981.804787248</v>
      </c>
      <c r="L698" s="404">
        <v>365</v>
      </c>
      <c r="M698" s="404">
        <v>2780839</v>
      </c>
      <c r="N698" s="404">
        <v>19515775</v>
      </c>
      <c r="O698" s="404">
        <v>50031469.066923469</v>
      </c>
    </row>
    <row r="699" spans="2:15" s="154" customFormat="1" hidden="1" outlineLevel="1">
      <c r="B699" s="165" t="s">
        <v>2332</v>
      </c>
      <c r="C699" s="165" t="s">
        <v>3496</v>
      </c>
      <c r="D699" s="165" t="s">
        <v>3532</v>
      </c>
      <c r="E699" s="403">
        <v>74512319.024441555</v>
      </c>
      <c r="F699" s="431">
        <v>70346965.111344323</v>
      </c>
      <c r="G699" s="404">
        <v>25</v>
      </c>
      <c r="H699" s="405">
        <v>50738</v>
      </c>
      <c r="I699" s="404">
        <v>9131</v>
      </c>
      <c r="J699" s="404">
        <v>8645</v>
      </c>
      <c r="K699" s="406">
        <v>66621349.160122231</v>
      </c>
      <c r="L699" s="404">
        <v>365</v>
      </c>
      <c r="M699" s="404">
        <v>2812816</v>
      </c>
      <c r="N699" s="404">
        <v>19740187</v>
      </c>
      <c r="O699" s="404">
        <v>50606778.111344308</v>
      </c>
    </row>
    <row r="700" spans="2:15" s="154" customFormat="1" hidden="1" outlineLevel="1">
      <c r="B700" s="165" t="s">
        <v>2332</v>
      </c>
      <c r="C700" s="165" t="s">
        <v>3496</v>
      </c>
      <c r="D700" s="165" t="s">
        <v>3533</v>
      </c>
      <c r="E700" s="403">
        <v>42770674.357466571</v>
      </c>
      <c r="F700" s="431">
        <v>40379727.495624825</v>
      </c>
      <c r="G700" s="404">
        <v>25</v>
      </c>
      <c r="H700" s="405">
        <v>50738</v>
      </c>
      <c r="I700" s="404">
        <v>9131</v>
      </c>
      <c r="J700" s="404">
        <v>8645</v>
      </c>
      <c r="K700" s="406">
        <v>38241193.77775149</v>
      </c>
      <c r="L700" s="404">
        <v>365</v>
      </c>
      <c r="M700" s="404">
        <v>1614579</v>
      </c>
      <c r="N700" s="404">
        <v>11331027</v>
      </c>
      <c r="O700" s="404">
        <v>29048700.495624818</v>
      </c>
    </row>
    <row r="701" spans="2:15" s="154" customFormat="1" hidden="1" outlineLevel="1">
      <c r="B701" s="165" t="s">
        <v>2332</v>
      </c>
      <c r="C701" s="165" t="s">
        <v>3496</v>
      </c>
      <c r="D701" s="165" t="s">
        <v>3534</v>
      </c>
      <c r="E701" s="403">
        <v>217455193.99872607</v>
      </c>
      <c r="F701" s="431">
        <v>205299112.2677336</v>
      </c>
      <c r="G701" s="404">
        <v>25</v>
      </c>
      <c r="H701" s="405">
        <v>50738</v>
      </c>
      <c r="I701" s="404">
        <v>9131</v>
      </c>
      <c r="J701" s="404">
        <v>8645</v>
      </c>
      <c r="K701" s="406">
        <v>194426352.5677973</v>
      </c>
      <c r="L701" s="404">
        <v>365</v>
      </c>
      <c r="M701" s="404">
        <v>8208863</v>
      </c>
      <c r="N701" s="404">
        <v>57609349</v>
      </c>
      <c r="O701" s="404">
        <v>147689763.2677336</v>
      </c>
    </row>
    <row r="702" spans="2:15" s="154" customFormat="1" hidden="1" outlineLevel="1">
      <c r="B702" s="165" t="s">
        <v>2332</v>
      </c>
      <c r="C702" s="165" t="s">
        <v>3496</v>
      </c>
      <c r="D702" s="165" t="s">
        <v>3535</v>
      </c>
      <c r="E702" s="403">
        <v>170614298.69637495</v>
      </c>
      <c r="F702" s="431">
        <v>161076695.47074664</v>
      </c>
      <c r="G702" s="404">
        <v>25</v>
      </c>
      <c r="H702" s="405">
        <v>50738</v>
      </c>
      <c r="I702" s="404">
        <v>9131</v>
      </c>
      <c r="J702" s="404">
        <v>8645</v>
      </c>
      <c r="K702" s="406">
        <v>152545980.53592789</v>
      </c>
      <c r="L702" s="404">
        <v>365</v>
      </c>
      <c r="M702" s="404">
        <v>6440634</v>
      </c>
      <c r="N702" s="404">
        <v>45200016</v>
      </c>
      <c r="O702" s="404">
        <v>115876679.47074664</v>
      </c>
    </row>
    <row r="703" spans="2:15" s="154" customFormat="1" hidden="1" outlineLevel="1">
      <c r="B703" s="165" t="s">
        <v>2332</v>
      </c>
      <c r="C703" s="165" t="s">
        <v>3496</v>
      </c>
      <c r="D703" s="165" t="s">
        <v>3536</v>
      </c>
      <c r="E703" s="403">
        <v>185486030.50860286</v>
      </c>
      <c r="F703" s="431">
        <v>175117074.49598131</v>
      </c>
      <c r="G703" s="404">
        <v>25</v>
      </c>
      <c r="H703" s="405">
        <v>50738</v>
      </c>
      <c r="I703" s="404">
        <v>9131</v>
      </c>
      <c r="J703" s="404">
        <v>8645</v>
      </c>
      <c r="K703" s="406">
        <v>165842772.97055116</v>
      </c>
      <c r="L703" s="404">
        <v>365</v>
      </c>
      <c r="M703" s="404">
        <v>7002037</v>
      </c>
      <c r="N703" s="404">
        <v>49139911</v>
      </c>
      <c r="O703" s="404">
        <v>125977163.49598131</v>
      </c>
    </row>
    <row r="704" spans="2:15" s="154" customFormat="1" hidden="1" outlineLevel="1">
      <c r="B704" s="165" t="s">
        <v>2332</v>
      </c>
      <c r="C704" s="165" t="s">
        <v>3496</v>
      </c>
      <c r="D704" s="165" t="s">
        <v>3537</v>
      </c>
      <c r="E704" s="403">
        <v>354023429.45143825</v>
      </c>
      <c r="F704" s="431">
        <v>334232972.14584702</v>
      </c>
      <c r="G704" s="404">
        <v>30</v>
      </c>
      <c r="H704" s="405">
        <v>52564</v>
      </c>
      <c r="I704" s="404">
        <v>10957</v>
      </c>
      <c r="J704" s="404">
        <v>10471</v>
      </c>
      <c r="K704" s="406">
        <v>316531800.67327517</v>
      </c>
      <c r="L704" s="404">
        <v>365</v>
      </c>
      <c r="M704" s="404">
        <v>11033722</v>
      </c>
      <c r="N704" s="404">
        <v>77434055</v>
      </c>
      <c r="O704" s="404">
        <v>256798917.14584708</v>
      </c>
    </row>
    <row r="705" spans="2:15" s="154" customFormat="1" hidden="1" outlineLevel="1">
      <c r="B705" s="165" t="s">
        <v>2332</v>
      </c>
      <c r="C705" s="165" t="s">
        <v>3496</v>
      </c>
      <c r="D705" s="165" t="s">
        <v>3538</v>
      </c>
      <c r="E705" s="403">
        <v>456600871.80391729</v>
      </c>
      <c r="F705" s="431">
        <v>431076176.81653059</v>
      </c>
      <c r="G705" s="404">
        <v>30</v>
      </c>
      <c r="H705" s="405">
        <v>52564</v>
      </c>
      <c r="I705" s="404">
        <v>10957</v>
      </c>
      <c r="J705" s="404">
        <v>10471</v>
      </c>
      <c r="K705" s="406">
        <v>408246133.22633469</v>
      </c>
      <c r="L705" s="404">
        <v>365</v>
      </c>
      <c r="M705" s="404">
        <v>14230717</v>
      </c>
      <c r="N705" s="404">
        <v>99870389</v>
      </c>
      <c r="O705" s="404">
        <v>331205787.81653053</v>
      </c>
    </row>
    <row r="706" spans="2:15" s="154" customFormat="1" hidden="1" outlineLevel="1">
      <c r="B706" s="165" t="s">
        <v>2332</v>
      </c>
      <c r="C706" s="165" t="s">
        <v>3496</v>
      </c>
      <c r="D706" s="165" t="s">
        <v>3539</v>
      </c>
      <c r="E706" s="403">
        <v>456600871.80391729</v>
      </c>
      <c r="F706" s="431">
        <v>431076176.81653059</v>
      </c>
      <c r="G706" s="404">
        <v>30</v>
      </c>
      <c r="H706" s="405">
        <v>52564</v>
      </c>
      <c r="I706" s="404">
        <v>10957</v>
      </c>
      <c r="J706" s="404">
        <v>10471</v>
      </c>
      <c r="K706" s="406">
        <v>408246133.22633469</v>
      </c>
      <c r="L706" s="404">
        <v>365</v>
      </c>
      <c r="M706" s="404">
        <v>14230717</v>
      </c>
      <c r="N706" s="404">
        <v>99870389</v>
      </c>
      <c r="O706" s="404">
        <v>331205787.81653053</v>
      </c>
    </row>
    <row r="707" spans="2:15" s="154" customFormat="1" hidden="1" outlineLevel="1">
      <c r="B707" s="165" t="s">
        <v>2332</v>
      </c>
      <c r="C707" s="165" t="s">
        <v>3496</v>
      </c>
      <c r="D707" s="165" t="s">
        <v>3540</v>
      </c>
      <c r="E707" s="403">
        <v>105472138.28742285</v>
      </c>
      <c r="F707" s="431">
        <v>99576082.642579958</v>
      </c>
      <c r="G707" s="404">
        <v>30</v>
      </c>
      <c r="H707" s="405">
        <v>52564</v>
      </c>
      <c r="I707" s="404">
        <v>10957</v>
      </c>
      <c r="J707" s="404">
        <v>10471</v>
      </c>
      <c r="K707" s="406">
        <v>94302475.728208825</v>
      </c>
      <c r="L707" s="404">
        <v>365</v>
      </c>
      <c r="M707" s="404">
        <v>3287213</v>
      </c>
      <c r="N707" s="404">
        <v>23069480</v>
      </c>
      <c r="O707" s="404">
        <v>76506602.642579973</v>
      </c>
    </row>
    <row r="708" spans="2:15" s="154" customFormat="1" hidden="1" outlineLevel="1">
      <c r="B708" s="165" t="s">
        <v>2332</v>
      </c>
      <c r="C708" s="165" t="s">
        <v>3496</v>
      </c>
      <c r="D708" s="165" t="s">
        <v>3541</v>
      </c>
      <c r="E708" s="403">
        <v>90176792.535983384</v>
      </c>
      <c r="F708" s="431">
        <v>85135770.333941206</v>
      </c>
      <c r="G708" s="404">
        <v>20</v>
      </c>
      <c r="H708" s="405">
        <v>48912</v>
      </c>
      <c r="I708" s="404">
        <v>7305</v>
      </c>
      <c r="J708" s="404">
        <v>6819</v>
      </c>
      <c r="K708" s="406">
        <v>80626930.70714204</v>
      </c>
      <c r="L708" s="404">
        <v>365</v>
      </c>
      <c r="M708" s="404">
        <v>4315710</v>
      </c>
      <c r="N708" s="404">
        <v>30287416</v>
      </c>
      <c r="O708" s="404">
        <v>54848354.333941206</v>
      </c>
    </row>
    <row r="709" spans="2:15" s="154" customFormat="1" ht="27" hidden="1" outlineLevel="1">
      <c r="B709" s="165" t="s">
        <v>2332</v>
      </c>
      <c r="C709" s="165" t="s">
        <v>3496</v>
      </c>
      <c r="D709" s="165" t="s">
        <v>3542</v>
      </c>
      <c r="E709" s="403">
        <v>34787251.285639279</v>
      </c>
      <c r="F709" s="431">
        <v>32842590.107894503</v>
      </c>
      <c r="G709" s="404">
        <v>10</v>
      </c>
      <c r="H709" s="405">
        <v>45259</v>
      </c>
      <c r="I709" s="404">
        <v>3652</v>
      </c>
      <c r="J709" s="404">
        <v>3166</v>
      </c>
      <c r="K709" s="406">
        <v>31103227.54361254</v>
      </c>
      <c r="L709" s="404">
        <v>365</v>
      </c>
      <c r="M709" s="404">
        <v>3585811</v>
      </c>
      <c r="N709" s="404">
        <v>25165024</v>
      </c>
      <c r="O709" s="404">
        <v>7677566.1078945026</v>
      </c>
    </row>
    <row r="710" spans="2:15" s="154" customFormat="1" hidden="1" outlineLevel="1">
      <c r="B710" s="165" t="s">
        <v>2332</v>
      </c>
      <c r="C710" s="165" t="s">
        <v>3496</v>
      </c>
      <c r="D710" s="165" t="s">
        <v>3543</v>
      </c>
      <c r="E710" s="403">
        <v>20072307.881913539</v>
      </c>
      <c r="F710" s="431">
        <v>18950234.847233567</v>
      </c>
      <c r="G710" s="404">
        <v>10</v>
      </c>
      <c r="H710" s="405">
        <v>45259</v>
      </c>
      <c r="I710" s="404">
        <v>3652</v>
      </c>
      <c r="J710" s="404">
        <v>3166</v>
      </c>
      <c r="K710" s="406">
        <v>17946619.45313789</v>
      </c>
      <c r="L710" s="404">
        <v>365</v>
      </c>
      <c r="M710" s="404">
        <v>2069020</v>
      </c>
      <c r="N710" s="404">
        <v>14520268</v>
      </c>
      <c r="O710" s="404">
        <v>4429966.8472335674</v>
      </c>
    </row>
    <row r="711" spans="2:15" s="154" customFormat="1" hidden="1" outlineLevel="1">
      <c r="B711" s="165" t="s">
        <v>2332</v>
      </c>
      <c r="C711" s="165" t="s">
        <v>3496</v>
      </c>
      <c r="D711" s="165" t="s">
        <v>3544</v>
      </c>
      <c r="E711" s="403">
        <v>22773161.562595781</v>
      </c>
      <c r="F711" s="431">
        <v>21500106.624948807</v>
      </c>
      <c r="G711" s="404">
        <v>10</v>
      </c>
      <c r="H711" s="405">
        <v>45259</v>
      </c>
      <c r="I711" s="404">
        <v>3652</v>
      </c>
      <c r="J711" s="404">
        <v>3166</v>
      </c>
      <c r="K711" s="406">
        <v>20361448.546819016</v>
      </c>
      <c r="L711" s="404">
        <v>365</v>
      </c>
      <c r="M711" s="404">
        <v>2347419</v>
      </c>
      <c r="N711" s="404">
        <v>16474057</v>
      </c>
      <c r="O711" s="404">
        <v>5026049.6249488071</v>
      </c>
    </row>
    <row r="712" spans="2:15" s="154" customFormat="1" hidden="1" outlineLevel="1">
      <c r="B712" s="165" t="s">
        <v>2332</v>
      </c>
      <c r="C712" s="165" t="s">
        <v>3496</v>
      </c>
      <c r="D712" s="165" t="s">
        <v>3545</v>
      </c>
      <c r="E712" s="403">
        <v>40383586.699386045</v>
      </c>
      <c r="F712" s="431">
        <v>38126081.771535598</v>
      </c>
      <c r="G712" s="404">
        <v>10</v>
      </c>
      <c r="H712" s="405">
        <v>45259</v>
      </c>
      <c r="I712" s="404">
        <v>3652</v>
      </c>
      <c r="J712" s="404">
        <v>3166</v>
      </c>
      <c r="K712" s="406">
        <v>36106902.436566301</v>
      </c>
      <c r="L712" s="404">
        <v>365</v>
      </c>
      <c r="M712" s="404">
        <v>4162672</v>
      </c>
      <c r="N712" s="404">
        <v>29213403</v>
      </c>
      <c r="O712" s="404">
        <v>8912678.7715356052</v>
      </c>
    </row>
    <row r="713" spans="2:15" s="154" customFormat="1" hidden="1" outlineLevel="1">
      <c r="B713" s="165" t="s">
        <v>2332</v>
      </c>
      <c r="C713" s="165" t="s">
        <v>3496</v>
      </c>
      <c r="D713" s="165" t="s">
        <v>3546</v>
      </c>
      <c r="E713" s="403">
        <v>10372099.561509941</v>
      </c>
      <c r="F713" s="431">
        <v>9792283.1118372753</v>
      </c>
      <c r="G713" s="404">
        <v>15</v>
      </c>
      <c r="H713" s="405">
        <v>47086</v>
      </c>
      <c r="I713" s="404">
        <v>5479</v>
      </c>
      <c r="J713" s="404">
        <v>4993</v>
      </c>
      <c r="K713" s="406">
        <v>9273678.1337617785</v>
      </c>
      <c r="L713" s="404">
        <v>365</v>
      </c>
      <c r="M713" s="404">
        <v>677928</v>
      </c>
      <c r="N713" s="404">
        <v>4757661</v>
      </c>
      <c r="O713" s="404">
        <v>5034622.1118372753</v>
      </c>
    </row>
    <row r="714" spans="2:15" s="154" customFormat="1" hidden="1" outlineLevel="1">
      <c r="B714" s="165" t="s">
        <v>2332</v>
      </c>
      <c r="C714" s="165" t="s">
        <v>3496</v>
      </c>
      <c r="D714" s="165" t="s">
        <v>3547</v>
      </c>
      <c r="E714" s="403">
        <v>10023332.734626884</v>
      </c>
      <c r="F714" s="431">
        <v>9463012.9541265983</v>
      </c>
      <c r="G714" s="404">
        <v>15</v>
      </c>
      <c r="H714" s="405">
        <v>47086</v>
      </c>
      <c r="I714" s="404">
        <v>5479</v>
      </c>
      <c r="J714" s="404">
        <v>4993</v>
      </c>
      <c r="K714" s="406">
        <v>8961846.317395255</v>
      </c>
      <c r="L714" s="404">
        <v>365</v>
      </c>
      <c r="M714" s="404">
        <v>655132</v>
      </c>
      <c r="N714" s="404">
        <v>4597680</v>
      </c>
      <c r="O714" s="404">
        <v>4865332.9541265983</v>
      </c>
    </row>
    <row r="715" spans="2:15" s="154" customFormat="1" hidden="1" outlineLevel="1">
      <c r="B715" s="165" t="s">
        <v>2332</v>
      </c>
      <c r="C715" s="165" t="s">
        <v>3496</v>
      </c>
      <c r="D715" s="165" t="s">
        <v>3548</v>
      </c>
      <c r="E715" s="403">
        <v>11356356.61125757</v>
      </c>
      <c r="F715" s="431">
        <v>10721518.732048515</v>
      </c>
      <c r="G715" s="404">
        <v>15</v>
      </c>
      <c r="H715" s="405">
        <v>47086</v>
      </c>
      <c r="I715" s="404">
        <v>5479</v>
      </c>
      <c r="J715" s="404">
        <v>4993</v>
      </c>
      <c r="K715" s="406">
        <v>10153700.901485635</v>
      </c>
      <c r="L715" s="404">
        <v>365</v>
      </c>
      <c r="M715" s="404">
        <v>742259</v>
      </c>
      <c r="N715" s="404">
        <v>5209134</v>
      </c>
      <c r="O715" s="404">
        <v>5512384.7320485134</v>
      </c>
    </row>
    <row r="716" spans="2:15" s="154" customFormat="1" hidden="1" outlineLevel="1">
      <c r="B716" s="165" t="s">
        <v>2332</v>
      </c>
      <c r="C716" s="165" t="s">
        <v>3496</v>
      </c>
      <c r="D716" s="165" t="s">
        <v>3549</v>
      </c>
      <c r="E716" s="403">
        <v>31797777.632640705</v>
      </c>
      <c r="F716" s="431">
        <v>30020232.680890005</v>
      </c>
      <c r="G716" s="404">
        <v>20</v>
      </c>
      <c r="H716" s="405">
        <v>48912</v>
      </c>
      <c r="I716" s="404">
        <v>7305</v>
      </c>
      <c r="J716" s="404">
        <v>6819</v>
      </c>
      <c r="K716" s="406">
        <v>28430343.799257971</v>
      </c>
      <c r="L716" s="404">
        <v>365</v>
      </c>
      <c r="M716" s="404">
        <v>1521788</v>
      </c>
      <c r="N716" s="404">
        <v>10679826</v>
      </c>
      <c r="O716" s="404">
        <v>19340406.680890005</v>
      </c>
    </row>
    <row r="717" spans="2:15" s="154" customFormat="1" hidden="1" outlineLevel="1">
      <c r="B717" s="165" t="s">
        <v>2332</v>
      </c>
      <c r="C717" s="165" t="s">
        <v>3496</v>
      </c>
      <c r="D717" s="165" t="s">
        <v>3550</v>
      </c>
      <c r="E717" s="403">
        <v>30258891.394488961</v>
      </c>
      <c r="F717" s="431">
        <v>28567372.580740936</v>
      </c>
      <c r="G717" s="404">
        <v>20</v>
      </c>
      <c r="H717" s="405">
        <v>48912</v>
      </c>
      <c r="I717" s="404">
        <v>7305</v>
      </c>
      <c r="J717" s="404">
        <v>6819</v>
      </c>
      <c r="K717" s="406">
        <v>27054428.011016488</v>
      </c>
      <c r="L717" s="404">
        <v>365</v>
      </c>
      <c r="M717" s="404">
        <v>1448140</v>
      </c>
      <c r="N717" s="404">
        <v>10162966</v>
      </c>
      <c r="O717" s="404">
        <v>18404406.580740936</v>
      </c>
    </row>
    <row r="718" spans="2:15" s="154" customFormat="1" ht="27" hidden="1" outlineLevel="1">
      <c r="B718" s="165" t="s">
        <v>2332</v>
      </c>
      <c r="C718" s="165" t="s">
        <v>3496</v>
      </c>
      <c r="D718" s="165" t="s">
        <v>3551</v>
      </c>
      <c r="E718" s="403">
        <v>31797777.632640705</v>
      </c>
      <c r="F718" s="431">
        <v>30020232.680890005</v>
      </c>
      <c r="G718" s="404">
        <v>20</v>
      </c>
      <c r="H718" s="405">
        <v>48912</v>
      </c>
      <c r="I718" s="404">
        <v>7305</v>
      </c>
      <c r="J718" s="404">
        <v>6819</v>
      </c>
      <c r="K718" s="406">
        <v>28430343.799257971</v>
      </c>
      <c r="L718" s="404">
        <v>365</v>
      </c>
      <c r="M718" s="404">
        <v>1521788</v>
      </c>
      <c r="N718" s="404">
        <v>10679826</v>
      </c>
      <c r="O718" s="404">
        <v>19340406.680890005</v>
      </c>
    </row>
    <row r="719" spans="2:15" s="154" customFormat="1" hidden="1" outlineLevel="1">
      <c r="B719" s="165" t="s">
        <v>2332</v>
      </c>
      <c r="C719" s="165" t="s">
        <v>3496</v>
      </c>
      <c r="D719" s="165" t="s">
        <v>3552</v>
      </c>
      <c r="E719" s="403">
        <v>31797777.632640705</v>
      </c>
      <c r="F719" s="431">
        <v>30020232.680890005</v>
      </c>
      <c r="G719" s="404">
        <v>25</v>
      </c>
      <c r="H719" s="405">
        <v>50738</v>
      </c>
      <c r="I719" s="404">
        <v>9131</v>
      </c>
      <c r="J719" s="404">
        <v>8645</v>
      </c>
      <c r="K719" s="406">
        <v>28430343.799257971</v>
      </c>
      <c r="L719" s="404">
        <v>365</v>
      </c>
      <c r="M719" s="404">
        <v>1200356</v>
      </c>
      <c r="N719" s="404">
        <v>8424031</v>
      </c>
      <c r="O719" s="404">
        <v>21596201.680890005</v>
      </c>
    </row>
    <row r="720" spans="2:15" s="154" customFormat="1" hidden="1" outlineLevel="1">
      <c r="B720" s="165" t="s">
        <v>2332</v>
      </c>
      <c r="C720" s="165" t="s">
        <v>3496</v>
      </c>
      <c r="D720" s="165" t="s">
        <v>3553</v>
      </c>
      <c r="E720" s="403">
        <v>83395121.735961273</v>
      </c>
      <c r="F720" s="431">
        <v>78733205.399535805</v>
      </c>
      <c r="G720" s="404">
        <v>25</v>
      </c>
      <c r="H720" s="405">
        <v>50738</v>
      </c>
      <c r="I720" s="404">
        <v>9131</v>
      </c>
      <c r="J720" s="404">
        <v>8645</v>
      </c>
      <c r="K720" s="406">
        <v>74563449.312737748</v>
      </c>
      <c r="L720" s="404">
        <v>365</v>
      </c>
      <c r="M720" s="404">
        <v>3148139</v>
      </c>
      <c r="N720" s="404">
        <v>22093466</v>
      </c>
      <c r="O720" s="404">
        <v>56639739.399535805</v>
      </c>
    </row>
    <row r="721" spans="2:15" s="154" customFormat="1" hidden="1" outlineLevel="1">
      <c r="B721" s="165" t="s">
        <v>2332</v>
      </c>
      <c r="C721" s="165" t="s">
        <v>3496</v>
      </c>
      <c r="D721" s="165" t="s">
        <v>3554</v>
      </c>
      <c r="E721" s="403">
        <v>82160403.735471278</v>
      </c>
      <c r="F721" s="431">
        <v>77567510.084420383</v>
      </c>
      <c r="G721" s="404">
        <v>25</v>
      </c>
      <c r="H721" s="405">
        <v>50738</v>
      </c>
      <c r="I721" s="404">
        <v>9131</v>
      </c>
      <c r="J721" s="404">
        <v>8645</v>
      </c>
      <c r="K721" s="406">
        <v>73459489.897646815</v>
      </c>
      <c r="L721" s="404">
        <v>365</v>
      </c>
      <c r="M721" s="404">
        <v>3101528</v>
      </c>
      <c r="N721" s="404">
        <v>21766354</v>
      </c>
      <c r="O721" s="404">
        <v>55801156.084420383</v>
      </c>
    </row>
    <row r="722" spans="2:15" s="154" customFormat="1" hidden="1" outlineLevel="1">
      <c r="B722" s="165" t="s">
        <v>2332</v>
      </c>
      <c r="C722" s="165" t="s">
        <v>3496</v>
      </c>
      <c r="D722" s="165" t="s">
        <v>3555</v>
      </c>
      <c r="E722" s="403">
        <v>20848820.845162712</v>
      </c>
      <c r="F722" s="431">
        <v>19683339.499335665</v>
      </c>
      <c r="G722" s="404">
        <v>30</v>
      </c>
      <c r="H722" s="405">
        <v>52564</v>
      </c>
      <c r="I722" s="404">
        <v>10957</v>
      </c>
      <c r="J722" s="404">
        <v>10471</v>
      </c>
      <c r="K722" s="406">
        <v>18640898.457077529</v>
      </c>
      <c r="L722" s="404">
        <v>365</v>
      </c>
      <c r="M722" s="404">
        <v>649788</v>
      </c>
      <c r="N722" s="404">
        <v>4560176</v>
      </c>
      <c r="O722" s="404">
        <v>15123163.499335665</v>
      </c>
    </row>
    <row r="723" spans="2:15" s="154" customFormat="1" hidden="1" outlineLevel="1">
      <c r="B723" s="165" t="s">
        <v>2332</v>
      </c>
      <c r="C723" s="165" t="s">
        <v>3496</v>
      </c>
      <c r="D723" s="165" t="s">
        <v>3556</v>
      </c>
      <c r="E723" s="403">
        <v>19781963.305157326</v>
      </c>
      <c r="F723" s="431">
        <v>18676120.986396346</v>
      </c>
      <c r="G723" s="404">
        <v>15</v>
      </c>
      <c r="H723" s="405">
        <v>47086</v>
      </c>
      <c r="I723" s="404">
        <v>5479</v>
      </c>
      <c r="J723" s="404">
        <v>4993</v>
      </c>
      <c r="K723" s="406">
        <v>17687022.821138479</v>
      </c>
      <c r="L723" s="404">
        <v>365</v>
      </c>
      <c r="M723" s="404">
        <v>1292963</v>
      </c>
      <c r="N723" s="404">
        <v>9073943</v>
      </c>
      <c r="O723" s="404">
        <v>9602177.9863963462</v>
      </c>
    </row>
    <row r="724" spans="2:15" s="154" customFormat="1" hidden="1" outlineLevel="1">
      <c r="B724" s="165" t="s">
        <v>2332</v>
      </c>
      <c r="C724" s="165" t="s">
        <v>3496</v>
      </c>
      <c r="D724" s="165" t="s">
        <v>3557</v>
      </c>
      <c r="E724" s="403">
        <v>45867356.976334147</v>
      </c>
      <c r="F724" s="431">
        <v>43303300.806402616</v>
      </c>
      <c r="G724" s="404">
        <v>15</v>
      </c>
      <c r="H724" s="405">
        <v>47086</v>
      </c>
      <c r="I724" s="404">
        <v>5479</v>
      </c>
      <c r="J724" s="404">
        <v>4993</v>
      </c>
      <c r="K724" s="406">
        <v>41009932.957585908</v>
      </c>
      <c r="L724" s="404">
        <v>365</v>
      </c>
      <c r="M724" s="404">
        <v>2997922</v>
      </c>
      <c r="N724" s="404">
        <v>21039252</v>
      </c>
      <c r="O724" s="404">
        <v>22264048.806402616</v>
      </c>
    </row>
    <row r="725" spans="2:15" s="154" customFormat="1" hidden="1" outlineLevel="1">
      <c r="B725" s="165" t="s">
        <v>2332</v>
      </c>
      <c r="C725" s="165" t="s">
        <v>3496</v>
      </c>
      <c r="D725" s="165" t="s">
        <v>3558</v>
      </c>
      <c r="E725" s="403">
        <v>20441422.021383137</v>
      </c>
      <c r="F725" s="431">
        <v>19298714.948841494</v>
      </c>
      <c r="G725" s="404">
        <v>15</v>
      </c>
      <c r="H725" s="405">
        <v>47086</v>
      </c>
      <c r="I725" s="404">
        <v>5479</v>
      </c>
      <c r="J725" s="404">
        <v>4993</v>
      </c>
      <c r="K725" s="406">
        <v>18276643.847772337</v>
      </c>
      <c r="L725" s="404">
        <v>365</v>
      </c>
      <c r="M725" s="404">
        <v>1336065</v>
      </c>
      <c r="N725" s="404">
        <v>9376432</v>
      </c>
      <c r="O725" s="404">
        <v>9922282.9488414936</v>
      </c>
    </row>
    <row r="726" spans="2:15" s="154" customFormat="1" hidden="1" outlineLevel="1">
      <c r="B726" s="165" t="s">
        <v>2332</v>
      </c>
      <c r="C726" s="165" t="s">
        <v>3496</v>
      </c>
      <c r="D726" s="165" t="s">
        <v>3559</v>
      </c>
      <c r="E726" s="403">
        <v>8531610.5741825197</v>
      </c>
      <c r="F726" s="431">
        <v>8054680.3375203349</v>
      </c>
      <c r="G726" s="404">
        <v>15</v>
      </c>
      <c r="H726" s="405">
        <v>47086</v>
      </c>
      <c r="I726" s="404">
        <v>5479</v>
      </c>
      <c r="J726" s="404">
        <v>4993</v>
      </c>
      <c r="K726" s="406">
        <v>7628099.8088112092</v>
      </c>
      <c r="L726" s="404">
        <v>365</v>
      </c>
      <c r="M726" s="404">
        <v>557632</v>
      </c>
      <c r="N726" s="404">
        <v>3913431</v>
      </c>
      <c r="O726" s="404">
        <v>4141249.3375203349</v>
      </c>
    </row>
    <row r="727" spans="2:15" s="154" customFormat="1" hidden="1" outlineLevel="1">
      <c r="B727" s="165" t="s">
        <v>2332</v>
      </c>
      <c r="C727" s="165" t="s">
        <v>3496</v>
      </c>
      <c r="D727" s="165" t="s">
        <v>3560</v>
      </c>
      <c r="E727" s="403">
        <v>3634043.9817503095</v>
      </c>
      <c r="F727" s="431">
        <v>3430895.3193890201</v>
      </c>
      <c r="G727" s="404">
        <v>10</v>
      </c>
      <c r="H727" s="405">
        <v>45259</v>
      </c>
      <c r="I727" s="404">
        <v>3652</v>
      </c>
      <c r="J727" s="404">
        <v>3166</v>
      </c>
      <c r="K727" s="406">
        <v>3249193.1203015046</v>
      </c>
      <c r="L727" s="404">
        <v>365</v>
      </c>
      <c r="M727" s="404">
        <v>374591</v>
      </c>
      <c r="N727" s="404">
        <v>2628859</v>
      </c>
      <c r="O727" s="404">
        <v>802036.31938902009</v>
      </c>
    </row>
    <row r="728" spans="2:15" s="154" customFormat="1" ht="27" hidden="1" outlineLevel="1">
      <c r="B728" s="165" t="s">
        <v>2332</v>
      </c>
      <c r="C728" s="165" t="s">
        <v>3496</v>
      </c>
      <c r="D728" s="165" t="s">
        <v>3561</v>
      </c>
      <c r="E728" s="403">
        <v>634648741.756603</v>
      </c>
      <c r="F728" s="431">
        <v>599170894.91080463</v>
      </c>
      <c r="G728" s="404">
        <v>40</v>
      </c>
      <c r="H728" s="405">
        <v>56217</v>
      </c>
      <c r="I728" s="404">
        <v>14610</v>
      </c>
      <c r="J728" s="404">
        <v>14124</v>
      </c>
      <c r="K728" s="406">
        <v>567438457.82297444</v>
      </c>
      <c r="L728" s="404">
        <v>365</v>
      </c>
      <c r="M728" s="404">
        <v>14664050</v>
      </c>
      <c r="N728" s="404">
        <v>102911496</v>
      </c>
      <c r="O728" s="404">
        <v>496259398.91080463</v>
      </c>
    </row>
    <row r="729" spans="2:15" s="154" customFormat="1" hidden="1" outlineLevel="1">
      <c r="B729" s="165" t="s">
        <v>2332</v>
      </c>
      <c r="C729" s="165" t="s">
        <v>3496</v>
      </c>
      <c r="D729" s="165" t="s">
        <v>3562</v>
      </c>
      <c r="E729" s="403">
        <v>3296888.0229478138</v>
      </c>
      <c r="F729" s="431">
        <v>3112586.8959331075</v>
      </c>
      <c r="G729" s="404">
        <v>10</v>
      </c>
      <c r="H729" s="405">
        <v>45259</v>
      </c>
      <c r="I729" s="404">
        <v>3652</v>
      </c>
      <c r="J729" s="404">
        <v>3166</v>
      </c>
      <c r="K729" s="406">
        <v>2947742.4947857168</v>
      </c>
      <c r="L729" s="404">
        <v>365</v>
      </c>
      <c r="M729" s="404">
        <v>339838</v>
      </c>
      <c r="N729" s="404">
        <v>2384964</v>
      </c>
      <c r="O729" s="404">
        <v>727622.89593310747</v>
      </c>
    </row>
    <row r="730" spans="2:15" s="154" customFormat="1" hidden="1" outlineLevel="1">
      <c r="B730" s="165" t="s">
        <v>2332</v>
      </c>
      <c r="C730" s="165" t="s">
        <v>3496</v>
      </c>
      <c r="D730" s="165" t="s">
        <v>3563</v>
      </c>
      <c r="E730" s="403">
        <v>16969276.821841449</v>
      </c>
      <c r="F730" s="431">
        <v>16020667.930381937</v>
      </c>
      <c r="G730" s="404">
        <v>5</v>
      </c>
      <c r="H730" s="405">
        <v>43433</v>
      </c>
      <c r="I730" s="404">
        <v>1826</v>
      </c>
      <c r="J730" s="404">
        <v>1340</v>
      </c>
      <c r="K730" s="406">
        <v>15172204.089289866</v>
      </c>
      <c r="L730" s="404">
        <v>0</v>
      </c>
      <c r="M730" s="404">
        <v>0</v>
      </c>
      <c r="N730" s="404">
        <v>16020668</v>
      </c>
      <c r="O730" s="403">
        <v>-6.9618061184883118E-2</v>
      </c>
    </row>
    <row r="731" spans="2:15" s="154" customFormat="1" hidden="1" outlineLevel="1">
      <c r="B731" s="165" t="s">
        <v>2332</v>
      </c>
      <c r="C731" s="165" t="s">
        <v>3496</v>
      </c>
      <c r="D731" s="165" t="s">
        <v>3564</v>
      </c>
      <c r="E731" s="403">
        <v>7554248.0876308437</v>
      </c>
      <c r="F731" s="431">
        <v>7131953.8667482166</v>
      </c>
      <c r="G731" s="404">
        <v>15</v>
      </c>
      <c r="H731" s="405">
        <v>47086</v>
      </c>
      <c r="I731" s="404">
        <v>5479</v>
      </c>
      <c r="J731" s="404">
        <v>4993</v>
      </c>
      <c r="K731" s="406">
        <v>6754241.4623666741</v>
      </c>
      <c r="L731" s="404">
        <v>365</v>
      </c>
      <c r="M731" s="404">
        <v>493751</v>
      </c>
      <c r="N731" s="404">
        <v>3465118</v>
      </c>
      <c r="O731" s="404">
        <v>3666835.8667482166</v>
      </c>
    </row>
    <row r="732" spans="2:15" s="154" customFormat="1" hidden="1" outlineLevel="1">
      <c r="B732" s="165" t="s">
        <v>2332</v>
      </c>
      <c r="C732" s="165" t="s">
        <v>3565</v>
      </c>
      <c r="D732" s="165" t="s">
        <v>3565</v>
      </c>
      <c r="E732" s="403">
        <v>30203602.969478309</v>
      </c>
      <c r="F732" s="431">
        <v>28515174.814062584</v>
      </c>
      <c r="G732" s="404">
        <v>20</v>
      </c>
      <c r="H732" s="405">
        <v>48912</v>
      </c>
      <c r="I732" s="404">
        <v>7305</v>
      </c>
      <c r="J732" s="404">
        <v>6819</v>
      </c>
      <c r="K732" s="406">
        <v>27004994.665588673</v>
      </c>
      <c r="L732" s="404">
        <v>365</v>
      </c>
      <c r="M732" s="404">
        <v>1445494</v>
      </c>
      <c r="N732" s="404">
        <v>10144397</v>
      </c>
      <c r="O732" s="404">
        <v>18370777.814062588</v>
      </c>
    </row>
    <row r="733" spans="2:15" s="154" customFormat="1" hidden="1" outlineLevel="1">
      <c r="B733" s="165"/>
      <c r="C733" s="165"/>
      <c r="D733" s="165"/>
      <c r="E733" s="403"/>
      <c r="F733" s="432"/>
      <c r="G733" s="404"/>
      <c r="H733" s="405"/>
      <c r="I733" s="404"/>
      <c r="J733" s="404"/>
      <c r="K733" s="406"/>
      <c r="L733" s="404"/>
      <c r="M733" s="404"/>
      <c r="N733" s="404"/>
      <c r="O733" s="404"/>
    </row>
    <row r="734" spans="2:15" s="154" customFormat="1" ht="40.5" hidden="1" outlineLevel="1">
      <c r="B734" s="165" t="s">
        <v>2332</v>
      </c>
      <c r="C734" s="165" t="s">
        <v>3496</v>
      </c>
      <c r="D734" s="165" t="s">
        <v>3497</v>
      </c>
      <c r="E734" s="403">
        <v>18746721.472664144</v>
      </c>
      <c r="F734" s="431">
        <v>18744768.522078399</v>
      </c>
      <c r="G734" s="404">
        <v>15</v>
      </c>
      <c r="H734" s="405">
        <v>47572</v>
      </c>
      <c r="I734" s="404">
        <v>5479</v>
      </c>
      <c r="J734" s="404">
        <v>5478</v>
      </c>
      <c r="K734" s="406">
        <v>17807432.44844519</v>
      </c>
      <c r="L734" s="404">
        <v>365</v>
      </c>
      <c r="M734" s="404">
        <v>1186512</v>
      </c>
      <c r="N734" s="404">
        <v>8313764</v>
      </c>
      <c r="O734" s="404">
        <v>10431004.522078399</v>
      </c>
    </row>
    <row r="735" spans="2:15" s="154" customFormat="1" hidden="1" outlineLevel="1">
      <c r="B735" s="165" t="s">
        <v>2332</v>
      </c>
      <c r="C735" s="165" t="s">
        <v>3496</v>
      </c>
      <c r="D735" s="165" t="s">
        <v>3498</v>
      </c>
      <c r="E735" s="403">
        <v>33282643.672454271</v>
      </c>
      <c r="F735" s="431">
        <v>33279176.433603108</v>
      </c>
      <c r="G735" s="404">
        <v>20</v>
      </c>
      <c r="H735" s="405">
        <v>49398</v>
      </c>
      <c r="I735" s="404">
        <v>7305</v>
      </c>
      <c r="J735" s="404">
        <v>7304</v>
      </c>
      <c r="K735" s="406">
        <v>31615044.249980394</v>
      </c>
      <c r="L735" s="404">
        <v>365</v>
      </c>
      <c r="M735" s="404">
        <v>1579887</v>
      </c>
      <c r="N735" s="404">
        <v>11070100</v>
      </c>
      <c r="O735" s="404">
        <v>22209076.433603108</v>
      </c>
    </row>
    <row r="736" spans="2:15" s="154" customFormat="1" hidden="1" outlineLevel="1">
      <c r="B736" s="165" t="s">
        <v>2332</v>
      </c>
      <c r="C736" s="165" t="s">
        <v>3565</v>
      </c>
      <c r="D736" s="165" t="s">
        <v>3565</v>
      </c>
      <c r="E736" s="403">
        <v>45394639.400094397</v>
      </c>
      <c r="F736" s="431">
        <v>45389910.3871824</v>
      </c>
      <c r="G736" s="404">
        <v>20</v>
      </c>
      <c r="H736" s="405">
        <v>49398</v>
      </c>
      <c r="I736" s="404">
        <v>7305</v>
      </c>
      <c r="J736" s="404">
        <v>7304</v>
      </c>
      <c r="K736" s="406">
        <v>43120178.417177677</v>
      </c>
      <c r="L736" s="404">
        <v>365</v>
      </c>
      <c r="M736" s="404">
        <v>2154828</v>
      </c>
      <c r="N736" s="404">
        <v>15098652</v>
      </c>
      <c r="O736" s="404">
        <v>30291258.3871824</v>
      </c>
    </row>
    <row r="737" spans="2:15" s="154" customFormat="1" hidden="1" outlineLevel="1">
      <c r="B737" s="165"/>
      <c r="C737" s="165"/>
      <c r="D737" s="165"/>
      <c r="E737" s="403"/>
      <c r="F737" s="432"/>
      <c r="G737" s="404"/>
      <c r="H737" s="405"/>
      <c r="I737" s="404"/>
      <c r="J737" s="404"/>
      <c r="K737" s="404"/>
      <c r="L737" s="404"/>
      <c r="M737" s="404"/>
      <c r="N737" s="404"/>
      <c r="O737" s="404"/>
    </row>
    <row r="738" spans="2:15" s="154" customFormat="1" ht="14.25" hidden="1">
      <c r="B738" s="411" t="s">
        <v>1837</v>
      </c>
      <c r="C738" s="165"/>
      <c r="D738" s="165"/>
      <c r="E738" s="412">
        <v>9132235979.7660027</v>
      </c>
      <c r="F738" s="433">
        <f>SUBTOTAL(9,F590:F737)</f>
        <v>8627165865.177206</v>
      </c>
      <c r="G738" s="404"/>
      <c r="H738" s="405"/>
      <c r="I738" s="404"/>
      <c r="J738" s="404"/>
      <c r="K738" s="404"/>
      <c r="L738" s="404"/>
      <c r="M738" s="413">
        <f t="shared" ref="M738:O738" si="9">SUBTOTAL(9,M590:M737)</f>
        <v>349792054</v>
      </c>
      <c r="N738" s="413">
        <f t="shared" si="9"/>
        <v>2485241236</v>
      </c>
      <c r="O738" s="413">
        <f t="shared" si="9"/>
        <v>6141924629.1772051</v>
      </c>
    </row>
    <row r="739" spans="2:15" s="154" customFormat="1" hidden="1">
      <c r="B739" s="165"/>
      <c r="C739" s="165"/>
      <c r="D739" s="165"/>
      <c r="E739" s="403"/>
      <c r="F739" s="435"/>
      <c r="G739" s="404"/>
      <c r="H739" s="405"/>
      <c r="I739" s="404"/>
      <c r="J739" s="404"/>
      <c r="K739" s="404"/>
      <c r="L739" s="404"/>
      <c r="M739" s="404"/>
      <c r="N739" s="404"/>
      <c r="O739" s="404"/>
    </row>
    <row r="740" spans="2:15" s="154" customFormat="1" ht="14.25" hidden="1">
      <c r="B740" s="411" t="s">
        <v>2333</v>
      </c>
      <c r="C740" s="165"/>
      <c r="D740" s="165"/>
      <c r="E740" s="403"/>
      <c r="F740" s="432"/>
      <c r="G740" s="404"/>
      <c r="H740" s="405"/>
      <c r="I740" s="404"/>
      <c r="J740" s="404"/>
      <c r="K740" s="404"/>
      <c r="L740" s="404"/>
      <c r="M740" s="404"/>
      <c r="N740" s="404"/>
      <c r="O740" s="404"/>
    </row>
    <row r="741" spans="2:15" s="154" customFormat="1" ht="27" hidden="1" outlineLevel="1">
      <c r="B741" s="165" t="s">
        <v>2333</v>
      </c>
      <c r="C741" s="165" t="s">
        <v>3566</v>
      </c>
      <c r="D741" s="165" t="s">
        <v>3567</v>
      </c>
      <c r="E741" s="403">
        <v>2737701.8077893495</v>
      </c>
      <c r="F741" s="431">
        <v>2584699.0024115299</v>
      </c>
      <c r="G741" s="404">
        <v>15</v>
      </c>
      <c r="H741" s="405">
        <v>47086</v>
      </c>
      <c r="I741" s="404">
        <v>5479</v>
      </c>
      <c r="J741" s="404">
        <v>4993</v>
      </c>
      <c r="K741" s="406">
        <v>2447813.9120220626</v>
      </c>
      <c r="L741" s="404">
        <v>365</v>
      </c>
      <c r="M741" s="404">
        <v>178941</v>
      </c>
      <c r="N741" s="404">
        <v>1255749</v>
      </c>
      <c r="O741" s="404">
        <v>1328950.0024115299</v>
      </c>
    </row>
    <row r="742" spans="2:15" s="154" customFormat="1" ht="27" hidden="1" outlineLevel="1">
      <c r="B742" s="165" t="s">
        <v>2333</v>
      </c>
      <c r="C742" s="165" t="s">
        <v>3566</v>
      </c>
      <c r="D742" s="165" t="s">
        <v>3568</v>
      </c>
      <c r="E742" s="403">
        <v>6387971.021679922</v>
      </c>
      <c r="F742" s="431">
        <v>6030964.5235171197</v>
      </c>
      <c r="G742" s="404">
        <v>15</v>
      </c>
      <c r="H742" s="405">
        <v>47086</v>
      </c>
      <c r="I742" s="404">
        <v>5479</v>
      </c>
      <c r="J742" s="404">
        <v>4993</v>
      </c>
      <c r="K742" s="406">
        <v>5711565.9724331237</v>
      </c>
      <c r="L742" s="404">
        <v>365</v>
      </c>
      <c r="M742" s="404">
        <v>417529</v>
      </c>
      <c r="N742" s="404">
        <v>2930081</v>
      </c>
      <c r="O742" s="404">
        <v>3100883.5235171197</v>
      </c>
    </row>
    <row r="743" spans="2:15" s="154" customFormat="1" hidden="1" outlineLevel="1">
      <c r="B743" s="165"/>
      <c r="C743" s="165"/>
      <c r="D743" s="165"/>
      <c r="E743" s="403"/>
      <c r="F743" s="432"/>
      <c r="G743" s="404"/>
      <c r="H743" s="405"/>
      <c r="I743" s="404"/>
      <c r="J743" s="404"/>
      <c r="K743" s="404"/>
      <c r="L743" s="404"/>
      <c r="M743" s="404"/>
      <c r="N743" s="404"/>
      <c r="O743" s="404"/>
    </row>
    <row r="744" spans="2:15" s="154" customFormat="1" hidden="1" outlineLevel="1">
      <c r="B744" s="165" t="s">
        <v>2333</v>
      </c>
      <c r="C744" s="165" t="s">
        <v>3569</v>
      </c>
      <c r="D744" s="165" t="s">
        <v>3570</v>
      </c>
      <c r="E744" s="403">
        <v>21855803.060643952</v>
      </c>
      <c r="F744" s="431">
        <v>20634340.993483737</v>
      </c>
      <c r="G744" s="404">
        <v>20</v>
      </c>
      <c r="H744" s="405">
        <v>48912</v>
      </c>
      <c r="I744" s="404">
        <v>7305</v>
      </c>
      <c r="J744" s="404">
        <v>6819</v>
      </c>
      <c r="K744" s="406">
        <v>19541550.840451539</v>
      </c>
      <c r="L744" s="404">
        <v>365</v>
      </c>
      <c r="M744" s="404">
        <v>1045999</v>
      </c>
      <c r="N744" s="404">
        <v>7340476</v>
      </c>
      <c r="O744" s="404">
        <v>13293864.993483737</v>
      </c>
    </row>
    <row r="745" spans="2:15" s="154" customFormat="1" hidden="1" outlineLevel="1">
      <c r="B745" s="165"/>
      <c r="C745" s="165"/>
      <c r="D745" s="165"/>
      <c r="E745" s="403"/>
      <c r="F745" s="432"/>
      <c r="G745" s="404"/>
      <c r="H745" s="405"/>
      <c r="I745" s="404"/>
      <c r="J745" s="404"/>
      <c r="K745" s="404"/>
      <c r="L745" s="404"/>
      <c r="M745" s="404"/>
      <c r="N745" s="404"/>
      <c r="O745" s="404"/>
    </row>
    <row r="746" spans="2:15" s="154" customFormat="1" ht="27" hidden="1" outlineLevel="1">
      <c r="B746" s="165" t="s">
        <v>2333</v>
      </c>
      <c r="C746" s="165" t="s">
        <v>3569</v>
      </c>
      <c r="D746" s="165" t="s">
        <v>3571</v>
      </c>
      <c r="E746" s="403">
        <v>740313.01869974472</v>
      </c>
      <c r="F746" s="431">
        <v>698938.92324094765</v>
      </c>
      <c r="G746" s="404">
        <v>20</v>
      </c>
      <c r="H746" s="405">
        <v>48912</v>
      </c>
      <c r="I746" s="404">
        <v>7305</v>
      </c>
      <c r="J746" s="404">
        <v>6819</v>
      </c>
      <c r="K746" s="406">
        <v>661923.27230596042</v>
      </c>
      <c r="L746" s="404">
        <v>365</v>
      </c>
      <c r="M746" s="404">
        <v>35431</v>
      </c>
      <c r="N746" s="404">
        <v>248643</v>
      </c>
      <c r="O746" s="404">
        <v>450295.92324094765</v>
      </c>
    </row>
    <row r="747" spans="2:15" s="154" customFormat="1" ht="27" hidden="1" outlineLevel="1">
      <c r="B747" s="165" t="s">
        <v>2333</v>
      </c>
      <c r="C747" s="165" t="s">
        <v>3569</v>
      </c>
      <c r="D747" s="165" t="s">
        <v>3572</v>
      </c>
      <c r="E747" s="403">
        <v>398631.04413850832</v>
      </c>
      <c r="F747" s="431">
        <v>376352.65339368465</v>
      </c>
      <c r="G747" s="404">
        <v>20</v>
      </c>
      <c r="H747" s="405">
        <v>48912</v>
      </c>
      <c r="I747" s="404">
        <v>7305</v>
      </c>
      <c r="J747" s="404">
        <v>6819</v>
      </c>
      <c r="K747" s="406">
        <v>356421.10118675925</v>
      </c>
      <c r="L747" s="404">
        <v>365</v>
      </c>
      <c r="M747" s="404">
        <v>19078</v>
      </c>
      <c r="N747" s="404">
        <v>133883</v>
      </c>
      <c r="O747" s="404">
        <v>242469.65339368465</v>
      </c>
    </row>
    <row r="748" spans="2:15" s="154" customFormat="1" hidden="1" outlineLevel="1">
      <c r="B748" s="165"/>
      <c r="C748" s="165"/>
      <c r="D748" s="165"/>
      <c r="E748" s="403"/>
      <c r="F748" s="432"/>
      <c r="G748" s="404"/>
      <c r="H748" s="405"/>
      <c r="I748" s="404"/>
      <c r="J748" s="404"/>
      <c r="K748" s="404"/>
      <c r="L748" s="404"/>
      <c r="M748" s="404"/>
      <c r="N748" s="404"/>
      <c r="O748" s="404"/>
    </row>
    <row r="749" spans="2:15" s="154" customFormat="1" ht="27" hidden="1" outlineLevel="1">
      <c r="B749" s="165" t="s">
        <v>2333</v>
      </c>
      <c r="C749" s="165" t="s">
        <v>3569</v>
      </c>
      <c r="D749" s="165" t="s">
        <v>3573</v>
      </c>
      <c r="E749" s="403">
        <v>1867717.2360938529</v>
      </c>
      <c r="F749" s="431">
        <v>1763335.5301614753</v>
      </c>
      <c r="G749" s="404">
        <v>20</v>
      </c>
      <c r="H749" s="405">
        <v>48912</v>
      </c>
      <c r="I749" s="404">
        <v>7305</v>
      </c>
      <c r="J749" s="404">
        <v>6819</v>
      </c>
      <c r="K749" s="406">
        <v>1669949.6683567828</v>
      </c>
      <c r="L749" s="404">
        <v>365</v>
      </c>
      <c r="M749" s="404">
        <v>89387</v>
      </c>
      <c r="N749" s="404">
        <v>627289</v>
      </c>
      <c r="O749" s="404">
        <v>1136046.5301614753</v>
      </c>
    </row>
    <row r="750" spans="2:15" s="154" customFormat="1" ht="27" hidden="1" outlineLevel="1">
      <c r="B750" s="165" t="s">
        <v>2333</v>
      </c>
      <c r="C750" s="165" t="s">
        <v>3569</v>
      </c>
      <c r="D750" s="165" t="s">
        <v>3574</v>
      </c>
      <c r="E750" s="403">
        <v>20854130.845162712</v>
      </c>
      <c r="F750" s="431">
        <v>19688649.499335665</v>
      </c>
      <c r="G750" s="404">
        <v>20</v>
      </c>
      <c r="H750" s="405">
        <v>48912</v>
      </c>
      <c r="I750" s="404">
        <v>7305</v>
      </c>
      <c r="J750" s="404">
        <v>6819</v>
      </c>
      <c r="K750" s="406">
        <v>18645942.957077529</v>
      </c>
      <c r="L750" s="404">
        <v>365</v>
      </c>
      <c r="M750" s="404">
        <v>998060</v>
      </c>
      <c r="N750" s="404">
        <v>7004055</v>
      </c>
      <c r="O750" s="404">
        <v>12684594.499335665</v>
      </c>
    </row>
    <row r="751" spans="2:15" s="154" customFormat="1" hidden="1" outlineLevel="1">
      <c r="B751" s="165"/>
      <c r="C751" s="165"/>
      <c r="D751" s="165"/>
      <c r="E751" s="403"/>
      <c r="F751" s="432"/>
      <c r="G751" s="404"/>
      <c r="H751" s="405"/>
      <c r="I751" s="404"/>
      <c r="J751" s="404"/>
      <c r="K751" s="404"/>
      <c r="L751" s="404"/>
      <c r="M751" s="404"/>
      <c r="N751" s="404"/>
      <c r="O751" s="404"/>
    </row>
    <row r="752" spans="2:15" s="154" customFormat="1" ht="27" hidden="1" outlineLevel="1">
      <c r="B752" s="165" t="s">
        <v>2333</v>
      </c>
      <c r="C752" s="165" t="s">
        <v>3569</v>
      </c>
      <c r="D752" s="165" t="s">
        <v>3575</v>
      </c>
      <c r="E752" s="403">
        <v>32842533.741860718</v>
      </c>
      <c r="F752" s="431">
        <v>31007052.801010638</v>
      </c>
      <c r="G752" s="404">
        <v>20</v>
      </c>
      <c r="H752" s="405">
        <v>48912</v>
      </c>
      <c r="I752" s="404">
        <v>7305</v>
      </c>
      <c r="J752" s="404">
        <v>6819</v>
      </c>
      <c r="K752" s="406">
        <v>29364926.113917608</v>
      </c>
      <c r="L752" s="404">
        <v>365</v>
      </c>
      <c r="M752" s="404">
        <v>1571814</v>
      </c>
      <c r="N752" s="404">
        <v>11030472</v>
      </c>
      <c r="O752" s="404">
        <v>19976580.801010642</v>
      </c>
    </row>
    <row r="753" spans="2:15" s="154" customFormat="1" hidden="1" outlineLevel="1">
      <c r="B753" s="165" t="s">
        <v>2333</v>
      </c>
      <c r="C753" s="165" t="s">
        <v>3569</v>
      </c>
      <c r="D753" s="165" t="s">
        <v>3576</v>
      </c>
      <c r="E753" s="403">
        <v>19158145.172205292</v>
      </c>
      <c r="F753" s="431">
        <v>18087447.920436684</v>
      </c>
      <c r="G753" s="404">
        <v>20</v>
      </c>
      <c r="H753" s="405">
        <v>48912</v>
      </c>
      <c r="I753" s="404">
        <v>7305</v>
      </c>
      <c r="J753" s="404">
        <v>6819</v>
      </c>
      <c r="K753" s="406">
        <v>17129540.661826421</v>
      </c>
      <c r="L753" s="404">
        <v>365</v>
      </c>
      <c r="M753" s="404">
        <v>916891</v>
      </c>
      <c r="N753" s="404">
        <v>6434439</v>
      </c>
      <c r="O753" s="404">
        <v>11653008.920436684</v>
      </c>
    </row>
    <row r="754" spans="2:15" s="154" customFormat="1" ht="27" hidden="1" outlineLevel="1">
      <c r="B754" s="165" t="s">
        <v>2333</v>
      </c>
      <c r="C754" s="165" t="s">
        <v>3569</v>
      </c>
      <c r="D754" s="165" t="s">
        <v>3577</v>
      </c>
      <c r="E754" s="403">
        <v>2736877.0594021026</v>
      </c>
      <c r="F754" s="431">
        <v>2583920.3467138493</v>
      </c>
      <c r="G754" s="404">
        <v>10</v>
      </c>
      <c r="H754" s="405">
        <v>45259</v>
      </c>
      <c r="I754" s="404">
        <v>3652</v>
      </c>
      <c r="J754" s="404">
        <v>3166</v>
      </c>
      <c r="K754" s="406">
        <v>2447076.4937437437</v>
      </c>
      <c r="L754" s="404">
        <v>365</v>
      </c>
      <c r="M754" s="404">
        <v>282117</v>
      </c>
      <c r="N754" s="404">
        <v>1979804</v>
      </c>
      <c r="O754" s="404">
        <v>604116.34671384888</v>
      </c>
    </row>
    <row r="755" spans="2:15" s="154" customFormat="1" hidden="1" outlineLevel="1">
      <c r="B755" s="165"/>
      <c r="C755" s="165"/>
      <c r="D755" s="165"/>
      <c r="E755" s="403"/>
      <c r="F755" s="432"/>
      <c r="G755" s="404"/>
      <c r="H755" s="405"/>
      <c r="I755" s="404"/>
      <c r="J755" s="404"/>
      <c r="K755" s="404"/>
      <c r="L755" s="404"/>
      <c r="M755" s="404"/>
      <c r="N755" s="404"/>
      <c r="O755" s="404"/>
    </row>
    <row r="756" spans="2:15" s="154" customFormat="1" hidden="1" outlineLevel="1">
      <c r="B756" s="165" t="s">
        <v>2333</v>
      </c>
      <c r="C756" s="165" t="s">
        <v>3569</v>
      </c>
      <c r="D756" s="165" t="s">
        <v>3578</v>
      </c>
      <c r="E756" s="403">
        <v>13739954.000561841</v>
      </c>
      <c r="F756" s="431">
        <v>12972064.947359892</v>
      </c>
      <c r="G756" s="404">
        <v>20</v>
      </c>
      <c r="H756" s="405">
        <v>48912</v>
      </c>
      <c r="I756" s="404">
        <v>7305</v>
      </c>
      <c r="J756" s="404">
        <v>6819</v>
      </c>
      <c r="K756" s="406">
        <v>12285067.247331802</v>
      </c>
      <c r="L756" s="404">
        <v>365</v>
      </c>
      <c r="M756" s="404">
        <v>657582</v>
      </c>
      <c r="N756" s="404">
        <v>4614693</v>
      </c>
      <c r="O756" s="404">
        <v>8357371.9473598935</v>
      </c>
    </row>
    <row r="757" spans="2:15" s="154" customFormat="1" hidden="1" outlineLevel="1">
      <c r="B757" s="165" t="s">
        <v>2333</v>
      </c>
      <c r="C757" s="165" t="s">
        <v>3569</v>
      </c>
      <c r="D757" s="165" t="s">
        <v>3579</v>
      </c>
      <c r="E757" s="403">
        <v>36446266.159646615</v>
      </c>
      <c r="F757" s="431">
        <v>34409382.280775271</v>
      </c>
      <c r="G757" s="404">
        <v>20</v>
      </c>
      <c r="H757" s="405">
        <v>48912</v>
      </c>
      <c r="I757" s="404">
        <v>7305</v>
      </c>
      <c r="J757" s="404">
        <v>6819</v>
      </c>
      <c r="K757" s="406">
        <v>32587068.972792942</v>
      </c>
      <c r="L757" s="404">
        <v>365</v>
      </c>
      <c r="M757" s="404">
        <v>1744285</v>
      </c>
      <c r="N757" s="404">
        <v>12240817</v>
      </c>
      <c r="O757" s="404">
        <v>22168565.280775271</v>
      </c>
    </row>
    <row r="758" spans="2:15" s="154" customFormat="1" hidden="1" outlineLevel="1">
      <c r="B758" s="165" t="s">
        <v>2333</v>
      </c>
      <c r="C758" s="165" t="s">
        <v>3569</v>
      </c>
      <c r="D758" s="165" t="s">
        <v>3570</v>
      </c>
      <c r="E758" s="403">
        <v>147983245.68149361</v>
      </c>
      <c r="F758" s="431">
        <v>139712859.79227734</v>
      </c>
      <c r="G758" s="404">
        <v>25</v>
      </c>
      <c r="H758" s="405">
        <v>50738</v>
      </c>
      <c r="I758" s="404">
        <v>9131</v>
      </c>
      <c r="J758" s="404">
        <v>8645</v>
      </c>
      <c r="K758" s="406">
        <v>132313697.50820269</v>
      </c>
      <c r="L758" s="404">
        <v>365</v>
      </c>
      <c r="M758" s="404">
        <v>5586408</v>
      </c>
      <c r="N758" s="404">
        <v>39203571</v>
      </c>
      <c r="O758" s="404">
        <v>100509288.79227737</v>
      </c>
    </row>
    <row r="759" spans="2:15" s="154" customFormat="1" hidden="1" outlineLevel="1">
      <c r="B759" s="165" t="s">
        <v>2333</v>
      </c>
      <c r="C759" s="165" t="s">
        <v>3569</v>
      </c>
      <c r="D759" s="165" t="s">
        <v>3580</v>
      </c>
      <c r="E759" s="403">
        <v>3986326.6420099786</v>
      </c>
      <c r="F759" s="431">
        <v>3763541.5625129119</v>
      </c>
      <c r="G759" s="404">
        <v>20</v>
      </c>
      <c r="H759" s="405">
        <v>48912</v>
      </c>
      <c r="I759" s="404">
        <v>7305</v>
      </c>
      <c r="J759" s="404">
        <v>6819</v>
      </c>
      <c r="K759" s="406">
        <v>3564225.2304124129</v>
      </c>
      <c r="L759" s="404">
        <v>365</v>
      </c>
      <c r="M759" s="404">
        <v>190782</v>
      </c>
      <c r="N759" s="404">
        <v>1338845</v>
      </c>
      <c r="O759" s="404">
        <v>2424696.5625129119</v>
      </c>
    </row>
    <row r="760" spans="2:15" s="154" customFormat="1" hidden="1" outlineLevel="1">
      <c r="B760" s="165"/>
      <c r="C760" s="165"/>
      <c r="D760" s="165"/>
      <c r="E760" s="403"/>
      <c r="F760" s="432"/>
      <c r="G760" s="404"/>
      <c r="H760" s="405"/>
      <c r="I760" s="404"/>
      <c r="J760" s="404"/>
      <c r="K760" s="404"/>
      <c r="L760" s="404"/>
      <c r="M760" s="404"/>
      <c r="N760" s="404"/>
      <c r="O760" s="404"/>
    </row>
    <row r="761" spans="2:15" s="154" customFormat="1" hidden="1" outlineLevel="1">
      <c r="B761" s="165" t="s">
        <v>2333</v>
      </c>
      <c r="C761" s="165" t="s">
        <v>3569</v>
      </c>
      <c r="D761" s="165" t="s">
        <v>3581</v>
      </c>
      <c r="E761" s="403">
        <v>5694740.590511065</v>
      </c>
      <c r="F761" s="431">
        <v>5376596.8174083596</v>
      </c>
      <c r="G761" s="404">
        <v>15</v>
      </c>
      <c r="H761" s="405">
        <v>47086</v>
      </c>
      <c r="I761" s="404">
        <v>5479</v>
      </c>
      <c r="J761" s="404">
        <v>4993</v>
      </c>
      <c r="K761" s="406">
        <v>5091739.7878828067</v>
      </c>
      <c r="L761" s="404">
        <v>365</v>
      </c>
      <c r="M761" s="404">
        <v>372218</v>
      </c>
      <c r="N761" s="404">
        <v>2612104</v>
      </c>
      <c r="O761" s="404">
        <v>2764372.8174083596</v>
      </c>
    </row>
    <row r="762" spans="2:15" s="154" customFormat="1" ht="27" hidden="1" outlineLevel="1">
      <c r="B762" s="165" t="s">
        <v>2333</v>
      </c>
      <c r="C762" s="165" t="s">
        <v>3569</v>
      </c>
      <c r="D762" s="165" t="s">
        <v>3582</v>
      </c>
      <c r="E762" s="403">
        <v>17084221.371808954</v>
      </c>
      <c r="F762" s="431">
        <v>16129430.129882762</v>
      </c>
      <c r="G762" s="404">
        <v>15</v>
      </c>
      <c r="H762" s="405">
        <v>47086</v>
      </c>
      <c r="I762" s="404">
        <v>5479</v>
      </c>
      <c r="J762" s="404">
        <v>4993</v>
      </c>
      <c r="K762" s="406">
        <v>15275219.061292315</v>
      </c>
      <c r="L762" s="404">
        <v>365</v>
      </c>
      <c r="M762" s="404">
        <v>1116654</v>
      </c>
      <c r="N762" s="404">
        <v>7836311</v>
      </c>
      <c r="O762" s="404">
        <v>8293119.1298827622</v>
      </c>
    </row>
    <row r="763" spans="2:15" s="154" customFormat="1" hidden="1" outlineLevel="1">
      <c r="B763" s="165"/>
      <c r="C763" s="165"/>
      <c r="D763" s="165"/>
      <c r="E763" s="403"/>
      <c r="F763" s="432"/>
      <c r="G763" s="404"/>
      <c r="H763" s="405"/>
      <c r="I763" s="404"/>
      <c r="J763" s="404"/>
      <c r="K763" s="404"/>
      <c r="L763" s="404"/>
      <c r="M763" s="404"/>
      <c r="N763" s="404"/>
      <c r="O763" s="404"/>
    </row>
    <row r="764" spans="2:15" s="154" customFormat="1" ht="40.5" hidden="1" outlineLevel="1">
      <c r="B764" s="165" t="s">
        <v>2333</v>
      </c>
      <c r="C764" s="165" t="s">
        <v>3569</v>
      </c>
      <c r="D764" s="165" t="s">
        <v>3583</v>
      </c>
      <c r="E764" s="403">
        <v>817862.84143017291</v>
      </c>
      <c r="F764" s="431">
        <v>772154.68012085126</v>
      </c>
      <c r="G764" s="404">
        <v>15</v>
      </c>
      <c r="H764" s="405">
        <v>47086</v>
      </c>
      <c r="I764" s="404">
        <v>5479</v>
      </c>
      <c r="J764" s="404">
        <v>4993</v>
      </c>
      <c r="K764" s="406">
        <v>731261.53804934258</v>
      </c>
      <c r="L764" s="404">
        <v>365</v>
      </c>
      <c r="M764" s="404">
        <v>53457</v>
      </c>
      <c r="N764" s="404">
        <v>375143</v>
      </c>
      <c r="O764" s="404">
        <v>397011.68012085126</v>
      </c>
    </row>
    <row r="765" spans="2:15" s="154" customFormat="1" hidden="1" outlineLevel="1">
      <c r="B765" s="165"/>
      <c r="C765" s="165"/>
      <c r="D765" s="165"/>
      <c r="E765" s="403"/>
      <c r="F765" s="432"/>
      <c r="G765" s="404"/>
      <c r="H765" s="405"/>
      <c r="I765" s="404"/>
      <c r="J765" s="404"/>
      <c r="K765" s="404"/>
      <c r="L765" s="404"/>
      <c r="M765" s="404"/>
      <c r="N765" s="404"/>
      <c r="O765" s="404"/>
    </row>
    <row r="766" spans="2:15" s="154" customFormat="1" hidden="1" outlineLevel="1">
      <c r="B766" s="165" t="s">
        <v>2333</v>
      </c>
      <c r="C766" s="165" t="s">
        <v>3584</v>
      </c>
      <c r="D766" s="165" t="s">
        <v>3585</v>
      </c>
      <c r="E766" s="403">
        <v>46487751.796289906</v>
      </c>
      <c r="F766" s="431">
        <v>43889676.318502493</v>
      </c>
      <c r="G766" s="404">
        <v>25</v>
      </c>
      <c r="H766" s="405">
        <v>50738</v>
      </c>
      <c r="I766" s="404">
        <v>9131</v>
      </c>
      <c r="J766" s="404">
        <v>8645</v>
      </c>
      <c r="K766" s="406">
        <v>41565288.728688002</v>
      </c>
      <c r="L766" s="404">
        <v>365</v>
      </c>
      <c r="M766" s="404">
        <v>1754925</v>
      </c>
      <c r="N766" s="404">
        <v>12315486</v>
      </c>
      <c r="O766" s="404">
        <v>31574190.318502493</v>
      </c>
    </row>
    <row r="767" spans="2:15" s="154" customFormat="1" hidden="1" outlineLevel="1">
      <c r="B767" s="165" t="s">
        <v>2333</v>
      </c>
      <c r="C767" s="165" t="s">
        <v>3584</v>
      </c>
      <c r="D767" s="165" t="s">
        <v>3586</v>
      </c>
      <c r="E767" s="403">
        <v>46487751.796289906</v>
      </c>
      <c r="F767" s="431">
        <v>43889686.318502493</v>
      </c>
      <c r="G767" s="404">
        <v>20</v>
      </c>
      <c r="H767" s="405">
        <v>48912</v>
      </c>
      <c r="I767" s="404">
        <v>7305</v>
      </c>
      <c r="J767" s="404">
        <v>6819</v>
      </c>
      <c r="K767" s="406">
        <v>41565288.728688002</v>
      </c>
      <c r="L767" s="404">
        <v>365</v>
      </c>
      <c r="M767" s="404">
        <v>2224861</v>
      </c>
      <c r="N767" s="404">
        <v>15613342</v>
      </c>
      <c r="O767" s="404">
        <v>28276334.318502493</v>
      </c>
    </row>
    <row r="768" spans="2:15" s="154" customFormat="1" hidden="1" outlineLevel="1">
      <c r="B768" s="165" t="s">
        <v>2333</v>
      </c>
      <c r="C768" s="165" t="s">
        <v>3584</v>
      </c>
      <c r="D768" s="165" t="s">
        <v>3587</v>
      </c>
      <c r="E768" s="403">
        <v>61983664.803361624</v>
      </c>
      <c r="F768" s="431">
        <v>58519564.364873715</v>
      </c>
      <c r="G768" s="404">
        <v>15</v>
      </c>
      <c r="H768" s="405">
        <v>47086</v>
      </c>
      <c r="I768" s="404">
        <v>5479</v>
      </c>
      <c r="J768" s="404">
        <v>4993</v>
      </c>
      <c r="K768" s="406">
        <v>55420381.124705635</v>
      </c>
      <c r="L768" s="404">
        <v>365</v>
      </c>
      <c r="M768" s="404">
        <v>4051360</v>
      </c>
      <c r="N768" s="404">
        <v>28431108</v>
      </c>
      <c r="O768" s="404">
        <v>30088456.364873715</v>
      </c>
    </row>
    <row r="769" spans="2:15" s="154" customFormat="1" hidden="1" outlineLevel="1">
      <c r="B769" s="165"/>
      <c r="C769" s="165"/>
      <c r="D769" s="165"/>
      <c r="E769" s="403"/>
      <c r="F769" s="432"/>
      <c r="G769" s="404"/>
      <c r="H769" s="405"/>
      <c r="I769" s="404"/>
      <c r="J769" s="404"/>
      <c r="K769" s="404"/>
      <c r="L769" s="404"/>
      <c r="M769" s="404"/>
      <c r="N769" s="404"/>
      <c r="O769" s="404"/>
    </row>
    <row r="770" spans="2:15" s="154" customFormat="1" ht="27" hidden="1" outlineLevel="1">
      <c r="B770" s="165" t="s">
        <v>2333</v>
      </c>
      <c r="C770" s="165" t="s">
        <v>3569</v>
      </c>
      <c r="D770" s="165" t="s">
        <v>3571</v>
      </c>
      <c r="E770" s="403">
        <v>1431953.7383254347</v>
      </c>
      <c r="F770" s="431">
        <v>1431804.601772499</v>
      </c>
      <c r="G770" s="404">
        <v>20</v>
      </c>
      <c r="H770" s="405">
        <v>49398</v>
      </c>
      <c r="I770" s="404">
        <v>7305</v>
      </c>
      <c r="J770" s="404">
        <v>7304</v>
      </c>
      <c r="K770" s="406">
        <v>1360206.9148562273</v>
      </c>
      <c r="L770" s="404">
        <v>365</v>
      </c>
      <c r="M770" s="404">
        <v>67973</v>
      </c>
      <c r="N770" s="404">
        <v>476262</v>
      </c>
      <c r="O770" s="404">
        <v>955542.60177249904</v>
      </c>
    </row>
    <row r="771" spans="2:15" s="154" customFormat="1" ht="27" hidden="1" outlineLevel="1">
      <c r="B771" s="165" t="s">
        <v>2333</v>
      </c>
      <c r="C771" s="165" t="s">
        <v>3569</v>
      </c>
      <c r="D771" s="165" t="s">
        <v>3572</v>
      </c>
      <c r="E771" s="403">
        <v>771052.62832907995</v>
      </c>
      <c r="F771" s="431">
        <v>770972.32403134531</v>
      </c>
      <c r="G771" s="404">
        <v>20</v>
      </c>
      <c r="H771" s="405">
        <v>49398</v>
      </c>
      <c r="I771" s="404">
        <v>7305</v>
      </c>
      <c r="J771" s="404">
        <v>7304</v>
      </c>
      <c r="K771" s="406">
        <v>732419.69261489133</v>
      </c>
      <c r="L771" s="404">
        <v>365</v>
      </c>
      <c r="M771" s="404">
        <v>36601</v>
      </c>
      <c r="N771" s="404">
        <v>256450</v>
      </c>
      <c r="O771" s="404">
        <v>514522.32403134531</v>
      </c>
    </row>
    <row r="772" spans="2:15" s="154" customFormat="1" ht="27" hidden="1" outlineLevel="1">
      <c r="B772" s="165" t="s">
        <v>2333</v>
      </c>
      <c r="C772" s="165" t="s">
        <v>3569</v>
      </c>
      <c r="D772" s="165" t="s">
        <v>3573</v>
      </c>
      <c r="E772" s="403">
        <v>3611729.2117487807</v>
      </c>
      <c r="F772" s="431">
        <v>3611353.0538588157</v>
      </c>
      <c r="G772" s="404">
        <v>20</v>
      </c>
      <c r="H772" s="405">
        <v>49398</v>
      </c>
      <c r="I772" s="404">
        <v>7305</v>
      </c>
      <c r="J772" s="404">
        <v>7304</v>
      </c>
      <c r="K772" s="406">
        <v>3430766.5932713766</v>
      </c>
      <c r="L772" s="404">
        <v>365</v>
      </c>
      <c r="M772" s="404">
        <v>171444</v>
      </c>
      <c r="N772" s="404">
        <v>1201247</v>
      </c>
      <c r="O772" s="404">
        <v>2410106.0538588157</v>
      </c>
    </row>
    <row r="773" spans="2:15" s="154" customFormat="1" hidden="1" outlineLevel="1">
      <c r="B773" s="165"/>
      <c r="C773" s="165"/>
      <c r="D773" s="165"/>
      <c r="E773" s="403"/>
      <c r="F773" s="432"/>
      <c r="G773" s="404"/>
      <c r="H773" s="405"/>
      <c r="I773" s="404"/>
      <c r="J773" s="404"/>
      <c r="K773" s="404"/>
      <c r="L773" s="404"/>
      <c r="M773" s="404"/>
      <c r="N773" s="404"/>
      <c r="O773" s="404"/>
    </row>
    <row r="774" spans="2:15" s="154" customFormat="1" ht="14.25" hidden="1">
      <c r="B774" s="411" t="s">
        <v>1837</v>
      </c>
      <c r="C774" s="165"/>
      <c r="D774" s="165"/>
      <c r="E774" s="412">
        <v>496106345.26948315</v>
      </c>
      <c r="F774" s="433">
        <f>SUBTOTAL(9,F741:F773)</f>
        <v>468704789.38558406</v>
      </c>
      <c r="G774" s="404"/>
      <c r="H774" s="405"/>
      <c r="I774" s="404"/>
      <c r="J774" s="404"/>
      <c r="K774" s="404"/>
      <c r="L774" s="404"/>
      <c r="M774" s="413">
        <f t="shared" ref="M774:O774" si="10">SUBTOTAL(9,M741:M773)</f>
        <v>23583797</v>
      </c>
      <c r="N774" s="413">
        <f t="shared" si="10"/>
        <v>165500270</v>
      </c>
      <c r="O774" s="413">
        <f t="shared" si="10"/>
        <v>303204389.38558406</v>
      </c>
    </row>
    <row r="775" spans="2:15" s="154" customFormat="1" hidden="1">
      <c r="B775" s="165"/>
      <c r="C775" s="165"/>
      <c r="D775" s="165"/>
      <c r="E775" s="403"/>
      <c r="F775" s="435"/>
      <c r="G775" s="404"/>
      <c r="H775" s="405"/>
      <c r="I775" s="404"/>
      <c r="J775" s="404"/>
      <c r="K775" s="404"/>
      <c r="L775" s="404"/>
      <c r="M775" s="404"/>
      <c r="N775" s="404"/>
      <c r="O775" s="404"/>
    </row>
    <row r="776" spans="2:15" s="154" customFormat="1" ht="14.25" hidden="1">
      <c r="B776" s="411" t="s">
        <v>2334</v>
      </c>
      <c r="C776" s="165"/>
      <c r="D776" s="165"/>
      <c r="E776" s="403"/>
      <c r="F776" s="432"/>
      <c r="G776" s="404"/>
      <c r="H776" s="405"/>
      <c r="I776" s="404"/>
      <c r="J776" s="404"/>
      <c r="K776" s="404"/>
      <c r="L776" s="404"/>
      <c r="M776" s="404"/>
      <c r="N776" s="404"/>
      <c r="O776" s="404"/>
    </row>
    <row r="777" spans="2:15" s="154" customFormat="1" ht="40.5" hidden="1" outlineLevel="1">
      <c r="B777" s="165" t="s">
        <v>2334</v>
      </c>
      <c r="C777" s="165" t="s">
        <v>3588</v>
      </c>
      <c r="D777" s="165" t="s">
        <v>3589</v>
      </c>
      <c r="E777" s="403">
        <v>31586596.938453045</v>
      </c>
      <c r="F777" s="431">
        <v>29820755.361673325</v>
      </c>
      <c r="G777" s="404">
        <v>25</v>
      </c>
      <c r="H777" s="405">
        <v>50738</v>
      </c>
      <c r="I777" s="404">
        <v>9131</v>
      </c>
      <c r="J777" s="404">
        <v>8645</v>
      </c>
      <c r="K777" s="406">
        <v>28241425.514750674</v>
      </c>
      <c r="L777" s="404">
        <v>365</v>
      </c>
      <c r="M777" s="404">
        <v>1192379</v>
      </c>
      <c r="N777" s="404">
        <v>8368125</v>
      </c>
      <c r="O777" s="404">
        <v>21452630.361673325</v>
      </c>
    </row>
    <row r="778" spans="2:15" s="154" customFormat="1" ht="40.5" hidden="1" outlineLevel="1">
      <c r="B778" s="165" t="s">
        <v>2334</v>
      </c>
      <c r="C778" s="165" t="s">
        <v>3588</v>
      </c>
      <c r="D778" s="165" t="s">
        <v>3590</v>
      </c>
      <c r="E778" s="403">
        <v>31586596.938453045</v>
      </c>
      <c r="F778" s="431">
        <v>29820755.361673325</v>
      </c>
      <c r="G778" s="404">
        <v>5</v>
      </c>
      <c r="H778" s="405">
        <v>43433</v>
      </c>
      <c r="I778" s="404">
        <v>1826</v>
      </c>
      <c r="J778" s="404">
        <v>1340</v>
      </c>
      <c r="K778" s="406">
        <v>28241425.514750674</v>
      </c>
      <c r="L778" s="404">
        <v>0</v>
      </c>
      <c r="M778" s="404">
        <v>0</v>
      </c>
      <c r="N778" s="404">
        <v>29820755</v>
      </c>
      <c r="O778" s="404">
        <v>0.36167332530021667</v>
      </c>
    </row>
    <row r="779" spans="2:15" s="154" customFormat="1" hidden="1" outlineLevel="1">
      <c r="B779" s="165"/>
      <c r="C779" s="165"/>
      <c r="D779" s="165"/>
      <c r="E779" s="403"/>
      <c r="F779" s="432"/>
      <c r="G779" s="404"/>
      <c r="H779" s="405"/>
      <c r="I779" s="404"/>
      <c r="J779" s="404"/>
      <c r="K779" s="406"/>
      <c r="L779" s="404"/>
      <c r="M779" s="404"/>
      <c r="N779" s="404"/>
      <c r="O779" s="404"/>
    </row>
    <row r="780" spans="2:15" s="154" customFormat="1" ht="40.5" hidden="1" outlineLevel="1">
      <c r="B780" s="165" t="s">
        <v>2334</v>
      </c>
      <c r="C780" s="165" t="s">
        <v>3588</v>
      </c>
      <c r="D780" s="165" t="s">
        <v>3591</v>
      </c>
      <c r="E780" s="403">
        <v>31586596.938453045</v>
      </c>
      <c r="F780" s="431">
        <v>29820755.361673325</v>
      </c>
      <c r="G780" s="404">
        <v>25</v>
      </c>
      <c r="H780" s="405">
        <v>50738</v>
      </c>
      <c r="I780" s="404">
        <v>9131</v>
      </c>
      <c r="J780" s="404">
        <v>8645</v>
      </c>
      <c r="K780" s="406">
        <v>28241425.514750674</v>
      </c>
      <c r="L780" s="404">
        <v>365</v>
      </c>
      <c r="M780" s="404">
        <v>1192379</v>
      </c>
      <c r="N780" s="404">
        <v>8368125</v>
      </c>
      <c r="O780" s="404">
        <v>21452630.361673325</v>
      </c>
    </row>
    <row r="781" spans="2:15" s="154" customFormat="1" ht="40.5" hidden="1" outlineLevel="1">
      <c r="B781" s="165" t="s">
        <v>2334</v>
      </c>
      <c r="C781" s="165" t="s">
        <v>3588</v>
      </c>
      <c r="D781" s="165" t="s">
        <v>3592</v>
      </c>
      <c r="E781" s="403">
        <v>31586596.938453045</v>
      </c>
      <c r="F781" s="431">
        <v>29820755.361673325</v>
      </c>
      <c r="G781" s="404">
        <v>5</v>
      </c>
      <c r="H781" s="405">
        <v>43433</v>
      </c>
      <c r="I781" s="404">
        <v>1826</v>
      </c>
      <c r="J781" s="404">
        <v>1340</v>
      </c>
      <c r="K781" s="406">
        <v>28241425.514750674</v>
      </c>
      <c r="L781" s="404">
        <v>0</v>
      </c>
      <c r="M781" s="404">
        <v>0</v>
      </c>
      <c r="N781" s="404">
        <v>29820755</v>
      </c>
      <c r="O781" s="404">
        <v>0.36167332530021667</v>
      </c>
    </row>
    <row r="782" spans="2:15" s="154" customFormat="1" hidden="1" outlineLevel="1">
      <c r="B782" s="165"/>
      <c r="C782" s="165"/>
      <c r="D782" s="165"/>
      <c r="E782" s="403"/>
      <c r="F782" s="432"/>
      <c r="G782" s="404"/>
      <c r="H782" s="405"/>
      <c r="I782" s="404"/>
      <c r="J782" s="404"/>
      <c r="K782" s="406"/>
      <c r="L782" s="404"/>
      <c r="M782" s="404"/>
      <c r="N782" s="404"/>
      <c r="O782" s="404"/>
    </row>
    <row r="783" spans="2:15" s="154" customFormat="1" ht="27" hidden="1" outlineLevel="1">
      <c r="B783" s="165" t="s">
        <v>2334</v>
      </c>
      <c r="C783" s="165" t="s">
        <v>3588</v>
      </c>
      <c r="D783" s="165" t="s">
        <v>3593</v>
      </c>
      <c r="E783" s="403">
        <v>31586598.337522916</v>
      </c>
      <c r="F783" s="431">
        <v>29820756.68339745</v>
      </c>
      <c r="G783" s="404">
        <v>20</v>
      </c>
      <c r="H783" s="405">
        <v>48912</v>
      </c>
      <c r="I783" s="404">
        <v>7305</v>
      </c>
      <c r="J783" s="404">
        <v>6819</v>
      </c>
      <c r="K783" s="406">
        <v>28241426.766521305</v>
      </c>
      <c r="L783" s="404">
        <v>365</v>
      </c>
      <c r="M783" s="404">
        <v>1511676</v>
      </c>
      <c r="N783" s="404">
        <v>10608954</v>
      </c>
      <c r="O783" s="404">
        <v>19211802.68339745</v>
      </c>
    </row>
    <row r="784" spans="2:15" s="154" customFormat="1" hidden="1" outlineLevel="1">
      <c r="B784" s="165"/>
      <c r="C784" s="165"/>
      <c r="D784" s="165"/>
      <c r="E784" s="403"/>
      <c r="F784" s="432"/>
      <c r="G784" s="404"/>
      <c r="H784" s="405"/>
      <c r="I784" s="404"/>
      <c r="J784" s="404"/>
      <c r="K784" s="404"/>
      <c r="L784" s="404"/>
      <c r="M784" s="404"/>
      <c r="N784" s="404"/>
      <c r="O784" s="404"/>
    </row>
    <row r="785" spans="2:15" s="154" customFormat="1" hidden="1" outlineLevel="1">
      <c r="B785" s="165" t="s">
        <v>2334</v>
      </c>
      <c r="C785" s="165" t="s">
        <v>3588</v>
      </c>
      <c r="D785" s="165" t="s">
        <v>3594</v>
      </c>
      <c r="E785" s="403">
        <v>13084043.180578198</v>
      </c>
      <c r="F785" s="431">
        <v>12352582.698558224</v>
      </c>
      <c r="G785" s="404">
        <v>15</v>
      </c>
      <c r="H785" s="405">
        <v>47086</v>
      </c>
      <c r="I785" s="404">
        <v>5479</v>
      </c>
      <c r="J785" s="404">
        <v>4993</v>
      </c>
      <c r="K785" s="406">
        <v>11698380.539529314</v>
      </c>
      <c r="L785" s="404">
        <v>365</v>
      </c>
      <c r="M785" s="404">
        <v>855179</v>
      </c>
      <c r="N785" s="404">
        <v>6001653</v>
      </c>
      <c r="O785" s="404">
        <v>6350929.6985582244</v>
      </c>
    </row>
    <row r="786" spans="2:15" s="154" customFormat="1" hidden="1" outlineLevel="1">
      <c r="B786" s="165" t="s">
        <v>2334</v>
      </c>
      <c r="C786" s="165" t="s">
        <v>3588</v>
      </c>
      <c r="D786" s="165" t="s">
        <v>3594</v>
      </c>
      <c r="E786" s="403">
        <v>13084043.180578198</v>
      </c>
      <c r="F786" s="431">
        <v>12352582.698558224</v>
      </c>
      <c r="G786" s="404">
        <v>15</v>
      </c>
      <c r="H786" s="405">
        <v>47086</v>
      </c>
      <c r="I786" s="404">
        <v>5479</v>
      </c>
      <c r="J786" s="404">
        <v>4993</v>
      </c>
      <c r="K786" s="406">
        <v>11698380.539529314</v>
      </c>
      <c r="L786" s="404">
        <v>365</v>
      </c>
      <c r="M786" s="404">
        <v>855179</v>
      </c>
      <c r="N786" s="404">
        <v>6001653</v>
      </c>
      <c r="O786" s="404">
        <v>6350929.6985582244</v>
      </c>
    </row>
    <row r="787" spans="2:15" s="154" customFormat="1" hidden="1" outlineLevel="1">
      <c r="B787" s="165"/>
      <c r="C787" s="165"/>
      <c r="D787" s="165"/>
      <c r="E787" s="403"/>
      <c r="F787" s="432"/>
      <c r="G787" s="404"/>
      <c r="H787" s="405"/>
      <c r="I787" s="404"/>
      <c r="J787" s="404"/>
      <c r="K787" s="404"/>
      <c r="L787" s="404"/>
      <c r="M787" s="404"/>
      <c r="N787" s="404"/>
      <c r="O787" s="404"/>
    </row>
    <row r="788" spans="2:15" s="154" customFormat="1" ht="27" hidden="1" outlineLevel="1">
      <c r="B788" s="165" t="s">
        <v>2334</v>
      </c>
      <c r="C788" s="165" t="s">
        <v>3595</v>
      </c>
      <c r="D788" s="165" t="s">
        <v>3596</v>
      </c>
      <c r="E788" s="403">
        <v>19279343.368228976</v>
      </c>
      <c r="F788" s="431">
        <v>18201536.014631394</v>
      </c>
      <c r="G788" s="404">
        <v>25</v>
      </c>
      <c r="H788" s="405">
        <v>50738</v>
      </c>
      <c r="I788" s="404">
        <v>9131</v>
      </c>
      <c r="J788" s="404">
        <v>8645</v>
      </c>
      <c r="K788" s="406">
        <v>17237568.846219942</v>
      </c>
      <c r="L788" s="404">
        <v>365</v>
      </c>
      <c r="M788" s="404">
        <v>727786</v>
      </c>
      <c r="N788" s="404">
        <v>5107608</v>
      </c>
      <c r="O788" s="404">
        <v>13093928.014631391</v>
      </c>
    </row>
    <row r="789" spans="2:15" s="154" customFormat="1" ht="27" hidden="1" outlineLevel="1">
      <c r="B789" s="165" t="s">
        <v>2334</v>
      </c>
      <c r="C789" s="165" t="s">
        <v>3595</v>
      </c>
      <c r="D789" s="165" t="s">
        <v>3597</v>
      </c>
      <c r="E789" s="403">
        <v>19279343.368228976</v>
      </c>
      <c r="F789" s="431">
        <v>18201536.014631394</v>
      </c>
      <c r="G789" s="404">
        <v>10</v>
      </c>
      <c r="H789" s="405">
        <v>45259</v>
      </c>
      <c r="I789" s="404">
        <v>3652</v>
      </c>
      <c r="J789" s="404">
        <v>3166</v>
      </c>
      <c r="K789" s="406">
        <v>17237568.846219942</v>
      </c>
      <c r="L789" s="404">
        <v>365</v>
      </c>
      <c r="M789" s="404">
        <v>1987275</v>
      </c>
      <c r="N789" s="404">
        <v>13946711</v>
      </c>
      <c r="O789" s="404">
        <v>4254825.0146313906</v>
      </c>
    </row>
    <row r="790" spans="2:15" s="154" customFormat="1" ht="40.5" hidden="1" outlineLevel="1">
      <c r="B790" s="165" t="s">
        <v>2334</v>
      </c>
      <c r="C790" s="165" t="s">
        <v>3595</v>
      </c>
      <c r="D790" s="165" t="s">
        <v>3598</v>
      </c>
      <c r="E790" s="403">
        <v>57838028.809944086</v>
      </c>
      <c r="F790" s="431">
        <v>54604606.820729502</v>
      </c>
      <c r="G790" s="404">
        <v>25</v>
      </c>
      <c r="H790" s="405">
        <v>50738</v>
      </c>
      <c r="I790" s="404">
        <v>9131</v>
      </c>
      <c r="J790" s="404">
        <v>8645</v>
      </c>
      <c r="K790" s="406">
        <v>51712705.380232304</v>
      </c>
      <c r="L790" s="404">
        <v>365</v>
      </c>
      <c r="M790" s="404">
        <v>2183359</v>
      </c>
      <c r="N790" s="404">
        <v>15322829</v>
      </c>
      <c r="O790" s="404">
        <v>39281777.820729509</v>
      </c>
    </row>
    <row r="791" spans="2:15" s="154" customFormat="1" hidden="1" outlineLevel="1">
      <c r="B791" s="165"/>
      <c r="C791" s="165"/>
      <c r="D791" s="165"/>
      <c r="E791" s="403"/>
      <c r="F791" s="432"/>
      <c r="G791" s="404"/>
      <c r="H791" s="405"/>
      <c r="I791" s="404"/>
      <c r="J791" s="404"/>
      <c r="K791" s="404"/>
      <c r="L791" s="404"/>
      <c r="M791" s="404"/>
      <c r="N791" s="404"/>
      <c r="O791" s="404"/>
    </row>
    <row r="792" spans="2:15" s="154" customFormat="1" hidden="1" outlineLevel="1">
      <c r="B792" s="165" t="s">
        <v>2334</v>
      </c>
      <c r="C792" s="165" t="s">
        <v>3599</v>
      </c>
      <c r="D792" s="165" t="s">
        <v>3600</v>
      </c>
      <c r="E792" s="403">
        <v>12389289.704951368</v>
      </c>
      <c r="F792" s="431">
        <v>11696669.305032004</v>
      </c>
      <c r="G792" s="404">
        <v>15</v>
      </c>
      <c r="H792" s="405">
        <v>47086</v>
      </c>
      <c r="I792" s="404">
        <v>5479</v>
      </c>
      <c r="J792" s="404">
        <v>4993</v>
      </c>
      <c r="K792" s="406">
        <v>11077204.819784435</v>
      </c>
      <c r="L792" s="404">
        <v>365</v>
      </c>
      <c r="M792" s="404">
        <v>809770</v>
      </c>
      <c r="N792" s="404">
        <v>5682971</v>
      </c>
      <c r="O792" s="404">
        <v>6013698.3050320037</v>
      </c>
    </row>
    <row r="793" spans="2:15" s="154" customFormat="1" ht="27" hidden="1" outlineLevel="1">
      <c r="B793" s="165" t="s">
        <v>2334</v>
      </c>
      <c r="C793" s="165" t="s">
        <v>3601</v>
      </c>
      <c r="D793" s="165" t="s">
        <v>3602</v>
      </c>
      <c r="E793" s="403">
        <v>5347579.6946773501</v>
      </c>
      <c r="F793" s="431">
        <v>5048624.4641528726</v>
      </c>
      <c r="G793" s="404">
        <v>15</v>
      </c>
      <c r="H793" s="405">
        <v>47086</v>
      </c>
      <c r="I793" s="404">
        <v>5479</v>
      </c>
      <c r="J793" s="404">
        <v>4993</v>
      </c>
      <c r="K793" s="406">
        <v>4781245.4794190051</v>
      </c>
      <c r="L793" s="404">
        <v>365</v>
      </c>
      <c r="M793" s="404">
        <v>349520</v>
      </c>
      <c r="N793" s="404">
        <v>2452935</v>
      </c>
      <c r="O793" s="404">
        <v>2595689.4641528726</v>
      </c>
    </row>
    <row r="794" spans="2:15" s="154" customFormat="1" ht="27" hidden="1" outlineLevel="1">
      <c r="B794" s="165" t="s">
        <v>2334</v>
      </c>
      <c r="C794" s="165" t="s">
        <v>3601</v>
      </c>
      <c r="D794" s="165" t="s">
        <v>3603</v>
      </c>
      <c r="E794" s="403">
        <v>9187088.1694690213</v>
      </c>
      <c r="F794" s="431">
        <v>8673486.0705157109</v>
      </c>
      <c r="G794" s="404">
        <v>15</v>
      </c>
      <c r="H794" s="405">
        <v>47086</v>
      </c>
      <c r="I794" s="404">
        <v>5479</v>
      </c>
      <c r="J794" s="404">
        <v>4993</v>
      </c>
      <c r="K794" s="406">
        <v>8214131.6620422602</v>
      </c>
      <c r="L794" s="404">
        <v>365</v>
      </c>
      <c r="M794" s="404">
        <v>600472</v>
      </c>
      <c r="N794" s="404">
        <v>4214117</v>
      </c>
      <c r="O794" s="404">
        <v>4459369.0705157109</v>
      </c>
    </row>
    <row r="795" spans="2:15" s="154" customFormat="1" ht="27" hidden="1" outlineLevel="1">
      <c r="B795" s="165" t="s">
        <v>2334</v>
      </c>
      <c r="C795" s="165" t="s">
        <v>3604</v>
      </c>
      <c r="D795" s="165" t="s">
        <v>3605</v>
      </c>
      <c r="E795" s="403">
        <v>107158271.16873311</v>
      </c>
      <c r="F795" s="431">
        <v>101167612.27366173</v>
      </c>
      <c r="G795" s="404">
        <v>30</v>
      </c>
      <c r="H795" s="405">
        <v>52564</v>
      </c>
      <c r="I795" s="404">
        <v>10957</v>
      </c>
      <c r="J795" s="404">
        <v>10471</v>
      </c>
      <c r="K795" s="406">
        <v>95809698.715225071</v>
      </c>
      <c r="L795" s="404">
        <v>365</v>
      </c>
      <c r="M795" s="404">
        <v>3339752</v>
      </c>
      <c r="N795" s="404">
        <v>23438403</v>
      </c>
      <c r="O795" s="404">
        <v>77729209.273661733</v>
      </c>
    </row>
    <row r="796" spans="2:15" s="154" customFormat="1" hidden="1" outlineLevel="1">
      <c r="B796" s="165"/>
      <c r="C796" s="165"/>
      <c r="D796" s="165"/>
      <c r="E796" s="403"/>
      <c r="F796" s="432"/>
      <c r="G796" s="404"/>
      <c r="H796" s="405"/>
      <c r="I796" s="404"/>
      <c r="J796" s="404"/>
      <c r="K796" s="404"/>
      <c r="L796" s="404"/>
      <c r="M796" s="404"/>
      <c r="N796" s="404"/>
      <c r="O796" s="404"/>
    </row>
    <row r="797" spans="2:15" s="154" customFormat="1" ht="27" hidden="1" outlineLevel="1">
      <c r="B797" s="165" t="s">
        <v>2334</v>
      </c>
      <c r="C797" s="165" t="s">
        <v>3604</v>
      </c>
      <c r="D797" s="165" t="s">
        <v>3606</v>
      </c>
      <c r="E797" s="403">
        <v>10752614.143235985</v>
      </c>
      <c r="F797" s="431">
        <v>10151491.713251928</v>
      </c>
      <c r="G797" s="404">
        <v>10</v>
      </c>
      <c r="H797" s="405">
        <v>45259</v>
      </c>
      <c r="I797" s="404">
        <v>3652</v>
      </c>
      <c r="J797" s="404">
        <v>3166</v>
      </c>
      <c r="K797" s="406">
        <v>9613861.0060901288</v>
      </c>
      <c r="L797" s="404">
        <v>365</v>
      </c>
      <c r="M797" s="404">
        <v>1108357</v>
      </c>
      <c r="N797" s="404">
        <v>7778458</v>
      </c>
      <c r="O797" s="404">
        <v>2373033.7132519279</v>
      </c>
    </row>
    <row r="798" spans="2:15" s="154" customFormat="1" ht="27" hidden="1" outlineLevel="1">
      <c r="B798" s="165" t="s">
        <v>2334</v>
      </c>
      <c r="C798" s="165" t="s">
        <v>3604</v>
      </c>
      <c r="D798" s="165" t="s">
        <v>3607</v>
      </c>
      <c r="E798" s="403">
        <v>8064462.5047984058</v>
      </c>
      <c r="F798" s="431">
        <v>7613620.6465212805</v>
      </c>
      <c r="G798" s="404">
        <v>25</v>
      </c>
      <c r="H798" s="405">
        <v>50738</v>
      </c>
      <c r="I798" s="404">
        <v>9131</v>
      </c>
      <c r="J798" s="404">
        <v>8645</v>
      </c>
      <c r="K798" s="406">
        <v>7210397.5212813616</v>
      </c>
      <c r="L798" s="404">
        <v>365</v>
      </c>
      <c r="M798" s="404">
        <v>304430</v>
      </c>
      <c r="N798" s="404">
        <v>2136492</v>
      </c>
      <c r="O798" s="404">
        <v>5477128.6465212815</v>
      </c>
    </row>
    <row r="799" spans="2:15" s="154" customFormat="1" ht="27" hidden="1" outlineLevel="1">
      <c r="B799" s="165" t="s">
        <v>2334</v>
      </c>
      <c r="C799" s="165" t="s">
        <v>3604</v>
      </c>
      <c r="D799" s="165" t="s">
        <v>3608</v>
      </c>
      <c r="E799" s="403">
        <v>8064461.6100649731</v>
      </c>
      <c r="F799" s="431">
        <v>7613619.7459683232</v>
      </c>
      <c r="G799" s="404">
        <v>20</v>
      </c>
      <c r="H799" s="405">
        <v>48912</v>
      </c>
      <c r="I799" s="404">
        <v>7305</v>
      </c>
      <c r="J799" s="404">
        <v>6819</v>
      </c>
      <c r="K799" s="406">
        <v>7210396.6654650755</v>
      </c>
      <c r="L799" s="404">
        <v>365</v>
      </c>
      <c r="M799" s="404">
        <v>385950</v>
      </c>
      <c r="N799" s="404">
        <v>2708601</v>
      </c>
      <c r="O799" s="404">
        <v>4905018.7459683241</v>
      </c>
    </row>
    <row r="800" spans="2:15" s="154" customFormat="1" hidden="1" outlineLevel="1">
      <c r="B800" s="165"/>
      <c r="C800" s="165"/>
      <c r="D800" s="165"/>
      <c r="E800" s="403"/>
      <c r="F800" s="432"/>
      <c r="G800" s="404"/>
      <c r="H800" s="405"/>
      <c r="I800" s="404"/>
      <c r="J800" s="404"/>
      <c r="K800" s="404"/>
      <c r="L800" s="404"/>
      <c r="M800" s="404"/>
      <c r="N800" s="404"/>
      <c r="O800" s="404"/>
    </row>
    <row r="801" spans="2:15" s="154" customFormat="1" hidden="1" outlineLevel="1">
      <c r="B801" s="165"/>
      <c r="C801" s="165"/>
      <c r="D801" s="165"/>
      <c r="E801" s="403"/>
      <c r="F801" s="432"/>
      <c r="G801" s="404"/>
      <c r="H801" s="405"/>
      <c r="I801" s="404"/>
      <c r="J801" s="404"/>
      <c r="K801" s="404"/>
      <c r="L801" s="404"/>
      <c r="M801" s="404"/>
      <c r="N801" s="404"/>
      <c r="O801" s="404"/>
    </row>
    <row r="802" spans="2:15" s="154" customFormat="1" ht="40.5" hidden="1" outlineLevel="1">
      <c r="B802" s="165" t="s">
        <v>2334</v>
      </c>
      <c r="C802" s="165" t="s">
        <v>3604</v>
      </c>
      <c r="D802" s="165" t="s">
        <v>3609</v>
      </c>
      <c r="E802" s="403">
        <v>39791383.068174727</v>
      </c>
      <c r="F802" s="431">
        <v>37566854.787302785</v>
      </c>
      <c r="G802" s="404">
        <v>20</v>
      </c>
      <c r="H802" s="405">
        <v>48912</v>
      </c>
      <c r="I802" s="404">
        <v>7305</v>
      </c>
      <c r="J802" s="404">
        <v>6819</v>
      </c>
      <c r="K802" s="406">
        <v>35577285.633894049</v>
      </c>
      <c r="L802" s="404">
        <v>365</v>
      </c>
      <c r="M802" s="404">
        <v>1904342</v>
      </c>
      <c r="N802" s="404">
        <v>13364687</v>
      </c>
      <c r="O802" s="404">
        <v>24202167.787302785</v>
      </c>
    </row>
    <row r="803" spans="2:15" s="154" customFormat="1" hidden="1" outlineLevel="1">
      <c r="B803" s="165" t="s">
        <v>2334</v>
      </c>
      <c r="C803" s="165" t="s">
        <v>3604</v>
      </c>
      <c r="D803" s="165" t="s">
        <v>3610</v>
      </c>
      <c r="E803" s="403">
        <v>8881062.4129161928</v>
      </c>
      <c r="F803" s="431">
        <v>8384568.6131584067</v>
      </c>
      <c r="G803" s="404">
        <v>20</v>
      </c>
      <c r="H803" s="405">
        <v>48912</v>
      </c>
      <c r="I803" s="404">
        <v>7305</v>
      </c>
      <c r="J803" s="404">
        <v>6819</v>
      </c>
      <c r="K803" s="406">
        <v>7940515.4925125986</v>
      </c>
      <c r="L803" s="404">
        <v>365</v>
      </c>
      <c r="M803" s="404">
        <v>425031</v>
      </c>
      <c r="N803" s="404">
        <v>2982871</v>
      </c>
      <c r="O803" s="404">
        <v>5401697.6131584086</v>
      </c>
    </row>
    <row r="804" spans="2:15" s="154" customFormat="1" hidden="1" outlineLevel="1">
      <c r="B804" s="165" t="s">
        <v>2334</v>
      </c>
      <c r="C804" s="165" t="s">
        <v>3611</v>
      </c>
      <c r="D804" s="165" t="s">
        <v>3611</v>
      </c>
      <c r="E804" s="403">
        <v>14334116.37714695</v>
      </c>
      <c r="F804" s="431">
        <v>13532770.8285912</v>
      </c>
      <c r="G804" s="404">
        <v>20</v>
      </c>
      <c r="H804" s="405">
        <v>48912</v>
      </c>
      <c r="I804" s="404">
        <v>7305</v>
      </c>
      <c r="J804" s="404">
        <v>6819</v>
      </c>
      <c r="K804" s="406">
        <v>12816065.009733852</v>
      </c>
      <c r="L804" s="404">
        <v>365</v>
      </c>
      <c r="M804" s="404">
        <v>686004</v>
      </c>
      <c r="N804" s="404">
        <v>4814382</v>
      </c>
      <c r="O804" s="404">
        <v>8718388.8285911996</v>
      </c>
    </row>
    <row r="805" spans="2:15" s="154" customFormat="1" ht="27" hidden="1" outlineLevel="1">
      <c r="B805" s="165" t="s">
        <v>2334</v>
      </c>
      <c r="C805" s="165" t="s">
        <v>3611</v>
      </c>
      <c r="D805" s="165" t="s">
        <v>3612</v>
      </c>
      <c r="E805" s="403">
        <v>44898843.920295745</v>
      </c>
      <c r="F805" s="431">
        <v>42388784.165303439</v>
      </c>
      <c r="G805" s="404">
        <v>10</v>
      </c>
      <c r="H805" s="405">
        <v>45259</v>
      </c>
      <c r="I805" s="404">
        <v>3652</v>
      </c>
      <c r="J805" s="404">
        <v>3166</v>
      </c>
      <c r="K805" s="406">
        <v>40143841.969288655</v>
      </c>
      <c r="L805" s="404">
        <v>365</v>
      </c>
      <c r="M805" s="404">
        <v>4628080</v>
      </c>
      <c r="N805" s="404">
        <v>32479900</v>
      </c>
      <c r="O805" s="404">
        <v>9908884.1653034389</v>
      </c>
    </row>
    <row r="806" spans="2:15" s="154" customFormat="1" hidden="1" outlineLevel="1">
      <c r="B806" s="165" t="s">
        <v>2334</v>
      </c>
      <c r="C806" s="165" t="s">
        <v>3611</v>
      </c>
      <c r="D806" s="165" t="s">
        <v>3613</v>
      </c>
      <c r="E806" s="403">
        <v>11036358.084106406</v>
      </c>
      <c r="F806" s="431">
        <v>10419372.996899271</v>
      </c>
      <c r="G806" s="404">
        <v>20</v>
      </c>
      <c r="H806" s="405">
        <v>48912</v>
      </c>
      <c r="I806" s="404">
        <v>7305</v>
      </c>
      <c r="J806" s="404">
        <v>6819</v>
      </c>
      <c r="K806" s="406">
        <v>9867555.092693951</v>
      </c>
      <c r="L806" s="404">
        <v>365</v>
      </c>
      <c r="M806" s="404">
        <v>528180</v>
      </c>
      <c r="N806" s="404">
        <v>3706771</v>
      </c>
      <c r="O806" s="404">
        <v>6712601.9968992714</v>
      </c>
    </row>
    <row r="807" spans="2:15" s="154" customFormat="1" hidden="1" outlineLevel="1">
      <c r="B807" s="165"/>
      <c r="C807" s="165"/>
      <c r="D807" s="165"/>
      <c r="E807" s="403"/>
      <c r="F807" s="432"/>
      <c r="G807" s="404"/>
      <c r="H807" s="405"/>
      <c r="I807" s="404"/>
      <c r="J807" s="404"/>
      <c r="K807" s="406"/>
      <c r="L807" s="404"/>
      <c r="M807" s="404"/>
      <c r="N807" s="404"/>
      <c r="O807" s="404"/>
    </row>
    <row r="808" spans="2:15" s="154" customFormat="1" ht="40.5" hidden="1" outlineLevel="1">
      <c r="B808" s="165" t="s">
        <v>2334</v>
      </c>
      <c r="C808" s="165" t="s">
        <v>3588</v>
      </c>
      <c r="D808" s="165" t="s">
        <v>3652</v>
      </c>
      <c r="E808" s="403">
        <v>61015909.774552383</v>
      </c>
      <c r="F808" s="431">
        <v>61009553.038389899</v>
      </c>
      <c r="G808" s="404">
        <v>25</v>
      </c>
      <c r="H808" s="405">
        <v>51225</v>
      </c>
      <c r="I808" s="404">
        <v>9132</v>
      </c>
      <c r="J808" s="404">
        <v>9131</v>
      </c>
      <c r="K808" s="406">
        <v>57958757.549662277</v>
      </c>
      <c r="L808" s="404">
        <v>365</v>
      </c>
      <c r="M808" s="404">
        <v>2316827</v>
      </c>
      <c r="N808" s="404">
        <v>16233896</v>
      </c>
      <c r="O808" s="404">
        <v>44775657.038389899</v>
      </c>
    </row>
    <row r="809" spans="2:15" s="154" customFormat="1" ht="40.5" hidden="1" outlineLevel="1">
      <c r="B809" s="165" t="s">
        <v>2334</v>
      </c>
      <c r="C809" s="165" t="s">
        <v>3588</v>
      </c>
      <c r="D809" s="165" t="s">
        <v>3652</v>
      </c>
      <c r="E809" s="403">
        <v>61015909.774552383</v>
      </c>
      <c r="F809" s="431">
        <v>61009553.038389899</v>
      </c>
      <c r="G809" s="404">
        <v>5</v>
      </c>
      <c r="H809" s="405">
        <v>43920</v>
      </c>
      <c r="I809" s="404">
        <v>1827</v>
      </c>
      <c r="J809" s="404">
        <v>1826</v>
      </c>
      <c r="K809" s="406">
        <v>57958757.549662277</v>
      </c>
      <c r="L809" s="404">
        <v>0</v>
      </c>
      <c r="M809" s="404">
        <v>0</v>
      </c>
      <c r="N809" s="404">
        <v>61009553</v>
      </c>
      <c r="O809" s="404">
        <v>3.8389898836612701E-2</v>
      </c>
    </row>
    <row r="810" spans="2:15" s="154" customFormat="1" ht="40.5" hidden="1" outlineLevel="1">
      <c r="B810" s="165" t="s">
        <v>2334</v>
      </c>
      <c r="C810" s="165" t="s">
        <v>3588</v>
      </c>
      <c r="D810" s="165" t="s">
        <v>3653</v>
      </c>
      <c r="E810" s="403">
        <v>61015909.774552383</v>
      </c>
      <c r="F810" s="431">
        <v>61009553.038389899</v>
      </c>
      <c r="G810" s="404">
        <v>25</v>
      </c>
      <c r="H810" s="405">
        <v>51225</v>
      </c>
      <c r="I810" s="404">
        <v>9132</v>
      </c>
      <c r="J810" s="404">
        <v>9131</v>
      </c>
      <c r="K810" s="406">
        <v>57958757.549662277</v>
      </c>
      <c r="L810" s="404">
        <v>365</v>
      </c>
      <c r="M810" s="404">
        <v>2316827</v>
      </c>
      <c r="N810" s="404">
        <v>16233896</v>
      </c>
      <c r="O810" s="404">
        <v>44775657.038389899</v>
      </c>
    </row>
    <row r="811" spans="2:15" s="154" customFormat="1" ht="40.5" hidden="1" outlineLevel="1">
      <c r="B811" s="165" t="s">
        <v>2334</v>
      </c>
      <c r="C811" s="165" t="s">
        <v>3588</v>
      </c>
      <c r="D811" s="165" t="s">
        <v>3653</v>
      </c>
      <c r="E811" s="403">
        <v>61015909.774552383</v>
      </c>
      <c r="F811" s="431">
        <v>61009553.038389899</v>
      </c>
      <c r="G811" s="404">
        <v>5</v>
      </c>
      <c r="H811" s="405">
        <v>43920</v>
      </c>
      <c r="I811" s="404">
        <v>1827</v>
      </c>
      <c r="J811" s="404">
        <v>1826</v>
      </c>
      <c r="K811" s="406">
        <v>57958757.549662277</v>
      </c>
      <c r="L811" s="404">
        <v>0</v>
      </c>
      <c r="M811" s="404">
        <v>0</v>
      </c>
      <c r="N811" s="404">
        <v>61009553</v>
      </c>
      <c r="O811" s="404">
        <v>3.8389898836612701E-2</v>
      </c>
    </row>
    <row r="812" spans="2:15" s="154" customFormat="1" ht="27" hidden="1" outlineLevel="1">
      <c r="B812" s="165" t="s">
        <v>2334</v>
      </c>
      <c r="C812" s="165" t="s">
        <v>3588</v>
      </c>
      <c r="D812" s="165" t="s">
        <v>3593</v>
      </c>
      <c r="E812" s="403">
        <v>61015909.774552383</v>
      </c>
      <c r="F812" s="431">
        <v>61009553.038389899</v>
      </c>
      <c r="G812" s="404">
        <v>20</v>
      </c>
      <c r="H812" s="405">
        <v>49398</v>
      </c>
      <c r="I812" s="404">
        <v>7305</v>
      </c>
      <c r="J812" s="404">
        <v>7304</v>
      </c>
      <c r="K812" s="406">
        <v>57958757.549662277</v>
      </c>
      <c r="L812" s="404">
        <v>365</v>
      </c>
      <c r="M812" s="404">
        <v>2896351</v>
      </c>
      <c r="N812" s="404">
        <v>20294593</v>
      </c>
      <c r="O812" s="404">
        <v>40714960.038389899</v>
      </c>
    </row>
    <row r="813" spans="2:15" s="154" customFormat="1" ht="27" hidden="1" outlineLevel="1">
      <c r="B813" s="165" t="s">
        <v>2334</v>
      </c>
      <c r="C813" s="165" t="s">
        <v>3595</v>
      </c>
      <c r="D813" s="165" t="s">
        <v>3596</v>
      </c>
      <c r="E813" s="403">
        <v>37236911.513371229</v>
      </c>
      <c r="F813" s="431">
        <v>37233032.111751899</v>
      </c>
      <c r="G813" s="404">
        <v>25</v>
      </c>
      <c r="H813" s="405">
        <v>51225</v>
      </c>
      <c r="I813" s="404">
        <v>9132</v>
      </c>
      <c r="J813" s="404">
        <v>9131</v>
      </c>
      <c r="K813" s="406">
        <v>35371186.536083341</v>
      </c>
      <c r="L813" s="404">
        <v>365</v>
      </c>
      <c r="M813" s="404">
        <v>1413918</v>
      </c>
      <c r="N813" s="404">
        <v>9907256</v>
      </c>
      <c r="O813" s="404">
        <v>27325776.111751899</v>
      </c>
    </row>
    <row r="814" spans="2:15" s="154" customFormat="1" ht="27" hidden="1" outlineLevel="1">
      <c r="B814" s="165" t="s">
        <v>2334</v>
      </c>
      <c r="C814" s="165" t="s">
        <v>3595</v>
      </c>
      <c r="D814" s="165" t="s">
        <v>3597</v>
      </c>
      <c r="E814" s="403">
        <v>37236911.513371229</v>
      </c>
      <c r="F814" s="431">
        <v>37233032.111751899</v>
      </c>
      <c r="G814" s="404">
        <v>10</v>
      </c>
      <c r="H814" s="405">
        <v>45746</v>
      </c>
      <c r="I814" s="404">
        <v>3653</v>
      </c>
      <c r="J814" s="404">
        <v>3652</v>
      </c>
      <c r="K814" s="406">
        <v>35371186.536083341</v>
      </c>
      <c r="L814" s="404">
        <v>365</v>
      </c>
      <c r="M814" s="404">
        <v>3535182</v>
      </c>
      <c r="N814" s="404">
        <v>24770851</v>
      </c>
      <c r="O814" s="404">
        <v>12462181.111751899</v>
      </c>
    </row>
    <row r="815" spans="2:15" s="154" customFormat="1" ht="40.5" hidden="1" outlineLevel="1">
      <c r="B815" s="165" t="s">
        <v>2334</v>
      </c>
      <c r="C815" s="165" t="s">
        <v>3595</v>
      </c>
      <c r="D815" s="165" t="s">
        <v>3598</v>
      </c>
      <c r="E815" s="403">
        <v>111710733.54011366</v>
      </c>
      <c r="F815" s="431">
        <v>111699095.33525567</v>
      </c>
      <c r="G815" s="404">
        <v>25</v>
      </c>
      <c r="H815" s="405">
        <v>51225</v>
      </c>
      <c r="I815" s="404">
        <v>9132</v>
      </c>
      <c r="J815" s="404">
        <v>9131</v>
      </c>
      <c r="K815" s="406">
        <v>106113558.65824999</v>
      </c>
      <c r="L815" s="404">
        <v>365</v>
      </c>
      <c r="M815" s="404">
        <v>4241753</v>
      </c>
      <c r="N815" s="404">
        <v>29721761</v>
      </c>
      <c r="O815" s="404">
        <v>81977334.335255668</v>
      </c>
    </row>
    <row r="816" spans="2:15" s="154" customFormat="1" hidden="1" outlineLevel="1">
      <c r="B816" s="165" t="s">
        <v>2334</v>
      </c>
      <c r="C816" s="165" t="s">
        <v>3599</v>
      </c>
      <c r="D816" s="165" t="s">
        <v>3600</v>
      </c>
      <c r="E816" s="403">
        <v>23952042.990980845</v>
      </c>
      <c r="F816" s="431">
        <v>23949547.62841608</v>
      </c>
      <c r="G816" s="404">
        <v>15</v>
      </c>
      <c r="H816" s="405">
        <v>47572</v>
      </c>
      <c r="I816" s="404">
        <v>5479</v>
      </c>
      <c r="J816" s="404">
        <v>5478</v>
      </c>
      <c r="K816" s="406">
        <v>22751945.478867039</v>
      </c>
      <c r="L816" s="404">
        <v>365</v>
      </c>
      <c r="M816" s="404">
        <v>1515966</v>
      </c>
      <c r="N816" s="404">
        <v>10622301</v>
      </c>
      <c r="O816" s="404">
        <v>13327246.62841608</v>
      </c>
    </row>
    <row r="817" spans="2:15" s="154" customFormat="1" ht="27" hidden="1" outlineLevel="1">
      <c r="B817" s="165" t="s">
        <v>2334</v>
      </c>
      <c r="C817" s="165" t="s">
        <v>3601</v>
      </c>
      <c r="D817" s="165" t="s">
        <v>3602</v>
      </c>
      <c r="E817" s="403">
        <v>10337526.884730229</v>
      </c>
      <c r="F817" s="431">
        <v>10336449.904425751</v>
      </c>
      <c r="G817" s="404">
        <v>15</v>
      </c>
      <c r="H817" s="405">
        <v>47572</v>
      </c>
      <c r="I817" s="404">
        <v>5479</v>
      </c>
      <c r="J817" s="404">
        <v>5478</v>
      </c>
      <c r="K817" s="406">
        <v>9819573.5601892397</v>
      </c>
      <c r="L817" s="404">
        <v>365</v>
      </c>
      <c r="M817" s="404">
        <v>654280</v>
      </c>
      <c r="N817" s="404">
        <v>4584508</v>
      </c>
      <c r="O817" s="404">
        <v>5751941.9044257514</v>
      </c>
    </row>
    <row r="818" spans="2:15" s="154" customFormat="1" ht="27" hidden="1" outlineLevel="1">
      <c r="B818" s="165" t="s">
        <v>2334</v>
      </c>
      <c r="C818" s="165" t="s">
        <v>3601</v>
      </c>
      <c r="D818" s="165" t="s">
        <v>3603</v>
      </c>
      <c r="E818" s="403">
        <v>17761156.731241353</v>
      </c>
      <c r="F818" s="431">
        <v>17759306.345258579</v>
      </c>
      <c r="G818" s="404">
        <v>15</v>
      </c>
      <c r="H818" s="405">
        <v>47572</v>
      </c>
      <c r="I818" s="404">
        <v>5479</v>
      </c>
      <c r="J818" s="404">
        <v>5478</v>
      </c>
      <c r="K818" s="406">
        <v>16871248.508696511</v>
      </c>
      <c r="L818" s="404">
        <v>365</v>
      </c>
      <c r="M818" s="404">
        <v>1124134</v>
      </c>
      <c r="N818" s="404">
        <v>7876753</v>
      </c>
      <c r="O818" s="404">
        <v>9882553.3452585787</v>
      </c>
    </row>
    <row r="819" spans="2:15" s="154" customFormat="1" ht="27" hidden="1" outlineLevel="1">
      <c r="B819" s="165" t="s">
        <v>2334</v>
      </c>
      <c r="C819" s="165" t="s">
        <v>3604</v>
      </c>
      <c r="D819" s="165" t="s">
        <v>3605</v>
      </c>
      <c r="E819" s="403">
        <v>205588616.96357733</v>
      </c>
      <c r="F819" s="431">
        <v>205567198.40856171</v>
      </c>
      <c r="G819" s="404">
        <v>30</v>
      </c>
      <c r="H819" s="405">
        <v>53051</v>
      </c>
      <c r="I819" s="404">
        <v>10958</v>
      </c>
      <c r="J819" s="404">
        <v>10957</v>
      </c>
      <c r="K819" s="406">
        <v>195287767.56038284</v>
      </c>
      <c r="L819" s="404">
        <v>365</v>
      </c>
      <c r="M819" s="404">
        <v>6505434</v>
      </c>
      <c r="N819" s="404">
        <v>45583266</v>
      </c>
      <c r="O819" s="404">
        <v>159983932.40856171</v>
      </c>
    </row>
    <row r="820" spans="2:15" s="154" customFormat="1" ht="27" hidden="1" outlineLevel="1">
      <c r="B820" s="165" t="s">
        <v>2334</v>
      </c>
      <c r="C820" s="165" t="s">
        <v>3604</v>
      </c>
      <c r="D820" s="165" t="s">
        <v>3606</v>
      </c>
      <c r="E820" s="403">
        <v>24414129.392478243</v>
      </c>
      <c r="F820" s="431">
        <v>24411585.888944201</v>
      </c>
      <c r="G820" s="404">
        <v>10</v>
      </c>
      <c r="H820" s="405">
        <v>45746</v>
      </c>
      <c r="I820" s="404">
        <v>3653</v>
      </c>
      <c r="J820" s="404">
        <v>3652</v>
      </c>
      <c r="K820" s="406">
        <v>23190879.419320289</v>
      </c>
      <c r="L820" s="404">
        <v>365</v>
      </c>
      <c r="M820" s="404">
        <v>2317818</v>
      </c>
      <c r="N820" s="404">
        <v>16240840</v>
      </c>
      <c r="O820" s="404">
        <v>8170745.8889442012</v>
      </c>
    </row>
    <row r="821" spans="2:15" s="154" customFormat="1" ht="27" hidden="1" outlineLevel="1">
      <c r="B821" s="165" t="s">
        <v>2334</v>
      </c>
      <c r="C821" s="165" t="s">
        <v>3604</v>
      </c>
      <c r="D821" s="165" t="s">
        <v>3607</v>
      </c>
      <c r="E821" s="403">
        <v>15598818.815881895</v>
      </c>
      <c r="F821" s="431">
        <v>15597193.705766357</v>
      </c>
      <c r="G821" s="404">
        <v>25</v>
      </c>
      <c r="H821" s="405">
        <v>51225</v>
      </c>
      <c r="I821" s="404">
        <v>9132</v>
      </c>
      <c r="J821" s="404">
        <v>9131</v>
      </c>
      <c r="K821" s="406">
        <v>14817252.764972262</v>
      </c>
      <c r="L821" s="404">
        <v>365</v>
      </c>
      <c r="M821" s="404">
        <v>592301</v>
      </c>
      <c r="N821" s="404">
        <v>4150224</v>
      </c>
      <c r="O821" s="404">
        <v>11446969.705766357</v>
      </c>
    </row>
    <row r="822" spans="2:15" s="154" customFormat="1" ht="27" hidden="1" outlineLevel="1">
      <c r="B822" s="165" t="s">
        <v>2334</v>
      </c>
      <c r="C822" s="165" t="s">
        <v>3604</v>
      </c>
      <c r="D822" s="165" t="s">
        <v>3608</v>
      </c>
      <c r="E822" s="403">
        <v>15598817.815881895</v>
      </c>
      <c r="F822" s="431">
        <v>15597192.705766357</v>
      </c>
      <c r="G822" s="404">
        <v>20</v>
      </c>
      <c r="H822" s="405">
        <v>49398</v>
      </c>
      <c r="I822" s="404">
        <v>7305</v>
      </c>
      <c r="J822" s="404">
        <v>7304</v>
      </c>
      <c r="K822" s="406">
        <v>14817251.814972263</v>
      </c>
      <c r="L822" s="404">
        <v>365</v>
      </c>
      <c r="M822" s="404">
        <v>740457</v>
      </c>
      <c r="N822" s="404">
        <v>5188347</v>
      </c>
      <c r="O822" s="404">
        <v>10408845.705766357</v>
      </c>
    </row>
    <row r="823" spans="2:15" s="154" customFormat="1" hidden="1" outlineLevel="1">
      <c r="B823" s="165" t="s">
        <v>2334</v>
      </c>
      <c r="C823" s="165" t="s">
        <v>2330</v>
      </c>
      <c r="D823" s="165" t="s">
        <v>3654</v>
      </c>
      <c r="E823" s="403">
        <v>6504006.894969821</v>
      </c>
      <c r="F823" s="431">
        <v>6503329.2969737388</v>
      </c>
      <c r="G823" s="404">
        <v>10</v>
      </c>
      <c r="H823" s="405">
        <v>45746</v>
      </c>
      <c r="I823" s="404">
        <v>3653</v>
      </c>
      <c r="J823" s="404">
        <v>3652</v>
      </c>
      <c r="K823" s="406">
        <v>6178128.9522252474</v>
      </c>
      <c r="L823" s="404">
        <v>365</v>
      </c>
      <c r="M823" s="404">
        <v>617475</v>
      </c>
      <c r="N823" s="404">
        <v>4326617</v>
      </c>
      <c r="O823" s="404">
        <v>2176712.2969737388</v>
      </c>
    </row>
    <row r="824" spans="2:15" s="154" customFormat="1" ht="27" hidden="1" outlineLevel="1">
      <c r="B824" s="165" t="s">
        <v>2334</v>
      </c>
      <c r="C824" s="165" t="s">
        <v>3611</v>
      </c>
      <c r="D824" s="165" t="s">
        <v>3612</v>
      </c>
      <c r="E824" s="403">
        <v>7997141.7158488585</v>
      </c>
      <c r="F824" s="431">
        <v>7996308.5606769295</v>
      </c>
      <c r="G824" s="404">
        <v>10</v>
      </c>
      <c r="H824" s="405">
        <v>45746</v>
      </c>
      <c r="I824" s="404">
        <v>3653</v>
      </c>
      <c r="J824" s="404">
        <v>3652</v>
      </c>
      <c r="K824" s="406">
        <v>7596451.4748844868</v>
      </c>
      <c r="L824" s="404">
        <v>365</v>
      </c>
      <c r="M824" s="404">
        <v>759229</v>
      </c>
      <c r="N824" s="404">
        <v>5319882</v>
      </c>
      <c r="O824" s="404">
        <v>2676426.5606769295</v>
      </c>
    </row>
    <row r="825" spans="2:15" s="154" customFormat="1" hidden="1" outlineLevel="1">
      <c r="B825" s="165"/>
      <c r="C825" s="165"/>
      <c r="D825" s="165"/>
      <c r="E825" s="403"/>
      <c r="F825" s="432"/>
      <c r="G825" s="404"/>
      <c r="H825" s="405"/>
      <c r="I825" s="404"/>
      <c r="J825" s="404"/>
      <c r="K825" s="404"/>
      <c r="L825" s="404"/>
      <c r="M825" s="404"/>
      <c r="N825" s="404"/>
      <c r="O825" s="404"/>
    </row>
    <row r="826" spans="2:15" s="154" customFormat="1" ht="14.25" hidden="1">
      <c r="B826" s="411" t="s">
        <v>1837</v>
      </c>
      <c r="C826" s="165"/>
      <c r="D826" s="165"/>
      <c r="E826" s="412">
        <v>1379419682.5026722</v>
      </c>
      <c r="F826" s="433">
        <f>SUBTOTAL(9,F777:F825)</f>
        <v>1348005135.1830571</v>
      </c>
      <c r="G826" s="404"/>
      <c r="H826" s="405"/>
      <c r="I826" s="404"/>
      <c r="J826" s="404"/>
      <c r="K826" s="404"/>
      <c r="L826" s="404"/>
      <c r="M826" s="413">
        <f t="shared" ref="M826:O826" si="11">SUBTOTAL(9,M777:M825)</f>
        <v>57123052</v>
      </c>
      <c r="N826" s="413">
        <f t="shared" si="11"/>
        <v>582201853</v>
      </c>
      <c r="O826" s="413">
        <f t="shared" si="11"/>
        <v>765803282.18305695</v>
      </c>
    </row>
    <row r="827" spans="2:15" s="154" customFormat="1" ht="14.25" hidden="1">
      <c r="B827" s="411" t="s">
        <v>2797</v>
      </c>
      <c r="C827" s="165"/>
      <c r="D827" s="418"/>
      <c r="E827" s="412"/>
      <c r="F827" s="434"/>
      <c r="G827" s="404"/>
      <c r="H827" s="405"/>
      <c r="I827" s="404"/>
      <c r="J827" s="404"/>
      <c r="K827" s="404"/>
      <c r="L827" s="404"/>
      <c r="M827" s="413"/>
      <c r="N827" s="413"/>
      <c r="O827" s="413"/>
    </row>
    <row r="828" spans="2:15" s="154" customFormat="1" hidden="1">
      <c r="B828" s="165" t="s">
        <v>2797</v>
      </c>
      <c r="C828" s="165"/>
      <c r="D828" s="418"/>
      <c r="E828" s="403">
        <v>-293009372.19737208</v>
      </c>
      <c r="F828" s="431">
        <v>-280443034.10859424</v>
      </c>
      <c r="G828" s="404">
        <v>25</v>
      </c>
      <c r="H828" s="405">
        <v>50738</v>
      </c>
      <c r="I828" s="404">
        <v>9131</v>
      </c>
      <c r="J828" s="404">
        <v>8766</v>
      </c>
      <c r="K828" s="403">
        <v>-265792565.49872562</v>
      </c>
      <c r="L828" s="404">
        <v>365</v>
      </c>
      <c r="M828" s="403">
        <v>-11067110</v>
      </c>
      <c r="N828" s="403">
        <v>-77530412</v>
      </c>
      <c r="O828" s="403">
        <v>-202912622.10859424</v>
      </c>
    </row>
    <row r="829" spans="2:15" s="154" customFormat="1" ht="27" hidden="1">
      <c r="B829" s="165" t="s">
        <v>2798</v>
      </c>
      <c r="C829" s="165"/>
      <c r="D829" s="418"/>
      <c r="E829" s="403">
        <v>76107231.574747682</v>
      </c>
      <c r="F829" s="431">
        <v>73815096.574747682</v>
      </c>
      <c r="G829" s="404">
        <v>25</v>
      </c>
      <c r="H829" s="405">
        <v>50738</v>
      </c>
      <c r="I829" s="404">
        <v>8919</v>
      </c>
      <c r="J829" s="404">
        <v>8644</v>
      </c>
      <c r="K829" s="406">
        <v>70009734.996010303</v>
      </c>
      <c r="L829" s="404">
        <v>365</v>
      </c>
      <c r="M829" s="403">
        <v>2956219</v>
      </c>
      <c r="N829" s="403">
        <v>20709731</v>
      </c>
      <c r="O829" s="403">
        <v>53105365.574747682</v>
      </c>
    </row>
    <row r="830" spans="2:15" s="154" customFormat="1" ht="27" hidden="1">
      <c r="B830" s="165" t="s">
        <v>2799</v>
      </c>
      <c r="C830" s="165"/>
      <c r="D830" s="418"/>
      <c r="E830" s="403">
        <v>255439230.18870839</v>
      </c>
      <c r="F830" s="431">
        <v>250319815.18870839</v>
      </c>
      <c r="G830" s="404">
        <v>25</v>
      </c>
      <c r="H830" s="405">
        <v>50738</v>
      </c>
      <c r="I830" s="404">
        <v>8827</v>
      </c>
      <c r="J830" s="404">
        <v>8644</v>
      </c>
      <c r="K830" s="406">
        <v>237547853.67927298</v>
      </c>
      <c r="L830" s="404">
        <v>365</v>
      </c>
      <c r="M830" s="403">
        <v>10030653</v>
      </c>
      <c r="N830" s="403">
        <v>70269533</v>
      </c>
      <c r="O830" s="403">
        <v>180050282.18870839</v>
      </c>
    </row>
    <row r="831" spans="2:15" s="154" customFormat="1" ht="27" hidden="1">
      <c r="B831" s="165" t="s">
        <v>2800</v>
      </c>
      <c r="C831" s="165"/>
      <c r="D831" s="418"/>
      <c r="E831" s="403">
        <v>174874379.48530996</v>
      </c>
      <c r="F831" s="431">
        <v>173131763.48530996</v>
      </c>
      <c r="G831" s="404">
        <v>25</v>
      </c>
      <c r="H831" s="405">
        <v>50738</v>
      </c>
      <c r="I831" s="404">
        <v>8735</v>
      </c>
      <c r="J831" s="404">
        <v>8644</v>
      </c>
      <c r="K831" s="406">
        <v>164388044.51104447</v>
      </c>
      <c r="L831" s="404">
        <v>365</v>
      </c>
      <c r="M831" s="403">
        <v>6941420</v>
      </c>
      <c r="N831" s="403">
        <v>48627976</v>
      </c>
      <c r="O831" s="403">
        <v>124503787.48530996</v>
      </c>
    </row>
    <row r="832" spans="2:15" s="154" customFormat="1" ht="27" hidden="1">
      <c r="B832" s="165" t="s">
        <v>2803</v>
      </c>
      <c r="C832" s="165"/>
      <c r="D832" s="418"/>
      <c r="E832" s="403">
        <v>33012855</v>
      </c>
      <c r="F832" s="431">
        <v>33009240</v>
      </c>
      <c r="G832" s="404">
        <v>25</v>
      </c>
      <c r="H832" s="405">
        <v>50738</v>
      </c>
      <c r="I832" s="404">
        <v>8645</v>
      </c>
      <c r="J832" s="404">
        <v>8644</v>
      </c>
      <c r="K832" s="406">
        <v>31358597.25</v>
      </c>
      <c r="L832" s="404">
        <v>365</v>
      </c>
      <c r="M832" s="403">
        <v>1324143</v>
      </c>
      <c r="N832" s="403">
        <v>9276255</v>
      </c>
      <c r="O832" s="403">
        <v>23732985</v>
      </c>
    </row>
    <row r="833" spans="2:15" s="154" customFormat="1" ht="27" hidden="1">
      <c r="B833" s="165" t="s">
        <v>2950</v>
      </c>
      <c r="C833" s="165"/>
      <c r="D833" s="418"/>
      <c r="E833" s="403">
        <v>106253745</v>
      </c>
      <c r="F833" s="431">
        <v>106253745</v>
      </c>
      <c r="G833" s="404">
        <v>25</v>
      </c>
      <c r="H833" s="405">
        <v>50738</v>
      </c>
      <c r="I833" s="404">
        <v>8554</v>
      </c>
      <c r="J833" s="404">
        <v>8554</v>
      </c>
      <c r="K833" s="403">
        <v>100941057.75</v>
      </c>
      <c r="L833" s="404">
        <v>365</v>
      </c>
      <c r="M833" s="403">
        <v>4307165</v>
      </c>
      <c r="N833" s="403">
        <v>29099914</v>
      </c>
      <c r="O833" s="403">
        <v>77153831</v>
      </c>
    </row>
    <row r="834" spans="2:15" s="154" customFormat="1" ht="27" hidden="1">
      <c r="B834" s="165" t="s">
        <v>2984</v>
      </c>
      <c r="C834" s="165"/>
      <c r="D834" s="418"/>
      <c r="E834" s="403">
        <v>233473088</v>
      </c>
      <c r="F834" s="431">
        <v>233473088</v>
      </c>
      <c r="G834" s="404">
        <v>25</v>
      </c>
      <c r="H834" s="405">
        <v>50738</v>
      </c>
      <c r="I834" s="404">
        <v>8462</v>
      </c>
      <c r="J834" s="404">
        <v>8462</v>
      </c>
      <c r="K834" s="403">
        <v>221799433.59999999</v>
      </c>
      <c r="L834" s="404">
        <v>365</v>
      </c>
      <c r="M834" s="403">
        <v>9567099</v>
      </c>
      <c r="N834" s="403">
        <v>62225460</v>
      </c>
      <c r="O834" s="403">
        <v>171247628</v>
      </c>
    </row>
    <row r="835" spans="2:15" s="154" customFormat="1" ht="27" hidden="1">
      <c r="B835" s="165" t="s">
        <v>3003</v>
      </c>
      <c r="C835" s="165"/>
      <c r="D835" s="418"/>
      <c r="E835" s="403">
        <v>-2120572.5</v>
      </c>
      <c r="F835" s="431">
        <v>-2120572.5</v>
      </c>
      <c r="G835" s="404">
        <v>25</v>
      </c>
      <c r="H835" s="405">
        <v>50738</v>
      </c>
      <c r="I835" s="404">
        <v>8370</v>
      </c>
      <c r="J835" s="404">
        <v>8370</v>
      </c>
      <c r="K835" s="403">
        <v>-2014543.875</v>
      </c>
      <c r="L835" s="404">
        <v>365</v>
      </c>
      <c r="M835" s="403">
        <v>-87850</v>
      </c>
      <c r="N835" s="403">
        <v>-549243</v>
      </c>
      <c r="O835" s="403">
        <v>-1571329.5</v>
      </c>
    </row>
    <row r="836" spans="2:15" s="154" customFormat="1" ht="27" hidden="1">
      <c r="B836" s="165" t="s">
        <v>3885</v>
      </c>
      <c r="C836" s="165"/>
      <c r="D836" s="418"/>
      <c r="E836" s="403">
        <v>-1654603</v>
      </c>
      <c r="F836" s="431">
        <v>-1654603</v>
      </c>
      <c r="G836" s="404">
        <v>25</v>
      </c>
      <c r="H836" s="405">
        <v>50738</v>
      </c>
      <c r="I836" s="404">
        <v>8279</v>
      </c>
      <c r="J836" s="404">
        <v>8279</v>
      </c>
      <c r="K836" s="403">
        <v>-1571872.85</v>
      </c>
      <c r="L836" s="404">
        <v>365</v>
      </c>
      <c r="M836" s="403">
        <v>-69300</v>
      </c>
      <c r="N836" s="403">
        <v>-415990</v>
      </c>
      <c r="O836" s="403">
        <v>-1238613</v>
      </c>
    </row>
    <row r="837" spans="2:15" s="154" customFormat="1" ht="27" hidden="1">
      <c r="B837" s="165" t="s">
        <v>3003</v>
      </c>
      <c r="C837" s="165"/>
      <c r="D837" s="418"/>
      <c r="E837" s="403">
        <v>11187740</v>
      </c>
      <c r="F837" s="431">
        <v>11187740</v>
      </c>
      <c r="G837" s="404">
        <v>25</v>
      </c>
      <c r="H837" s="405">
        <v>50738</v>
      </c>
      <c r="I837" s="404">
        <v>8554</v>
      </c>
      <c r="J837" s="404">
        <v>8554</v>
      </c>
      <c r="K837" s="403">
        <v>10628353</v>
      </c>
      <c r="L837" s="404">
        <v>365</v>
      </c>
      <c r="M837" s="403">
        <v>453513</v>
      </c>
      <c r="N837" s="403">
        <v>3064008</v>
      </c>
      <c r="O837" s="403">
        <v>8123732</v>
      </c>
    </row>
    <row r="838" spans="2:15" s="154" customFormat="1" ht="27" hidden="1">
      <c r="B838" s="165" t="s">
        <v>3003</v>
      </c>
      <c r="C838" s="165"/>
      <c r="D838" s="418"/>
      <c r="E838" s="403">
        <v>19715327</v>
      </c>
      <c r="F838" s="431">
        <v>19715327</v>
      </c>
      <c r="G838" s="404">
        <v>25</v>
      </c>
      <c r="H838" s="405">
        <v>50738</v>
      </c>
      <c r="I838" s="404">
        <v>8462</v>
      </c>
      <c r="J838" s="404">
        <v>8462</v>
      </c>
      <c r="K838" s="403">
        <v>18729560.649999999</v>
      </c>
      <c r="L838" s="404">
        <v>365</v>
      </c>
      <c r="M838" s="403">
        <v>807881</v>
      </c>
      <c r="N838" s="403">
        <v>5254546</v>
      </c>
      <c r="O838" s="403">
        <v>14460781</v>
      </c>
    </row>
    <row r="839" spans="2:15" s="154" customFormat="1" ht="27" hidden="1">
      <c r="B839" s="165" t="s">
        <v>3003</v>
      </c>
      <c r="C839" s="165"/>
      <c r="D839" s="418"/>
      <c r="E839" s="403">
        <v>-459602</v>
      </c>
      <c r="F839" s="431">
        <v>-459602</v>
      </c>
      <c r="G839" s="404">
        <v>25</v>
      </c>
      <c r="H839" s="405">
        <v>50738</v>
      </c>
      <c r="I839" s="404">
        <v>8370</v>
      </c>
      <c r="J839" s="404">
        <v>8370</v>
      </c>
      <c r="K839" s="403">
        <v>-436621.9</v>
      </c>
      <c r="L839" s="404">
        <v>365</v>
      </c>
      <c r="M839" s="403">
        <v>-19040</v>
      </c>
      <c r="N839" s="403">
        <v>-119039</v>
      </c>
      <c r="O839" s="403">
        <v>-340563</v>
      </c>
    </row>
    <row r="840" spans="2:15" s="154" customFormat="1" ht="27" hidden="1">
      <c r="B840" s="165" t="s">
        <v>3003</v>
      </c>
      <c r="C840" s="165"/>
      <c r="D840" s="418"/>
      <c r="E840" s="403">
        <v>913199</v>
      </c>
      <c r="F840" s="431">
        <v>913199</v>
      </c>
      <c r="G840" s="404">
        <v>25</v>
      </c>
      <c r="H840" s="405">
        <v>50738</v>
      </c>
      <c r="I840" s="404">
        <v>8279</v>
      </c>
      <c r="J840" s="404">
        <v>8279</v>
      </c>
      <c r="K840" s="403">
        <v>867539.05</v>
      </c>
      <c r="L840" s="404">
        <v>365</v>
      </c>
      <c r="M840" s="403">
        <v>38248</v>
      </c>
      <c r="N840" s="403">
        <v>229592</v>
      </c>
      <c r="O840" s="403">
        <v>683607</v>
      </c>
    </row>
    <row r="841" spans="2:15" s="154" customFormat="1" ht="27" hidden="1">
      <c r="B841" s="165" t="s">
        <v>3899</v>
      </c>
      <c r="C841" s="165"/>
      <c r="D841" s="418"/>
      <c r="E841" s="403">
        <v>56200335</v>
      </c>
      <c r="F841" s="431">
        <v>56200335</v>
      </c>
      <c r="G841" s="404">
        <v>25</v>
      </c>
      <c r="H841" s="405">
        <v>50738</v>
      </c>
      <c r="I841" s="404">
        <v>8188</v>
      </c>
      <c r="J841" s="404">
        <v>8188</v>
      </c>
      <c r="K841" s="403">
        <v>53390318.25</v>
      </c>
      <c r="L841" s="404">
        <v>365</v>
      </c>
      <c r="M841" s="403">
        <v>2380003</v>
      </c>
      <c r="N841" s="403">
        <v>13693169</v>
      </c>
      <c r="O841" s="403">
        <v>42507166</v>
      </c>
    </row>
    <row r="842" spans="2:15" s="154" customFormat="1" ht="27" hidden="1">
      <c r="B842" s="165" t="s">
        <v>3915</v>
      </c>
      <c r="C842" s="165"/>
      <c r="D842" s="418"/>
      <c r="E842" s="403">
        <v>-31766088</v>
      </c>
      <c r="F842" s="431">
        <v>-31766088</v>
      </c>
      <c r="G842" s="404">
        <v>25</v>
      </c>
      <c r="H842" s="405">
        <v>50738</v>
      </c>
      <c r="I842" s="404">
        <v>8096</v>
      </c>
      <c r="J842" s="404">
        <v>8096</v>
      </c>
      <c r="K842" s="403">
        <v>-30177783.600000001</v>
      </c>
      <c r="L842" s="404">
        <v>365</v>
      </c>
      <c r="M842" s="403">
        <v>-1360535</v>
      </c>
      <c r="N842" s="403">
        <v>-7484806</v>
      </c>
      <c r="O842" s="403">
        <v>-24281282</v>
      </c>
    </row>
    <row r="843" spans="2:15" s="154" customFormat="1" ht="27" hidden="1">
      <c r="B843" s="165" t="s">
        <v>3918</v>
      </c>
      <c r="C843" s="165"/>
      <c r="D843" s="418"/>
      <c r="E843" s="403">
        <v>48308157</v>
      </c>
      <c r="F843" s="431">
        <v>48308157</v>
      </c>
      <c r="G843" s="404">
        <v>25</v>
      </c>
      <c r="H843" s="405">
        <v>50738</v>
      </c>
      <c r="I843" s="404">
        <v>8004</v>
      </c>
      <c r="J843" s="404">
        <v>8004</v>
      </c>
      <c r="K843" s="403">
        <v>45892749.149999999</v>
      </c>
      <c r="L843" s="404">
        <v>365</v>
      </c>
      <c r="M843" s="403">
        <v>2092810</v>
      </c>
      <c r="N843" s="403">
        <v>10985819</v>
      </c>
      <c r="O843" s="403">
        <v>37322338</v>
      </c>
    </row>
    <row r="844" spans="2:15" s="154" customFormat="1" ht="27" hidden="1">
      <c r="B844" s="165" t="s">
        <v>4046</v>
      </c>
      <c r="C844" s="165"/>
      <c r="D844" s="418"/>
      <c r="E844" s="403">
        <v>-105955023</v>
      </c>
      <c r="F844" s="431">
        <v>-105955023</v>
      </c>
      <c r="G844" s="404">
        <v>25</v>
      </c>
      <c r="H844" s="405">
        <v>50738</v>
      </c>
      <c r="I844" s="404">
        <v>7914</v>
      </c>
      <c r="J844" s="404">
        <v>7914</v>
      </c>
      <c r="K844" s="403">
        <v>-100657271.84999999</v>
      </c>
      <c r="L844" s="404">
        <v>365</v>
      </c>
      <c r="M844" s="403">
        <v>-4642394</v>
      </c>
      <c r="N844" s="403">
        <v>-23224689</v>
      </c>
      <c r="O844" s="403">
        <v>-82730334</v>
      </c>
    </row>
    <row r="845" spans="2:15" s="154" customFormat="1" ht="27" hidden="1">
      <c r="B845" s="165" t="s">
        <v>4071</v>
      </c>
      <c r="C845" s="165"/>
      <c r="D845" s="418"/>
      <c r="E845" s="403">
        <v>-2040469</v>
      </c>
      <c r="F845" s="431">
        <v>-2040469</v>
      </c>
      <c r="G845" s="404">
        <v>25</v>
      </c>
      <c r="H845" s="405">
        <v>50738</v>
      </c>
      <c r="I845" s="404">
        <v>7823</v>
      </c>
      <c r="J845" s="404">
        <v>7823</v>
      </c>
      <c r="K845" s="403">
        <v>-1938445.55</v>
      </c>
      <c r="L845" s="404">
        <v>365</v>
      </c>
      <c r="M845" s="403">
        <v>-90443</v>
      </c>
      <c r="N845" s="403">
        <v>-429913</v>
      </c>
      <c r="O845" s="403">
        <v>-1610556</v>
      </c>
    </row>
    <row r="846" spans="2:15" s="154" customFormat="1" ht="27" hidden="1">
      <c r="B846" s="165" t="s">
        <v>4078</v>
      </c>
      <c r="C846" s="165"/>
      <c r="D846" s="418"/>
      <c r="E846" s="403">
        <v>15395714</v>
      </c>
      <c r="F846" s="431">
        <v>15395714</v>
      </c>
      <c r="G846" s="404">
        <v>25</v>
      </c>
      <c r="H846" s="405">
        <v>50738</v>
      </c>
      <c r="I846" s="404">
        <v>7731</v>
      </c>
      <c r="J846" s="404">
        <v>7731</v>
      </c>
      <c r="K846" s="403">
        <v>14625928.300000001</v>
      </c>
      <c r="L846" s="404">
        <v>365</v>
      </c>
      <c r="M846" s="403">
        <v>690527</v>
      </c>
      <c r="N846" s="403">
        <v>3108318</v>
      </c>
      <c r="O846" s="403">
        <v>12287396</v>
      </c>
    </row>
    <row r="847" spans="2:15" s="154" customFormat="1" ht="27" hidden="1">
      <c r="B847" s="165" t="s">
        <v>4256</v>
      </c>
      <c r="C847" s="165"/>
      <c r="D847" s="418"/>
      <c r="E847" s="403">
        <v>-43836296</v>
      </c>
      <c r="F847" s="431">
        <v>-43836296</v>
      </c>
      <c r="G847" s="404">
        <v>25</v>
      </c>
      <c r="H847" s="405">
        <v>50738</v>
      </c>
      <c r="I847" s="404">
        <v>7639</v>
      </c>
      <c r="J847" s="404">
        <v>7639</v>
      </c>
      <c r="K847" s="403">
        <v>-41644481.200000003</v>
      </c>
      <c r="L847" s="404">
        <v>365</v>
      </c>
      <c r="M847" s="403">
        <v>-1989820</v>
      </c>
      <c r="N847" s="403">
        <v>-8455373</v>
      </c>
      <c r="O847" s="403">
        <v>-35380923</v>
      </c>
    </row>
    <row r="848" spans="2:15" s="154" customFormat="1" ht="27" hidden="1">
      <c r="B848" s="165" t="s">
        <v>4276</v>
      </c>
      <c r="C848" s="419"/>
      <c r="D848" s="420"/>
      <c r="E848" s="429">
        <v>38017866</v>
      </c>
      <c r="F848" s="431">
        <v>38017866</v>
      </c>
      <c r="G848" s="404">
        <v>25</v>
      </c>
      <c r="H848" s="405">
        <v>50738</v>
      </c>
      <c r="I848" s="404">
        <v>7549</v>
      </c>
      <c r="J848" s="404">
        <v>7549</v>
      </c>
      <c r="K848" s="403">
        <v>36116972.700000003</v>
      </c>
      <c r="L848" s="404">
        <v>365</v>
      </c>
      <c r="M848" s="403">
        <v>1746284</v>
      </c>
      <c r="N848" s="403">
        <v>6989920</v>
      </c>
      <c r="O848" s="403">
        <v>31027946</v>
      </c>
    </row>
    <row r="849" spans="2:15" s="154" customFormat="1" ht="27" hidden="1">
      <c r="B849" s="165" t="s">
        <v>4305</v>
      </c>
      <c r="C849" s="419"/>
      <c r="D849" s="420"/>
      <c r="E849" s="429">
        <v>680</v>
      </c>
      <c r="F849" s="431">
        <v>680</v>
      </c>
      <c r="G849" s="404">
        <v>25</v>
      </c>
      <c r="H849" s="405">
        <v>50738</v>
      </c>
      <c r="I849" s="404">
        <v>7366</v>
      </c>
      <c r="J849" s="404">
        <v>7366</v>
      </c>
      <c r="K849" s="403">
        <v>646</v>
      </c>
      <c r="L849" s="404">
        <v>365</v>
      </c>
      <c r="M849" s="403">
        <v>32</v>
      </c>
      <c r="N849" s="403">
        <v>112</v>
      </c>
      <c r="O849" s="403">
        <v>568</v>
      </c>
    </row>
    <row r="850" spans="2:15" s="154" customFormat="1" ht="27" hidden="1">
      <c r="B850" s="165" t="s">
        <v>4331</v>
      </c>
      <c r="C850" s="419"/>
      <c r="D850" s="420"/>
      <c r="E850" s="429">
        <v>54498545</v>
      </c>
      <c r="F850" s="431">
        <v>54498545</v>
      </c>
      <c r="G850" s="404">
        <v>25</v>
      </c>
      <c r="H850" s="405">
        <v>50738</v>
      </c>
      <c r="I850" s="404">
        <v>7184</v>
      </c>
      <c r="J850" s="404">
        <v>7184</v>
      </c>
      <c r="K850" s="403">
        <v>51773617.75</v>
      </c>
      <c r="L850" s="404">
        <v>365</v>
      </c>
      <c r="M850" s="403">
        <v>2630480</v>
      </c>
      <c r="N850" s="403">
        <v>7898647</v>
      </c>
      <c r="O850" s="403">
        <v>46599898</v>
      </c>
    </row>
    <row r="851" spans="2:15" s="154" customFormat="1" ht="27" hidden="1">
      <c r="B851" s="165" t="s">
        <v>4414</v>
      </c>
      <c r="C851" s="422"/>
      <c r="D851" s="423"/>
      <c r="E851" s="427">
        <v>64305375</v>
      </c>
      <c r="F851" s="431">
        <v>64305375</v>
      </c>
      <c r="G851" s="404">
        <v>25</v>
      </c>
      <c r="H851" s="405">
        <v>50738</v>
      </c>
      <c r="I851" s="404">
        <v>6818</v>
      </c>
      <c r="J851" s="404">
        <v>6818</v>
      </c>
      <c r="K851" s="403">
        <v>61090106.25</v>
      </c>
      <c r="L851" s="404">
        <v>365</v>
      </c>
      <c r="M851" s="403">
        <v>3270444</v>
      </c>
      <c r="N851" s="403">
        <v>6540888</v>
      </c>
      <c r="O851" s="403">
        <v>57764487</v>
      </c>
    </row>
    <row r="852" spans="2:15" s="154" customFormat="1" ht="27" hidden="1">
      <c r="B852" s="165" t="s">
        <v>4416</v>
      </c>
      <c r="C852" s="422"/>
      <c r="D852" s="423"/>
      <c r="E852" s="427">
        <v>5789955</v>
      </c>
      <c r="F852" s="431">
        <v>5789955</v>
      </c>
      <c r="G852" s="404">
        <v>25</v>
      </c>
      <c r="H852" s="405">
        <v>50738</v>
      </c>
      <c r="I852" s="404">
        <v>6727</v>
      </c>
      <c r="J852" s="404">
        <v>6727</v>
      </c>
      <c r="K852" s="403">
        <v>5500457.25</v>
      </c>
      <c r="L852" s="404">
        <v>365</v>
      </c>
      <c r="M852" s="403">
        <v>298449</v>
      </c>
      <c r="N852" s="403">
        <v>522490</v>
      </c>
      <c r="O852" s="403">
        <v>5267465</v>
      </c>
    </row>
    <row r="853" spans="2:15" s="154" customFormat="1" ht="27" hidden="1">
      <c r="B853" s="165" t="s">
        <v>4460</v>
      </c>
      <c r="C853" s="422"/>
      <c r="D853" s="423"/>
      <c r="E853" s="427">
        <v>-20064709</v>
      </c>
      <c r="F853" s="431">
        <v>-20064709</v>
      </c>
      <c r="G853" s="404">
        <v>25</v>
      </c>
      <c r="H853" s="405">
        <v>50738</v>
      </c>
      <c r="I853" s="404">
        <v>6635</v>
      </c>
      <c r="J853" s="404">
        <v>6635</v>
      </c>
      <c r="K853" s="403">
        <v>-19061473.550000001</v>
      </c>
      <c r="L853" s="404">
        <v>365</v>
      </c>
      <c r="M853" s="403">
        <v>-1048597</v>
      </c>
      <c r="N853" s="403">
        <v>-1571459</v>
      </c>
      <c r="O853" s="403">
        <v>-18493250</v>
      </c>
    </row>
    <row r="854" spans="2:15" s="154" customFormat="1" ht="27" hidden="1">
      <c r="B854" s="165" t="s">
        <v>4536</v>
      </c>
      <c r="C854" s="422"/>
      <c r="D854" s="423"/>
      <c r="E854" s="427">
        <v>-7443486</v>
      </c>
      <c r="F854" s="431">
        <v>-7443486</v>
      </c>
      <c r="G854" s="404">
        <v>25</v>
      </c>
      <c r="H854" s="405">
        <v>50738</v>
      </c>
      <c r="I854" s="404">
        <v>6543</v>
      </c>
      <c r="J854" s="404">
        <v>6543</v>
      </c>
      <c r="K854" s="403">
        <v>-7071311.7000000002</v>
      </c>
      <c r="L854" s="404">
        <v>365</v>
      </c>
      <c r="M854" s="403">
        <v>-394472</v>
      </c>
      <c r="N854" s="403">
        <v>-491739</v>
      </c>
      <c r="O854" s="403">
        <v>-6951747</v>
      </c>
    </row>
    <row r="855" spans="2:15" s="154" customFormat="1" ht="27" hidden="1">
      <c r="B855" s="165" t="s">
        <v>4565</v>
      </c>
      <c r="C855" s="422"/>
      <c r="D855" s="423"/>
      <c r="E855" s="427">
        <v>3379201</v>
      </c>
      <c r="F855" s="431">
        <v>3379201</v>
      </c>
      <c r="G855" s="404">
        <v>25</v>
      </c>
      <c r="H855" s="405">
        <v>50738</v>
      </c>
      <c r="I855" s="404">
        <v>6453</v>
      </c>
      <c r="J855" s="404">
        <v>6453</v>
      </c>
      <c r="K855" s="403">
        <v>3210240.95</v>
      </c>
      <c r="L855" s="404">
        <v>365</v>
      </c>
      <c r="M855" s="403">
        <v>181580</v>
      </c>
      <c r="N855" s="403">
        <v>181580</v>
      </c>
      <c r="O855" s="403">
        <v>3197621</v>
      </c>
    </row>
    <row r="856" spans="2:15" s="154" customFormat="1" ht="27" hidden="1">
      <c r="B856" s="165" t="s">
        <v>4595</v>
      </c>
      <c r="C856" s="422"/>
      <c r="D856" s="423"/>
      <c r="E856" s="427">
        <v>11958663</v>
      </c>
      <c r="F856" s="431">
        <v>11958663</v>
      </c>
      <c r="G856" s="404">
        <v>25</v>
      </c>
      <c r="H856" s="405">
        <v>50738</v>
      </c>
      <c r="I856" s="404">
        <v>6362</v>
      </c>
      <c r="J856" s="404">
        <v>6362</v>
      </c>
      <c r="K856" s="403">
        <v>11360729.85</v>
      </c>
      <c r="L856" s="404">
        <v>274</v>
      </c>
      <c r="M856" s="403">
        <v>489286</v>
      </c>
      <c r="N856" s="403">
        <v>489286</v>
      </c>
      <c r="O856" s="403">
        <v>11469377</v>
      </c>
    </row>
    <row r="857" spans="2:15" s="154" customFormat="1" ht="27" hidden="1">
      <c r="B857" s="165" t="s">
        <v>4620</v>
      </c>
      <c r="C857" s="422"/>
      <c r="D857" s="423"/>
      <c r="E857" s="427">
        <v>-892962</v>
      </c>
      <c r="F857" s="431">
        <v>-892962</v>
      </c>
      <c r="G857" s="404">
        <v>25</v>
      </c>
      <c r="H857" s="405">
        <v>50738</v>
      </c>
      <c r="I857" s="404">
        <v>6270</v>
      </c>
      <c r="J857" s="404">
        <v>6270</v>
      </c>
      <c r="K857" s="403">
        <v>-848313.9</v>
      </c>
      <c r="L857" s="404">
        <v>182</v>
      </c>
      <c r="M857" s="403">
        <v>-24624</v>
      </c>
      <c r="N857" s="403">
        <v>-24624</v>
      </c>
      <c r="O857" s="403">
        <v>-868338</v>
      </c>
    </row>
    <row r="858" spans="2:15" s="154" customFormat="1" ht="27" hidden="1">
      <c r="B858" s="165" t="s">
        <v>4633</v>
      </c>
      <c r="C858" s="422"/>
      <c r="D858" s="423"/>
      <c r="E858" s="427">
        <v>1841658</v>
      </c>
      <c r="F858" s="431">
        <v>1841658</v>
      </c>
      <c r="G858" s="404">
        <v>25</v>
      </c>
      <c r="H858" s="405">
        <v>50738</v>
      </c>
      <c r="I858" s="404">
        <v>6178</v>
      </c>
      <c r="J858" s="404">
        <v>6178</v>
      </c>
      <c r="K858" s="403">
        <v>1749575.1</v>
      </c>
      <c r="L858" s="404">
        <v>90</v>
      </c>
      <c r="M858" s="403">
        <v>25487</v>
      </c>
      <c r="N858" s="403">
        <v>25487</v>
      </c>
      <c r="O858" s="403">
        <v>1816171</v>
      </c>
    </row>
    <row r="859" spans="2:15" s="154" customFormat="1" ht="27" hidden="1">
      <c r="B859" s="165" t="s">
        <v>4654</v>
      </c>
      <c r="C859" s="422"/>
      <c r="D859" s="423"/>
      <c r="E859" s="427">
        <v>14839888</v>
      </c>
      <c r="F859" s="431">
        <v>14839888</v>
      </c>
      <c r="G859" s="404">
        <v>25</v>
      </c>
      <c r="H859" s="405">
        <v>50738</v>
      </c>
      <c r="I859" s="404">
        <v>6088</v>
      </c>
      <c r="J859" s="404">
        <v>6088</v>
      </c>
      <c r="K859" s="403">
        <v>14097893.6</v>
      </c>
      <c r="L859" s="404">
        <v>0</v>
      </c>
      <c r="M859" s="403">
        <v>0</v>
      </c>
      <c r="N859" s="403">
        <v>0</v>
      </c>
      <c r="O859" s="403">
        <v>14839888</v>
      </c>
    </row>
    <row r="860" spans="2:15" s="154" customFormat="1" hidden="1">
      <c r="B860" s="422"/>
      <c r="C860" s="422"/>
      <c r="D860" s="423"/>
      <c r="E860" s="427"/>
      <c r="F860" s="431"/>
      <c r="G860" s="425"/>
      <c r="H860" s="426"/>
      <c r="I860" s="425"/>
      <c r="J860" s="425"/>
      <c r="K860" s="427"/>
      <c r="L860" s="425"/>
      <c r="M860" s="425"/>
      <c r="N860" s="425"/>
      <c r="O860" s="425"/>
    </row>
    <row r="861" spans="2:15" s="154" customFormat="1" ht="14.25" hidden="1">
      <c r="B861" s="165"/>
      <c r="C861" s="165"/>
      <c r="D861" s="418"/>
      <c r="E861" s="412"/>
      <c r="F861" s="432"/>
      <c r="G861" s="404"/>
      <c r="H861" s="405"/>
      <c r="I861" s="404"/>
      <c r="J861" s="404"/>
      <c r="K861" s="428"/>
      <c r="L861" s="404"/>
      <c r="M861" s="413"/>
      <c r="N861" s="413"/>
      <c r="O861" s="413"/>
    </row>
    <row r="862" spans="2:15" s="154" customFormat="1" ht="14.25" hidden="1">
      <c r="B862" s="411" t="s">
        <v>1837</v>
      </c>
      <c r="C862" s="165"/>
      <c r="D862" s="418"/>
      <c r="E862" s="500">
        <v>716269649.55139399</v>
      </c>
      <c r="F862" s="433">
        <f>SUBTOTAL(9,F828:F861)</f>
        <v>719678206.64017177</v>
      </c>
      <c r="G862" s="404"/>
      <c r="H862" s="405"/>
      <c r="I862" s="404"/>
      <c r="J862" s="404"/>
      <c r="K862" s="404"/>
      <c r="L862" s="404"/>
      <c r="M862" s="413">
        <f>SUBTOTAL(9,M828:M861)</f>
        <v>29437538</v>
      </c>
      <c r="N862" s="413">
        <f>SUBTOTAL(9,N828:N861)</f>
        <v>178895444</v>
      </c>
      <c r="O862" s="413">
        <f>SUBTOTAL(9,O828:O861)</f>
        <v>540782762.64017177</v>
      </c>
    </row>
    <row r="863" spans="2:15" s="154" customFormat="1" ht="14.25" hidden="1">
      <c r="B863" s="411" t="s">
        <v>754</v>
      </c>
      <c r="C863" s="165"/>
      <c r="D863" s="165"/>
      <c r="E863" s="412">
        <v>38493290666.103531</v>
      </c>
      <c r="F863" s="433">
        <f>+SUBTOTAL(9,F8:F862)</f>
        <v>36750221928.136292</v>
      </c>
      <c r="G863" s="404"/>
      <c r="H863" s="405"/>
      <c r="I863" s="404"/>
      <c r="J863" s="404"/>
      <c r="K863" s="404"/>
      <c r="L863" s="404"/>
      <c r="M863" s="413">
        <f>SUBTOTAL(9,M8:M862)</f>
        <v>1575731816</v>
      </c>
      <c r="N863" s="413">
        <f>SUBTOTAL(9,N8:N862)</f>
        <v>11648004407</v>
      </c>
      <c r="O863" s="413">
        <f>SUBTOTAL(9,O8:O862)</f>
        <v>25102217391.136299</v>
      </c>
    </row>
    <row r="864" spans="2:15" s="154" customFormat="1" ht="14.25" hidden="1">
      <c r="B864" s="411" t="s">
        <v>2416</v>
      </c>
      <c r="C864" s="165"/>
      <c r="D864" s="165"/>
      <c r="E864" s="403"/>
      <c r="F864" s="435"/>
      <c r="G864" s="404"/>
      <c r="H864" s="405"/>
      <c r="I864" s="404"/>
      <c r="J864" s="404"/>
      <c r="K864" s="404"/>
      <c r="L864" s="404"/>
      <c r="M864" s="404"/>
      <c r="N864" s="404"/>
      <c r="O864" s="404"/>
    </row>
    <row r="865" spans="2:15" s="154" customFormat="1" ht="14.25">
      <c r="B865" s="411" t="s">
        <v>2335</v>
      </c>
      <c r="C865" s="165"/>
      <c r="D865" s="165"/>
      <c r="E865" s="403"/>
      <c r="F865" s="432"/>
      <c r="G865" s="404"/>
      <c r="H865" s="405"/>
      <c r="I865" s="404"/>
      <c r="J865" s="404"/>
      <c r="K865" s="404"/>
      <c r="L865" s="404"/>
      <c r="M865" s="404"/>
      <c r="N865" s="404"/>
      <c r="O865" s="404"/>
    </row>
    <row r="866" spans="2:15" s="154" customFormat="1" ht="40.5" outlineLevel="1">
      <c r="B866" s="165" t="s">
        <v>2335</v>
      </c>
      <c r="C866" s="165" t="s">
        <v>3614</v>
      </c>
      <c r="D866" s="165" t="s">
        <v>3615</v>
      </c>
      <c r="E866" s="403">
        <v>701160562.55996704</v>
      </c>
      <c r="F866" s="431">
        <v>670921854.77694225</v>
      </c>
      <c r="G866" s="404">
        <v>40</v>
      </c>
      <c r="H866" s="405">
        <v>56217</v>
      </c>
      <c r="I866" s="404">
        <v>14610</v>
      </c>
      <c r="J866" s="404">
        <v>14124</v>
      </c>
      <c r="K866" s="406">
        <v>635863826.6489439</v>
      </c>
      <c r="L866" s="404">
        <v>365</v>
      </c>
      <c r="M866" s="404">
        <v>16432335</v>
      </c>
      <c r="N866" s="404">
        <v>115297027</v>
      </c>
      <c r="O866" s="404">
        <v>555624827.77694225</v>
      </c>
    </row>
    <row r="867" spans="2:15" s="154" customFormat="1" outlineLevel="1">
      <c r="B867" s="165"/>
      <c r="C867" s="165"/>
      <c r="D867" s="165"/>
      <c r="E867" s="403"/>
      <c r="F867" s="432"/>
      <c r="G867" s="404"/>
      <c r="H867" s="405"/>
      <c r="I867" s="404"/>
      <c r="J867" s="404"/>
      <c r="K867" s="404"/>
      <c r="L867" s="404"/>
      <c r="M867" s="404"/>
      <c r="N867" s="404"/>
      <c r="O867" s="404"/>
    </row>
    <row r="868" spans="2:15" s="154" customFormat="1" ht="40.5" outlineLevel="1">
      <c r="B868" s="165" t="s">
        <v>2335</v>
      </c>
      <c r="C868" s="165" t="s">
        <v>3616</v>
      </c>
      <c r="D868" s="165" t="s">
        <v>3617</v>
      </c>
      <c r="E868" s="403">
        <v>132155239.80346313</v>
      </c>
      <c r="F868" s="431">
        <v>126455826.72441834</v>
      </c>
      <c r="G868" s="404">
        <v>40</v>
      </c>
      <c r="H868" s="405">
        <v>56217</v>
      </c>
      <c r="I868" s="404">
        <v>14610</v>
      </c>
      <c r="J868" s="404">
        <v>14124</v>
      </c>
      <c r="K868" s="406">
        <v>119848064.73424518</v>
      </c>
      <c r="L868" s="404">
        <v>365</v>
      </c>
      <c r="M868" s="404">
        <v>3097178</v>
      </c>
      <c r="N868" s="404">
        <v>21731265</v>
      </c>
      <c r="O868" s="404">
        <v>104724561.72441834</v>
      </c>
    </row>
    <row r="869" spans="2:15" s="154" customFormat="1" ht="40.5" outlineLevel="1">
      <c r="B869" s="165" t="s">
        <v>2335</v>
      </c>
      <c r="C869" s="165" t="s">
        <v>3616</v>
      </c>
      <c r="D869" s="165" t="s">
        <v>3618</v>
      </c>
      <c r="E869" s="403">
        <v>132155239.80346313</v>
      </c>
      <c r="F869" s="431">
        <v>126455826.72441834</v>
      </c>
      <c r="G869" s="404">
        <v>40</v>
      </c>
      <c r="H869" s="405">
        <v>56217</v>
      </c>
      <c r="I869" s="404">
        <v>14610</v>
      </c>
      <c r="J869" s="404">
        <v>14124</v>
      </c>
      <c r="K869" s="406">
        <v>119848064.73424518</v>
      </c>
      <c r="L869" s="404">
        <v>365</v>
      </c>
      <c r="M869" s="404">
        <v>3097178</v>
      </c>
      <c r="N869" s="404">
        <v>21731265</v>
      </c>
      <c r="O869" s="404">
        <v>104724561.72441834</v>
      </c>
    </row>
    <row r="870" spans="2:15" s="154" customFormat="1" outlineLevel="1">
      <c r="B870" s="165"/>
      <c r="C870" s="165"/>
      <c r="D870" s="165"/>
      <c r="E870" s="403"/>
      <c r="F870" s="432"/>
      <c r="G870" s="404"/>
      <c r="H870" s="405"/>
      <c r="I870" s="404"/>
      <c r="J870" s="404"/>
      <c r="K870" s="404"/>
      <c r="L870" s="404"/>
      <c r="M870" s="404"/>
      <c r="N870" s="404"/>
      <c r="O870" s="404"/>
    </row>
    <row r="871" spans="2:15" s="154" customFormat="1" ht="27" outlineLevel="1">
      <c r="B871" s="165" t="s">
        <v>2335</v>
      </c>
      <c r="C871" s="165" t="s">
        <v>3619</v>
      </c>
      <c r="D871" s="165" t="s">
        <v>3620</v>
      </c>
      <c r="E871" s="403">
        <v>209788132.12645581</v>
      </c>
      <c r="F871" s="431">
        <v>200740672.29046896</v>
      </c>
      <c r="G871" s="404">
        <v>25</v>
      </c>
      <c r="H871" s="405">
        <v>50738</v>
      </c>
      <c r="I871" s="404">
        <v>9131</v>
      </c>
      <c r="J871" s="404">
        <v>8645</v>
      </c>
      <c r="K871" s="406">
        <v>190251265.68414617</v>
      </c>
      <c r="L871" s="404">
        <v>365</v>
      </c>
      <c r="M871" s="404">
        <v>8032587</v>
      </c>
      <c r="N871" s="404">
        <v>56360426</v>
      </c>
      <c r="O871" s="404">
        <v>144380246.29046896</v>
      </c>
    </row>
    <row r="872" spans="2:15" s="154" customFormat="1" ht="27" outlineLevel="1">
      <c r="B872" s="165" t="s">
        <v>2335</v>
      </c>
      <c r="C872" s="165" t="s">
        <v>3619</v>
      </c>
      <c r="D872" s="165" t="s">
        <v>3621</v>
      </c>
      <c r="E872" s="403">
        <v>131117583.07903492</v>
      </c>
      <c r="F872" s="431">
        <v>125462920.68154314</v>
      </c>
      <c r="G872" s="404">
        <v>25</v>
      </c>
      <c r="H872" s="405">
        <v>50738</v>
      </c>
      <c r="I872" s="404">
        <v>9131</v>
      </c>
      <c r="J872" s="404">
        <v>8645</v>
      </c>
      <c r="K872" s="406">
        <v>118907041.52759141</v>
      </c>
      <c r="L872" s="404">
        <v>365</v>
      </c>
      <c r="M872" s="404">
        <v>5020367</v>
      </c>
      <c r="N872" s="404">
        <v>35225267</v>
      </c>
      <c r="O872" s="404">
        <v>90237653.681543157</v>
      </c>
    </row>
    <row r="873" spans="2:15" s="154" customFormat="1" ht="27" outlineLevel="1">
      <c r="B873" s="165" t="s">
        <v>2335</v>
      </c>
      <c r="C873" s="165" t="s">
        <v>3619</v>
      </c>
      <c r="D873" s="165" t="s">
        <v>3622</v>
      </c>
      <c r="E873" s="403">
        <v>183564616.11064887</v>
      </c>
      <c r="F873" s="431">
        <v>175648088.75416037</v>
      </c>
      <c r="G873" s="404">
        <v>25</v>
      </c>
      <c r="H873" s="405">
        <v>50738</v>
      </c>
      <c r="I873" s="404">
        <v>9131</v>
      </c>
      <c r="J873" s="404">
        <v>8645</v>
      </c>
      <c r="K873" s="406">
        <v>166469857.94862792</v>
      </c>
      <c r="L873" s="404">
        <v>365</v>
      </c>
      <c r="M873" s="404">
        <v>7028513</v>
      </c>
      <c r="N873" s="404">
        <v>49315370</v>
      </c>
      <c r="O873" s="404">
        <v>126332718.75416037</v>
      </c>
    </row>
    <row r="874" spans="2:15" s="154" customFormat="1" outlineLevel="1">
      <c r="B874" s="165"/>
      <c r="C874" s="165"/>
      <c r="D874" s="165"/>
      <c r="E874" s="403"/>
      <c r="F874" s="432"/>
      <c r="G874" s="404"/>
      <c r="H874" s="405"/>
      <c r="I874" s="404"/>
      <c r="J874" s="404"/>
      <c r="K874" s="404"/>
      <c r="L874" s="404"/>
      <c r="M874" s="404"/>
      <c r="N874" s="404"/>
      <c r="O874" s="404"/>
    </row>
    <row r="875" spans="2:15" s="154" customFormat="1" ht="27" outlineLevel="1">
      <c r="B875" s="165" t="s">
        <v>2335</v>
      </c>
      <c r="C875" s="165" t="s">
        <v>3623</v>
      </c>
      <c r="D875" s="165" t="s">
        <v>3624</v>
      </c>
      <c r="E875" s="403">
        <v>131117582.96499614</v>
      </c>
      <c r="F875" s="431">
        <v>125462920.57237406</v>
      </c>
      <c r="G875" s="404">
        <v>30</v>
      </c>
      <c r="H875" s="405">
        <v>52564</v>
      </c>
      <c r="I875" s="404">
        <v>10957</v>
      </c>
      <c r="J875" s="404">
        <v>10471</v>
      </c>
      <c r="K875" s="406">
        <v>118907041.42412426</v>
      </c>
      <c r="L875" s="404">
        <v>365</v>
      </c>
      <c r="M875" s="404">
        <v>4144883</v>
      </c>
      <c r="N875" s="404">
        <v>29082458</v>
      </c>
      <c r="O875" s="404">
        <v>96380462.572374061</v>
      </c>
    </row>
    <row r="876" spans="2:15" s="154" customFormat="1" ht="27" outlineLevel="1">
      <c r="B876" s="165" t="s">
        <v>2335</v>
      </c>
      <c r="C876" s="165" t="s">
        <v>3623</v>
      </c>
      <c r="D876" s="165" t="s">
        <v>3624</v>
      </c>
      <c r="E876" s="403">
        <v>131117582.96499614</v>
      </c>
      <c r="F876" s="431">
        <v>125462920.57237406</v>
      </c>
      <c r="G876" s="404">
        <v>30</v>
      </c>
      <c r="H876" s="405">
        <v>52564</v>
      </c>
      <c r="I876" s="404">
        <v>10957</v>
      </c>
      <c r="J876" s="404">
        <v>10471</v>
      </c>
      <c r="K876" s="406">
        <v>118907041.42412426</v>
      </c>
      <c r="L876" s="404">
        <v>365</v>
      </c>
      <c r="M876" s="404">
        <v>4144883</v>
      </c>
      <c r="N876" s="404">
        <v>29082458</v>
      </c>
      <c r="O876" s="404">
        <v>96380462.572374061</v>
      </c>
    </row>
    <row r="877" spans="2:15" s="154" customFormat="1" outlineLevel="1">
      <c r="B877" s="165"/>
      <c r="C877" s="165"/>
      <c r="D877" s="165"/>
      <c r="E877" s="403"/>
      <c r="F877" s="432"/>
      <c r="G877" s="404"/>
      <c r="H877" s="405"/>
      <c r="I877" s="404"/>
      <c r="J877" s="404"/>
      <c r="K877" s="404"/>
      <c r="L877" s="404"/>
      <c r="M877" s="404"/>
      <c r="N877" s="404"/>
      <c r="O877" s="404"/>
    </row>
    <row r="878" spans="2:15" s="154" customFormat="1" outlineLevel="1">
      <c r="B878" s="165" t="s">
        <v>2335</v>
      </c>
      <c r="C878" s="165" t="s">
        <v>3623</v>
      </c>
      <c r="D878" s="165" t="s">
        <v>3625</v>
      </c>
      <c r="E878" s="403">
        <v>324894495.7372402</v>
      </c>
      <c r="F878" s="431">
        <v>310882883.77522552</v>
      </c>
      <c r="G878" s="404">
        <v>30</v>
      </c>
      <c r="H878" s="405">
        <v>52564</v>
      </c>
      <c r="I878" s="404">
        <v>10957</v>
      </c>
      <c r="J878" s="404">
        <v>10471</v>
      </c>
      <c r="K878" s="406">
        <v>294638158.9883635</v>
      </c>
      <c r="L878" s="404">
        <v>365</v>
      </c>
      <c r="M878" s="404">
        <v>10270550</v>
      </c>
      <c r="N878" s="404">
        <v>72063032</v>
      </c>
      <c r="O878" s="404">
        <v>238819851.77522552</v>
      </c>
    </row>
    <row r="879" spans="2:15" s="154" customFormat="1" outlineLevel="1">
      <c r="B879" s="165"/>
      <c r="C879" s="165"/>
      <c r="D879" s="165"/>
      <c r="E879" s="403"/>
      <c r="F879" s="432"/>
      <c r="G879" s="404"/>
      <c r="H879" s="405"/>
      <c r="I879" s="404"/>
      <c r="J879" s="404"/>
      <c r="K879" s="404"/>
      <c r="L879" s="404"/>
      <c r="M879" s="404"/>
      <c r="N879" s="404"/>
      <c r="O879" s="404"/>
    </row>
    <row r="880" spans="2:15" s="154" customFormat="1" ht="40.5" outlineLevel="1">
      <c r="B880" s="165" t="s">
        <v>2335</v>
      </c>
      <c r="C880" s="165" t="s">
        <v>3626</v>
      </c>
      <c r="D880" s="165" t="s">
        <v>3627</v>
      </c>
      <c r="E880" s="403">
        <v>91782307.895670637</v>
      </c>
      <c r="F880" s="431">
        <v>87824044.224243939</v>
      </c>
      <c r="G880" s="404">
        <v>30</v>
      </c>
      <c r="H880" s="405">
        <v>52564</v>
      </c>
      <c r="I880" s="404">
        <v>10957</v>
      </c>
      <c r="J880" s="404">
        <v>10471</v>
      </c>
      <c r="K880" s="406">
        <v>83234928.829460412</v>
      </c>
      <c r="L880" s="404">
        <v>365</v>
      </c>
      <c r="M880" s="404">
        <v>2901418</v>
      </c>
      <c r="N880" s="404">
        <v>20357720</v>
      </c>
      <c r="O880" s="404">
        <v>67466324.224243939</v>
      </c>
    </row>
    <row r="881" spans="2:15" s="154" customFormat="1" ht="27" outlineLevel="1">
      <c r="B881" s="165" t="s">
        <v>2335</v>
      </c>
      <c r="C881" s="165" t="s">
        <v>3626</v>
      </c>
      <c r="D881" s="165" t="s">
        <v>3628</v>
      </c>
      <c r="E881" s="403">
        <v>91782307.895670637</v>
      </c>
      <c r="F881" s="431">
        <v>87824044.224243939</v>
      </c>
      <c r="G881" s="404">
        <v>30</v>
      </c>
      <c r="H881" s="405">
        <v>52564</v>
      </c>
      <c r="I881" s="404">
        <v>10957</v>
      </c>
      <c r="J881" s="404">
        <v>10471</v>
      </c>
      <c r="K881" s="406">
        <v>83234928.829460412</v>
      </c>
      <c r="L881" s="404">
        <v>365</v>
      </c>
      <c r="M881" s="404">
        <v>2901418</v>
      </c>
      <c r="N881" s="404">
        <v>20357720</v>
      </c>
      <c r="O881" s="404">
        <v>67466324.224243939</v>
      </c>
    </row>
    <row r="882" spans="2:15" s="154" customFormat="1" ht="27" outlineLevel="1">
      <c r="B882" s="165" t="s">
        <v>2335</v>
      </c>
      <c r="C882" s="165" t="s">
        <v>3626</v>
      </c>
      <c r="D882" s="165" t="s">
        <v>3629</v>
      </c>
      <c r="E882" s="403">
        <v>78670549.910574839</v>
      </c>
      <c r="F882" s="431">
        <v>75277752.477923393</v>
      </c>
      <c r="G882" s="404">
        <v>30</v>
      </c>
      <c r="H882" s="405">
        <v>52564</v>
      </c>
      <c r="I882" s="404">
        <v>10957</v>
      </c>
      <c r="J882" s="404">
        <v>10471</v>
      </c>
      <c r="K882" s="406">
        <v>71344224.982394651</v>
      </c>
      <c r="L882" s="404">
        <v>365</v>
      </c>
      <c r="M882" s="404">
        <v>2486930</v>
      </c>
      <c r="N882" s="404">
        <v>17449475</v>
      </c>
      <c r="O882" s="404">
        <v>57828277.477923393</v>
      </c>
    </row>
    <row r="883" spans="2:15" s="154" customFormat="1" outlineLevel="1">
      <c r="B883" s="165"/>
      <c r="C883" s="165"/>
      <c r="D883" s="165"/>
      <c r="E883" s="403"/>
      <c r="F883" s="432"/>
      <c r="G883" s="404"/>
      <c r="H883" s="405"/>
      <c r="I883" s="404"/>
      <c r="J883" s="404"/>
      <c r="K883" s="404"/>
      <c r="L883" s="404"/>
      <c r="M883" s="404"/>
      <c r="N883" s="404"/>
      <c r="O883" s="404"/>
    </row>
    <row r="884" spans="2:15" s="154" customFormat="1" ht="27" outlineLevel="1">
      <c r="B884" s="165" t="s">
        <v>2335</v>
      </c>
      <c r="C884" s="165" t="s">
        <v>3630</v>
      </c>
      <c r="D884" s="165" t="s">
        <v>3631</v>
      </c>
      <c r="E884" s="403">
        <v>66077619.901731566</v>
      </c>
      <c r="F884" s="431">
        <v>63227913.362209171</v>
      </c>
      <c r="G884" s="404">
        <v>40</v>
      </c>
      <c r="H884" s="405">
        <v>56217</v>
      </c>
      <c r="I884" s="404">
        <v>14610</v>
      </c>
      <c r="J884" s="404">
        <v>14124</v>
      </c>
      <c r="K884" s="406">
        <v>59924032.367122591</v>
      </c>
      <c r="L884" s="404">
        <v>365</v>
      </c>
      <c r="M884" s="404">
        <v>1548589</v>
      </c>
      <c r="N884" s="404">
        <v>10865633</v>
      </c>
      <c r="O884" s="404">
        <v>52362280.362209171</v>
      </c>
    </row>
    <row r="885" spans="2:15" s="154" customFormat="1" ht="27" outlineLevel="1">
      <c r="B885" s="165" t="s">
        <v>2335</v>
      </c>
      <c r="C885" s="165" t="s">
        <v>3630</v>
      </c>
      <c r="D885" s="165" t="s">
        <v>3632</v>
      </c>
      <c r="E885" s="403">
        <v>79293144.282077879</v>
      </c>
      <c r="F885" s="431">
        <v>75873496.434651002</v>
      </c>
      <c r="G885" s="404">
        <v>40</v>
      </c>
      <c r="H885" s="405">
        <v>56217</v>
      </c>
      <c r="I885" s="404">
        <v>14610</v>
      </c>
      <c r="J885" s="404">
        <v>14124</v>
      </c>
      <c r="K885" s="406">
        <v>71908839.22054711</v>
      </c>
      <c r="L885" s="404">
        <v>365</v>
      </c>
      <c r="M885" s="404">
        <v>1858307</v>
      </c>
      <c r="N885" s="404">
        <v>13038760</v>
      </c>
      <c r="O885" s="404">
        <v>62834736.434651002</v>
      </c>
    </row>
    <row r="886" spans="2:15" s="154" customFormat="1" ht="27" outlineLevel="1">
      <c r="B886" s="165" t="s">
        <v>2335</v>
      </c>
      <c r="C886" s="165" t="s">
        <v>3630</v>
      </c>
      <c r="D886" s="165" t="s">
        <v>3633</v>
      </c>
      <c r="E886" s="403">
        <v>79293144.282077879</v>
      </c>
      <c r="F886" s="431">
        <v>75873496.434651002</v>
      </c>
      <c r="G886" s="404">
        <v>40</v>
      </c>
      <c r="H886" s="405">
        <v>56217</v>
      </c>
      <c r="I886" s="404">
        <v>14610</v>
      </c>
      <c r="J886" s="404">
        <v>14124</v>
      </c>
      <c r="K886" s="406">
        <v>71908839.22054711</v>
      </c>
      <c r="L886" s="404">
        <v>365</v>
      </c>
      <c r="M886" s="404">
        <v>1858307</v>
      </c>
      <c r="N886" s="404">
        <v>13038760</v>
      </c>
      <c r="O886" s="404">
        <v>62834736.434651002</v>
      </c>
    </row>
    <row r="887" spans="2:15" s="154" customFormat="1" ht="27" outlineLevel="1">
      <c r="B887" s="165" t="s">
        <v>2335</v>
      </c>
      <c r="C887" s="165" t="s">
        <v>3630</v>
      </c>
      <c r="D887" s="165" t="s">
        <v>3634</v>
      </c>
      <c r="E887" s="403">
        <v>39646572.141038939</v>
      </c>
      <c r="F887" s="431">
        <v>37936748.217325501</v>
      </c>
      <c r="G887" s="404">
        <v>40</v>
      </c>
      <c r="H887" s="405">
        <v>56217</v>
      </c>
      <c r="I887" s="404">
        <v>14610</v>
      </c>
      <c r="J887" s="404">
        <v>14124</v>
      </c>
      <c r="K887" s="406">
        <v>35954419.610273555</v>
      </c>
      <c r="L887" s="404">
        <v>365</v>
      </c>
      <c r="M887" s="404">
        <v>929153</v>
      </c>
      <c r="N887" s="404">
        <v>6519377</v>
      </c>
      <c r="O887" s="404">
        <v>31417371.217325501</v>
      </c>
    </row>
    <row r="888" spans="2:15" s="154" customFormat="1" outlineLevel="1">
      <c r="B888" s="165"/>
      <c r="C888" s="165"/>
      <c r="D888" s="165"/>
      <c r="E888" s="403"/>
      <c r="F888" s="432"/>
      <c r="G888" s="404"/>
      <c r="H888" s="405"/>
      <c r="I888" s="404"/>
      <c r="J888" s="404"/>
      <c r="K888" s="404"/>
      <c r="L888" s="404"/>
      <c r="M888" s="404"/>
      <c r="N888" s="404"/>
      <c r="O888" s="404"/>
    </row>
    <row r="889" spans="2:15" s="154" customFormat="1" outlineLevel="1">
      <c r="B889" s="165" t="s">
        <v>2335</v>
      </c>
      <c r="C889" s="165" t="s">
        <v>2968</v>
      </c>
      <c r="D889" s="165" t="s">
        <v>3635</v>
      </c>
      <c r="E889" s="403">
        <v>399532633.48983514</v>
      </c>
      <c r="F889" s="431">
        <v>382302128.54305565</v>
      </c>
      <c r="G889" s="404">
        <v>40</v>
      </c>
      <c r="H889" s="405">
        <v>56217</v>
      </c>
      <c r="I889" s="404">
        <v>14610</v>
      </c>
      <c r="J889" s="404">
        <v>14124</v>
      </c>
      <c r="K889" s="406">
        <v>362325496.86856389</v>
      </c>
      <c r="L889" s="404">
        <v>365</v>
      </c>
      <c r="M889" s="404">
        <v>9363410</v>
      </c>
      <c r="N889" s="404">
        <v>65698109</v>
      </c>
      <c r="O889" s="404">
        <v>316604019.54305565</v>
      </c>
    </row>
    <row r="890" spans="2:15" s="154" customFormat="1" outlineLevel="1">
      <c r="B890" s="165" t="s">
        <v>2335</v>
      </c>
      <c r="C890" s="165" t="s">
        <v>2968</v>
      </c>
      <c r="D890" s="165" t="s">
        <v>3636</v>
      </c>
      <c r="E890" s="403">
        <v>388489167.43000889</v>
      </c>
      <c r="F890" s="431">
        <v>371734930.18186677</v>
      </c>
      <c r="G890" s="404">
        <v>40</v>
      </c>
      <c r="H890" s="405">
        <v>56217</v>
      </c>
      <c r="I890" s="404">
        <v>14610</v>
      </c>
      <c r="J890" s="404">
        <v>14124</v>
      </c>
      <c r="K890" s="406">
        <v>352310471.81036633</v>
      </c>
      <c r="L890" s="404">
        <v>365</v>
      </c>
      <c r="M890" s="404">
        <v>9104597</v>
      </c>
      <c r="N890" s="404">
        <v>63882155</v>
      </c>
      <c r="O890" s="404">
        <v>307852775.18186677</v>
      </c>
    </row>
    <row r="891" spans="2:15" s="154" customFormat="1" outlineLevel="1">
      <c r="B891" s="165" t="s">
        <v>2335</v>
      </c>
      <c r="C891" s="165" t="s">
        <v>2968</v>
      </c>
      <c r="D891" s="165" t="s">
        <v>3637</v>
      </c>
      <c r="E891" s="403">
        <v>618532.52542399871</v>
      </c>
      <c r="F891" s="431">
        <v>591857.2681008908</v>
      </c>
      <c r="G891" s="404">
        <v>40</v>
      </c>
      <c r="H891" s="405">
        <v>56217</v>
      </c>
      <c r="I891" s="404">
        <v>14610</v>
      </c>
      <c r="J891" s="404">
        <v>14124</v>
      </c>
      <c r="K891" s="406">
        <v>560930.6418296909</v>
      </c>
      <c r="L891" s="404">
        <v>365</v>
      </c>
      <c r="M891" s="404">
        <v>14496</v>
      </c>
      <c r="N891" s="404">
        <v>101711</v>
      </c>
      <c r="O891" s="404">
        <v>490146.2681008908</v>
      </c>
    </row>
    <row r="892" spans="2:15" s="154" customFormat="1" outlineLevel="1">
      <c r="B892" s="165" t="s">
        <v>2335</v>
      </c>
      <c r="C892" s="165" t="s">
        <v>2968</v>
      </c>
      <c r="D892" s="165" t="s">
        <v>3638</v>
      </c>
      <c r="E892" s="403">
        <v>19777.787350637045</v>
      </c>
      <c r="F892" s="431">
        <v>18924.821930816877</v>
      </c>
      <c r="G892" s="404">
        <v>40</v>
      </c>
      <c r="H892" s="405">
        <v>56217</v>
      </c>
      <c r="I892" s="404">
        <v>14610</v>
      </c>
      <c r="J892" s="404">
        <v>14124</v>
      </c>
      <c r="K892" s="406">
        <v>17935.932563285023</v>
      </c>
      <c r="L892" s="404">
        <v>365</v>
      </c>
      <c r="M892" s="404">
        <v>464</v>
      </c>
      <c r="N892" s="404">
        <v>3255</v>
      </c>
      <c r="O892" s="404">
        <v>15669.821930816877</v>
      </c>
    </row>
    <row r="893" spans="2:15" s="154" customFormat="1" outlineLevel="1">
      <c r="B893" s="165"/>
      <c r="C893" s="165"/>
      <c r="D893" s="165"/>
      <c r="E893" s="403"/>
      <c r="F893" s="432"/>
      <c r="G893" s="404"/>
      <c r="H893" s="405"/>
      <c r="I893" s="404"/>
      <c r="J893" s="404"/>
      <c r="K893" s="406"/>
      <c r="L893" s="404"/>
      <c r="M893" s="404"/>
      <c r="N893" s="404"/>
      <c r="O893" s="404"/>
    </row>
    <row r="894" spans="2:15" s="154" customFormat="1" ht="27" outlineLevel="1">
      <c r="B894" s="165" t="s">
        <v>2335</v>
      </c>
      <c r="C894" s="165" t="s">
        <v>3623</v>
      </c>
      <c r="D894" s="165" t="s">
        <v>3624</v>
      </c>
      <c r="E894" s="403">
        <v>268288651.90093803</v>
      </c>
      <c r="F894" s="431">
        <v>268265388.63099316</v>
      </c>
      <c r="G894" s="404">
        <v>10</v>
      </c>
      <c r="H894" s="405">
        <v>45746</v>
      </c>
      <c r="I894" s="404">
        <v>3653</v>
      </c>
      <c r="J894" s="404">
        <v>3652</v>
      </c>
      <c r="K894" s="406">
        <v>254850956.03594625</v>
      </c>
      <c r="L894" s="404">
        <v>365</v>
      </c>
      <c r="M894" s="404">
        <v>25471139</v>
      </c>
      <c r="N894" s="404">
        <v>161411053</v>
      </c>
      <c r="O894" s="404">
        <v>106854335.63099316</v>
      </c>
    </row>
    <row r="895" spans="2:15" s="154" customFormat="1" ht="27" outlineLevel="1">
      <c r="B895" s="165" t="s">
        <v>2335</v>
      </c>
      <c r="C895" s="165" t="s">
        <v>3623</v>
      </c>
      <c r="D895" s="165" t="s">
        <v>3624</v>
      </c>
      <c r="E895" s="403">
        <v>268288651.90093803</v>
      </c>
      <c r="F895" s="431">
        <v>268265388.63099316</v>
      </c>
      <c r="G895" s="404">
        <v>10</v>
      </c>
      <c r="H895" s="405">
        <v>45746</v>
      </c>
      <c r="I895" s="404">
        <v>3653</v>
      </c>
      <c r="J895" s="404">
        <v>3652</v>
      </c>
      <c r="K895" s="406">
        <v>254850956.03594625</v>
      </c>
      <c r="L895" s="404">
        <v>365</v>
      </c>
      <c r="M895" s="404">
        <v>25471139</v>
      </c>
      <c r="N895" s="404">
        <v>161411053</v>
      </c>
      <c r="O895" s="404">
        <v>106854335.63099316</v>
      </c>
    </row>
    <row r="896" spans="2:15" s="154" customFormat="1" outlineLevel="1">
      <c r="B896" s="165" t="s">
        <v>2335</v>
      </c>
      <c r="C896" s="165" t="s">
        <v>3623</v>
      </c>
      <c r="D896" s="165" t="s">
        <v>3625</v>
      </c>
      <c r="E896" s="403">
        <v>664788845.77318692</v>
      </c>
      <c r="F896" s="431">
        <v>664731202.0291748</v>
      </c>
      <c r="G896" s="404">
        <v>10</v>
      </c>
      <c r="H896" s="405">
        <v>45746</v>
      </c>
      <c r="I896" s="404">
        <v>3653</v>
      </c>
      <c r="J896" s="404">
        <v>3652</v>
      </c>
      <c r="K896" s="406">
        <v>631491759.74051547</v>
      </c>
      <c r="L896" s="404">
        <v>365</v>
      </c>
      <c r="M896" s="404">
        <v>63114593</v>
      </c>
      <c r="N896" s="404">
        <v>399958279</v>
      </c>
      <c r="O896" s="404">
        <v>264772923.0291748</v>
      </c>
    </row>
    <row r="897" spans="2:15" s="154" customFormat="1" ht="40.5" outlineLevel="1">
      <c r="B897" s="165" t="s">
        <v>2335</v>
      </c>
      <c r="C897" s="165" t="s">
        <v>3626</v>
      </c>
      <c r="D897" s="165" t="s">
        <v>3627</v>
      </c>
      <c r="E897" s="403">
        <v>187802056.66889644</v>
      </c>
      <c r="F897" s="431">
        <v>187785772.37994906</v>
      </c>
      <c r="G897" s="404">
        <v>10</v>
      </c>
      <c r="H897" s="405">
        <v>45746</v>
      </c>
      <c r="I897" s="404">
        <v>3653</v>
      </c>
      <c r="J897" s="404">
        <v>3652</v>
      </c>
      <c r="K897" s="406">
        <v>178395669.54650423</v>
      </c>
      <c r="L897" s="404">
        <v>365</v>
      </c>
      <c r="M897" s="404">
        <v>17829797</v>
      </c>
      <c r="N897" s="404">
        <v>112987736</v>
      </c>
      <c r="O897" s="404">
        <v>74798036.379949063</v>
      </c>
    </row>
    <row r="898" spans="2:15" s="154" customFormat="1" ht="27" outlineLevel="1">
      <c r="B898" s="165" t="s">
        <v>2335</v>
      </c>
      <c r="C898" s="165" t="s">
        <v>3626</v>
      </c>
      <c r="D898" s="165" t="s">
        <v>3628</v>
      </c>
      <c r="E898" s="403">
        <v>187802056.66889644</v>
      </c>
      <c r="F898" s="431">
        <v>187785772.37994906</v>
      </c>
      <c r="G898" s="404">
        <v>10</v>
      </c>
      <c r="H898" s="405">
        <v>45746</v>
      </c>
      <c r="I898" s="404">
        <v>3653</v>
      </c>
      <c r="J898" s="404">
        <v>3652</v>
      </c>
      <c r="K898" s="406">
        <v>178395669.54650423</v>
      </c>
      <c r="L898" s="404">
        <v>365</v>
      </c>
      <c r="M898" s="404">
        <v>17829797</v>
      </c>
      <c r="N898" s="404">
        <v>112987736</v>
      </c>
      <c r="O898" s="404">
        <v>74798036.379949063</v>
      </c>
    </row>
    <row r="899" spans="2:15" s="154" customFormat="1" ht="27" outlineLevel="1">
      <c r="B899" s="165" t="s">
        <v>2335</v>
      </c>
      <c r="C899" s="165" t="s">
        <v>3626</v>
      </c>
      <c r="D899" s="165" t="s">
        <v>3629</v>
      </c>
      <c r="E899" s="403">
        <v>160973191.00191122</v>
      </c>
      <c r="F899" s="431">
        <v>160959233.03995633</v>
      </c>
      <c r="G899" s="404">
        <v>10</v>
      </c>
      <c r="H899" s="405">
        <v>45746</v>
      </c>
      <c r="I899" s="404">
        <v>3653</v>
      </c>
      <c r="J899" s="404">
        <v>3652</v>
      </c>
      <c r="K899" s="406">
        <v>152910573.48986077</v>
      </c>
      <c r="L899" s="404">
        <v>365</v>
      </c>
      <c r="M899" s="404">
        <v>15282683</v>
      </c>
      <c r="N899" s="404">
        <v>96846630</v>
      </c>
      <c r="O899" s="404">
        <v>64112603.039956331</v>
      </c>
    </row>
    <row r="900" spans="2:15" s="154" customFormat="1" ht="27" outlineLevel="1">
      <c r="B900" s="165" t="s">
        <v>2335</v>
      </c>
      <c r="C900" s="165" t="s">
        <v>3630</v>
      </c>
      <c r="D900" s="165" t="s">
        <v>3631</v>
      </c>
      <c r="E900" s="403">
        <v>135205936.40617195</v>
      </c>
      <c r="F900" s="431">
        <v>135194212.71908161</v>
      </c>
      <c r="G900" s="404">
        <v>10</v>
      </c>
      <c r="H900" s="405">
        <v>45746</v>
      </c>
      <c r="I900" s="404">
        <v>3653</v>
      </c>
      <c r="J900" s="404">
        <v>3652</v>
      </c>
      <c r="K900" s="406">
        <v>128433915.89877301</v>
      </c>
      <c r="L900" s="404">
        <v>365</v>
      </c>
      <c r="M900" s="404">
        <v>12836358</v>
      </c>
      <c r="N900" s="404">
        <v>80271571</v>
      </c>
      <c r="O900" s="404">
        <v>54922641.71908161</v>
      </c>
    </row>
    <row r="901" spans="2:15" s="154" customFormat="1" ht="27" outlineLevel="1">
      <c r="B901" s="165" t="s">
        <v>2335</v>
      </c>
      <c r="C901" s="165" t="s">
        <v>3630</v>
      </c>
      <c r="D901" s="165" t="s">
        <v>3632</v>
      </c>
      <c r="E901" s="403">
        <v>162247124.48740634</v>
      </c>
      <c r="F901" s="431">
        <v>162233056.06289795</v>
      </c>
      <c r="G901" s="404">
        <v>10</v>
      </c>
      <c r="H901" s="405">
        <v>45746</v>
      </c>
      <c r="I901" s="404">
        <v>3653</v>
      </c>
      <c r="J901" s="404">
        <v>3652</v>
      </c>
      <c r="K901" s="406">
        <v>154120699.83852762</v>
      </c>
      <c r="L901" s="404">
        <v>365</v>
      </c>
      <c r="M901" s="404">
        <v>15403630</v>
      </c>
      <c r="N901" s="404">
        <v>96325887</v>
      </c>
      <c r="O901" s="404">
        <v>65907169.06289795</v>
      </c>
    </row>
    <row r="902" spans="2:15" s="154" customFormat="1" ht="27" outlineLevel="1">
      <c r="B902" s="165" t="s">
        <v>2335</v>
      </c>
      <c r="C902" s="165" t="s">
        <v>3630</v>
      </c>
      <c r="D902" s="165" t="s">
        <v>3633</v>
      </c>
      <c r="E902" s="403">
        <v>162247124.48740634</v>
      </c>
      <c r="F902" s="431">
        <v>162233056.06289795</v>
      </c>
      <c r="G902" s="404">
        <v>10</v>
      </c>
      <c r="H902" s="405">
        <v>45746</v>
      </c>
      <c r="I902" s="404">
        <v>3653</v>
      </c>
      <c r="J902" s="404">
        <v>3652</v>
      </c>
      <c r="K902" s="406">
        <v>154120699.83852762</v>
      </c>
      <c r="L902" s="404">
        <v>365</v>
      </c>
      <c r="M902" s="404">
        <v>15403630</v>
      </c>
      <c r="N902" s="404">
        <v>96325887</v>
      </c>
      <c r="O902" s="404">
        <v>65907169.06289795</v>
      </c>
    </row>
    <row r="903" spans="2:15" s="154" customFormat="1" ht="27" outlineLevel="1">
      <c r="B903" s="165" t="s">
        <v>2335</v>
      </c>
      <c r="C903" s="165" t="s">
        <v>3630</v>
      </c>
      <c r="D903" s="165" t="s">
        <v>3634</v>
      </c>
      <c r="E903" s="403">
        <v>81123562.243703172</v>
      </c>
      <c r="F903" s="431">
        <v>81116528.031448975</v>
      </c>
      <c r="G903" s="404">
        <v>10</v>
      </c>
      <c r="H903" s="405">
        <v>45746</v>
      </c>
      <c r="I903" s="404">
        <v>3653</v>
      </c>
      <c r="J903" s="404">
        <v>3652</v>
      </c>
      <c r="K903" s="406">
        <v>77060349.91926381</v>
      </c>
      <c r="L903" s="404">
        <v>365</v>
      </c>
      <c r="M903" s="404">
        <v>7701815</v>
      </c>
      <c r="N903" s="404">
        <v>48162944</v>
      </c>
      <c r="O903" s="404">
        <v>32953584.031448975</v>
      </c>
    </row>
    <row r="904" spans="2:15" s="154" customFormat="1" outlineLevel="1">
      <c r="B904" s="165"/>
      <c r="C904" s="165"/>
      <c r="D904" s="165"/>
      <c r="E904" s="403"/>
      <c r="F904" s="432"/>
      <c r="G904" s="404"/>
      <c r="H904" s="405"/>
      <c r="I904" s="404"/>
      <c r="J904" s="404"/>
      <c r="K904" s="406"/>
      <c r="L904" s="404"/>
      <c r="M904" s="404"/>
      <c r="N904" s="404"/>
      <c r="O904" s="404"/>
    </row>
    <row r="905" spans="2:15" s="154" customFormat="1" outlineLevel="1">
      <c r="B905" s="165"/>
      <c r="C905" s="165"/>
      <c r="D905" s="165"/>
      <c r="E905" s="2"/>
      <c r="F905" s="432"/>
      <c r="G905" s="404"/>
      <c r="H905" s="405"/>
      <c r="I905" s="404"/>
      <c r="J905" s="404"/>
      <c r="K905" s="404"/>
      <c r="L905" s="404"/>
      <c r="M905" s="404"/>
      <c r="N905" s="404"/>
      <c r="O905" s="404"/>
    </row>
    <row r="906" spans="2:15" s="154" customFormat="1" ht="14.25">
      <c r="B906" s="411" t="s">
        <v>1837</v>
      </c>
      <c r="C906" s="165"/>
      <c r="D906" s="165"/>
      <c r="E906" s="412">
        <v>5671043994.2311811</v>
      </c>
      <c r="F906" s="433">
        <f>SUBTOTAL(9,F866:F905)</f>
        <v>5524548861.0294685</v>
      </c>
      <c r="G906" s="404"/>
      <c r="H906" s="405"/>
      <c r="I906" s="404"/>
      <c r="J906" s="404"/>
      <c r="K906" s="404"/>
      <c r="L906" s="404"/>
      <c r="M906" s="413">
        <f t="shared" ref="M906:O906" si="12">SUBTOTAL(9,M866:M905)</f>
        <v>310580144</v>
      </c>
      <c r="N906" s="413">
        <f t="shared" si="12"/>
        <v>2027890019</v>
      </c>
      <c r="O906" s="413">
        <f t="shared" si="12"/>
        <v>3496658842.0294695</v>
      </c>
    </row>
    <row r="907" spans="2:15" s="154" customFormat="1" ht="14.25">
      <c r="B907" s="411" t="s">
        <v>2417</v>
      </c>
      <c r="C907" s="165"/>
      <c r="D907" s="165"/>
      <c r="E907" s="412"/>
      <c r="F907" s="434"/>
      <c r="G907" s="404"/>
      <c r="H907" s="405"/>
      <c r="I907" s="404"/>
      <c r="J907" s="404"/>
      <c r="K907" s="404"/>
      <c r="L907" s="404"/>
      <c r="M907" s="413"/>
      <c r="N907" s="413"/>
      <c r="O907" s="413"/>
    </row>
    <row r="908" spans="2:15" s="154" customFormat="1">
      <c r="B908" s="165" t="s">
        <v>2417</v>
      </c>
      <c r="C908" s="165"/>
      <c r="D908" s="165"/>
      <c r="E908" s="403">
        <v>-17875987.415413599</v>
      </c>
      <c r="F908" s="431">
        <v>-17241039.481139459</v>
      </c>
      <c r="G908" s="404">
        <v>30</v>
      </c>
      <c r="H908" s="405">
        <v>52564</v>
      </c>
      <c r="I908" s="404">
        <v>10957</v>
      </c>
      <c r="J908" s="404">
        <v>10592</v>
      </c>
      <c r="K908" s="403">
        <v>-16347240.110368779</v>
      </c>
      <c r="L908" s="404">
        <v>365</v>
      </c>
      <c r="M908" s="403">
        <v>-563325</v>
      </c>
      <c r="N908" s="403">
        <v>-3946363</v>
      </c>
      <c r="O908" s="403">
        <v>-13294676.481139459</v>
      </c>
    </row>
    <row r="909" spans="2:15" s="154" customFormat="1" ht="27">
      <c r="B909" s="165" t="s">
        <v>2801</v>
      </c>
      <c r="C909" s="165"/>
      <c r="D909" s="165"/>
      <c r="E909" s="403">
        <v>5015866.6769727301</v>
      </c>
      <c r="F909" s="431">
        <v>4932100.6769727301</v>
      </c>
      <c r="G909" s="404">
        <v>30</v>
      </c>
      <c r="H909" s="405">
        <v>52564</v>
      </c>
      <c r="I909" s="404">
        <v>10653</v>
      </c>
      <c r="J909" s="404">
        <v>10470</v>
      </c>
      <c r="K909" s="406">
        <v>4681307.3431240935</v>
      </c>
      <c r="L909" s="404">
        <v>365</v>
      </c>
      <c r="M909" s="403">
        <v>163197</v>
      </c>
      <c r="N909" s="403">
        <v>1143275</v>
      </c>
      <c r="O909" s="403">
        <v>3788825.6769727301</v>
      </c>
    </row>
    <row r="910" spans="2:15" s="154" customFormat="1">
      <c r="B910" s="165" t="s">
        <v>2607</v>
      </c>
      <c r="C910" s="165"/>
      <c r="D910" s="165"/>
      <c r="E910" s="403">
        <v>4189816.9177351296</v>
      </c>
      <c r="F910" s="431">
        <v>4155022.9177351296</v>
      </c>
      <c r="G910" s="404">
        <v>30</v>
      </c>
      <c r="H910" s="405">
        <v>52564</v>
      </c>
      <c r="I910" s="404">
        <v>10561</v>
      </c>
      <c r="J910" s="404">
        <v>10470</v>
      </c>
      <c r="K910" s="406">
        <v>3945532.0718483729</v>
      </c>
      <c r="L910" s="404">
        <v>365</v>
      </c>
      <c r="M910" s="403">
        <v>137547</v>
      </c>
      <c r="N910" s="403">
        <v>963583</v>
      </c>
      <c r="O910" s="403">
        <v>3191439.9177351296</v>
      </c>
    </row>
    <row r="911" spans="2:15" s="154" customFormat="1">
      <c r="B911" s="165" t="s">
        <v>2804</v>
      </c>
      <c r="C911" s="165"/>
      <c r="D911" s="165"/>
      <c r="E911" s="403">
        <v>-1977056</v>
      </c>
      <c r="F911" s="431">
        <v>-1976876</v>
      </c>
      <c r="G911" s="404">
        <v>30</v>
      </c>
      <c r="H911" s="405">
        <v>52564</v>
      </c>
      <c r="I911" s="404">
        <v>10471</v>
      </c>
      <c r="J911" s="404">
        <v>10470</v>
      </c>
      <c r="K911" s="403">
        <v>-1878023.2</v>
      </c>
      <c r="L911" s="404">
        <v>365</v>
      </c>
      <c r="M911" s="403">
        <v>-65471</v>
      </c>
      <c r="N911" s="403">
        <v>-458655</v>
      </c>
      <c r="O911" s="403">
        <v>-1518221</v>
      </c>
    </row>
    <row r="912" spans="2:15" s="154" customFormat="1">
      <c r="B912" s="165" t="s">
        <v>2949</v>
      </c>
      <c r="C912" s="165"/>
      <c r="D912" s="165"/>
      <c r="E912" s="403">
        <v>3170205</v>
      </c>
      <c r="F912" s="431">
        <v>3170205</v>
      </c>
      <c r="G912" s="404">
        <v>30</v>
      </c>
      <c r="H912" s="405">
        <v>52564</v>
      </c>
      <c r="I912" s="404">
        <v>10380</v>
      </c>
      <c r="J912" s="404">
        <v>10380</v>
      </c>
      <c r="K912" s="406">
        <v>3011694.75</v>
      </c>
      <c r="L912" s="404">
        <v>365</v>
      </c>
      <c r="M912" s="403">
        <v>105903</v>
      </c>
      <c r="N912" s="403">
        <v>715498</v>
      </c>
      <c r="O912" s="403">
        <v>2454707</v>
      </c>
    </row>
    <row r="913" spans="2:15" s="154" customFormat="1">
      <c r="B913" s="165" t="s">
        <v>2985</v>
      </c>
      <c r="C913" s="165"/>
      <c r="D913" s="165"/>
      <c r="E913" s="403">
        <v>7432836</v>
      </c>
      <c r="F913" s="431">
        <v>7432836</v>
      </c>
      <c r="G913" s="404">
        <v>30</v>
      </c>
      <c r="H913" s="405">
        <v>52564</v>
      </c>
      <c r="I913" s="404">
        <v>10288</v>
      </c>
      <c r="J913" s="404">
        <v>10288</v>
      </c>
      <c r="K913" s="406">
        <v>7061194.2000000002</v>
      </c>
      <c r="L913" s="404">
        <v>365</v>
      </c>
      <c r="M913" s="403">
        <v>250519</v>
      </c>
      <c r="N913" s="403">
        <v>1629403</v>
      </c>
      <c r="O913" s="403">
        <v>5803433</v>
      </c>
    </row>
    <row r="914" spans="2:15" s="154" customFormat="1">
      <c r="B914" s="165" t="s">
        <v>3004</v>
      </c>
      <c r="C914" s="165"/>
      <c r="D914" s="165"/>
      <c r="E914" s="403">
        <v>-35504</v>
      </c>
      <c r="F914" s="431">
        <v>-35504</v>
      </c>
      <c r="G914" s="404">
        <v>30</v>
      </c>
      <c r="H914" s="405">
        <v>52564</v>
      </c>
      <c r="I914" s="404">
        <v>10196</v>
      </c>
      <c r="J914" s="404">
        <v>10196</v>
      </c>
      <c r="K914" s="403">
        <v>-33728.800000000003</v>
      </c>
      <c r="L914" s="404">
        <v>365</v>
      </c>
      <c r="M914" s="403">
        <v>-1207</v>
      </c>
      <c r="N914" s="403">
        <v>-7547</v>
      </c>
      <c r="O914" s="403">
        <v>-27957</v>
      </c>
    </row>
    <row r="915" spans="2:15" s="154" customFormat="1">
      <c r="B915" s="165" t="s">
        <v>3004</v>
      </c>
      <c r="C915" s="165"/>
      <c r="D915" s="165"/>
      <c r="E915" s="403">
        <v>-198205</v>
      </c>
      <c r="F915" s="431">
        <v>-198205</v>
      </c>
      <c r="G915" s="404">
        <v>30</v>
      </c>
      <c r="H915" s="405">
        <v>52564</v>
      </c>
      <c r="I915" s="404">
        <v>10105</v>
      </c>
      <c r="J915" s="404">
        <v>10105</v>
      </c>
      <c r="K915" s="403">
        <v>-188294.75</v>
      </c>
      <c r="L915" s="404">
        <v>365</v>
      </c>
      <c r="M915" s="403">
        <v>-6801</v>
      </c>
      <c r="N915" s="403">
        <v>-40825</v>
      </c>
      <c r="O915" s="403">
        <v>-157380</v>
      </c>
    </row>
    <row r="916" spans="2:15" s="154" customFormat="1">
      <c r="B916" s="165" t="s">
        <v>2949</v>
      </c>
      <c r="C916" s="165"/>
      <c r="D916" s="165"/>
      <c r="E916" s="403">
        <v>1647818</v>
      </c>
      <c r="F916" s="431">
        <v>1647818</v>
      </c>
      <c r="G916" s="404">
        <v>30</v>
      </c>
      <c r="H916" s="405">
        <v>52564</v>
      </c>
      <c r="I916" s="404">
        <v>10380</v>
      </c>
      <c r="J916" s="404">
        <v>10380</v>
      </c>
      <c r="K916" s="406">
        <v>1565427.1</v>
      </c>
      <c r="L916" s="404">
        <v>365</v>
      </c>
      <c r="M916" s="403">
        <v>55046</v>
      </c>
      <c r="N916" s="403">
        <v>371900</v>
      </c>
      <c r="O916" s="403">
        <v>1275918</v>
      </c>
    </row>
    <row r="917" spans="2:15" s="154" customFormat="1">
      <c r="B917" s="165" t="s">
        <v>2985</v>
      </c>
      <c r="C917" s="165"/>
      <c r="D917" s="165"/>
      <c r="E917" s="403">
        <v>2902809</v>
      </c>
      <c r="F917" s="431">
        <v>2902809</v>
      </c>
      <c r="G917" s="404">
        <v>30</v>
      </c>
      <c r="H917" s="405">
        <v>52564</v>
      </c>
      <c r="I917" s="404">
        <v>10288</v>
      </c>
      <c r="J917" s="404">
        <v>10288</v>
      </c>
      <c r="K917" s="406">
        <v>2757668.55</v>
      </c>
      <c r="L917" s="404">
        <v>365</v>
      </c>
      <c r="M917" s="403">
        <v>97837</v>
      </c>
      <c r="N917" s="403">
        <v>636343</v>
      </c>
      <c r="O917" s="403">
        <v>2266466</v>
      </c>
    </row>
    <row r="918" spans="2:15" s="154" customFormat="1">
      <c r="B918" s="165" t="s">
        <v>3004</v>
      </c>
      <c r="C918" s="165"/>
      <c r="D918" s="165"/>
      <c r="E918" s="403">
        <v>-67691</v>
      </c>
      <c r="F918" s="431">
        <v>-67691</v>
      </c>
      <c r="G918" s="404">
        <v>30</v>
      </c>
      <c r="H918" s="405">
        <v>52564</v>
      </c>
      <c r="I918" s="404">
        <v>10196</v>
      </c>
      <c r="J918" s="404">
        <v>10196</v>
      </c>
      <c r="K918" s="403">
        <v>-64306.45</v>
      </c>
      <c r="L918" s="404">
        <v>365</v>
      </c>
      <c r="M918" s="403">
        <v>-2302</v>
      </c>
      <c r="N918" s="403">
        <v>-14392</v>
      </c>
      <c r="O918" s="403">
        <v>-53299</v>
      </c>
    </row>
    <row r="919" spans="2:15" s="154" customFormat="1">
      <c r="B919" s="165" t="s">
        <v>3004</v>
      </c>
      <c r="C919" s="165"/>
      <c r="D919" s="165"/>
      <c r="E919" s="403">
        <v>134495</v>
      </c>
      <c r="F919" s="431">
        <v>134495</v>
      </c>
      <c r="G919" s="404">
        <v>30</v>
      </c>
      <c r="H919" s="405">
        <v>52564</v>
      </c>
      <c r="I919" s="404">
        <v>10105</v>
      </c>
      <c r="J919" s="404">
        <v>10105</v>
      </c>
      <c r="K919" s="406">
        <v>127770.25</v>
      </c>
      <c r="L919" s="404">
        <v>365</v>
      </c>
      <c r="M919" s="403">
        <v>4615</v>
      </c>
      <c r="N919" s="403">
        <v>27703</v>
      </c>
      <c r="O919" s="403">
        <v>106792</v>
      </c>
    </row>
    <row r="920" spans="2:15" s="154" customFormat="1">
      <c r="B920" s="165" t="s">
        <v>3900</v>
      </c>
      <c r="C920" s="165"/>
      <c r="D920" s="165"/>
      <c r="E920" s="403">
        <v>4559061</v>
      </c>
      <c r="F920" s="431">
        <v>4559061</v>
      </c>
      <c r="G920" s="404">
        <v>30</v>
      </c>
      <c r="H920" s="405">
        <v>52564</v>
      </c>
      <c r="I920" s="404">
        <v>10014</v>
      </c>
      <c r="J920" s="404">
        <v>10014</v>
      </c>
      <c r="K920" s="406">
        <v>4331107.95</v>
      </c>
      <c r="L920" s="404">
        <v>365</v>
      </c>
      <c r="M920" s="403">
        <v>157864</v>
      </c>
      <c r="N920" s="403">
        <v>908259</v>
      </c>
      <c r="O920" s="403">
        <v>3650802</v>
      </c>
    </row>
    <row r="921" spans="2:15" s="154" customFormat="1">
      <c r="B921" s="165" t="s">
        <v>3916</v>
      </c>
      <c r="C921" s="165"/>
      <c r="D921" s="165"/>
      <c r="E921" s="403">
        <v>-2091100</v>
      </c>
      <c r="F921" s="431">
        <v>-2091100</v>
      </c>
      <c r="G921" s="404">
        <v>30</v>
      </c>
      <c r="H921" s="405">
        <v>52564</v>
      </c>
      <c r="I921" s="404">
        <v>9922</v>
      </c>
      <c r="J921" s="404">
        <v>9922</v>
      </c>
      <c r="K921" s="403">
        <v>-1986545</v>
      </c>
      <c r="L921" s="404">
        <v>365</v>
      </c>
      <c r="M921" s="403">
        <v>-73079</v>
      </c>
      <c r="N921" s="403">
        <v>-402034</v>
      </c>
      <c r="O921" s="403">
        <v>-1689066</v>
      </c>
    </row>
    <row r="922" spans="2:15" s="154" customFormat="1">
      <c r="B922" s="165" t="s">
        <v>3919</v>
      </c>
      <c r="C922" s="165"/>
      <c r="D922" s="165"/>
      <c r="E922" s="403">
        <v>3145160</v>
      </c>
      <c r="F922" s="431">
        <v>3145160</v>
      </c>
      <c r="G922" s="404">
        <v>30</v>
      </c>
      <c r="H922" s="405">
        <v>52564</v>
      </c>
      <c r="I922" s="404">
        <v>9830</v>
      </c>
      <c r="J922" s="404">
        <v>9830</v>
      </c>
      <c r="K922" s="403">
        <v>2987902</v>
      </c>
      <c r="L922" s="404">
        <v>365</v>
      </c>
      <c r="M922" s="403">
        <v>110944</v>
      </c>
      <c r="N922" s="403">
        <v>582380</v>
      </c>
      <c r="O922" s="403">
        <v>2562780</v>
      </c>
    </row>
    <row r="923" spans="2:15" s="154" customFormat="1">
      <c r="B923" s="165" t="s">
        <v>4047</v>
      </c>
      <c r="C923" s="165"/>
      <c r="D923" s="165"/>
      <c r="E923" s="403">
        <v>-5719461</v>
      </c>
      <c r="F923" s="431">
        <v>-5719461</v>
      </c>
      <c r="G923" s="404">
        <v>30</v>
      </c>
      <c r="H923" s="405">
        <v>52564</v>
      </c>
      <c r="I923" s="404">
        <v>9740</v>
      </c>
      <c r="J923" s="404">
        <v>9740</v>
      </c>
      <c r="K923" s="403">
        <v>-5433487.9500000002</v>
      </c>
      <c r="L923" s="404">
        <v>365</v>
      </c>
      <c r="M923" s="403">
        <v>-203616</v>
      </c>
      <c r="N923" s="403">
        <v>-1018638</v>
      </c>
      <c r="O923" s="403">
        <v>-4700823</v>
      </c>
    </row>
    <row r="924" spans="2:15" s="154" customFormat="1">
      <c r="B924" s="165" t="s">
        <v>4072</v>
      </c>
      <c r="C924" s="165"/>
      <c r="D924" s="165"/>
      <c r="E924" s="403">
        <v>-35522</v>
      </c>
      <c r="F924" s="431">
        <v>-35522</v>
      </c>
      <c r="G924" s="404">
        <v>30</v>
      </c>
      <c r="H924" s="405">
        <v>52564</v>
      </c>
      <c r="I924" s="404">
        <v>9649</v>
      </c>
      <c r="J924" s="404">
        <v>9649</v>
      </c>
      <c r="K924" s="403">
        <v>-33745.9</v>
      </c>
      <c r="L924" s="404">
        <v>365</v>
      </c>
      <c r="M924" s="403">
        <v>-1277</v>
      </c>
      <c r="N924" s="403">
        <v>-6069</v>
      </c>
      <c r="O924" s="403">
        <v>-29453</v>
      </c>
    </row>
    <row r="925" spans="2:15" s="154" customFormat="1">
      <c r="B925" s="165" t="s">
        <v>4079</v>
      </c>
      <c r="C925" s="165"/>
      <c r="D925" s="165"/>
      <c r="E925" s="403">
        <v>696388</v>
      </c>
      <c r="F925" s="431">
        <v>696388</v>
      </c>
      <c r="G925" s="404">
        <v>30</v>
      </c>
      <c r="H925" s="405">
        <v>52564</v>
      </c>
      <c r="I925" s="404">
        <v>9557</v>
      </c>
      <c r="J925" s="404">
        <v>9557</v>
      </c>
      <c r="K925" s="403">
        <v>661568.6</v>
      </c>
      <c r="L925" s="404">
        <v>365</v>
      </c>
      <c r="M925" s="403">
        <v>25267</v>
      </c>
      <c r="N925" s="403">
        <v>113736</v>
      </c>
      <c r="O925" s="403">
        <v>582652</v>
      </c>
    </row>
    <row r="926" spans="2:15" s="154" customFormat="1">
      <c r="B926" s="165" t="s">
        <v>4257</v>
      </c>
      <c r="C926" s="165"/>
      <c r="D926" s="165"/>
      <c r="E926" s="403">
        <v>-1908686</v>
      </c>
      <c r="F926" s="431">
        <v>-1908686</v>
      </c>
      <c r="G926" s="404">
        <v>30</v>
      </c>
      <c r="H926" s="405">
        <v>52564</v>
      </c>
      <c r="I926" s="404">
        <v>9465</v>
      </c>
      <c r="J926" s="404">
        <v>9465</v>
      </c>
      <c r="K926" s="403">
        <v>-1813251.7</v>
      </c>
      <c r="L926" s="404">
        <v>365</v>
      </c>
      <c r="M926" s="403">
        <v>-69925</v>
      </c>
      <c r="N926" s="403">
        <v>-297133</v>
      </c>
      <c r="O926" s="403">
        <v>-1611553</v>
      </c>
    </row>
    <row r="927" spans="2:15" s="154" customFormat="1">
      <c r="B927" s="165" t="s">
        <v>4275</v>
      </c>
      <c r="C927" s="419"/>
      <c r="D927" s="419"/>
      <c r="E927" s="429">
        <v>1771364</v>
      </c>
      <c r="F927" s="431">
        <v>1771364</v>
      </c>
      <c r="G927" s="404">
        <v>30</v>
      </c>
      <c r="H927" s="405">
        <v>52564</v>
      </c>
      <c r="I927" s="404">
        <v>9375</v>
      </c>
      <c r="J927" s="404">
        <v>9375</v>
      </c>
      <c r="K927" s="403">
        <v>1682795.8</v>
      </c>
      <c r="L927" s="404">
        <v>365</v>
      </c>
      <c r="M927" s="403">
        <v>65517</v>
      </c>
      <c r="N927" s="403">
        <v>262247</v>
      </c>
      <c r="O927" s="403">
        <v>1509117</v>
      </c>
    </row>
    <row r="928" spans="2:15" s="154" customFormat="1">
      <c r="B928" s="165" t="s">
        <v>4306</v>
      </c>
      <c r="C928" s="419"/>
      <c r="D928" s="419"/>
      <c r="E928" s="429">
        <v>100</v>
      </c>
      <c r="F928" s="431">
        <v>100</v>
      </c>
      <c r="G928" s="404">
        <v>30</v>
      </c>
      <c r="H928" s="405">
        <v>52564</v>
      </c>
      <c r="I928" s="404">
        <v>9192</v>
      </c>
      <c r="J928" s="404">
        <v>9192</v>
      </c>
      <c r="K928" s="403">
        <v>95</v>
      </c>
      <c r="L928" s="404">
        <v>365</v>
      </c>
      <c r="M928" s="403">
        <v>4</v>
      </c>
      <c r="N928" s="403">
        <v>14</v>
      </c>
      <c r="O928" s="403">
        <v>86</v>
      </c>
    </row>
    <row r="929" spans="2:15" s="154" customFormat="1">
      <c r="B929" s="165" t="s">
        <v>4332</v>
      </c>
      <c r="C929" s="419"/>
      <c r="D929" s="419"/>
      <c r="E929" s="429">
        <v>8038125</v>
      </c>
      <c r="F929" s="431">
        <v>8038125</v>
      </c>
      <c r="G929" s="404">
        <v>30</v>
      </c>
      <c r="H929" s="405">
        <v>52564</v>
      </c>
      <c r="I929" s="404">
        <v>9010</v>
      </c>
      <c r="J929" s="404">
        <v>9010</v>
      </c>
      <c r="K929" s="403">
        <v>7636218.75</v>
      </c>
      <c r="L929" s="404">
        <v>365</v>
      </c>
      <c r="M929" s="403">
        <v>309347</v>
      </c>
      <c r="N929" s="403">
        <v>928889</v>
      </c>
      <c r="O929" s="403">
        <v>7109236</v>
      </c>
    </row>
    <row r="930" spans="2:15" s="154" customFormat="1">
      <c r="B930" s="165" t="s">
        <v>4413</v>
      </c>
      <c r="C930" s="422"/>
      <c r="D930" s="422"/>
      <c r="E930" s="427">
        <v>9484558</v>
      </c>
      <c r="F930" s="431">
        <v>9484558</v>
      </c>
      <c r="G930" s="404">
        <v>30</v>
      </c>
      <c r="H930" s="405">
        <v>52564</v>
      </c>
      <c r="I930" s="404">
        <v>8644</v>
      </c>
      <c r="J930" s="404">
        <v>8644</v>
      </c>
      <c r="K930" s="403">
        <v>9010330.0999999996</v>
      </c>
      <c r="L930" s="404">
        <v>365</v>
      </c>
      <c r="M930" s="403">
        <v>380469</v>
      </c>
      <c r="N930" s="403">
        <v>760938</v>
      </c>
      <c r="O930" s="403">
        <v>8723620</v>
      </c>
    </row>
    <row r="931" spans="2:15" s="154" customFormat="1">
      <c r="B931" s="165" t="s">
        <v>4429</v>
      </c>
      <c r="C931" s="422"/>
      <c r="D931" s="422"/>
      <c r="E931" s="427">
        <v>853975</v>
      </c>
      <c r="F931" s="431">
        <v>853975</v>
      </c>
      <c r="G931" s="404">
        <v>30</v>
      </c>
      <c r="H931" s="405">
        <v>52564</v>
      </c>
      <c r="I931" s="404">
        <v>8553</v>
      </c>
      <c r="J931" s="404">
        <v>8553</v>
      </c>
      <c r="K931" s="403">
        <v>811276.25</v>
      </c>
      <c r="L931" s="404">
        <v>365</v>
      </c>
      <c r="M931" s="403">
        <v>34621</v>
      </c>
      <c r="N931" s="403">
        <v>60611</v>
      </c>
      <c r="O931" s="403">
        <v>793364</v>
      </c>
    </row>
    <row r="932" spans="2:15" s="154" customFormat="1">
      <c r="B932" s="165" t="s">
        <v>4461</v>
      </c>
      <c r="C932" s="422"/>
      <c r="D932" s="422"/>
      <c r="E932" s="427">
        <v>-2959393</v>
      </c>
      <c r="F932" s="431">
        <v>-2959393</v>
      </c>
      <c r="G932" s="404">
        <v>30</v>
      </c>
      <c r="H932" s="405">
        <v>52564</v>
      </c>
      <c r="I932" s="404">
        <v>8461</v>
      </c>
      <c r="J932" s="404">
        <v>8461</v>
      </c>
      <c r="K932" s="403">
        <v>-2811423.35</v>
      </c>
      <c r="L932" s="404">
        <v>365</v>
      </c>
      <c r="M932" s="403">
        <v>-121282</v>
      </c>
      <c r="N932" s="403">
        <v>-181757</v>
      </c>
      <c r="O932" s="403">
        <v>-2777636</v>
      </c>
    </row>
    <row r="933" spans="2:15" s="154" customFormat="1">
      <c r="B933" s="165" t="s">
        <v>4537</v>
      </c>
      <c r="C933" s="422"/>
      <c r="D933" s="422"/>
      <c r="E933" s="427">
        <v>-1097858</v>
      </c>
      <c r="F933" s="431">
        <v>-1097858</v>
      </c>
      <c r="G933" s="404">
        <v>30</v>
      </c>
      <c r="H933" s="405">
        <v>52564</v>
      </c>
      <c r="I933" s="404">
        <v>8369</v>
      </c>
      <c r="J933" s="404">
        <v>8369</v>
      </c>
      <c r="K933" s="403">
        <v>-1042965.1</v>
      </c>
      <c r="L933" s="404">
        <v>365</v>
      </c>
      <c r="M933" s="403">
        <v>-45487</v>
      </c>
      <c r="N933" s="403">
        <v>-56703</v>
      </c>
      <c r="O933" s="403">
        <v>-1041155</v>
      </c>
    </row>
    <row r="934" spans="2:15" s="154" customFormat="1">
      <c r="B934" s="165" t="s">
        <v>4566</v>
      </c>
      <c r="C934" s="422"/>
      <c r="D934" s="422"/>
      <c r="E934" s="427">
        <v>498407</v>
      </c>
      <c r="F934" s="431">
        <v>498407</v>
      </c>
      <c r="G934" s="404">
        <v>30</v>
      </c>
      <c r="H934" s="405">
        <v>52564</v>
      </c>
      <c r="I934" s="404">
        <v>8279</v>
      </c>
      <c r="J934" s="404">
        <v>8279</v>
      </c>
      <c r="K934" s="403">
        <v>473486.65</v>
      </c>
      <c r="L934" s="404">
        <v>365</v>
      </c>
      <c r="M934" s="403">
        <v>20875</v>
      </c>
      <c r="N934" s="403">
        <v>20875</v>
      </c>
      <c r="O934" s="403">
        <v>477532</v>
      </c>
    </row>
    <row r="935" spans="2:15" s="154" customFormat="1">
      <c r="B935" s="165" t="s">
        <v>4596</v>
      </c>
      <c r="C935" s="422"/>
      <c r="D935" s="422"/>
      <c r="E935" s="427">
        <v>1763813</v>
      </c>
      <c r="F935" s="431">
        <v>1763813</v>
      </c>
      <c r="G935" s="404">
        <v>30</v>
      </c>
      <c r="H935" s="405">
        <v>52564</v>
      </c>
      <c r="I935" s="404">
        <v>8188</v>
      </c>
      <c r="J935" s="404">
        <v>8188</v>
      </c>
      <c r="K935" s="403">
        <v>1675622.35</v>
      </c>
      <c r="L935" s="404">
        <v>274</v>
      </c>
      <c r="M935" s="403">
        <v>56072</v>
      </c>
      <c r="N935" s="403">
        <v>56072</v>
      </c>
      <c r="O935" s="403">
        <v>1707741</v>
      </c>
    </row>
    <row r="936" spans="2:15" s="154" customFormat="1">
      <c r="B936" s="165" t="s">
        <v>4621</v>
      </c>
      <c r="C936" s="422"/>
      <c r="D936" s="422"/>
      <c r="E936" s="427">
        <v>-131705</v>
      </c>
      <c r="F936" s="431">
        <v>-131705</v>
      </c>
      <c r="G936" s="404">
        <v>30</v>
      </c>
      <c r="H936" s="405">
        <v>52564</v>
      </c>
      <c r="I936" s="404">
        <v>8096</v>
      </c>
      <c r="J936" s="404">
        <v>8096</v>
      </c>
      <c r="K936" s="403">
        <v>-125119.75</v>
      </c>
      <c r="L936" s="404">
        <v>182</v>
      </c>
      <c r="M936" s="403">
        <v>-2813</v>
      </c>
      <c r="N936" s="403">
        <v>-2813</v>
      </c>
      <c r="O936" s="403">
        <v>-128892</v>
      </c>
    </row>
    <row r="937" spans="2:15" s="154" customFormat="1">
      <c r="B937" s="165" t="s">
        <v>4634</v>
      </c>
      <c r="C937" s="422"/>
      <c r="D937" s="422"/>
      <c r="E937" s="427">
        <v>271631</v>
      </c>
      <c r="F937" s="431">
        <v>271631</v>
      </c>
      <c r="G937" s="404">
        <v>30</v>
      </c>
      <c r="H937" s="405">
        <v>52564</v>
      </c>
      <c r="I937" s="404">
        <v>8004</v>
      </c>
      <c r="J937" s="404">
        <v>8004</v>
      </c>
      <c r="K937" s="403">
        <v>258049.45</v>
      </c>
      <c r="L937" s="404">
        <v>90</v>
      </c>
      <c r="M937" s="403">
        <v>2902</v>
      </c>
      <c r="N937" s="403">
        <v>2902</v>
      </c>
      <c r="O937" s="403">
        <v>268729</v>
      </c>
    </row>
    <row r="938" spans="2:15" s="154" customFormat="1">
      <c r="B938" s="165" t="s">
        <v>4653</v>
      </c>
      <c r="C938" s="422"/>
      <c r="D938" s="422"/>
      <c r="E938" s="427">
        <v>2188772</v>
      </c>
      <c r="F938" s="431">
        <v>2188772</v>
      </c>
      <c r="G938" s="404">
        <v>30</v>
      </c>
      <c r="H938" s="405">
        <v>52564</v>
      </c>
      <c r="I938" s="404">
        <v>7914</v>
      </c>
      <c r="J938" s="404">
        <v>7914</v>
      </c>
      <c r="K938" s="403">
        <v>2079333.4</v>
      </c>
      <c r="L938" s="404">
        <v>0</v>
      </c>
      <c r="M938" s="403">
        <v>0</v>
      </c>
      <c r="N938" s="403">
        <v>0</v>
      </c>
      <c r="O938" s="403">
        <v>2188772</v>
      </c>
    </row>
    <row r="939" spans="2:15" s="154" customFormat="1">
      <c r="B939" s="165"/>
      <c r="C939" s="422"/>
      <c r="D939" s="422"/>
      <c r="E939" s="427"/>
      <c r="F939" s="431"/>
      <c r="G939" s="425"/>
      <c r="H939" s="426"/>
      <c r="I939" s="425"/>
      <c r="J939" s="425"/>
      <c r="K939" s="427"/>
      <c r="L939" s="425"/>
      <c r="M939" s="425"/>
      <c r="N939" s="425"/>
      <c r="O939" s="425"/>
    </row>
    <row r="940" spans="2:15" s="154" customFormat="1" ht="14.25">
      <c r="B940" s="411"/>
      <c r="C940" s="165"/>
      <c r="D940" s="165"/>
      <c r="E940" s="412"/>
      <c r="F940" s="432"/>
      <c r="G940" s="404"/>
      <c r="H940" s="405"/>
      <c r="I940" s="404"/>
      <c r="J940" s="404"/>
      <c r="K940" s="404"/>
      <c r="L940" s="404"/>
      <c r="M940" s="412"/>
      <c r="N940" s="412"/>
      <c r="O940" s="412"/>
    </row>
    <row r="941" spans="2:15" s="154" customFormat="1" ht="14.25">
      <c r="B941" s="411" t="s">
        <v>1837</v>
      </c>
      <c r="C941" s="165"/>
      <c r="D941" s="499">
        <f>E941+E906</f>
        <v>5694711026.4104757</v>
      </c>
      <c r="E941" s="412">
        <v>23667032.179294258</v>
      </c>
      <c r="F941" s="433">
        <f>SUBTOTAL(9,F908:F940)</f>
        <v>24183600.113568403</v>
      </c>
      <c r="G941" s="404"/>
      <c r="H941" s="405"/>
      <c r="I941" s="404"/>
      <c r="J941" s="404"/>
      <c r="K941" s="404"/>
      <c r="L941" s="404"/>
      <c r="M941" s="412">
        <f>SUBTOTAL(9,M908:M940)</f>
        <v>821961</v>
      </c>
      <c r="N941" s="412">
        <f>SUBTOTAL(9,N908:N940)</f>
        <v>2751699</v>
      </c>
      <c r="O941" s="412">
        <f>SUBTOTAL(9,O908:O940)</f>
        <v>21431901.113568403</v>
      </c>
    </row>
    <row r="942" spans="2:15" s="154" customFormat="1" ht="14.25">
      <c r="B942" s="411" t="s">
        <v>754</v>
      </c>
      <c r="C942" s="165"/>
      <c r="D942" s="165"/>
      <c r="E942" s="412">
        <v>5694711026.4104748</v>
      </c>
      <c r="F942" s="433">
        <f>SUBTOTAL(9,F866:F941)</f>
        <v>5548732461.1430368</v>
      </c>
      <c r="G942" s="404"/>
      <c r="H942" s="405"/>
      <c r="I942" s="404"/>
      <c r="J942" s="404"/>
      <c r="K942" s="404"/>
      <c r="L942" s="404"/>
      <c r="M942" s="412">
        <f>+SUBTOTAL(9,M866:M941)</f>
        <v>311402105</v>
      </c>
      <c r="N942" s="412">
        <f>+SUBTOTAL(9,N866:N941)</f>
        <v>2030641718</v>
      </c>
      <c r="O942" s="412">
        <f>+SUBTOTAL(9,O866:O941)</f>
        <v>3518090743.1430378</v>
      </c>
    </row>
    <row r="943" spans="2:15" s="154" customFormat="1">
      <c r="B943" s="165"/>
      <c r="C943" s="165"/>
      <c r="D943" s="165"/>
      <c r="E943" s="403"/>
      <c r="F943" s="434"/>
      <c r="G943" s="404"/>
      <c r="H943" s="405"/>
      <c r="I943" s="404"/>
      <c r="J943" s="404"/>
      <c r="K943" s="404"/>
      <c r="L943" s="404"/>
      <c r="M943" s="404"/>
      <c r="N943" s="404"/>
      <c r="O943" s="404"/>
    </row>
    <row r="944" spans="2:15" s="154" customFormat="1" ht="14.25">
      <c r="B944" s="411" t="s">
        <v>3639</v>
      </c>
      <c r="C944" s="165"/>
      <c r="D944" s="165"/>
      <c r="E944" s="403"/>
      <c r="F944" s="432"/>
      <c r="G944" s="404"/>
      <c r="H944" s="405"/>
      <c r="I944" s="404"/>
      <c r="J944" s="404"/>
      <c r="K944" s="404"/>
      <c r="L944" s="404"/>
      <c r="M944" s="404"/>
      <c r="N944" s="404"/>
      <c r="O944" s="404"/>
    </row>
    <row r="945" spans="2:15" s="154" customFormat="1" ht="40.5" outlineLevel="1">
      <c r="B945" s="165" t="s">
        <v>3639</v>
      </c>
      <c r="C945" s="165" t="s">
        <v>2337</v>
      </c>
      <c r="D945" s="165" t="s">
        <v>3640</v>
      </c>
      <c r="E945" s="403">
        <v>3118209.929944247</v>
      </c>
      <c r="F945" s="431">
        <v>3001388.018504614</v>
      </c>
      <c r="G945" s="404">
        <v>2</v>
      </c>
      <c r="H945" s="405">
        <v>42337</v>
      </c>
      <c r="I945" s="404">
        <v>730</v>
      </c>
      <c r="J945" s="404">
        <v>244</v>
      </c>
      <c r="K945" s="406">
        <v>2845477.5220074016</v>
      </c>
      <c r="L945" s="404">
        <v>0</v>
      </c>
      <c r="M945" s="404">
        <v>0</v>
      </c>
      <c r="N945" s="404">
        <v>3001388</v>
      </c>
      <c r="O945" s="403">
        <v>1.8504614010453224E-2</v>
      </c>
    </row>
    <row r="946" spans="2:15" s="154" customFormat="1" ht="40.5" outlineLevel="1">
      <c r="B946" s="165" t="s">
        <v>3639</v>
      </c>
      <c r="C946" s="165" t="s">
        <v>2338</v>
      </c>
      <c r="D946" s="165" t="s">
        <v>3641</v>
      </c>
      <c r="E946" s="403">
        <v>32039358.569814786</v>
      </c>
      <c r="F946" s="431">
        <v>25377151.884857602</v>
      </c>
      <c r="G946" s="404">
        <v>1</v>
      </c>
      <c r="H946" s="405">
        <v>41972</v>
      </c>
      <c r="I946" s="404">
        <v>365</v>
      </c>
      <c r="J946" s="404">
        <v>-121</v>
      </c>
      <c r="K946" s="406">
        <v>23775183.956366863</v>
      </c>
      <c r="L946" s="404">
        <v>0</v>
      </c>
      <c r="M946" s="404">
        <v>0</v>
      </c>
      <c r="N946" s="404">
        <v>25377152</v>
      </c>
      <c r="O946" s="403">
        <v>-0.11514239758253098</v>
      </c>
    </row>
    <row r="947" spans="2:15" s="154" customFormat="1" outlineLevel="1">
      <c r="B947" s="165" t="s">
        <v>3639</v>
      </c>
      <c r="C947" s="165" t="s">
        <v>2339</v>
      </c>
      <c r="D947" s="165" t="s">
        <v>3642</v>
      </c>
      <c r="E947" s="403">
        <v>17344334.151347797</v>
      </c>
      <c r="F947" s="431">
        <v>16686951.44443851</v>
      </c>
      <c r="G947" s="404">
        <v>5</v>
      </c>
      <c r="H947" s="405">
        <v>43433</v>
      </c>
      <c r="I947" s="404">
        <v>1826</v>
      </c>
      <c r="J947" s="404">
        <v>1340</v>
      </c>
      <c r="K947" s="406">
        <v>15819734.736871121</v>
      </c>
      <c r="L947" s="404">
        <v>0</v>
      </c>
      <c r="M947" s="404">
        <v>0</v>
      </c>
      <c r="N947" s="404">
        <v>16686951</v>
      </c>
      <c r="O947" s="403">
        <v>0.444438511505723</v>
      </c>
    </row>
    <row r="948" spans="2:15" s="154" customFormat="1" outlineLevel="1">
      <c r="B948" s="165" t="s">
        <v>3639</v>
      </c>
      <c r="C948" s="165" t="s">
        <v>2340</v>
      </c>
      <c r="D948" s="165" t="s">
        <v>3643</v>
      </c>
      <c r="E948" s="403">
        <v>37684696.861839063</v>
      </c>
      <c r="F948" s="431">
        <v>36881182.048147053</v>
      </c>
      <c r="G948" s="404">
        <v>25</v>
      </c>
      <c r="H948" s="405">
        <v>50738</v>
      </c>
      <c r="I948" s="404">
        <v>9131</v>
      </c>
      <c r="J948" s="404">
        <v>8645</v>
      </c>
      <c r="K948" s="406">
        <v>34996947.205055103</v>
      </c>
      <c r="L948" s="404">
        <v>365</v>
      </c>
      <c r="M948" s="404">
        <v>1477604</v>
      </c>
      <c r="N948" s="404">
        <v>10358684</v>
      </c>
      <c r="O948" s="403">
        <v>26522498.048147053</v>
      </c>
    </row>
    <row r="949" spans="2:15" s="154" customFormat="1" ht="27" outlineLevel="1">
      <c r="B949" s="165" t="s">
        <v>3639</v>
      </c>
      <c r="C949" s="165" t="s">
        <v>2341</v>
      </c>
      <c r="D949" s="165" t="s">
        <v>3644</v>
      </c>
      <c r="E949" s="403">
        <v>-254718.08166872401</v>
      </c>
      <c r="F949" s="431">
        <v>-297115.03339065844</v>
      </c>
      <c r="G949" s="404">
        <v>1</v>
      </c>
      <c r="H949" s="405">
        <v>41972</v>
      </c>
      <c r="I949" s="404">
        <v>365</v>
      </c>
      <c r="J949" s="404">
        <v>-121</v>
      </c>
      <c r="K949" s="403">
        <v>-284379.12930722232</v>
      </c>
      <c r="L949" s="404">
        <v>0</v>
      </c>
      <c r="M949" s="404">
        <v>0</v>
      </c>
      <c r="N949" s="403">
        <v>-297115</v>
      </c>
      <c r="O949" s="403">
        <v>-3.339065850013867E-2</v>
      </c>
    </row>
    <row r="950" spans="2:15" s="154" customFormat="1" outlineLevel="1">
      <c r="B950" s="165" t="s">
        <v>3639</v>
      </c>
      <c r="C950" s="165" t="s">
        <v>2342</v>
      </c>
      <c r="D950" s="165" t="s">
        <v>3645</v>
      </c>
      <c r="E950" s="403">
        <v>113271.71640460067</v>
      </c>
      <c r="F950" s="431">
        <v>109012.0014159813</v>
      </c>
      <c r="G950" s="404">
        <v>1</v>
      </c>
      <c r="H950" s="405">
        <v>41972</v>
      </c>
      <c r="I950" s="404">
        <v>365</v>
      </c>
      <c r="J950" s="404">
        <v>-121</v>
      </c>
      <c r="K950" s="406">
        <v>103348.41559575127</v>
      </c>
      <c r="L950" s="404">
        <v>0</v>
      </c>
      <c r="M950" s="404">
        <v>0</v>
      </c>
      <c r="N950" s="404">
        <v>109012</v>
      </c>
      <c r="O950" s="403">
        <v>1.4159812999423593E-3</v>
      </c>
    </row>
    <row r="951" spans="2:15" s="154" customFormat="1" outlineLevel="1">
      <c r="B951" s="165" t="s">
        <v>3639</v>
      </c>
      <c r="C951" s="165" t="s">
        <v>2343</v>
      </c>
      <c r="D951" s="165" t="s">
        <v>2343</v>
      </c>
      <c r="E951" s="403">
        <v>703962.57411671267</v>
      </c>
      <c r="F951" s="431">
        <v>557488.75187449809</v>
      </c>
      <c r="G951" s="404">
        <v>2</v>
      </c>
      <c r="H951" s="405">
        <v>42337</v>
      </c>
      <c r="I951" s="404">
        <v>730</v>
      </c>
      <c r="J951" s="404">
        <v>244</v>
      </c>
      <c r="K951" s="406">
        <v>522290.62316866248</v>
      </c>
      <c r="L951" s="404">
        <v>0</v>
      </c>
      <c r="M951" s="404">
        <v>0</v>
      </c>
      <c r="N951" s="404">
        <v>557489</v>
      </c>
      <c r="O951" s="403">
        <v>-0.24812550190836191</v>
      </c>
    </row>
    <row r="952" spans="2:15" s="154" customFormat="1" ht="40.5" outlineLevel="1">
      <c r="B952" s="165" t="s">
        <v>3639</v>
      </c>
      <c r="C952" s="165" t="s">
        <v>2344</v>
      </c>
      <c r="D952" s="165" t="s">
        <v>3646</v>
      </c>
      <c r="E952" s="403">
        <v>3291700.7593209627</v>
      </c>
      <c r="F952" s="431">
        <v>3168911.1289065792</v>
      </c>
      <c r="G952" s="404">
        <v>30</v>
      </c>
      <c r="H952" s="405">
        <v>52564</v>
      </c>
      <c r="I952" s="404">
        <v>10957</v>
      </c>
      <c r="J952" s="404">
        <v>10471</v>
      </c>
      <c r="K952" s="406">
        <v>3004326.0909405309</v>
      </c>
      <c r="L952" s="404">
        <v>365</v>
      </c>
      <c r="M952" s="404">
        <v>104725</v>
      </c>
      <c r="N952" s="404">
        <v>733892</v>
      </c>
      <c r="O952" s="403">
        <v>2435019.1289065792</v>
      </c>
    </row>
    <row r="953" spans="2:15" s="154" customFormat="1" ht="67.5" outlineLevel="1">
      <c r="B953" s="165" t="s">
        <v>3639</v>
      </c>
      <c r="C953" s="165" t="s">
        <v>2345</v>
      </c>
      <c r="D953" s="165" t="s">
        <v>3647</v>
      </c>
      <c r="E953" s="403">
        <v>294861419.0802182</v>
      </c>
      <c r="F953" s="431">
        <v>283884200.37567997</v>
      </c>
      <c r="G953" s="404">
        <v>10</v>
      </c>
      <c r="H953" s="405">
        <v>45259</v>
      </c>
      <c r="I953" s="404">
        <v>3652</v>
      </c>
      <c r="J953" s="404">
        <v>3166</v>
      </c>
      <c r="K953" s="406">
        <v>269141129.42166907</v>
      </c>
      <c r="L953" s="404">
        <v>365</v>
      </c>
      <c r="M953" s="404">
        <v>31028589</v>
      </c>
      <c r="N953" s="404">
        <v>217373897</v>
      </c>
      <c r="O953" s="403">
        <v>66510303.37567997</v>
      </c>
    </row>
    <row r="954" spans="2:15" s="154" customFormat="1" ht="27" outlineLevel="1">
      <c r="B954" s="165" t="s">
        <v>3639</v>
      </c>
      <c r="C954" s="165" t="s">
        <v>2346</v>
      </c>
      <c r="D954" s="165" t="s">
        <v>3648</v>
      </c>
      <c r="E954" s="403">
        <v>-1129434.7252937758</v>
      </c>
      <c r="F954" s="431">
        <v>-1167077.321868469</v>
      </c>
      <c r="G954" s="404">
        <v>3</v>
      </c>
      <c r="H954" s="405">
        <v>42703</v>
      </c>
      <c r="I954" s="404">
        <v>1096</v>
      </c>
      <c r="J954" s="404">
        <v>610</v>
      </c>
      <c r="K954" s="403">
        <v>-1110605.5856037803</v>
      </c>
      <c r="L954" s="404">
        <v>0</v>
      </c>
      <c r="M954" s="404">
        <v>0</v>
      </c>
      <c r="N954" s="403">
        <v>-1167077</v>
      </c>
      <c r="O954" s="403">
        <v>-0.32186846900731325</v>
      </c>
    </row>
    <row r="955" spans="2:15" s="154" customFormat="1" outlineLevel="1">
      <c r="B955" s="165" t="s">
        <v>3639</v>
      </c>
      <c r="C955" s="165" t="s">
        <v>2347</v>
      </c>
      <c r="D955" s="165" t="s">
        <v>3649</v>
      </c>
      <c r="E955" s="403">
        <v>25553504.889788888</v>
      </c>
      <c r="F955" s="431">
        <v>24601643.658876359</v>
      </c>
      <c r="G955" s="404">
        <v>3</v>
      </c>
      <c r="H955" s="405">
        <v>42703</v>
      </c>
      <c r="I955" s="404">
        <v>1096</v>
      </c>
      <c r="J955" s="404">
        <v>610</v>
      </c>
      <c r="K955" s="406">
        <v>23323968.414386913</v>
      </c>
      <c r="L955" s="404">
        <v>0</v>
      </c>
      <c r="M955" s="404">
        <v>0</v>
      </c>
      <c r="N955" s="404">
        <v>24601644</v>
      </c>
      <c r="O955" s="403">
        <v>-0.34112364053726196</v>
      </c>
    </row>
    <row r="956" spans="2:15" s="154" customFormat="1" outlineLevel="1">
      <c r="B956" s="165" t="s">
        <v>3639</v>
      </c>
      <c r="C956" s="165" t="s">
        <v>4382</v>
      </c>
      <c r="D956" s="165"/>
      <c r="E956" s="403">
        <v>132879488.87471206</v>
      </c>
      <c r="F956" s="431">
        <v>127923772.55672108</v>
      </c>
      <c r="G956" s="404">
        <v>25</v>
      </c>
      <c r="H956" s="405">
        <v>50738</v>
      </c>
      <c r="I956" s="404">
        <v>9131</v>
      </c>
      <c r="J956" s="404">
        <v>8645</v>
      </c>
      <c r="K956" s="406">
        <v>121279798.11298548</v>
      </c>
      <c r="L956" s="404">
        <v>365</v>
      </c>
      <c r="M956" s="404">
        <v>5120547</v>
      </c>
      <c r="N956" s="404">
        <v>35882544</v>
      </c>
      <c r="O956" s="403">
        <v>92041228.556721076</v>
      </c>
    </row>
    <row r="957" spans="2:15" s="154" customFormat="1" outlineLevel="1">
      <c r="B957" s="165" t="s">
        <v>3639</v>
      </c>
      <c r="C957" s="165" t="s">
        <v>3650</v>
      </c>
      <c r="D957" s="165" t="s">
        <v>3651</v>
      </c>
      <c r="E957" s="403">
        <v>732621.71773085557</v>
      </c>
      <c r="F957" s="431">
        <v>522020.44384264725</v>
      </c>
      <c r="G957" s="404">
        <v>2</v>
      </c>
      <c r="H957" s="405">
        <v>42337</v>
      </c>
      <c r="I957" s="404">
        <v>730</v>
      </c>
      <c r="J957" s="404">
        <v>244</v>
      </c>
      <c r="K957" s="406">
        <v>485389.35795610439</v>
      </c>
      <c r="L957" s="404">
        <v>0</v>
      </c>
      <c r="M957" s="404">
        <v>0</v>
      </c>
      <c r="N957" s="404">
        <v>522020</v>
      </c>
      <c r="O957" s="403">
        <v>0.44384264713153243</v>
      </c>
    </row>
    <row r="958" spans="2:15" s="154" customFormat="1" outlineLevel="1">
      <c r="B958" s="165"/>
      <c r="C958" s="165"/>
      <c r="D958" s="165"/>
      <c r="E958" s="403"/>
      <c r="F958" s="432"/>
      <c r="G958" s="404"/>
      <c r="H958" s="405"/>
      <c r="I958" s="404"/>
      <c r="J958" s="404"/>
      <c r="K958" s="404"/>
      <c r="L958" s="404"/>
      <c r="M958" s="404"/>
      <c r="N958" s="404"/>
      <c r="O958" s="404"/>
    </row>
    <row r="959" spans="2:15" s="154" customFormat="1" ht="14.25">
      <c r="B959" s="411" t="s">
        <v>1837</v>
      </c>
      <c r="C959" s="165"/>
      <c r="D959" s="165"/>
      <c r="E959" s="412">
        <v>546938416.31827569</v>
      </c>
      <c r="F959" s="433">
        <f>SUBTOTAL(9,F945:F958)</f>
        <v>521249529.95800579</v>
      </c>
      <c r="G959" s="404"/>
      <c r="H959" s="404"/>
      <c r="I959" s="404"/>
      <c r="J959" s="404"/>
      <c r="K959" s="404"/>
      <c r="L959" s="404"/>
      <c r="M959" s="413">
        <f t="shared" ref="M959:O959" si="13">SUBTOTAL(9,M945:M958)</f>
        <v>37731465</v>
      </c>
      <c r="N959" s="413">
        <f t="shared" si="13"/>
        <v>333740481</v>
      </c>
      <c r="O959" s="413">
        <f t="shared" si="13"/>
        <v>187509048.95800579</v>
      </c>
    </row>
    <row r="960" spans="2:15" s="154" customFormat="1" ht="28.5">
      <c r="B960" s="411" t="s">
        <v>2418</v>
      </c>
      <c r="C960" s="165"/>
      <c r="D960" s="165"/>
      <c r="E960" s="412"/>
      <c r="F960" s="434"/>
      <c r="G960" s="404"/>
      <c r="H960" s="404"/>
      <c r="I960" s="404"/>
      <c r="J960" s="404"/>
      <c r="K960" s="404"/>
      <c r="L960" s="404"/>
      <c r="M960" s="413"/>
      <c r="N960" s="413"/>
      <c r="O960" s="413"/>
    </row>
    <row r="961" spans="2:15" s="154" customFormat="1" ht="27">
      <c r="B961" s="165" t="s">
        <v>2418</v>
      </c>
      <c r="C961" s="165"/>
      <c r="D961" s="165"/>
      <c r="E961" s="403">
        <v>-2882153.89780861</v>
      </c>
      <c r="F961" s="431">
        <v>-2782484.5832547015</v>
      </c>
      <c r="G961" s="404">
        <v>30</v>
      </c>
      <c r="H961" s="405">
        <v>52564</v>
      </c>
      <c r="I961" s="404">
        <v>10957</v>
      </c>
      <c r="J961" s="404">
        <v>10592</v>
      </c>
      <c r="K961" s="403">
        <v>-2638376.8883642708</v>
      </c>
      <c r="L961" s="404">
        <v>365</v>
      </c>
      <c r="M961" s="403">
        <v>-90918</v>
      </c>
      <c r="N961" s="403">
        <v>-636924</v>
      </c>
      <c r="O961" s="403">
        <v>-2145560.5832547015</v>
      </c>
    </row>
    <row r="962" spans="2:15" s="154" customFormat="1" ht="27">
      <c r="B962" s="165" t="s">
        <v>2802</v>
      </c>
      <c r="C962" s="165"/>
      <c r="D962" s="165"/>
      <c r="E962" s="403">
        <v>808710.58175463509</v>
      </c>
      <c r="F962" s="431">
        <v>795279.58175463509</v>
      </c>
      <c r="G962" s="404">
        <v>30</v>
      </c>
      <c r="H962" s="405">
        <v>52564</v>
      </c>
      <c r="I962" s="404">
        <v>10653</v>
      </c>
      <c r="J962" s="404">
        <v>10470</v>
      </c>
      <c r="K962" s="406">
        <v>754844.05266690336</v>
      </c>
      <c r="L962" s="404">
        <v>365</v>
      </c>
      <c r="M962" s="403">
        <v>26315</v>
      </c>
      <c r="N962" s="403">
        <v>184349</v>
      </c>
      <c r="O962" s="403">
        <v>610930.58175463509</v>
      </c>
    </row>
    <row r="963" spans="2:15" s="154" customFormat="1" ht="27">
      <c r="B963" s="165" t="s">
        <v>2608</v>
      </c>
      <c r="C963" s="165"/>
      <c r="D963" s="165"/>
      <c r="E963" s="403">
        <v>675526.19515970105</v>
      </c>
      <c r="F963" s="431">
        <v>669916.19515970105</v>
      </c>
      <c r="G963" s="404">
        <v>30</v>
      </c>
      <c r="H963" s="405">
        <v>52564</v>
      </c>
      <c r="I963" s="404">
        <v>10561</v>
      </c>
      <c r="J963" s="404">
        <v>10470</v>
      </c>
      <c r="K963" s="406">
        <v>636139.88540171599</v>
      </c>
      <c r="L963" s="404">
        <v>365</v>
      </c>
      <c r="M963" s="403">
        <v>22177</v>
      </c>
      <c r="N963" s="403">
        <v>155361</v>
      </c>
      <c r="O963" s="403">
        <v>514555.19515970105</v>
      </c>
    </row>
    <row r="964" spans="2:15" s="154" customFormat="1" ht="27">
      <c r="B964" s="165" t="s">
        <v>2805</v>
      </c>
      <c r="C964" s="165"/>
      <c r="D964" s="165"/>
      <c r="E964" s="403">
        <v>-318762</v>
      </c>
      <c r="F964" s="431">
        <v>-318733</v>
      </c>
      <c r="G964" s="404">
        <v>30</v>
      </c>
      <c r="H964" s="405">
        <v>52564</v>
      </c>
      <c r="I964" s="404">
        <v>10471</v>
      </c>
      <c r="J964" s="404">
        <v>10470</v>
      </c>
      <c r="K964" s="403">
        <v>-302794.90000000002</v>
      </c>
      <c r="L964" s="404">
        <v>365</v>
      </c>
      <c r="M964" s="403">
        <v>-10556</v>
      </c>
      <c r="N964" s="403">
        <v>-73950</v>
      </c>
      <c r="O964" s="403">
        <v>-244783</v>
      </c>
    </row>
    <row r="965" spans="2:15" s="154" customFormat="1" ht="27">
      <c r="B965" s="165" t="s">
        <v>2951</v>
      </c>
      <c r="C965" s="165"/>
      <c r="D965" s="165"/>
      <c r="E965" s="403">
        <v>315499</v>
      </c>
      <c r="F965" s="431">
        <v>315499</v>
      </c>
      <c r="G965" s="404">
        <v>30</v>
      </c>
      <c r="H965" s="405">
        <v>52564</v>
      </c>
      <c r="I965" s="404">
        <v>10380</v>
      </c>
      <c r="J965" s="404">
        <v>10380</v>
      </c>
      <c r="K965" s="406">
        <v>299724.05</v>
      </c>
      <c r="L965" s="404">
        <v>365</v>
      </c>
      <c r="M965" s="403">
        <v>10539</v>
      </c>
      <c r="N965" s="403">
        <v>71204</v>
      </c>
      <c r="O965" s="403">
        <v>244295</v>
      </c>
    </row>
    <row r="966" spans="2:15" s="154" customFormat="1" ht="27">
      <c r="B966" s="165" t="s">
        <v>2986</v>
      </c>
      <c r="C966" s="165"/>
      <c r="D966" s="165"/>
      <c r="E966" s="403">
        <v>739715</v>
      </c>
      <c r="F966" s="431">
        <v>739715</v>
      </c>
      <c r="G966" s="404">
        <v>30</v>
      </c>
      <c r="H966" s="405">
        <v>52564</v>
      </c>
      <c r="I966" s="404">
        <v>10288</v>
      </c>
      <c r="J966" s="404">
        <v>10288</v>
      </c>
      <c r="K966" s="406">
        <v>702729.25</v>
      </c>
      <c r="L966" s="404">
        <v>365</v>
      </c>
      <c r="M966" s="403">
        <v>24932</v>
      </c>
      <c r="N966" s="403">
        <v>162160</v>
      </c>
      <c r="O966" s="403">
        <v>577555</v>
      </c>
    </row>
    <row r="967" spans="2:15" s="154" customFormat="1" ht="27">
      <c r="B967" s="165" t="s">
        <v>3005</v>
      </c>
      <c r="C967" s="165"/>
      <c r="D967" s="165"/>
      <c r="E967" s="403">
        <v>-3533</v>
      </c>
      <c r="F967" s="431">
        <v>-3533</v>
      </c>
      <c r="G967" s="404">
        <v>30</v>
      </c>
      <c r="H967" s="405">
        <v>52564</v>
      </c>
      <c r="I967" s="404">
        <v>10196</v>
      </c>
      <c r="J967" s="404">
        <v>10196</v>
      </c>
      <c r="K967" s="403">
        <v>-3356.35</v>
      </c>
      <c r="L967" s="404">
        <v>365</v>
      </c>
      <c r="M967" s="403">
        <v>-120</v>
      </c>
      <c r="N967" s="403">
        <v>-750</v>
      </c>
      <c r="O967" s="403">
        <v>-2783</v>
      </c>
    </row>
    <row r="968" spans="2:15" s="154" customFormat="1" ht="27">
      <c r="B968" s="165" t="s">
        <v>3005</v>
      </c>
      <c r="C968" s="165"/>
      <c r="D968" s="165"/>
      <c r="E968" s="403">
        <v>-19725</v>
      </c>
      <c r="F968" s="431">
        <v>-19725</v>
      </c>
      <c r="G968" s="404">
        <v>30</v>
      </c>
      <c r="H968" s="405">
        <v>52564</v>
      </c>
      <c r="I968" s="404">
        <v>10105</v>
      </c>
      <c r="J968" s="404">
        <v>10105</v>
      </c>
      <c r="K968" s="403">
        <v>-18738.75</v>
      </c>
      <c r="L968" s="404">
        <v>365</v>
      </c>
      <c r="M968" s="403">
        <v>-677</v>
      </c>
      <c r="N968" s="403">
        <v>-4064</v>
      </c>
      <c r="O968" s="403">
        <v>-15661</v>
      </c>
    </row>
    <row r="969" spans="2:15" s="154" customFormat="1" ht="27">
      <c r="B969" s="165" t="s">
        <v>3005</v>
      </c>
      <c r="C969" s="165"/>
      <c r="D969" s="165"/>
      <c r="E969" s="403">
        <v>163991</v>
      </c>
      <c r="F969" s="431">
        <v>163991</v>
      </c>
      <c r="G969" s="404">
        <v>30</v>
      </c>
      <c r="H969" s="405">
        <v>52564</v>
      </c>
      <c r="I969" s="404">
        <v>10380</v>
      </c>
      <c r="J969" s="404">
        <v>10380</v>
      </c>
      <c r="K969" s="406">
        <v>155791.45000000001</v>
      </c>
      <c r="L969" s="404">
        <v>365</v>
      </c>
      <c r="M969" s="403">
        <v>5478</v>
      </c>
      <c r="N969" s="403">
        <v>37010</v>
      </c>
      <c r="O969" s="403">
        <v>126981</v>
      </c>
    </row>
    <row r="970" spans="2:15" s="154" customFormat="1" ht="27">
      <c r="B970" s="165" t="s">
        <v>3005</v>
      </c>
      <c r="C970" s="165"/>
      <c r="D970" s="165"/>
      <c r="E970" s="403">
        <v>288887</v>
      </c>
      <c r="F970" s="431">
        <v>288887</v>
      </c>
      <c r="G970" s="404">
        <v>30</v>
      </c>
      <c r="H970" s="405">
        <v>52564</v>
      </c>
      <c r="I970" s="404">
        <v>10288</v>
      </c>
      <c r="J970" s="404">
        <v>10288</v>
      </c>
      <c r="K970" s="406">
        <v>274442.65000000002</v>
      </c>
      <c r="L970" s="404">
        <v>365</v>
      </c>
      <c r="M970" s="403">
        <v>9737</v>
      </c>
      <c r="N970" s="403">
        <v>63330</v>
      </c>
      <c r="O970" s="403">
        <v>225557</v>
      </c>
    </row>
    <row r="971" spans="2:15" s="154" customFormat="1" ht="27">
      <c r="B971" s="165" t="s">
        <v>3005</v>
      </c>
      <c r="C971" s="165"/>
      <c r="D971" s="165"/>
      <c r="E971" s="403">
        <v>-6735</v>
      </c>
      <c r="F971" s="431">
        <v>-6735</v>
      </c>
      <c r="G971" s="404">
        <v>30</v>
      </c>
      <c r="H971" s="405">
        <v>52564</v>
      </c>
      <c r="I971" s="404">
        <v>10196</v>
      </c>
      <c r="J971" s="404">
        <v>10196</v>
      </c>
      <c r="K971" s="403">
        <v>-6398.25</v>
      </c>
      <c r="L971" s="404">
        <v>365</v>
      </c>
      <c r="M971" s="403">
        <v>-229</v>
      </c>
      <c r="N971" s="403">
        <v>-1432</v>
      </c>
      <c r="O971" s="403">
        <v>-5303</v>
      </c>
    </row>
    <row r="972" spans="2:15" s="154" customFormat="1" ht="27">
      <c r="B972" s="165" t="s">
        <v>3005</v>
      </c>
      <c r="C972" s="165"/>
      <c r="D972" s="165"/>
      <c r="E972" s="403">
        <v>13385</v>
      </c>
      <c r="F972" s="431">
        <v>13385</v>
      </c>
      <c r="G972" s="404">
        <v>30</v>
      </c>
      <c r="H972" s="405">
        <v>52564</v>
      </c>
      <c r="I972" s="404">
        <v>10105</v>
      </c>
      <c r="J972" s="404">
        <v>10105</v>
      </c>
      <c r="K972" s="406">
        <v>12715.75</v>
      </c>
      <c r="L972" s="404">
        <v>365</v>
      </c>
      <c r="M972" s="403">
        <v>459</v>
      </c>
      <c r="N972" s="403">
        <v>2756</v>
      </c>
      <c r="O972" s="403">
        <v>10629</v>
      </c>
    </row>
    <row r="973" spans="2:15" s="154" customFormat="1" ht="27">
      <c r="B973" s="165" t="s">
        <v>3902</v>
      </c>
      <c r="C973" s="165"/>
      <c r="D973" s="165"/>
      <c r="E973" s="403">
        <v>453718</v>
      </c>
      <c r="F973" s="431">
        <v>453718</v>
      </c>
      <c r="G973" s="404">
        <v>30</v>
      </c>
      <c r="H973" s="405">
        <v>52564</v>
      </c>
      <c r="I973" s="404">
        <v>10014</v>
      </c>
      <c r="J973" s="404">
        <v>10014</v>
      </c>
      <c r="K973" s="406">
        <v>431032.1</v>
      </c>
      <c r="L973" s="404">
        <v>365</v>
      </c>
      <c r="M973" s="403">
        <v>15711</v>
      </c>
      <c r="N973" s="403">
        <v>90392</v>
      </c>
      <c r="O973" s="403">
        <v>363326</v>
      </c>
    </row>
    <row r="974" spans="2:15" s="154" customFormat="1" ht="27">
      <c r="B974" s="165" t="s">
        <v>3917</v>
      </c>
      <c r="C974" s="165"/>
      <c r="D974" s="165"/>
      <c r="E974" s="403">
        <v>-208105</v>
      </c>
      <c r="F974" s="431">
        <v>-208105</v>
      </c>
      <c r="G974" s="404">
        <v>30</v>
      </c>
      <c r="H974" s="405">
        <v>52564</v>
      </c>
      <c r="I974" s="404">
        <v>9922</v>
      </c>
      <c r="J974" s="404">
        <v>9922</v>
      </c>
      <c r="K974" s="403">
        <v>-197699.75</v>
      </c>
      <c r="L974" s="404">
        <v>365</v>
      </c>
      <c r="M974" s="403">
        <v>-7273</v>
      </c>
      <c r="N974" s="403">
        <v>-40011</v>
      </c>
      <c r="O974" s="403">
        <v>-168094</v>
      </c>
    </row>
    <row r="975" spans="2:15" s="154" customFormat="1" ht="27">
      <c r="B975" s="165" t="s">
        <v>3920</v>
      </c>
      <c r="C975" s="165"/>
      <c r="D975" s="165"/>
      <c r="E975" s="403">
        <v>313006</v>
      </c>
      <c r="F975" s="431">
        <v>313006</v>
      </c>
      <c r="G975" s="404">
        <v>30</v>
      </c>
      <c r="H975" s="405">
        <v>52564</v>
      </c>
      <c r="I975" s="404">
        <v>9830</v>
      </c>
      <c r="J975" s="404">
        <v>9830</v>
      </c>
      <c r="K975" s="403">
        <v>297355.7</v>
      </c>
      <c r="L975" s="404">
        <v>365</v>
      </c>
      <c r="M975" s="403">
        <v>11041</v>
      </c>
      <c r="N975" s="403">
        <v>57957</v>
      </c>
      <c r="O975" s="403">
        <v>255049</v>
      </c>
    </row>
    <row r="976" spans="2:15" s="154" customFormat="1" ht="27">
      <c r="B976" s="165" t="s">
        <v>4048</v>
      </c>
      <c r="C976" s="165"/>
      <c r="D976" s="165"/>
      <c r="E976" s="403">
        <v>-569200</v>
      </c>
      <c r="F976" s="431">
        <v>-569200</v>
      </c>
      <c r="G976" s="404">
        <v>30</v>
      </c>
      <c r="H976" s="405">
        <v>52564</v>
      </c>
      <c r="I976" s="404">
        <v>9740</v>
      </c>
      <c r="J976" s="404">
        <v>9740</v>
      </c>
      <c r="K976" s="403">
        <v>-540740</v>
      </c>
      <c r="L976" s="404">
        <v>365</v>
      </c>
      <c r="M976" s="403">
        <v>-20264</v>
      </c>
      <c r="N976" s="403">
        <v>-101375</v>
      </c>
      <c r="O976" s="403">
        <v>-467825</v>
      </c>
    </row>
    <row r="977" spans="2:15" s="154" customFormat="1" ht="27">
      <c r="B977" s="165" t="s">
        <v>4073</v>
      </c>
      <c r="C977" s="165"/>
      <c r="D977" s="165"/>
      <c r="E977" s="403">
        <v>-3535</v>
      </c>
      <c r="F977" s="431">
        <v>-3535</v>
      </c>
      <c r="G977" s="404">
        <v>30</v>
      </c>
      <c r="H977" s="405">
        <v>52564</v>
      </c>
      <c r="I977" s="404">
        <v>9649</v>
      </c>
      <c r="J977" s="404">
        <v>9649</v>
      </c>
      <c r="K977" s="403">
        <v>-3358.25</v>
      </c>
      <c r="L977" s="404">
        <v>365</v>
      </c>
      <c r="M977" s="403">
        <v>-127</v>
      </c>
      <c r="N977" s="403">
        <v>-603</v>
      </c>
      <c r="O977" s="403">
        <v>-2932</v>
      </c>
    </row>
    <row r="978" spans="2:15" s="154" customFormat="1" ht="27">
      <c r="B978" s="165" t="s">
        <v>4080</v>
      </c>
      <c r="C978" s="165"/>
      <c r="D978" s="165"/>
      <c r="E978" s="403">
        <v>69304</v>
      </c>
      <c r="F978" s="431">
        <v>69304</v>
      </c>
      <c r="G978" s="404">
        <v>30</v>
      </c>
      <c r="H978" s="405">
        <v>52564</v>
      </c>
      <c r="I978" s="404">
        <v>9557</v>
      </c>
      <c r="J978" s="404">
        <v>9557</v>
      </c>
      <c r="K978" s="403">
        <v>65838.8</v>
      </c>
      <c r="L978" s="404">
        <v>365</v>
      </c>
      <c r="M978" s="403">
        <v>2515</v>
      </c>
      <c r="N978" s="403">
        <v>11320</v>
      </c>
      <c r="O978" s="403">
        <v>57984</v>
      </c>
    </row>
    <row r="979" spans="2:15" s="154" customFormat="1" ht="27">
      <c r="B979" s="165" t="s">
        <v>4258</v>
      </c>
      <c r="C979" s="165"/>
      <c r="D979" s="165"/>
      <c r="E979" s="403">
        <v>-189952</v>
      </c>
      <c r="F979" s="431">
        <v>-189952</v>
      </c>
      <c r="G979" s="404">
        <v>30</v>
      </c>
      <c r="H979" s="405">
        <v>52564</v>
      </c>
      <c r="I979" s="404">
        <v>9465</v>
      </c>
      <c r="J979" s="404">
        <v>9465</v>
      </c>
      <c r="K979" s="403">
        <v>-180454.39999999999</v>
      </c>
      <c r="L979" s="404">
        <v>365</v>
      </c>
      <c r="M979" s="403">
        <v>-6959</v>
      </c>
      <c r="N979" s="403">
        <v>-29571</v>
      </c>
      <c r="O979" s="403">
        <v>-160381</v>
      </c>
    </row>
    <row r="980" spans="2:15" s="154" customFormat="1" ht="27">
      <c r="B980" s="165" t="s">
        <v>4277</v>
      </c>
      <c r="C980" s="419"/>
      <c r="D980" s="419"/>
      <c r="E980" s="429">
        <v>176286</v>
      </c>
      <c r="F980" s="431">
        <v>176286</v>
      </c>
      <c r="G980" s="404">
        <v>30</v>
      </c>
      <c r="H980" s="405">
        <v>52564</v>
      </c>
      <c r="I980" s="404">
        <v>9375</v>
      </c>
      <c r="J980" s="404">
        <v>9375</v>
      </c>
      <c r="K980" s="403">
        <v>167471.70000000001</v>
      </c>
      <c r="L980" s="404">
        <v>365</v>
      </c>
      <c r="M980" s="403">
        <v>6520</v>
      </c>
      <c r="N980" s="403">
        <v>26098</v>
      </c>
      <c r="O980" s="403">
        <v>150188</v>
      </c>
    </row>
    <row r="981" spans="2:15" s="154" customFormat="1" ht="27">
      <c r="B981" s="165" t="s">
        <v>4307</v>
      </c>
      <c r="C981" s="419"/>
      <c r="D981" s="419"/>
      <c r="E981" s="429">
        <v>10</v>
      </c>
      <c r="F981" s="431">
        <v>10</v>
      </c>
      <c r="G981" s="404">
        <v>30</v>
      </c>
      <c r="H981" s="405">
        <v>52564</v>
      </c>
      <c r="I981" s="404">
        <v>9192</v>
      </c>
      <c r="J981" s="404">
        <v>9192</v>
      </c>
      <c r="K981" s="403">
        <v>9.5</v>
      </c>
      <c r="L981" s="404">
        <v>365</v>
      </c>
      <c r="M981" s="403">
        <v>0</v>
      </c>
      <c r="N981" s="403">
        <v>0</v>
      </c>
      <c r="O981" s="403">
        <v>10</v>
      </c>
    </row>
    <row r="982" spans="2:15" s="154" customFormat="1" ht="27">
      <c r="B982" s="165" t="s">
        <v>4333</v>
      </c>
      <c r="C982" s="419"/>
      <c r="D982" s="419"/>
      <c r="E982" s="429">
        <v>799954</v>
      </c>
      <c r="F982" s="431">
        <v>799954</v>
      </c>
      <c r="G982" s="404">
        <v>30</v>
      </c>
      <c r="H982" s="405">
        <v>52564</v>
      </c>
      <c r="I982" s="404">
        <v>9010</v>
      </c>
      <c r="J982" s="404">
        <v>9010</v>
      </c>
      <c r="K982" s="403">
        <v>759956.3</v>
      </c>
      <c r="L982" s="404">
        <v>365</v>
      </c>
      <c r="M982" s="403">
        <v>30786</v>
      </c>
      <c r="N982" s="403">
        <v>92443</v>
      </c>
      <c r="O982" s="403">
        <v>707511</v>
      </c>
    </row>
    <row r="983" spans="2:15" s="154" customFormat="1" ht="27">
      <c r="B983" s="165" t="s">
        <v>4412</v>
      </c>
      <c r="C983" s="422"/>
      <c r="D983" s="422"/>
      <c r="E983" s="427">
        <v>943902</v>
      </c>
      <c r="F983" s="431">
        <v>943902</v>
      </c>
      <c r="G983" s="404">
        <v>30</v>
      </c>
      <c r="H983" s="405">
        <v>52564</v>
      </c>
      <c r="I983" s="404">
        <v>8644</v>
      </c>
      <c r="J983" s="404">
        <v>8644</v>
      </c>
      <c r="K983" s="403">
        <v>896706.9</v>
      </c>
      <c r="L983" s="404">
        <v>365</v>
      </c>
      <c r="M983" s="403">
        <v>37864</v>
      </c>
      <c r="N983" s="403">
        <v>75728</v>
      </c>
      <c r="O983" s="403">
        <v>868174</v>
      </c>
    </row>
    <row r="984" spans="2:15" s="154" customFormat="1" ht="27">
      <c r="B984" s="165" t="s">
        <v>4430</v>
      </c>
      <c r="C984" s="422"/>
      <c r="D984" s="422"/>
      <c r="E984" s="427">
        <v>84988</v>
      </c>
      <c r="F984" s="431">
        <v>84988</v>
      </c>
      <c r="G984" s="404">
        <v>30</v>
      </c>
      <c r="H984" s="405">
        <v>52564</v>
      </c>
      <c r="I984" s="404">
        <v>8553</v>
      </c>
      <c r="J984" s="404">
        <v>8553</v>
      </c>
      <c r="K984" s="403">
        <v>80738.600000000006</v>
      </c>
      <c r="L984" s="404">
        <v>365</v>
      </c>
      <c r="M984" s="403">
        <v>3446</v>
      </c>
      <c r="N984" s="403">
        <v>6033</v>
      </c>
      <c r="O984" s="403">
        <v>78955</v>
      </c>
    </row>
    <row r="985" spans="2:15" s="154" customFormat="1" ht="27">
      <c r="B985" s="165" t="s">
        <v>4462</v>
      </c>
      <c r="C985" s="422"/>
      <c r="D985" s="422"/>
      <c r="E985" s="427">
        <v>-294519</v>
      </c>
      <c r="F985" s="431">
        <v>-294519</v>
      </c>
      <c r="G985" s="404">
        <v>30</v>
      </c>
      <c r="H985" s="405">
        <v>52564</v>
      </c>
      <c r="I985" s="404">
        <v>8461</v>
      </c>
      <c r="J985" s="404">
        <v>8461</v>
      </c>
      <c r="K985" s="403">
        <v>-279793.05</v>
      </c>
      <c r="L985" s="404">
        <v>365</v>
      </c>
      <c r="M985" s="403">
        <v>-12070</v>
      </c>
      <c r="N985" s="403">
        <v>-18088</v>
      </c>
      <c r="O985" s="403">
        <v>-276431</v>
      </c>
    </row>
    <row r="986" spans="2:15" s="154" customFormat="1" ht="27">
      <c r="B986" s="165" t="s">
        <v>4538</v>
      </c>
      <c r="C986" s="422"/>
      <c r="D986" s="422"/>
      <c r="E986" s="427">
        <v>-109259</v>
      </c>
      <c r="F986" s="431">
        <v>-109259</v>
      </c>
      <c r="G986" s="404">
        <v>30</v>
      </c>
      <c r="H986" s="405">
        <v>52564</v>
      </c>
      <c r="I986" s="404">
        <v>8369</v>
      </c>
      <c r="J986" s="404">
        <v>8369</v>
      </c>
      <c r="K986" s="403">
        <v>-103796.05</v>
      </c>
      <c r="L986" s="404">
        <v>365</v>
      </c>
      <c r="M986" s="403">
        <v>-4527</v>
      </c>
      <c r="N986" s="403">
        <v>-5643</v>
      </c>
      <c r="O986" s="403">
        <v>-103616</v>
      </c>
    </row>
    <row r="987" spans="2:15" s="154" customFormat="1" ht="27">
      <c r="B987" s="165" t="s">
        <v>4567</v>
      </c>
      <c r="C987" s="422"/>
      <c r="D987" s="422"/>
      <c r="E987" s="427">
        <v>49601</v>
      </c>
      <c r="F987" s="431">
        <v>49601</v>
      </c>
      <c r="G987" s="404">
        <v>30</v>
      </c>
      <c r="H987" s="405">
        <v>52564</v>
      </c>
      <c r="I987" s="404">
        <v>8279</v>
      </c>
      <c r="J987" s="404">
        <v>8279</v>
      </c>
      <c r="K987" s="403">
        <v>47120.95</v>
      </c>
      <c r="L987" s="404">
        <v>365</v>
      </c>
      <c r="M987" s="403">
        <v>2077</v>
      </c>
      <c r="N987" s="403">
        <v>2077</v>
      </c>
      <c r="O987" s="403">
        <v>47524</v>
      </c>
    </row>
    <row r="988" spans="2:15" s="154" customFormat="1" ht="27">
      <c r="B988" s="165" t="s">
        <v>4597</v>
      </c>
      <c r="C988" s="422"/>
      <c r="D988" s="422"/>
      <c r="E988" s="427">
        <v>175534</v>
      </c>
      <c r="F988" s="431">
        <v>175534</v>
      </c>
      <c r="G988" s="404">
        <v>30</v>
      </c>
      <c r="H988" s="405">
        <v>52564</v>
      </c>
      <c r="I988" s="404">
        <v>8188</v>
      </c>
      <c r="J988" s="404">
        <v>8188</v>
      </c>
      <c r="K988" s="403">
        <v>166757.29999999999</v>
      </c>
      <c r="L988" s="404">
        <v>274</v>
      </c>
      <c r="M988" s="403">
        <v>5580</v>
      </c>
      <c r="N988" s="403">
        <v>5580</v>
      </c>
      <c r="O988" s="403">
        <v>169954</v>
      </c>
    </row>
    <row r="989" spans="2:15" s="154" customFormat="1" ht="27">
      <c r="B989" s="165" t="s">
        <v>4622</v>
      </c>
      <c r="C989" s="422"/>
      <c r="D989" s="422"/>
      <c r="E989" s="427">
        <v>-13107</v>
      </c>
      <c r="F989" s="431">
        <v>-13107</v>
      </c>
      <c r="G989" s="404">
        <v>30</v>
      </c>
      <c r="H989" s="405">
        <v>52564</v>
      </c>
      <c r="I989" s="404">
        <v>8096</v>
      </c>
      <c r="J989" s="404">
        <v>8096</v>
      </c>
      <c r="K989" s="403">
        <v>-12451.65</v>
      </c>
      <c r="L989" s="404">
        <v>182</v>
      </c>
      <c r="M989" s="403">
        <v>-280</v>
      </c>
      <c r="N989" s="403">
        <v>-280</v>
      </c>
      <c r="O989" s="403">
        <v>-12827</v>
      </c>
    </row>
    <row r="990" spans="2:15" s="154" customFormat="1" ht="27">
      <c r="B990" s="165" t="s">
        <v>4635</v>
      </c>
      <c r="C990" s="422"/>
      <c r="D990" s="422"/>
      <c r="E990" s="427">
        <v>27033</v>
      </c>
      <c r="F990" s="431">
        <v>27033</v>
      </c>
      <c r="G990" s="404">
        <v>30</v>
      </c>
      <c r="H990" s="405">
        <v>52564</v>
      </c>
      <c r="I990" s="404">
        <v>8004</v>
      </c>
      <c r="J990" s="404">
        <v>8004</v>
      </c>
      <c r="K990" s="403">
        <v>25681.35</v>
      </c>
      <c r="L990" s="404">
        <v>90</v>
      </c>
      <c r="M990" s="403">
        <v>289</v>
      </c>
      <c r="N990" s="403">
        <v>289</v>
      </c>
      <c r="O990" s="403">
        <v>26744</v>
      </c>
    </row>
    <row r="991" spans="2:15" s="154" customFormat="1" ht="27">
      <c r="B991" s="165" t="s">
        <v>4652</v>
      </c>
      <c r="C991" s="422"/>
      <c r="D991" s="422"/>
      <c r="E991" s="427">
        <v>217826</v>
      </c>
      <c r="F991" s="431">
        <v>217826</v>
      </c>
      <c r="G991" s="404">
        <v>30</v>
      </c>
      <c r="H991" s="405">
        <v>52564</v>
      </c>
      <c r="I991" s="404">
        <v>7914</v>
      </c>
      <c r="J991" s="404">
        <v>7914</v>
      </c>
      <c r="K991" s="403">
        <v>206934.7</v>
      </c>
      <c r="L991" s="404">
        <v>0</v>
      </c>
      <c r="M991" s="403">
        <v>0</v>
      </c>
      <c r="N991" s="403">
        <v>0</v>
      </c>
      <c r="O991" s="403">
        <v>217826</v>
      </c>
    </row>
    <row r="992" spans="2:15" s="154" customFormat="1">
      <c r="B992" s="172"/>
      <c r="C992" s="172"/>
      <c r="D992" s="172"/>
      <c r="E992" s="175"/>
      <c r="F992" s="436"/>
      <c r="G992" s="174"/>
      <c r="H992" s="173"/>
      <c r="I992" s="174"/>
      <c r="J992" s="174"/>
      <c r="K992" s="175"/>
      <c r="L992" s="174"/>
      <c r="M992" s="176"/>
      <c r="N992" s="174"/>
      <c r="O992" s="174"/>
    </row>
    <row r="993" spans="2:23" s="154" customFormat="1">
      <c r="B993" s="119"/>
      <c r="C993" s="119"/>
      <c r="D993" s="119"/>
      <c r="E993" s="126"/>
      <c r="F993" s="430"/>
      <c r="G993" s="118"/>
      <c r="H993" s="118"/>
      <c r="I993" s="118"/>
      <c r="J993" s="118"/>
      <c r="K993" s="118"/>
      <c r="L993" s="118"/>
      <c r="M993" s="118"/>
      <c r="N993" s="118"/>
      <c r="O993" s="118"/>
    </row>
    <row r="994" spans="2:23" s="154" customFormat="1" ht="14.25">
      <c r="B994" s="146" t="s">
        <v>1837</v>
      </c>
      <c r="C994" s="147"/>
      <c r="D994" s="147"/>
      <c r="E994" s="137">
        <v>1698289.8791057263</v>
      </c>
      <c r="F994" s="437">
        <f>SUBTOTAL(9,F961:F993)</f>
        <v>1778947.1936596348</v>
      </c>
      <c r="G994" s="121"/>
      <c r="H994" s="121"/>
      <c r="I994" s="122"/>
      <c r="J994" s="122"/>
      <c r="K994" s="122"/>
      <c r="L994" s="121"/>
      <c r="M994" s="137">
        <f>SUBTOTAL(9,M961:M993)</f>
        <v>61466</v>
      </c>
      <c r="N994" s="137">
        <f>SUBTOTAL(9,N961:N993)</f>
        <v>131396</v>
      </c>
      <c r="O994" s="137">
        <f>SUBTOTAL(9,O961:O993)</f>
        <v>1647551.1936596348</v>
      </c>
    </row>
    <row r="995" spans="2:23" s="154" customFormat="1" ht="14.25">
      <c r="B995" s="156" t="s">
        <v>754</v>
      </c>
      <c r="C995" s="119"/>
      <c r="D995" s="119"/>
      <c r="E995" s="135">
        <v>548636706.1973815</v>
      </c>
      <c r="F995" s="166">
        <f>SUBTOTAL(9,F945:F994)</f>
        <v>523028477.15166539</v>
      </c>
      <c r="G995" s="118"/>
      <c r="H995" s="118"/>
      <c r="I995" s="120"/>
      <c r="J995" s="120"/>
      <c r="K995" s="120"/>
      <c r="L995" s="118"/>
      <c r="M995" s="120">
        <f>+SUBTOTAL(9,M945:M994)</f>
        <v>37792931</v>
      </c>
      <c r="N995" s="120">
        <f>+SUBTOTAL(9,N945:N994)</f>
        <v>333871877</v>
      </c>
      <c r="O995" s="120">
        <f>+SUBTOTAL(9,O945:O994)</f>
        <v>189156600.15166542</v>
      </c>
    </row>
    <row r="996" spans="2:23" s="154" customFormat="1" ht="14.25">
      <c r="B996" s="167"/>
      <c r="C996" s="148"/>
      <c r="D996" s="148"/>
      <c r="E996" s="131"/>
      <c r="F996" s="522">
        <f>F995+F942</f>
        <v>6071760938.2947025</v>
      </c>
      <c r="G996" s="523"/>
      <c r="H996" s="523"/>
      <c r="I996" s="523"/>
      <c r="J996" s="523"/>
      <c r="K996" s="523"/>
      <c r="L996" s="523"/>
      <c r="M996" s="523"/>
      <c r="N996" s="523"/>
      <c r="O996" s="522">
        <f>O995+O942</f>
        <v>3707247343.294703</v>
      </c>
      <c r="Q996" s="154">
        <f>F995+F942</f>
        <v>6071760938.2947025</v>
      </c>
      <c r="R996" s="2">
        <f>M995+M942</f>
        <v>349195036</v>
      </c>
      <c r="S996" s="2">
        <f>N995+N942</f>
        <v>2364513595</v>
      </c>
      <c r="T996" s="2">
        <f>O995+O942</f>
        <v>3707247343.294703</v>
      </c>
      <c r="U996" s="154">
        <f>J995+J942</f>
        <v>0</v>
      </c>
      <c r="V996" s="154">
        <f>K995+K942</f>
        <v>0</v>
      </c>
      <c r="W996" s="2">
        <f>R995+R942</f>
        <v>0</v>
      </c>
    </row>
    <row r="997" spans="2:23" s="154" customFormat="1" ht="15" thickBot="1">
      <c r="B997" s="169" t="s">
        <v>915</v>
      </c>
      <c r="C997" s="168"/>
      <c r="D997" s="168"/>
      <c r="E997" s="140">
        <v>44736638398.711411</v>
      </c>
      <c r="F997" s="170">
        <f>SUBTOTAL(9,F8:F996)</f>
        <v>48893743804.725677</v>
      </c>
      <c r="G997" s="124"/>
      <c r="H997" s="124"/>
      <c r="I997" s="125"/>
      <c r="J997" s="125"/>
      <c r="K997" s="125"/>
      <c r="L997" s="124"/>
      <c r="M997" s="125">
        <f>+SUBTOTAL(9,M8:M996)</f>
        <v>1924926852</v>
      </c>
      <c r="N997" s="125">
        <f>+SUBTOTAL(9,N8:N996)</f>
        <v>14012518002</v>
      </c>
      <c r="O997" s="125">
        <f>+SUBTOTAL(9,O8:O996)</f>
        <v>32516712077.725689</v>
      </c>
    </row>
    <row r="998" spans="2:23" s="154" customFormat="1" ht="14.25" thickTop="1">
      <c r="B998" s="171"/>
      <c r="C998" s="171"/>
      <c r="D998" s="171"/>
      <c r="E998" s="136">
        <v>0</v>
      </c>
      <c r="F998" s="136">
        <f>42821982866.431-F997</f>
        <v>-6071760938.2946777</v>
      </c>
      <c r="G998" s="123"/>
      <c r="H998" s="123"/>
      <c r="I998" s="123"/>
      <c r="J998" s="123"/>
      <c r="K998" s="123"/>
      <c r="L998" s="123"/>
      <c r="M998" s="123">
        <f>1924926852-M997</f>
        <v>0</v>
      </c>
      <c r="N998" s="123">
        <f>14012518002-N997</f>
        <v>0</v>
      </c>
      <c r="O998" s="123">
        <f>28809464734.431-O997</f>
        <v>-3707247343.2946892</v>
      </c>
    </row>
    <row r="1001" spans="2:23">
      <c r="E1001" s="403">
        <v>0</v>
      </c>
    </row>
  </sheetData>
  <autoFilter ref="A4:O996"/>
  <mergeCells count="1">
    <mergeCell ref="L3:O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906"/>
  <sheetViews>
    <sheetView workbookViewId="0">
      <pane ySplit="5" topLeftCell="A826" activePane="bottomLeft" state="frozen"/>
      <selection pane="bottomLeft" activeCell="E833" sqref="E833 N833"/>
    </sheetView>
  </sheetViews>
  <sheetFormatPr defaultColWidth="9" defaultRowHeight="13.5" outlineLevelRow="1"/>
  <cols>
    <col min="1" max="1" width="2.75" style="1" customWidth="1"/>
    <col min="2" max="2" width="25.625" style="1" customWidth="1"/>
    <col min="3" max="3" width="26.125" style="1" customWidth="1"/>
    <col min="4" max="4" width="24.375" style="1" customWidth="1"/>
    <col min="5" max="5" width="11.375" style="1" bestFit="1" customWidth="1"/>
    <col min="6" max="6" width="4.25" style="1" hidden="1" customWidth="1"/>
    <col min="7" max="7" width="11.625" style="1" hidden="1" customWidth="1"/>
    <col min="8" max="8" width="7.375" style="1" hidden="1" customWidth="1"/>
    <col min="9" max="9" width="9.375" style="1" hidden="1" customWidth="1"/>
    <col min="10" max="10" width="10.75" style="154" hidden="1" customWidth="1"/>
    <col min="11" max="11" width="3.875" style="1" hidden="1" customWidth="1"/>
    <col min="12" max="12" width="10.625" style="1" hidden="1" customWidth="1"/>
    <col min="13" max="13" width="11.625" style="1" hidden="1" customWidth="1"/>
    <col min="14" max="14" width="11.625" style="1" bestFit="1" customWidth="1"/>
    <col min="15" max="26" width="9.75" style="1" customWidth="1"/>
    <col min="27" max="16384" width="9" style="1"/>
  </cols>
  <sheetData>
    <row r="1" spans="2:14" ht="14.25">
      <c r="K1" s="618">
        <v>44651</v>
      </c>
      <c r="L1" s="618"/>
      <c r="M1" s="618"/>
      <c r="N1" s="618"/>
    </row>
    <row r="2" spans="2:14" ht="14.25">
      <c r="B2" s="127" t="s">
        <v>436</v>
      </c>
    </row>
    <row r="3" spans="2:14" ht="14.25">
      <c r="B3" s="127" t="s">
        <v>3655</v>
      </c>
      <c r="C3" s="1" t="s">
        <v>4668</v>
      </c>
      <c r="D3" s="1" t="s">
        <v>4667</v>
      </c>
    </row>
    <row r="4" spans="2:14">
      <c r="C4" s="152">
        <f>E830+E800</f>
        <v>401687455.87347925</v>
      </c>
      <c r="D4" s="152">
        <f>E756+E786</f>
        <v>7810106274.3192091</v>
      </c>
      <c r="H4" s="160"/>
      <c r="I4" s="438"/>
      <c r="L4" s="152">
        <f>N787</f>
        <v>6415207492.3192101</v>
      </c>
      <c r="M4" s="152">
        <f>N831</f>
        <v>257979580.87347928</v>
      </c>
    </row>
    <row r="5" spans="2:14" s="129" customFormat="1" ht="57">
      <c r="B5" s="402" t="s">
        <v>3656</v>
      </c>
      <c r="C5" s="83" t="s">
        <v>3657</v>
      </c>
      <c r="D5" s="83" t="s">
        <v>3022</v>
      </c>
      <c r="E5" s="402" t="s">
        <v>754</v>
      </c>
      <c r="F5" s="402" t="s">
        <v>3025</v>
      </c>
      <c r="G5" s="83" t="s">
        <v>2471</v>
      </c>
      <c r="H5" s="83" t="s">
        <v>2470</v>
      </c>
      <c r="I5" s="83" t="s">
        <v>2473</v>
      </c>
      <c r="J5" s="439" t="s">
        <v>2472</v>
      </c>
      <c r="K5" s="83" t="s">
        <v>2413</v>
      </c>
      <c r="L5" s="83" t="s">
        <v>2414</v>
      </c>
      <c r="M5" s="83" t="s">
        <v>2415</v>
      </c>
      <c r="N5" s="83" t="s">
        <v>404</v>
      </c>
    </row>
    <row r="6" spans="2:14" ht="14.25" hidden="1">
      <c r="B6" s="119"/>
      <c r="C6" s="119"/>
      <c r="D6" s="119"/>
      <c r="E6" s="156"/>
      <c r="F6" s="119"/>
      <c r="G6" s="119"/>
      <c r="H6" s="119"/>
      <c r="I6" s="119"/>
      <c r="J6" s="118"/>
      <c r="K6" s="119"/>
      <c r="L6" s="119"/>
      <c r="M6" s="119"/>
      <c r="N6" s="119"/>
    </row>
    <row r="7" spans="2:14" ht="14.25" hidden="1">
      <c r="B7" s="156" t="s">
        <v>603</v>
      </c>
      <c r="C7" s="119"/>
      <c r="D7" s="119"/>
      <c r="E7" s="156"/>
      <c r="F7" s="119"/>
      <c r="G7" s="119"/>
      <c r="H7" s="119"/>
      <c r="I7" s="119"/>
      <c r="J7" s="118"/>
      <c r="K7" s="119"/>
      <c r="L7" s="119"/>
      <c r="M7" s="119"/>
      <c r="N7" s="119"/>
    </row>
    <row r="8" spans="2:14" ht="14.25" hidden="1">
      <c r="B8" s="156" t="str">
        <f>+B9</f>
        <v>Air and Flue gas system</v>
      </c>
      <c r="C8" s="119"/>
      <c r="D8" s="119"/>
      <c r="E8" s="156"/>
      <c r="F8" s="119"/>
      <c r="G8" s="119"/>
      <c r="H8" s="119"/>
      <c r="I8" s="119"/>
      <c r="J8" s="118"/>
      <c r="K8" s="119"/>
      <c r="L8" s="119"/>
      <c r="M8" s="119"/>
      <c r="N8" s="119"/>
    </row>
    <row r="9" spans="2:14" s="154" customFormat="1" ht="27" hidden="1" outlineLevel="1">
      <c r="B9" s="165" t="s">
        <v>2323</v>
      </c>
      <c r="C9" s="165" t="s">
        <v>3026</v>
      </c>
      <c r="D9" s="165" t="s">
        <v>3027</v>
      </c>
      <c r="E9" s="404">
        <v>19255025.55121972</v>
      </c>
      <c r="F9" s="404">
        <v>30</v>
      </c>
      <c r="G9" s="405">
        <v>53174</v>
      </c>
      <c r="H9" s="404">
        <v>10958</v>
      </c>
      <c r="I9" s="404">
        <v>962751.27756098611</v>
      </c>
      <c r="J9" s="404">
        <v>18292274.273658734</v>
      </c>
      <c r="K9" s="404">
        <v>365</v>
      </c>
      <c r="L9" s="403">
        <v>609297</v>
      </c>
      <c r="M9" s="403">
        <v>4064960</v>
      </c>
      <c r="N9" s="403">
        <v>15190065.55121972</v>
      </c>
    </row>
    <row r="10" spans="2:14" s="154" customFormat="1" ht="27" hidden="1" outlineLevel="1">
      <c r="B10" s="165" t="s">
        <v>2323</v>
      </c>
      <c r="C10" s="165" t="s">
        <v>3026</v>
      </c>
      <c r="D10" s="165" t="s">
        <v>3028</v>
      </c>
      <c r="E10" s="404">
        <v>2139447.8050046051</v>
      </c>
      <c r="F10" s="404">
        <v>5</v>
      </c>
      <c r="G10" s="405">
        <v>44043</v>
      </c>
      <c r="H10" s="404">
        <v>1827</v>
      </c>
      <c r="I10" s="404">
        <v>106972.39025023027</v>
      </c>
      <c r="J10" s="404">
        <v>2032475.4147543749</v>
      </c>
      <c r="K10" s="404">
        <v>0</v>
      </c>
      <c r="L10" s="403">
        <v>0</v>
      </c>
      <c r="M10" s="403">
        <v>2139448</v>
      </c>
      <c r="N10" s="403">
        <v>-0.19499539490789175</v>
      </c>
    </row>
    <row r="11" spans="2:14" s="154" customFormat="1" ht="27" hidden="1" outlineLevel="1">
      <c r="B11" s="165" t="s">
        <v>2323</v>
      </c>
      <c r="C11" s="165" t="s">
        <v>3658</v>
      </c>
      <c r="D11" s="165" t="s">
        <v>3030</v>
      </c>
      <c r="E11" s="404">
        <v>2515215.8679345241</v>
      </c>
      <c r="F11" s="404">
        <v>20</v>
      </c>
      <c r="G11" s="405">
        <v>49521</v>
      </c>
      <c r="H11" s="404">
        <v>7305</v>
      </c>
      <c r="I11" s="404">
        <v>125760.79339672621</v>
      </c>
      <c r="J11" s="404">
        <v>2389455.0745377978</v>
      </c>
      <c r="K11" s="404">
        <v>365</v>
      </c>
      <c r="L11" s="403">
        <v>119391</v>
      </c>
      <c r="M11" s="403">
        <v>796524</v>
      </c>
      <c r="N11" s="403">
        <v>1718691.8679345241</v>
      </c>
    </row>
    <row r="12" spans="2:14" s="154" customFormat="1" ht="27" hidden="1" outlineLevel="1">
      <c r="B12" s="165" t="s">
        <v>2323</v>
      </c>
      <c r="C12" s="165" t="s">
        <v>3031</v>
      </c>
      <c r="D12" s="165" t="s">
        <v>3032</v>
      </c>
      <c r="E12" s="404">
        <v>7415004.2369409455</v>
      </c>
      <c r="F12" s="404">
        <v>30</v>
      </c>
      <c r="G12" s="405">
        <v>53174</v>
      </c>
      <c r="H12" s="404">
        <v>10958</v>
      </c>
      <c r="I12" s="404">
        <v>370750.21184704732</v>
      </c>
      <c r="J12" s="404">
        <v>7044254.0250938982</v>
      </c>
      <c r="K12" s="404">
        <v>365</v>
      </c>
      <c r="L12" s="403">
        <v>234637</v>
      </c>
      <c r="M12" s="403">
        <v>1565394</v>
      </c>
      <c r="N12" s="403">
        <v>5849610.2369409455</v>
      </c>
    </row>
    <row r="13" spans="2:14" s="154" customFormat="1" hidden="1" outlineLevel="1">
      <c r="B13" s="165" t="s">
        <v>2323</v>
      </c>
      <c r="C13" s="165" t="s">
        <v>3031</v>
      </c>
      <c r="D13" s="165" t="s">
        <v>3033</v>
      </c>
      <c r="E13" s="404">
        <v>186695401.31329703</v>
      </c>
      <c r="F13" s="404">
        <v>30</v>
      </c>
      <c r="G13" s="405">
        <v>53174</v>
      </c>
      <c r="H13" s="404">
        <v>10958</v>
      </c>
      <c r="I13" s="404">
        <v>9334770.065664852</v>
      </c>
      <c r="J13" s="404">
        <v>177360631.24763218</v>
      </c>
      <c r="K13" s="404">
        <v>365</v>
      </c>
      <c r="L13" s="403">
        <v>5907705</v>
      </c>
      <c r="M13" s="403">
        <v>39413585</v>
      </c>
      <c r="N13" s="403">
        <v>147281816.31329703</v>
      </c>
    </row>
    <row r="14" spans="2:14" s="154" customFormat="1" hidden="1" outlineLevel="1">
      <c r="B14" s="165" t="s">
        <v>2323</v>
      </c>
      <c r="C14" s="165" t="s">
        <v>3031</v>
      </c>
      <c r="D14" s="165" t="s">
        <v>3035</v>
      </c>
      <c r="E14" s="404">
        <v>147867923.06397223</v>
      </c>
      <c r="F14" s="404">
        <v>30</v>
      </c>
      <c r="G14" s="405">
        <v>53174</v>
      </c>
      <c r="H14" s="404">
        <v>10958</v>
      </c>
      <c r="I14" s="404">
        <v>7393396.1531986119</v>
      </c>
      <c r="J14" s="404">
        <v>140474526.91077363</v>
      </c>
      <c r="K14" s="404">
        <v>365</v>
      </c>
      <c r="L14" s="403">
        <v>4679066</v>
      </c>
      <c r="M14" s="403">
        <v>31216651</v>
      </c>
      <c r="N14" s="403">
        <v>116651272.06397223</v>
      </c>
    </row>
    <row r="15" spans="2:14" s="154" customFormat="1" ht="54" hidden="1" outlineLevel="1">
      <c r="B15" s="165" t="s">
        <v>2323</v>
      </c>
      <c r="C15" s="165" t="s">
        <v>3031</v>
      </c>
      <c r="D15" s="165" t="s">
        <v>3037</v>
      </c>
      <c r="E15" s="404">
        <v>36966980.764761798</v>
      </c>
      <c r="F15" s="404">
        <v>20</v>
      </c>
      <c r="G15" s="405">
        <v>49521</v>
      </c>
      <c r="H15" s="404">
        <v>7305</v>
      </c>
      <c r="I15" s="404">
        <v>1848349.03823809</v>
      </c>
      <c r="J15" s="404">
        <v>35118631.726523705</v>
      </c>
      <c r="K15" s="404">
        <v>365</v>
      </c>
      <c r="L15" s="403">
        <v>1754730</v>
      </c>
      <c r="M15" s="403">
        <v>11706779</v>
      </c>
      <c r="N15" s="403">
        <v>25260201.764761798</v>
      </c>
    </row>
    <row r="16" spans="2:14" s="154" customFormat="1" hidden="1" outlineLevel="1">
      <c r="B16" s="165" t="s">
        <v>2323</v>
      </c>
      <c r="C16" s="165" t="s">
        <v>3031</v>
      </c>
      <c r="D16" s="165" t="s">
        <v>3040</v>
      </c>
      <c r="E16" s="404">
        <v>20158750.198173761</v>
      </c>
      <c r="F16" s="404">
        <v>30</v>
      </c>
      <c r="G16" s="405">
        <v>53174</v>
      </c>
      <c r="H16" s="404">
        <v>10958</v>
      </c>
      <c r="I16" s="404">
        <v>1007937.5099086881</v>
      </c>
      <c r="J16" s="404">
        <v>19150812.688265074</v>
      </c>
      <c r="K16" s="404">
        <v>365</v>
      </c>
      <c r="L16" s="403">
        <v>637894</v>
      </c>
      <c r="M16" s="403">
        <v>4255746</v>
      </c>
      <c r="N16" s="403">
        <v>15903004.198173761</v>
      </c>
    </row>
    <row r="17" spans="2:26" s="154" customFormat="1" hidden="1" outlineLevel="1">
      <c r="B17" s="165" t="s">
        <v>2323</v>
      </c>
      <c r="C17" s="165" t="s">
        <v>3031</v>
      </c>
      <c r="D17" s="165" t="s">
        <v>3041</v>
      </c>
      <c r="E17" s="404">
        <v>2478114.685217273</v>
      </c>
      <c r="F17" s="404">
        <v>30</v>
      </c>
      <c r="G17" s="405">
        <v>53174</v>
      </c>
      <c r="H17" s="404">
        <v>10958</v>
      </c>
      <c r="I17" s="404">
        <v>123905.73426086365</v>
      </c>
      <c r="J17" s="404">
        <v>2354208.9509564093</v>
      </c>
      <c r="K17" s="404">
        <v>365</v>
      </c>
      <c r="L17" s="403">
        <v>78416</v>
      </c>
      <c r="M17" s="403">
        <v>523157</v>
      </c>
      <c r="N17" s="403">
        <v>1954957.685217273</v>
      </c>
    </row>
    <row r="18" spans="2:26" s="154" customFormat="1" hidden="1" outlineLevel="1">
      <c r="B18" s="165" t="s">
        <v>2323</v>
      </c>
      <c r="C18" s="165" t="s">
        <v>3031</v>
      </c>
      <c r="D18" s="165" t="s">
        <v>3042</v>
      </c>
      <c r="E18" s="404">
        <v>3670554.044103568</v>
      </c>
      <c r="F18" s="404">
        <v>30</v>
      </c>
      <c r="G18" s="405">
        <v>53174</v>
      </c>
      <c r="H18" s="404">
        <v>10958</v>
      </c>
      <c r="I18" s="404">
        <v>183527.70220517842</v>
      </c>
      <c r="J18" s="404">
        <v>3487026.3418983896</v>
      </c>
      <c r="K18" s="404">
        <v>365</v>
      </c>
      <c r="L18" s="403">
        <v>116149</v>
      </c>
      <c r="M18" s="403">
        <v>774896</v>
      </c>
      <c r="N18" s="403">
        <v>2895658.044103568</v>
      </c>
    </row>
    <row r="19" spans="2:26" s="154" customFormat="1" hidden="1" outlineLevel="1">
      <c r="B19" s="165" t="s">
        <v>2323</v>
      </c>
      <c r="C19" s="165" t="s">
        <v>3031</v>
      </c>
      <c r="D19" s="165" t="s">
        <v>3043</v>
      </c>
      <c r="E19" s="404">
        <v>2447068.2032653941</v>
      </c>
      <c r="F19" s="404">
        <v>20</v>
      </c>
      <c r="G19" s="405">
        <v>49521</v>
      </c>
      <c r="H19" s="404">
        <v>7305</v>
      </c>
      <c r="I19" s="404">
        <v>122353.41016326971</v>
      </c>
      <c r="J19" s="404">
        <v>2324714.7931021242</v>
      </c>
      <c r="K19" s="404">
        <v>365</v>
      </c>
      <c r="L19" s="403">
        <v>116156</v>
      </c>
      <c r="M19" s="403">
        <v>774941</v>
      </c>
      <c r="N19" s="403">
        <v>1672127.2032653941</v>
      </c>
    </row>
    <row r="20" spans="2:26" s="154" customFormat="1" hidden="1" outlineLevel="1">
      <c r="B20" s="165" t="s">
        <v>2323</v>
      </c>
      <c r="C20" s="165" t="s">
        <v>3031</v>
      </c>
      <c r="D20" s="165" t="s">
        <v>3044</v>
      </c>
      <c r="E20" s="404">
        <v>12263667.738070453</v>
      </c>
      <c r="F20" s="404">
        <v>20</v>
      </c>
      <c r="G20" s="405">
        <v>49521</v>
      </c>
      <c r="H20" s="404">
        <v>7305</v>
      </c>
      <c r="I20" s="404">
        <v>613183.38690352265</v>
      </c>
      <c r="J20" s="404">
        <v>11650484.35116693</v>
      </c>
      <c r="K20" s="404">
        <v>365</v>
      </c>
      <c r="L20" s="403">
        <v>582126</v>
      </c>
      <c r="M20" s="403">
        <v>3883685</v>
      </c>
      <c r="N20" s="403">
        <v>8379982.7380704526</v>
      </c>
    </row>
    <row r="21" spans="2:26" s="154" customFormat="1" ht="27" hidden="1" outlineLevel="1">
      <c r="B21" s="165" t="s">
        <v>2323</v>
      </c>
      <c r="C21" s="165" t="s">
        <v>3031</v>
      </c>
      <c r="D21" s="165" t="s">
        <v>3045</v>
      </c>
      <c r="E21" s="404">
        <v>1223579.681066344</v>
      </c>
      <c r="F21" s="404">
        <v>20</v>
      </c>
      <c r="G21" s="405">
        <v>49521</v>
      </c>
      <c r="H21" s="404">
        <v>7305</v>
      </c>
      <c r="I21" s="404">
        <v>61178.984053317203</v>
      </c>
      <c r="J21" s="404">
        <v>1162400.6970130268</v>
      </c>
      <c r="K21" s="404">
        <v>365</v>
      </c>
      <c r="L21" s="403">
        <v>58080</v>
      </c>
      <c r="M21" s="403">
        <v>387484</v>
      </c>
      <c r="N21" s="403">
        <v>836095.68106634403</v>
      </c>
    </row>
    <row r="22" spans="2:26" s="154" customFormat="1" ht="27" hidden="1" outlineLevel="1">
      <c r="B22" s="165" t="s">
        <v>2323</v>
      </c>
      <c r="C22" s="165" t="s">
        <v>3031</v>
      </c>
      <c r="D22" s="165" t="s">
        <v>3046</v>
      </c>
      <c r="E22" s="404">
        <v>1223579.681066344</v>
      </c>
      <c r="F22" s="404">
        <v>20</v>
      </c>
      <c r="G22" s="405">
        <v>49521</v>
      </c>
      <c r="H22" s="404">
        <v>7305</v>
      </c>
      <c r="I22" s="404">
        <v>61178.984053317203</v>
      </c>
      <c r="J22" s="404">
        <v>1162400.6970130268</v>
      </c>
      <c r="K22" s="404">
        <v>365</v>
      </c>
      <c r="L22" s="403">
        <v>58080</v>
      </c>
      <c r="M22" s="403">
        <v>387484</v>
      </c>
      <c r="N22" s="403">
        <v>836095.68106634403</v>
      </c>
    </row>
    <row r="23" spans="2:26" s="154" customFormat="1" hidden="1" outlineLevel="1">
      <c r="B23" s="165" t="s">
        <v>2323</v>
      </c>
      <c r="C23" s="165" t="s">
        <v>3031</v>
      </c>
      <c r="D23" s="165" t="s">
        <v>3047</v>
      </c>
      <c r="E23" s="404">
        <v>12938107.605933268</v>
      </c>
      <c r="F23" s="404">
        <v>20</v>
      </c>
      <c r="G23" s="405">
        <v>49521</v>
      </c>
      <c r="H23" s="404">
        <v>7305</v>
      </c>
      <c r="I23" s="404">
        <v>646905.38029666338</v>
      </c>
      <c r="J23" s="404">
        <v>12291202.225636605</v>
      </c>
      <c r="K23" s="404">
        <v>365</v>
      </c>
      <c r="L23" s="403">
        <v>614139</v>
      </c>
      <c r="M23" s="403">
        <v>4097264</v>
      </c>
      <c r="N23" s="403">
        <v>8840843.6059332676</v>
      </c>
    </row>
    <row r="24" spans="2:26" s="154" customFormat="1" hidden="1" outlineLevel="1">
      <c r="B24" s="165" t="s">
        <v>2323</v>
      </c>
      <c r="C24" s="165" t="s">
        <v>3031</v>
      </c>
      <c r="D24" s="165" t="s">
        <v>3048</v>
      </c>
      <c r="E24" s="404">
        <v>4460551.815153922</v>
      </c>
      <c r="F24" s="404">
        <v>20</v>
      </c>
      <c r="G24" s="405">
        <v>49521</v>
      </c>
      <c r="H24" s="404">
        <v>7305</v>
      </c>
      <c r="I24" s="404">
        <v>223027.5907576961</v>
      </c>
      <c r="J24" s="404">
        <v>4237524.224396226</v>
      </c>
      <c r="K24" s="404">
        <v>365</v>
      </c>
      <c r="L24" s="403">
        <v>211731</v>
      </c>
      <c r="M24" s="403">
        <v>1412575</v>
      </c>
      <c r="N24" s="403">
        <v>3047976.815153922</v>
      </c>
    </row>
    <row r="25" spans="2:26" s="154" customFormat="1" hidden="1" outlineLevel="1">
      <c r="B25" s="165" t="s">
        <v>2323</v>
      </c>
      <c r="C25" s="165" t="s">
        <v>3031</v>
      </c>
      <c r="D25" s="165" t="s">
        <v>3049</v>
      </c>
      <c r="E25" s="404">
        <v>12950174.847852705</v>
      </c>
      <c r="F25" s="404">
        <v>20</v>
      </c>
      <c r="G25" s="405">
        <v>49521</v>
      </c>
      <c r="H25" s="404">
        <v>7305</v>
      </c>
      <c r="I25" s="404">
        <v>647508.74239263532</v>
      </c>
      <c r="J25" s="404">
        <v>12302666.10546007</v>
      </c>
      <c r="K25" s="404">
        <v>365</v>
      </c>
      <c r="L25" s="403">
        <v>614712</v>
      </c>
      <c r="M25" s="403">
        <v>4101086</v>
      </c>
      <c r="N25" s="403">
        <v>8849088.847852705</v>
      </c>
    </row>
    <row r="26" spans="2:26" s="154" customFormat="1" hidden="1" outlineLevel="1">
      <c r="B26" s="165" t="s">
        <v>2323</v>
      </c>
      <c r="C26" s="165" t="s">
        <v>3031</v>
      </c>
      <c r="D26" s="165" t="s">
        <v>3050</v>
      </c>
      <c r="E26" s="404">
        <v>88308519.623304322</v>
      </c>
      <c r="F26" s="404">
        <v>20</v>
      </c>
      <c r="G26" s="405">
        <v>49521</v>
      </c>
      <c r="H26" s="404">
        <v>7305</v>
      </c>
      <c r="I26" s="404">
        <v>4415425.9811652163</v>
      </c>
      <c r="J26" s="404">
        <v>83893093.642139107</v>
      </c>
      <c r="K26" s="404">
        <v>365</v>
      </c>
      <c r="L26" s="403">
        <v>4191784</v>
      </c>
      <c r="M26" s="403">
        <v>27965722</v>
      </c>
      <c r="N26" s="403">
        <v>60342797.623304322</v>
      </c>
    </row>
    <row r="27" spans="2:26" s="154" customFormat="1" hidden="1" outlineLevel="1">
      <c r="B27" s="165" t="s">
        <v>2323</v>
      </c>
      <c r="C27" s="165" t="s">
        <v>3031</v>
      </c>
      <c r="D27" s="165" t="s">
        <v>3051</v>
      </c>
      <c r="E27" s="404">
        <v>268000069.10485357</v>
      </c>
      <c r="F27" s="404">
        <v>7</v>
      </c>
      <c r="G27" s="405">
        <v>44773</v>
      </c>
      <c r="H27" s="404">
        <v>2557</v>
      </c>
      <c r="I27" s="404">
        <v>13400003.455242679</v>
      </c>
      <c r="J27" s="404">
        <v>254600065.64961088</v>
      </c>
      <c r="K27" s="404">
        <v>365</v>
      </c>
      <c r="L27" s="403">
        <v>36342989</v>
      </c>
      <c r="M27" s="403">
        <v>242464291</v>
      </c>
      <c r="N27" s="403">
        <v>25535778.10485357</v>
      </c>
    </row>
    <row r="28" spans="2:26" s="154" customFormat="1" hidden="1" outlineLevel="1">
      <c r="B28" s="165" t="s">
        <v>2323</v>
      </c>
      <c r="C28" s="165" t="s">
        <v>3031</v>
      </c>
      <c r="D28" s="165" t="s">
        <v>3038</v>
      </c>
      <c r="E28" s="404">
        <v>4660759.2578191524</v>
      </c>
      <c r="F28" s="404">
        <v>5</v>
      </c>
      <c r="G28" s="405">
        <v>44043</v>
      </c>
      <c r="H28" s="404">
        <v>1827</v>
      </c>
      <c r="I28" s="404">
        <v>233037.96289095763</v>
      </c>
      <c r="J28" s="404">
        <v>4427721.294928195</v>
      </c>
      <c r="K28" s="404">
        <v>0</v>
      </c>
      <c r="L28" s="403">
        <v>0</v>
      </c>
      <c r="M28" s="403">
        <v>4660759</v>
      </c>
      <c r="N28" s="403">
        <v>0.25781915243715048</v>
      </c>
    </row>
    <row r="29" spans="2:26" s="154" customFormat="1" ht="27" hidden="1" outlineLevel="1">
      <c r="B29" s="165" t="s">
        <v>2323</v>
      </c>
      <c r="C29" s="165" t="s">
        <v>3031</v>
      </c>
      <c r="D29" s="165" t="s">
        <v>3039</v>
      </c>
      <c r="E29" s="404">
        <v>49518110.412571989</v>
      </c>
      <c r="F29" s="404">
        <v>30</v>
      </c>
      <c r="G29" s="405">
        <v>53174</v>
      </c>
      <c r="H29" s="404">
        <v>10958</v>
      </c>
      <c r="I29" s="404">
        <v>2475905.5206285994</v>
      </c>
      <c r="J29" s="404">
        <v>47042204.891943388</v>
      </c>
      <c r="K29" s="404">
        <v>365</v>
      </c>
      <c r="L29" s="403">
        <v>1566929</v>
      </c>
      <c r="M29" s="403">
        <v>10453855</v>
      </c>
      <c r="N29" s="403">
        <v>39064255.412571989</v>
      </c>
    </row>
    <row r="30" spans="2:26" s="154" customFormat="1" hidden="1" outlineLevel="1">
      <c r="B30" s="165" t="s">
        <v>2323</v>
      </c>
      <c r="C30" s="165" t="s">
        <v>3052</v>
      </c>
      <c r="D30" s="165"/>
      <c r="E30" s="404">
        <v>2274832500.9941196</v>
      </c>
      <c r="F30" s="404">
        <v>30</v>
      </c>
      <c r="G30" s="405">
        <v>53174</v>
      </c>
      <c r="H30" s="404">
        <v>10958</v>
      </c>
      <c r="I30" s="404">
        <v>113741625.04970598</v>
      </c>
      <c r="J30" s="404">
        <v>2161090875.9444137</v>
      </c>
      <c r="K30" s="404">
        <v>365</v>
      </c>
      <c r="L30" s="403">
        <v>71983772</v>
      </c>
      <c r="M30" s="403">
        <v>480243773</v>
      </c>
      <c r="N30" s="403">
        <v>1794588727.9941196</v>
      </c>
    </row>
    <row r="31" spans="2:26" s="154" customFormat="1" hidden="1" outlineLevel="1">
      <c r="B31" s="165" t="s">
        <v>2323</v>
      </c>
      <c r="C31" s="165" t="s">
        <v>3659</v>
      </c>
      <c r="D31" s="165"/>
      <c r="E31" s="404">
        <v>21349127.877344497</v>
      </c>
      <c r="F31" s="404">
        <v>20</v>
      </c>
      <c r="G31" s="405">
        <v>49521</v>
      </c>
      <c r="H31" s="404">
        <v>7305</v>
      </c>
      <c r="I31" s="404">
        <v>1067456.3938672249</v>
      </c>
      <c r="J31" s="404">
        <v>20281671.483477272</v>
      </c>
      <c r="K31" s="404">
        <v>365</v>
      </c>
      <c r="L31" s="403">
        <v>1013389</v>
      </c>
      <c r="M31" s="403">
        <v>6760882</v>
      </c>
      <c r="N31" s="403">
        <v>14588245.877344497</v>
      </c>
    </row>
    <row r="32" spans="2:26" s="154" customFormat="1" hidden="1" outlineLevel="1">
      <c r="B32" s="165"/>
      <c r="C32" s="165"/>
      <c r="D32" s="165"/>
      <c r="E32" s="404"/>
      <c r="F32" s="404"/>
      <c r="G32" s="405"/>
      <c r="H32" s="404"/>
      <c r="I32" s="404"/>
      <c r="J32" s="404"/>
      <c r="K32" s="404"/>
      <c r="L32" s="404"/>
      <c r="M32" s="404"/>
      <c r="N32" s="404"/>
      <c r="O32" s="157"/>
      <c r="P32" s="157"/>
      <c r="Q32" s="157"/>
      <c r="R32" s="157"/>
      <c r="S32" s="157"/>
      <c r="T32" s="157"/>
      <c r="U32" s="157"/>
      <c r="V32" s="157"/>
      <c r="W32" s="157"/>
      <c r="X32" s="157"/>
      <c r="Y32" s="157"/>
      <c r="Z32" s="157"/>
    </row>
    <row r="33" spans="2:26" s="154" customFormat="1" hidden="1" outlineLevel="1">
      <c r="B33" s="165"/>
      <c r="C33" s="165"/>
      <c r="D33" s="165"/>
      <c r="E33" s="403"/>
      <c r="F33" s="404"/>
      <c r="G33" s="404"/>
      <c r="H33" s="404"/>
      <c r="I33" s="404"/>
      <c r="J33" s="404"/>
      <c r="K33" s="404"/>
      <c r="L33" s="404"/>
      <c r="M33" s="404"/>
      <c r="N33" s="403"/>
      <c r="O33" s="157"/>
      <c r="P33" s="157"/>
      <c r="Q33" s="157"/>
      <c r="R33" s="157"/>
      <c r="S33" s="157"/>
      <c r="T33" s="157"/>
      <c r="U33" s="157"/>
      <c r="V33" s="157"/>
      <c r="W33" s="157"/>
      <c r="X33" s="157"/>
      <c r="Y33" s="157"/>
      <c r="Z33" s="157"/>
    </row>
    <row r="34" spans="2:26" s="154" customFormat="1" ht="14.25" hidden="1">
      <c r="B34" s="411" t="s">
        <v>1837</v>
      </c>
      <c r="C34" s="411"/>
      <c r="D34" s="411"/>
      <c r="E34" s="413">
        <f>SUBTOTAL(9,E9:E33)</f>
        <v>3183338234.3730474</v>
      </c>
      <c r="F34" s="404"/>
      <c r="G34" s="404"/>
      <c r="H34" s="413"/>
      <c r="I34" s="413"/>
      <c r="J34" s="413"/>
      <c r="K34" s="404"/>
      <c r="L34" s="413">
        <f t="shared" ref="L34:N34" si="0">SUBTOTAL(9,L9:L33)</f>
        <v>131491172</v>
      </c>
      <c r="M34" s="413">
        <f t="shared" si="0"/>
        <v>884050941</v>
      </c>
      <c r="N34" s="413">
        <f t="shared" si="0"/>
        <v>2299287293.3730469</v>
      </c>
      <c r="O34" s="157"/>
      <c r="P34" s="157"/>
      <c r="Q34" s="157"/>
      <c r="R34" s="157"/>
      <c r="S34" s="157"/>
      <c r="T34" s="157"/>
      <c r="U34" s="157"/>
      <c r="V34" s="157"/>
      <c r="W34" s="157"/>
      <c r="X34" s="157"/>
      <c r="Y34" s="157"/>
      <c r="Z34" s="157"/>
    </row>
    <row r="35" spans="2:26" s="154" customFormat="1" hidden="1">
      <c r="B35" s="165"/>
      <c r="C35" s="165"/>
      <c r="D35" s="165"/>
      <c r="E35" s="404"/>
      <c r="F35" s="404"/>
      <c r="G35" s="404"/>
      <c r="H35" s="404"/>
      <c r="I35" s="404"/>
      <c r="J35" s="404"/>
      <c r="K35" s="404"/>
      <c r="L35" s="404"/>
      <c r="M35" s="404"/>
      <c r="N35" s="404"/>
      <c r="O35" s="157"/>
      <c r="P35" s="157"/>
      <c r="Q35" s="157"/>
      <c r="R35" s="157"/>
      <c r="S35" s="157"/>
      <c r="T35" s="157"/>
      <c r="U35" s="157"/>
      <c r="V35" s="157"/>
      <c r="W35" s="157"/>
      <c r="X35" s="157"/>
      <c r="Y35" s="157"/>
      <c r="Z35" s="157"/>
    </row>
    <row r="36" spans="2:26" s="154" customFormat="1" ht="14.25" hidden="1">
      <c r="B36" s="411" t="str">
        <f>+B37</f>
        <v>Ash Handling System</v>
      </c>
      <c r="C36" s="165"/>
      <c r="D36" s="165"/>
      <c r="E36" s="404"/>
      <c r="F36" s="404"/>
      <c r="G36" s="404"/>
      <c r="H36" s="404"/>
      <c r="I36" s="404"/>
      <c r="J36" s="404"/>
      <c r="K36" s="404"/>
      <c r="L36" s="404"/>
      <c r="M36" s="404"/>
      <c r="N36" s="404"/>
      <c r="O36" s="157"/>
      <c r="P36" s="157"/>
      <c r="Q36" s="157"/>
      <c r="R36" s="157"/>
      <c r="S36" s="157"/>
      <c r="T36" s="157"/>
      <c r="U36" s="157"/>
      <c r="V36" s="157"/>
      <c r="W36" s="157"/>
      <c r="X36" s="157"/>
      <c r="Y36" s="157"/>
      <c r="Z36" s="157"/>
    </row>
    <row r="37" spans="2:26" s="154" customFormat="1" ht="54" hidden="1" outlineLevel="1">
      <c r="B37" s="165" t="s">
        <v>2324</v>
      </c>
      <c r="C37" s="165" t="s">
        <v>3660</v>
      </c>
      <c r="D37" s="165" t="s">
        <v>3056</v>
      </c>
      <c r="E37" s="404">
        <v>102030214.51478647</v>
      </c>
      <c r="F37" s="404">
        <v>25</v>
      </c>
      <c r="G37" s="405">
        <v>51348</v>
      </c>
      <c r="H37" s="404">
        <v>9132</v>
      </c>
      <c r="I37" s="404">
        <v>5101510.7257393235</v>
      </c>
      <c r="J37" s="404">
        <v>96928703.789047137</v>
      </c>
      <c r="K37" s="404">
        <v>365</v>
      </c>
      <c r="L37" s="404">
        <v>3874176</v>
      </c>
      <c r="M37" s="404">
        <v>25848609</v>
      </c>
      <c r="N37" s="404">
        <v>76181605.514786467</v>
      </c>
    </row>
    <row r="38" spans="2:26" s="154" customFormat="1" ht="54" hidden="1" outlineLevel="1">
      <c r="B38" s="165" t="s">
        <v>2324</v>
      </c>
      <c r="C38" s="165" t="s">
        <v>3660</v>
      </c>
      <c r="D38" s="165" t="s">
        <v>3057</v>
      </c>
      <c r="E38" s="404">
        <v>22673379.290034186</v>
      </c>
      <c r="F38" s="404">
        <v>7</v>
      </c>
      <c r="G38" s="405">
        <v>44773</v>
      </c>
      <c r="H38" s="404">
        <v>2557</v>
      </c>
      <c r="I38" s="404">
        <v>1133668.9645017094</v>
      </c>
      <c r="J38" s="404">
        <v>21539710.325532477</v>
      </c>
      <c r="K38" s="404">
        <v>365</v>
      </c>
      <c r="L38" s="404">
        <v>3074695</v>
      </c>
      <c r="M38" s="404">
        <v>20514448</v>
      </c>
      <c r="N38" s="404">
        <v>2158931.2900341861</v>
      </c>
    </row>
    <row r="39" spans="2:26" s="154" customFormat="1" ht="54" hidden="1" outlineLevel="1">
      <c r="B39" s="165" t="s">
        <v>2324</v>
      </c>
      <c r="C39" s="165" t="s">
        <v>3660</v>
      </c>
      <c r="D39" s="165" t="s">
        <v>3058</v>
      </c>
      <c r="E39" s="404">
        <v>45346764.826857321</v>
      </c>
      <c r="F39" s="404">
        <v>20</v>
      </c>
      <c r="G39" s="405">
        <v>49521</v>
      </c>
      <c r="H39" s="404">
        <v>7305</v>
      </c>
      <c r="I39" s="404">
        <v>2267338.2413428663</v>
      </c>
      <c r="J39" s="404">
        <v>43079426.585514456</v>
      </c>
      <c r="K39" s="404">
        <v>365</v>
      </c>
      <c r="L39" s="404">
        <v>2152497</v>
      </c>
      <c r="M39" s="404">
        <v>14361519</v>
      </c>
      <c r="N39" s="404">
        <v>30985245.826857321</v>
      </c>
    </row>
    <row r="40" spans="2:26" s="154" customFormat="1" ht="54" hidden="1" outlineLevel="1">
      <c r="B40" s="165" t="s">
        <v>2324</v>
      </c>
      <c r="C40" s="165" t="s">
        <v>3660</v>
      </c>
      <c r="D40" s="165" t="s">
        <v>3059</v>
      </c>
      <c r="E40" s="404">
        <v>11336691.42649987</v>
      </c>
      <c r="F40" s="404">
        <v>5</v>
      </c>
      <c r="G40" s="405">
        <v>44043</v>
      </c>
      <c r="H40" s="404">
        <v>1827</v>
      </c>
      <c r="I40" s="404">
        <v>566834.57132499351</v>
      </c>
      <c r="J40" s="404">
        <v>10769856.855174877</v>
      </c>
      <c r="K40" s="404">
        <v>0</v>
      </c>
      <c r="L40" s="404">
        <v>0</v>
      </c>
      <c r="M40" s="404">
        <v>11336691</v>
      </c>
      <c r="N40" s="404">
        <v>0.4264998696744442</v>
      </c>
    </row>
    <row r="41" spans="2:26" s="154" customFormat="1" ht="54" hidden="1" outlineLevel="1">
      <c r="B41" s="165" t="s">
        <v>2324</v>
      </c>
      <c r="C41" s="165" t="s">
        <v>3660</v>
      </c>
      <c r="D41" s="165" t="s">
        <v>3060</v>
      </c>
      <c r="E41" s="404">
        <v>45346766.468264833</v>
      </c>
      <c r="F41" s="404">
        <v>25</v>
      </c>
      <c r="G41" s="405">
        <v>51348</v>
      </c>
      <c r="H41" s="404">
        <v>9132</v>
      </c>
      <c r="I41" s="404">
        <v>2267338.3234132417</v>
      </c>
      <c r="J41" s="404">
        <v>43079428.144851595</v>
      </c>
      <c r="K41" s="404">
        <v>365</v>
      </c>
      <c r="L41" s="404">
        <v>1721856</v>
      </c>
      <c r="M41" s="404">
        <v>11488271</v>
      </c>
      <c r="N41" s="404">
        <v>33858495.468264833</v>
      </c>
    </row>
    <row r="42" spans="2:26" s="154" customFormat="1" hidden="1" outlineLevel="1">
      <c r="B42" s="165"/>
      <c r="C42" s="165"/>
      <c r="D42" s="165"/>
      <c r="E42" s="428"/>
      <c r="F42" s="404"/>
      <c r="G42" s="405"/>
      <c r="H42" s="428"/>
      <c r="I42" s="404"/>
      <c r="J42" s="404"/>
      <c r="K42" s="404"/>
      <c r="L42" s="404"/>
      <c r="M42" s="404"/>
      <c r="N42" s="404"/>
    </row>
    <row r="43" spans="2:26" s="154" customFormat="1" hidden="1" outlineLevel="1">
      <c r="B43" s="165" t="s">
        <v>2324</v>
      </c>
      <c r="C43" s="165" t="s">
        <v>3661</v>
      </c>
      <c r="D43" s="165" t="s">
        <v>3662</v>
      </c>
      <c r="E43" s="404">
        <v>5809222.5116408812</v>
      </c>
      <c r="F43" s="404">
        <v>20</v>
      </c>
      <c r="G43" s="405">
        <v>49521</v>
      </c>
      <c r="H43" s="404">
        <v>7305</v>
      </c>
      <c r="I43" s="404">
        <v>290461.12558204407</v>
      </c>
      <c r="J43" s="404">
        <v>5518761.3860588372</v>
      </c>
      <c r="K43" s="404">
        <v>365</v>
      </c>
      <c r="L43" s="404">
        <v>275749</v>
      </c>
      <c r="M43" s="404">
        <v>1839806</v>
      </c>
      <c r="N43" s="404">
        <v>3969416.5116408812</v>
      </c>
    </row>
    <row r="44" spans="2:26" s="154" customFormat="1" hidden="1" outlineLevel="1">
      <c r="B44" s="165" t="s">
        <v>2324</v>
      </c>
      <c r="C44" s="165" t="s">
        <v>3661</v>
      </c>
      <c r="D44" s="165" t="s">
        <v>3663</v>
      </c>
      <c r="E44" s="404">
        <v>37759949.436407708</v>
      </c>
      <c r="F44" s="404">
        <v>20</v>
      </c>
      <c r="G44" s="405">
        <v>49521</v>
      </c>
      <c r="H44" s="404">
        <v>7305</v>
      </c>
      <c r="I44" s="404">
        <v>1887997.4718203854</v>
      </c>
      <c r="J44" s="404">
        <v>35871951.964587323</v>
      </c>
      <c r="K44" s="404">
        <v>365</v>
      </c>
      <c r="L44" s="404">
        <v>1792370</v>
      </c>
      <c r="M44" s="404">
        <v>11958742</v>
      </c>
      <c r="N44" s="404">
        <v>25801207.436407708</v>
      </c>
    </row>
    <row r="45" spans="2:26" s="154" customFormat="1" hidden="1" outlineLevel="1">
      <c r="B45" s="165" t="s">
        <v>2324</v>
      </c>
      <c r="C45" s="165" t="s">
        <v>3661</v>
      </c>
      <c r="D45" s="165" t="s">
        <v>3664</v>
      </c>
      <c r="E45" s="404">
        <v>14523053.894675829</v>
      </c>
      <c r="F45" s="404">
        <v>20</v>
      </c>
      <c r="G45" s="405">
        <v>49521</v>
      </c>
      <c r="H45" s="404">
        <v>7305</v>
      </c>
      <c r="I45" s="404">
        <v>726152.69473379152</v>
      </c>
      <c r="J45" s="404">
        <v>13796901.199942037</v>
      </c>
      <c r="K45" s="404">
        <v>365</v>
      </c>
      <c r="L45" s="404">
        <v>689373</v>
      </c>
      <c r="M45" s="404">
        <v>4599516</v>
      </c>
      <c r="N45" s="404">
        <v>9923537.8946758285</v>
      </c>
    </row>
    <row r="46" spans="2:26" s="154" customFormat="1" hidden="1" outlineLevel="1">
      <c r="B46" s="165"/>
      <c r="C46" s="165"/>
      <c r="D46" s="165"/>
      <c r="E46" s="404"/>
      <c r="F46" s="404"/>
      <c r="G46" s="405"/>
      <c r="H46" s="404"/>
      <c r="I46" s="404"/>
      <c r="J46" s="404"/>
      <c r="K46" s="404"/>
      <c r="L46" s="404"/>
      <c r="M46" s="404"/>
      <c r="N46" s="404"/>
    </row>
    <row r="47" spans="2:26" s="154" customFormat="1" hidden="1" outlineLevel="1">
      <c r="B47" s="165" t="s">
        <v>2324</v>
      </c>
      <c r="C47" s="165" t="s">
        <v>3061</v>
      </c>
      <c r="D47" s="165" t="s">
        <v>3665</v>
      </c>
      <c r="E47" s="404">
        <v>96544923.344555289</v>
      </c>
      <c r="F47" s="404">
        <v>20</v>
      </c>
      <c r="G47" s="405">
        <v>49521</v>
      </c>
      <c r="H47" s="404">
        <v>7305</v>
      </c>
      <c r="I47" s="404">
        <v>4827246.1672277646</v>
      </c>
      <c r="J47" s="404">
        <v>91717677.177327529</v>
      </c>
      <c r="K47" s="404">
        <v>365</v>
      </c>
      <c r="L47" s="404">
        <v>4582745</v>
      </c>
      <c r="M47" s="404">
        <v>30576200</v>
      </c>
      <c r="N47" s="404">
        <v>65968723.344555289</v>
      </c>
    </row>
    <row r="48" spans="2:26" s="154" customFormat="1" hidden="1" outlineLevel="1">
      <c r="B48" s="165" t="s">
        <v>2324</v>
      </c>
      <c r="C48" s="165" t="s">
        <v>3061</v>
      </c>
      <c r="D48" s="165" t="s">
        <v>3666</v>
      </c>
      <c r="E48" s="404">
        <v>130619601.1110229</v>
      </c>
      <c r="F48" s="404">
        <v>15</v>
      </c>
      <c r="G48" s="405">
        <v>47695</v>
      </c>
      <c r="H48" s="404">
        <v>5479</v>
      </c>
      <c r="I48" s="404">
        <v>6530980.0555511452</v>
      </c>
      <c r="J48" s="404">
        <v>124088621.05547176</v>
      </c>
      <c r="K48" s="404">
        <v>365</v>
      </c>
      <c r="L48" s="404">
        <v>8266535</v>
      </c>
      <c r="M48" s="404">
        <v>55154548</v>
      </c>
      <c r="N48" s="404">
        <v>75465053.111022905</v>
      </c>
    </row>
    <row r="49" spans="2:14" s="154" customFormat="1" hidden="1" outlineLevel="1">
      <c r="B49" s="165" t="s">
        <v>2324</v>
      </c>
      <c r="C49" s="165" t="s">
        <v>3061</v>
      </c>
      <c r="D49" s="165" t="s">
        <v>3667</v>
      </c>
      <c r="E49" s="404">
        <v>176052506.79718381</v>
      </c>
      <c r="F49" s="404">
        <v>20</v>
      </c>
      <c r="G49" s="405">
        <v>49521</v>
      </c>
      <c r="H49" s="404">
        <v>7305</v>
      </c>
      <c r="I49" s="404">
        <v>8802625.3398591913</v>
      </c>
      <c r="J49" s="404">
        <v>167249881.45732462</v>
      </c>
      <c r="K49" s="404">
        <v>365</v>
      </c>
      <c r="L49" s="404">
        <v>8356770</v>
      </c>
      <c r="M49" s="404">
        <v>55756600</v>
      </c>
      <c r="N49" s="404">
        <v>120295906.79718381</v>
      </c>
    </row>
    <row r="50" spans="2:14" s="154" customFormat="1" hidden="1" outlineLevel="1">
      <c r="B50" s="165" t="s">
        <v>2324</v>
      </c>
      <c r="C50" s="165" t="s">
        <v>3061</v>
      </c>
      <c r="D50" s="165" t="s">
        <v>3668</v>
      </c>
      <c r="E50" s="404">
        <v>8518669.1620180681</v>
      </c>
      <c r="F50" s="404">
        <v>20</v>
      </c>
      <c r="G50" s="405">
        <v>49521</v>
      </c>
      <c r="H50" s="404">
        <v>7305</v>
      </c>
      <c r="I50" s="404">
        <v>425933.45810090343</v>
      </c>
      <c r="J50" s="404">
        <v>8092735.7039171644</v>
      </c>
      <c r="K50" s="404">
        <v>365</v>
      </c>
      <c r="L50" s="404">
        <v>404360</v>
      </c>
      <c r="M50" s="404">
        <v>2697901</v>
      </c>
      <c r="N50" s="404">
        <v>5820768.1620180681</v>
      </c>
    </row>
    <row r="51" spans="2:14" s="154" customFormat="1" hidden="1" outlineLevel="1">
      <c r="B51" s="165" t="s">
        <v>2324</v>
      </c>
      <c r="C51" s="165" t="s">
        <v>3061</v>
      </c>
      <c r="D51" s="165" t="s">
        <v>3669</v>
      </c>
      <c r="E51" s="404">
        <v>119261375.18886702</v>
      </c>
      <c r="F51" s="404">
        <v>8</v>
      </c>
      <c r="G51" s="405">
        <v>45138</v>
      </c>
      <c r="H51" s="404">
        <v>2922</v>
      </c>
      <c r="I51" s="404">
        <v>5963068.7594433511</v>
      </c>
      <c r="J51" s="404">
        <v>113298306.42942366</v>
      </c>
      <c r="K51" s="404">
        <v>365</v>
      </c>
      <c r="L51" s="404">
        <v>14152595</v>
      </c>
      <c r="M51" s="404">
        <v>94426502</v>
      </c>
      <c r="N51" s="404">
        <v>24834873.188867018</v>
      </c>
    </row>
    <row r="52" spans="2:14" s="154" customFormat="1" hidden="1" outlineLevel="1">
      <c r="B52" s="165" t="s">
        <v>2324</v>
      </c>
      <c r="C52" s="165" t="s">
        <v>3061</v>
      </c>
      <c r="D52" s="165" t="s">
        <v>3670</v>
      </c>
      <c r="E52" s="404">
        <v>36914235.523995295</v>
      </c>
      <c r="F52" s="404">
        <v>20</v>
      </c>
      <c r="G52" s="405">
        <v>49521</v>
      </c>
      <c r="H52" s="404">
        <v>7305</v>
      </c>
      <c r="I52" s="404">
        <v>1845711.7761997648</v>
      </c>
      <c r="J52" s="404">
        <v>35068523.74779553</v>
      </c>
      <c r="K52" s="404">
        <v>365</v>
      </c>
      <c r="L52" s="404">
        <v>1752226</v>
      </c>
      <c r="M52" s="404">
        <v>11690900</v>
      </c>
      <c r="N52" s="404">
        <v>25223335.523995295</v>
      </c>
    </row>
    <row r="53" spans="2:14" s="154" customFormat="1" hidden="1" outlineLevel="1">
      <c r="B53" s="165"/>
      <c r="C53" s="165"/>
      <c r="D53" s="165"/>
      <c r="E53" s="404"/>
      <c r="F53" s="404"/>
      <c r="G53" s="405"/>
      <c r="H53" s="404"/>
      <c r="I53" s="404"/>
      <c r="J53" s="404"/>
      <c r="K53" s="404"/>
      <c r="L53" s="404"/>
      <c r="M53" s="404"/>
      <c r="N53" s="404"/>
    </row>
    <row r="54" spans="2:14" s="154" customFormat="1" ht="27" hidden="1" outlineLevel="1">
      <c r="B54" s="165" t="s">
        <v>2324</v>
      </c>
      <c r="C54" s="165" t="s">
        <v>3067</v>
      </c>
      <c r="D54" s="165" t="s">
        <v>3068</v>
      </c>
      <c r="E54" s="404">
        <v>12013975.489904111</v>
      </c>
      <c r="F54" s="404">
        <v>5</v>
      </c>
      <c r="G54" s="405">
        <v>44043</v>
      </c>
      <c r="H54" s="404">
        <v>1827</v>
      </c>
      <c r="I54" s="404">
        <v>600698.77449520561</v>
      </c>
      <c r="J54" s="404">
        <v>11413276.715408906</v>
      </c>
      <c r="K54" s="404">
        <v>0</v>
      </c>
      <c r="L54" s="404">
        <v>0</v>
      </c>
      <c r="M54" s="404">
        <v>12013975</v>
      </c>
      <c r="N54" s="404">
        <v>0.48990411125123501</v>
      </c>
    </row>
    <row r="55" spans="2:14" s="154" customFormat="1" ht="27" hidden="1" outlineLevel="1">
      <c r="B55" s="165" t="s">
        <v>2324</v>
      </c>
      <c r="C55" s="165" t="s">
        <v>3067</v>
      </c>
      <c r="D55" s="165" t="s">
        <v>3069</v>
      </c>
      <c r="E55" s="404">
        <v>48055900.278255567</v>
      </c>
      <c r="F55" s="404">
        <v>15</v>
      </c>
      <c r="G55" s="405">
        <v>47695</v>
      </c>
      <c r="H55" s="404">
        <v>5479</v>
      </c>
      <c r="I55" s="404">
        <v>2402795.0139127783</v>
      </c>
      <c r="J55" s="404">
        <v>45653105.264342785</v>
      </c>
      <c r="K55" s="404">
        <v>365</v>
      </c>
      <c r="L55" s="404">
        <v>3041318</v>
      </c>
      <c r="M55" s="404">
        <v>20291758</v>
      </c>
      <c r="N55" s="404">
        <v>27764142.278255567</v>
      </c>
    </row>
    <row r="56" spans="2:14" s="154" customFormat="1" ht="27" hidden="1" outlineLevel="1">
      <c r="B56" s="165" t="s">
        <v>2324</v>
      </c>
      <c r="C56" s="165" t="s">
        <v>3067</v>
      </c>
      <c r="D56" s="165" t="s">
        <v>3070</v>
      </c>
      <c r="E56" s="404">
        <v>12013975.489904111</v>
      </c>
      <c r="F56" s="404">
        <v>5</v>
      </c>
      <c r="G56" s="405">
        <v>44043</v>
      </c>
      <c r="H56" s="404">
        <v>1827</v>
      </c>
      <c r="I56" s="404">
        <v>600698.77449520561</v>
      </c>
      <c r="J56" s="404">
        <v>11413276.715408906</v>
      </c>
      <c r="K56" s="404">
        <v>0</v>
      </c>
      <c r="L56" s="404">
        <v>0</v>
      </c>
      <c r="M56" s="404">
        <v>12013975</v>
      </c>
      <c r="N56" s="404">
        <v>0.48990411125123501</v>
      </c>
    </row>
    <row r="57" spans="2:14" s="154" customFormat="1" ht="27" hidden="1" outlineLevel="1">
      <c r="B57" s="165" t="s">
        <v>2324</v>
      </c>
      <c r="C57" s="165" t="s">
        <v>3067</v>
      </c>
      <c r="D57" s="165" t="s">
        <v>3071</v>
      </c>
      <c r="E57" s="404">
        <v>48055900.278255567</v>
      </c>
      <c r="F57" s="404">
        <v>15</v>
      </c>
      <c r="G57" s="405">
        <v>47695</v>
      </c>
      <c r="H57" s="404">
        <v>5479</v>
      </c>
      <c r="I57" s="404">
        <v>2402795.0139127783</v>
      </c>
      <c r="J57" s="404">
        <v>45653105.264342785</v>
      </c>
      <c r="K57" s="404">
        <v>365</v>
      </c>
      <c r="L57" s="404">
        <v>3041318</v>
      </c>
      <c r="M57" s="404">
        <v>20291758</v>
      </c>
      <c r="N57" s="404">
        <v>27764142.278255567</v>
      </c>
    </row>
    <row r="58" spans="2:14" s="154" customFormat="1" hidden="1" outlineLevel="1">
      <c r="B58" s="165"/>
      <c r="C58" s="165"/>
      <c r="D58" s="165"/>
      <c r="E58" s="404"/>
      <c r="F58" s="404"/>
      <c r="G58" s="405"/>
      <c r="H58" s="404"/>
      <c r="I58" s="404"/>
      <c r="J58" s="404"/>
      <c r="K58" s="404"/>
      <c r="L58" s="404"/>
      <c r="M58" s="404"/>
      <c r="N58" s="404"/>
    </row>
    <row r="59" spans="2:14" s="154" customFormat="1" ht="27" hidden="1" outlineLevel="1">
      <c r="B59" s="165" t="s">
        <v>2324</v>
      </c>
      <c r="C59" s="165" t="s">
        <v>3072</v>
      </c>
      <c r="D59" s="165" t="s">
        <v>3073</v>
      </c>
      <c r="E59" s="404">
        <v>171064473.55413431</v>
      </c>
      <c r="F59" s="404">
        <v>20</v>
      </c>
      <c r="G59" s="405">
        <v>49521</v>
      </c>
      <c r="H59" s="404">
        <v>7305</v>
      </c>
      <c r="I59" s="404">
        <v>8553223.6777067166</v>
      </c>
      <c r="J59" s="404">
        <v>162511249.87642759</v>
      </c>
      <c r="K59" s="404">
        <v>365</v>
      </c>
      <c r="L59" s="404">
        <v>8120001</v>
      </c>
      <c r="M59" s="404">
        <v>54176869</v>
      </c>
      <c r="N59" s="404">
        <v>116887604.55413431</v>
      </c>
    </row>
    <row r="60" spans="2:14" s="154" customFormat="1" ht="27" hidden="1" outlineLevel="1">
      <c r="B60" s="165" t="s">
        <v>2324</v>
      </c>
      <c r="C60" s="165" t="s">
        <v>3072</v>
      </c>
      <c r="D60" s="165" t="s">
        <v>3074</v>
      </c>
      <c r="E60" s="404">
        <v>85532237.333802283</v>
      </c>
      <c r="F60" s="404">
        <v>10</v>
      </c>
      <c r="G60" s="405">
        <v>45869</v>
      </c>
      <c r="H60" s="404">
        <v>3653</v>
      </c>
      <c r="I60" s="404">
        <v>4276611.8666901141</v>
      </c>
      <c r="J60" s="404">
        <v>81255625.467112169</v>
      </c>
      <c r="K60" s="404">
        <v>365</v>
      </c>
      <c r="L60" s="404">
        <v>8118889</v>
      </c>
      <c r="M60" s="404">
        <v>54169451</v>
      </c>
      <c r="N60" s="404">
        <v>31362786.333802283</v>
      </c>
    </row>
    <row r="61" spans="2:14" s="154" customFormat="1" ht="27" hidden="1" outlineLevel="1">
      <c r="B61" s="165" t="s">
        <v>2324</v>
      </c>
      <c r="C61" s="165" t="s">
        <v>3072</v>
      </c>
      <c r="D61" s="165" t="s">
        <v>3075</v>
      </c>
      <c r="E61" s="404">
        <v>85532237.333802283</v>
      </c>
      <c r="F61" s="404">
        <v>10</v>
      </c>
      <c r="G61" s="405">
        <v>45869</v>
      </c>
      <c r="H61" s="404">
        <v>3653</v>
      </c>
      <c r="I61" s="404">
        <v>4276611.8666901141</v>
      </c>
      <c r="J61" s="404">
        <v>81255625.467112169</v>
      </c>
      <c r="K61" s="404">
        <v>365</v>
      </c>
      <c r="L61" s="404">
        <v>8118889</v>
      </c>
      <c r="M61" s="404">
        <v>54169451</v>
      </c>
      <c r="N61" s="404">
        <v>31362786.333802283</v>
      </c>
    </row>
    <row r="62" spans="2:14" s="154" customFormat="1" ht="27" hidden="1" outlineLevel="1">
      <c r="B62" s="165" t="s">
        <v>2324</v>
      </c>
      <c r="C62" s="165" t="s">
        <v>3072</v>
      </c>
      <c r="D62" s="165" t="s">
        <v>3076</v>
      </c>
      <c r="E62" s="404">
        <v>342128948.22173882</v>
      </c>
      <c r="F62" s="404">
        <v>20</v>
      </c>
      <c r="G62" s="405">
        <v>49521</v>
      </c>
      <c r="H62" s="404">
        <v>7305</v>
      </c>
      <c r="I62" s="404">
        <v>17106447.411086943</v>
      </c>
      <c r="J62" s="404">
        <v>325022500.8106519</v>
      </c>
      <c r="K62" s="404">
        <v>365</v>
      </c>
      <c r="L62" s="404">
        <v>16240002</v>
      </c>
      <c r="M62" s="404">
        <v>108353739</v>
      </c>
      <c r="N62" s="404">
        <v>233775209.22173882</v>
      </c>
    </row>
    <row r="63" spans="2:14" s="154" customFormat="1" ht="27" hidden="1" outlineLevel="1">
      <c r="B63" s="165" t="s">
        <v>2324</v>
      </c>
      <c r="C63" s="165" t="s">
        <v>3072</v>
      </c>
      <c r="D63" s="165" t="s">
        <v>3077</v>
      </c>
      <c r="E63" s="404">
        <v>171064475.19566891</v>
      </c>
      <c r="F63" s="404">
        <v>25</v>
      </c>
      <c r="G63" s="405">
        <v>51348</v>
      </c>
      <c r="H63" s="404">
        <v>9132</v>
      </c>
      <c r="I63" s="404">
        <v>8553223.7597834449</v>
      </c>
      <c r="J63" s="404">
        <v>162511251.43588546</v>
      </c>
      <c r="K63" s="404">
        <v>365</v>
      </c>
      <c r="L63" s="404">
        <v>6495467</v>
      </c>
      <c r="M63" s="404">
        <v>43337934</v>
      </c>
      <c r="N63" s="404">
        <v>127726541.19566891</v>
      </c>
    </row>
    <row r="64" spans="2:14" s="154" customFormat="1" hidden="1" outlineLevel="1">
      <c r="B64" s="165"/>
      <c r="C64" s="165"/>
      <c r="D64" s="165"/>
      <c r="E64" s="404"/>
      <c r="F64" s="404"/>
      <c r="G64" s="405"/>
      <c r="H64" s="404"/>
      <c r="I64" s="404"/>
      <c r="J64" s="404"/>
      <c r="K64" s="404"/>
      <c r="L64" s="404"/>
      <c r="M64" s="404"/>
      <c r="N64" s="404"/>
    </row>
    <row r="65" spans="2:14" s="154" customFormat="1" ht="27" hidden="1" outlineLevel="1">
      <c r="B65" s="165" t="s">
        <v>2324</v>
      </c>
      <c r="C65" s="165" t="s">
        <v>3078</v>
      </c>
      <c r="D65" s="165" t="s">
        <v>3079</v>
      </c>
      <c r="E65" s="404">
        <v>4355837.6365687819</v>
      </c>
      <c r="F65" s="404">
        <v>15</v>
      </c>
      <c r="G65" s="405">
        <v>47695</v>
      </c>
      <c r="H65" s="404">
        <v>5479</v>
      </c>
      <c r="I65" s="404">
        <v>217791.8818284391</v>
      </c>
      <c r="J65" s="404">
        <v>4138045.754740343</v>
      </c>
      <c r="K65" s="404">
        <v>365</v>
      </c>
      <c r="L65" s="404">
        <v>275668</v>
      </c>
      <c r="M65" s="404">
        <v>1839265</v>
      </c>
      <c r="N65" s="404">
        <v>2516572.6365687819</v>
      </c>
    </row>
    <row r="66" spans="2:14" s="154" customFormat="1" ht="27" hidden="1" outlineLevel="1">
      <c r="B66" s="165" t="s">
        <v>2324</v>
      </c>
      <c r="C66" s="165" t="s">
        <v>3078</v>
      </c>
      <c r="D66" s="165" t="s">
        <v>3080</v>
      </c>
      <c r="E66" s="404">
        <v>121963460.4807319</v>
      </c>
      <c r="F66" s="404">
        <v>15</v>
      </c>
      <c r="G66" s="405">
        <v>47695</v>
      </c>
      <c r="H66" s="404">
        <v>5479</v>
      </c>
      <c r="I66" s="404">
        <v>6098173.0240365956</v>
      </c>
      <c r="J66" s="404">
        <v>115865287.4566953</v>
      </c>
      <c r="K66" s="404">
        <v>365</v>
      </c>
      <c r="L66" s="404">
        <v>7718713</v>
      </c>
      <c r="M66" s="404">
        <v>51499465</v>
      </c>
      <c r="N66" s="404">
        <v>70463995.480731905</v>
      </c>
    </row>
    <row r="67" spans="2:14" s="154" customFormat="1" ht="27" hidden="1" outlineLevel="1">
      <c r="B67" s="165" t="s">
        <v>2324</v>
      </c>
      <c r="C67" s="165" t="s">
        <v>3078</v>
      </c>
      <c r="D67" s="165" t="s">
        <v>3081</v>
      </c>
      <c r="E67" s="404">
        <v>104540112.00995038</v>
      </c>
      <c r="F67" s="404">
        <v>20</v>
      </c>
      <c r="G67" s="405">
        <v>49521</v>
      </c>
      <c r="H67" s="404">
        <v>7305</v>
      </c>
      <c r="I67" s="404">
        <v>5227005.6004975196</v>
      </c>
      <c r="J67" s="404">
        <v>99313106.40945287</v>
      </c>
      <c r="K67" s="404">
        <v>365</v>
      </c>
      <c r="L67" s="404">
        <v>4962257</v>
      </c>
      <c r="M67" s="404">
        <v>33108314</v>
      </c>
      <c r="N67" s="404">
        <v>71431798.009950384</v>
      </c>
    </row>
    <row r="68" spans="2:14" s="154" customFormat="1" ht="27" hidden="1" outlineLevel="1">
      <c r="B68" s="165" t="s">
        <v>2324</v>
      </c>
      <c r="C68" s="165" t="s">
        <v>3078</v>
      </c>
      <c r="D68" s="165" t="s">
        <v>3082</v>
      </c>
      <c r="E68" s="404">
        <v>26135027.752487596</v>
      </c>
      <c r="F68" s="404">
        <v>20</v>
      </c>
      <c r="G68" s="405">
        <v>49521</v>
      </c>
      <c r="H68" s="404">
        <v>7305</v>
      </c>
      <c r="I68" s="404">
        <v>1306751.3876243799</v>
      </c>
      <c r="J68" s="404">
        <v>24828276.364863217</v>
      </c>
      <c r="K68" s="404">
        <v>365</v>
      </c>
      <c r="L68" s="404">
        <v>1240564</v>
      </c>
      <c r="M68" s="404">
        <v>8277077</v>
      </c>
      <c r="N68" s="404">
        <v>17857950.752487596</v>
      </c>
    </row>
    <row r="69" spans="2:14" s="154" customFormat="1" ht="27" hidden="1" outlineLevel="1">
      <c r="B69" s="165" t="s">
        <v>2324</v>
      </c>
      <c r="C69" s="165" t="s">
        <v>3078</v>
      </c>
      <c r="D69" s="165" t="s">
        <v>3083</v>
      </c>
      <c r="E69" s="404">
        <v>17423350.795526624</v>
      </c>
      <c r="F69" s="404">
        <v>10</v>
      </c>
      <c r="G69" s="405">
        <v>45869</v>
      </c>
      <c r="H69" s="404">
        <v>3653</v>
      </c>
      <c r="I69" s="404">
        <v>871167.53977633128</v>
      </c>
      <c r="J69" s="404">
        <v>16552183.255750293</v>
      </c>
      <c r="K69" s="404">
        <v>365</v>
      </c>
      <c r="L69" s="404">
        <v>1653859</v>
      </c>
      <c r="M69" s="404">
        <v>11034593</v>
      </c>
      <c r="N69" s="404">
        <v>6388757.7955266237</v>
      </c>
    </row>
    <row r="70" spans="2:14" s="154" customFormat="1" ht="27" hidden="1" outlineLevel="1">
      <c r="B70" s="165" t="s">
        <v>2324</v>
      </c>
      <c r="C70" s="165" t="s">
        <v>3078</v>
      </c>
      <c r="D70" s="165" t="s">
        <v>3084</v>
      </c>
      <c r="E70" s="404">
        <v>13067512.593529753</v>
      </c>
      <c r="F70" s="404">
        <v>10</v>
      </c>
      <c r="G70" s="405">
        <v>45869</v>
      </c>
      <c r="H70" s="404">
        <v>3653</v>
      </c>
      <c r="I70" s="404">
        <v>653375.62967648776</v>
      </c>
      <c r="J70" s="404">
        <v>12414136.963853266</v>
      </c>
      <c r="K70" s="404">
        <v>365</v>
      </c>
      <c r="L70" s="404">
        <v>1240394</v>
      </c>
      <c r="M70" s="404">
        <v>8275944</v>
      </c>
      <c r="N70" s="404">
        <v>4791568.5935297534</v>
      </c>
    </row>
    <row r="71" spans="2:14" s="154" customFormat="1" ht="27" hidden="1" outlineLevel="1">
      <c r="B71" s="165" t="s">
        <v>2324</v>
      </c>
      <c r="C71" s="165" t="s">
        <v>3078</v>
      </c>
      <c r="D71" s="165" t="s">
        <v>3085</v>
      </c>
      <c r="E71" s="404">
        <v>17423350.795526624</v>
      </c>
      <c r="F71" s="404">
        <v>20</v>
      </c>
      <c r="G71" s="405">
        <v>49521</v>
      </c>
      <c r="H71" s="404">
        <v>7305</v>
      </c>
      <c r="I71" s="404">
        <v>871167.53977633128</v>
      </c>
      <c r="J71" s="404">
        <v>16552183.255750293</v>
      </c>
      <c r="K71" s="404">
        <v>365</v>
      </c>
      <c r="L71" s="404">
        <v>827043</v>
      </c>
      <c r="M71" s="404">
        <v>5518054</v>
      </c>
      <c r="N71" s="404">
        <v>11905296.795526624</v>
      </c>
    </row>
    <row r="72" spans="2:14" s="154" customFormat="1" ht="27" hidden="1" outlineLevel="1">
      <c r="B72" s="165" t="s">
        <v>2324</v>
      </c>
      <c r="C72" s="165" t="s">
        <v>3078</v>
      </c>
      <c r="D72" s="165" t="s">
        <v>3063</v>
      </c>
      <c r="E72" s="404">
        <v>95828436.48756136</v>
      </c>
      <c r="F72" s="404">
        <v>8</v>
      </c>
      <c r="G72" s="405">
        <v>45138</v>
      </c>
      <c r="H72" s="404">
        <v>2922</v>
      </c>
      <c r="I72" s="404">
        <v>4791421.8243780686</v>
      </c>
      <c r="J72" s="404">
        <v>91037014.663183287</v>
      </c>
      <c r="K72" s="404">
        <v>365</v>
      </c>
      <c r="L72" s="404">
        <v>11371838</v>
      </c>
      <c r="M72" s="404">
        <v>75873215</v>
      </c>
      <c r="N72" s="404">
        <v>19955221.48756136</v>
      </c>
    </row>
    <row r="73" spans="2:14" s="154" customFormat="1" ht="27" hidden="1" outlineLevel="1">
      <c r="B73" s="165" t="s">
        <v>2324</v>
      </c>
      <c r="C73" s="165" t="s">
        <v>3078</v>
      </c>
      <c r="D73" s="165" t="s">
        <v>3086</v>
      </c>
      <c r="E73" s="404">
        <v>26135027.752487596</v>
      </c>
      <c r="F73" s="404">
        <v>10</v>
      </c>
      <c r="G73" s="405">
        <v>45869</v>
      </c>
      <c r="H73" s="404">
        <v>3653</v>
      </c>
      <c r="I73" s="404">
        <v>1306751.3876243799</v>
      </c>
      <c r="J73" s="404">
        <v>24828276.364863217</v>
      </c>
      <c r="K73" s="404">
        <v>365</v>
      </c>
      <c r="L73" s="404">
        <v>2480789</v>
      </c>
      <c r="M73" s="404">
        <v>16551891</v>
      </c>
      <c r="N73" s="404">
        <v>9583136.7524875961</v>
      </c>
    </row>
    <row r="74" spans="2:14" s="154" customFormat="1" ht="27" hidden="1" outlineLevel="1">
      <c r="B74" s="165" t="s">
        <v>2324</v>
      </c>
      <c r="C74" s="165" t="s">
        <v>3078</v>
      </c>
      <c r="D74" s="165" t="s">
        <v>3087</v>
      </c>
      <c r="E74" s="404">
        <v>130675136.51318644</v>
      </c>
      <c r="F74" s="404">
        <v>15</v>
      </c>
      <c r="G74" s="405">
        <v>47695</v>
      </c>
      <c r="H74" s="404">
        <v>5479</v>
      </c>
      <c r="I74" s="404">
        <v>6533756.8256593226</v>
      </c>
      <c r="J74" s="404">
        <v>124141379.68752712</v>
      </c>
      <c r="K74" s="404">
        <v>365</v>
      </c>
      <c r="L74" s="404">
        <v>8270050</v>
      </c>
      <c r="M74" s="404">
        <v>55178001</v>
      </c>
      <c r="N74" s="404">
        <v>75497135.51318644</v>
      </c>
    </row>
    <row r="75" spans="2:14" s="154" customFormat="1" ht="27" hidden="1" outlineLevel="1">
      <c r="B75" s="165" t="s">
        <v>2324</v>
      </c>
      <c r="C75" s="165" t="s">
        <v>3078</v>
      </c>
      <c r="D75" s="165" t="s">
        <v>3088</v>
      </c>
      <c r="E75" s="404">
        <v>139386813.03557554</v>
      </c>
      <c r="F75" s="404">
        <v>15</v>
      </c>
      <c r="G75" s="405">
        <v>47695</v>
      </c>
      <c r="H75" s="404">
        <v>5479</v>
      </c>
      <c r="I75" s="404">
        <v>6969340.6517787771</v>
      </c>
      <c r="J75" s="404">
        <v>132417472.38379677</v>
      </c>
      <c r="K75" s="404">
        <v>365</v>
      </c>
      <c r="L75" s="404">
        <v>8821387</v>
      </c>
      <c r="M75" s="404">
        <v>58856536</v>
      </c>
      <c r="N75" s="404">
        <v>80530277.035575539</v>
      </c>
    </row>
    <row r="76" spans="2:14" s="154" customFormat="1" ht="27" hidden="1" outlineLevel="1">
      <c r="B76" s="165" t="s">
        <v>2324</v>
      </c>
      <c r="C76" s="165" t="s">
        <v>3078</v>
      </c>
      <c r="D76" s="165" t="s">
        <v>3089</v>
      </c>
      <c r="E76" s="404">
        <v>20036854.051489767</v>
      </c>
      <c r="F76" s="404">
        <v>15</v>
      </c>
      <c r="G76" s="405">
        <v>47695</v>
      </c>
      <c r="H76" s="404">
        <v>5479</v>
      </c>
      <c r="I76" s="404">
        <v>1001842.7025744884</v>
      </c>
      <c r="J76" s="404">
        <v>19035011.348915279</v>
      </c>
      <c r="K76" s="404">
        <v>365</v>
      </c>
      <c r="L76" s="404">
        <v>1268074</v>
      </c>
      <c r="M76" s="404">
        <v>8460625</v>
      </c>
      <c r="N76" s="404">
        <v>11576229.051489767</v>
      </c>
    </row>
    <row r="77" spans="2:14" s="154" customFormat="1" ht="27" hidden="1" outlineLevel="1">
      <c r="B77" s="165" t="s">
        <v>2324</v>
      </c>
      <c r="C77" s="165" t="s">
        <v>3078</v>
      </c>
      <c r="D77" s="165" t="s">
        <v>3090</v>
      </c>
      <c r="E77" s="404">
        <v>13067512.593529753</v>
      </c>
      <c r="F77" s="404">
        <v>20</v>
      </c>
      <c r="G77" s="405">
        <v>49521</v>
      </c>
      <c r="H77" s="404">
        <v>7305</v>
      </c>
      <c r="I77" s="404">
        <v>653375.62967648776</v>
      </c>
      <c r="J77" s="404">
        <v>12414136.963853266</v>
      </c>
      <c r="K77" s="404">
        <v>365</v>
      </c>
      <c r="L77" s="404">
        <v>620282</v>
      </c>
      <c r="M77" s="404">
        <v>4138538</v>
      </c>
      <c r="N77" s="404">
        <v>8928974.5935297534</v>
      </c>
    </row>
    <row r="78" spans="2:14" s="154" customFormat="1" ht="27" hidden="1" outlineLevel="1">
      <c r="B78" s="165" t="s">
        <v>2324</v>
      </c>
      <c r="C78" s="165" t="s">
        <v>3078</v>
      </c>
      <c r="D78" s="165" t="s">
        <v>3091</v>
      </c>
      <c r="E78" s="404">
        <v>15245434.817922672</v>
      </c>
      <c r="F78" s="404">
        <v>20</v>
      </c>
      <c r="G78" s="405">
        <v>49521</v>
      </c>
      <c r="H78" s="404">
        <v>7305</v>
      </c>
      <c r="I78" s="404">
        <v>762271.74089613371</v>
      </c>
      <c r="J78" s="404">
        <v>14483163.077026539</v>
      </c>
      <c r="K78" s="404">
        <v>365</v>
      </c>
      <c r="L78" s="404">
        <v>723662</v>
      </c>
      <c r="M78" s="404">
        <v>4828293</v>
      </c>
      <c r="N78" s="404">
        <v>10417141.817922672</v>
      </c>
    </row>
    <row r="79" spans="2:14" s="154" customFormat="1" ht="27" hidden="1" outlineLevel="1">
      <c r="B79" s="165" t="s">
        <v>2324</v>
      </c>
      <c r="C79" s="165" t="s">
        <v>3078</v>
      </c>
      <c r="D79" s="165" t="s">
        <v>3092</v>
      </c>
      <c r="E79" s="404">
        <v>6533757.2955336105</v>
      </c>
      <c r="F79" s="404">
        <v>5</v>
      </c>
      <c r="G79" s="405">
        <v>44043</v>
      </c>
      <c r="H79" s="404">
        <v>1827</v>
      </c>
      <c r="I79" s="404">
        <v>326687.86477668054</v>
      </c>
      <c r="J79" s="404">
        <v>6207069.4307569303</v>
      </c>
      <c r="K79" s="404">
        <v>0</v>
      </c>
      <c r="L79" s="404">
        <v>0</v>
      </c>
      <c r="M79" s="404">
        <v>6533757</v>
      </c>
      <c r="N79" s="404">
        <v>0.29553361050784588</v>
      </c>
    </row>
    <row r="80" spans="2:14" s="154" customFormat="1" ht="27" hidden="1" outlineLevel="1">
      <c r="B80" s="165" t="s">
        <v>2324</v>
      </c>
      <c r="C80" s="165" t="s">
        <v>3078</v>
      </c>
      <c r="D80" s="165" t="s">
        <v>3093</v>
      </c>
      <c r="E80" s="404">
        <v>8711676.9569609761</v>
      </c>
      <c r="F80" s="404">
        <v>15</v>
      </c>
      <c r="G80" s="405">
        <v>47695</v>
      </c>
      <c r="H80" s="404">
        <v>5479</v>
      </c>
      <c r="I80" s="404">
        <v>435583.84784804884</v>
      </c>
      <c r="J80" s="404">
        <v>8276093.1091129277</v>
      </c>
      <c r="K80" s="404">
        <v>365</v>
      </c>
      <c r="L80" s="404">
        <v>551337</v>
      </c>
      <c r="M80" s="404">
        <v>3678535</v>
      </c>
      <c r="N80" s="404">
        <v>5033141.9569609761</v>
      </c>
    </row>
    <row r="81" spans="2:14" s="154" customFormat="1" ht="27" hidden="1" outlineLevel="1">
      <c r="B81" s="165" t="s">
        <v>2324</v>
      </c>
      <c r="C81" s="165" t="s">
        <v>3078</v>
      </c>
      <c r="D81" s="165" t="s">
        <v>3094</v>
      </c>
      <c r="E81" s="404">
        <v>34846703.709448569</v>
      </c>
      <c r="F81" s="404">
        <v>30</v>
      </c>
      <c r="G81" s="405">
        <v>53174</v>
      </c>
      <c r="H81" s="404">
        <v>10958</v>
      </c>
      <c r="I81" s="404">
        <v>1742335.1854724286</v>
      </c>
      <c r="J81" s="404">
        <v>33104368.52397614</v>
      </c>
      <c r="K81" s="404">
        <v>365</v>
      </c>
      <c r="L81" s="404">
        <v>1102673</v>
      </c>
      <c r="M81" s="404">
        <v>7357065</v>
      </c>
      <c r="N81" s="404">
        <v>27489638.709448569</v>
      </c>
    </row>
    <row r="82" spans="2:14" s="154" customFormat="1" ht="27" hidden="1" outlineLevel="1">
      <c r="B82" s="165" t="s">
        <v>2324</v>
      </c>
      <c r="C82" s="165" t="s">
        <v>3078</v>
      </c>
      <c r="D82" s="165" t="s">
        <v>3095</v>
      </c>
      <c r="E82" s="404">
        <v>30490866.389056388</v>
      </c>
      <c r="F82" s="404">
        <v>30</v>
      </c>
      <c r="G82" s="405">
        <v>53174</v>
      </c>
      <c r="H82" s="404">
        <v>10958</v>
      </c>
      <c r="I82" s="404">
        <v>1524543.3194528194</v>
      </c>
      <c r="J82" s="404">
        <v>28966323.06960357</v>
      </c>
      <c r="K82" s="404">
        <v>365</v>
      </c>
      <c r="L82" s="404">
        <v>964839</v>
      </c>
      <c r="M82" s="404">
        <v>6437433</v>
      </c>
      <c r="N82" s="404">
        <v>24053433.389056388</v>
      </c>
    </row>
    <row r="83" spans="2:14" s="154" customFormat="1" ht="27" hidden="1" outlineLevel="1">
      <c r="B83" s="165" t="s">
        <v>2324</v>
      </c>
      <c r="C83" s="165" t="s">
        <v>3078</v>
      </c>
      <c r="D83" s="165" t="s">
        <v>3096</v>
      </c>
      <c r="E83" s="404">
        <v>1742335.0644290526</v>
      </c>
      <c r="F83" s="404">
        <v>30</v>
      </c>
      <c r="G83" s="405">
        <v>53174</v>
      </c>
      <c r="H83" s="404">
        <v>10958</v>
      </c>
      <c r="I83" s="404">
        <v>87116.753221452644</v>
      </c>
      <c r="J83" s="404">
        <v>1655218.3112075999</v>
      </c>
      <c r="K83" s="404">
        <v>365</v>
      </c>
      <c r="L83" s="404">
        <v>55134</v>
      </c>
      <c r="M83" s="404">
        <v>367855</v>
      </c>
      <c r="N83" s="404">
        <v>1374480.0644290526</v>
      </c>
    </row>
    <row r="84" spans="2:14" s="154" customFormat="1" ht="27" hidden="1" outlineLevel="1">
      <c r="B84" s="165" t="s">
        <v>2324</v>
      </c>
      <c r="C84" s="165" t="s">
        <v>3078</v>
      </c>
      <c r="D84" s="165" t="s">
        <v>3097</v>
      </c>
      <c r="E84" s="404">
        <v>43558375.291544661</v>
      </c>
      <c r="F84" s="404">
        <v>30</v>
      </c>
      <c r="G84" s="405">
        <v>53174</v>
      </c>
      <c r="H84" s="404">
        <v>10958</v>
      </c>
      <c r="I84" s="404">
        <v>2177918.7645772332</v>
      </c>
      <c r="J84" s="404">
        <v>41380456.526967429</v>
      </c>
      <c r="K84" s="404">
        <v>365</v>
      </c>
      <c r="L84" s="404">
        <v>1378342</v>
      </c>
      <c r="M84" s="404">
        <v>9196335</v>
      </c>
      <c r="N84" s="404">
        <v>34362040.291544661</v>
      </c>
    </row>
    <row r="85" spans="2:14" s="154" customFormat="1" hidden="1" outlineLevel="1">
      <c r="B85" s="165"/>
      <c r="C85" s="165"/>
      <c r="D85" s="165"/>
      <c r="E85" s="404"/>
      <c r="F85" s="404"/>
      <c r="G85" s="405"/>
      <c r="H85" s="404"/>
      <c r="I85" s="404"/>
      <c r="J85" s="404"/>
      <c r="K85" s="404"/>
      <c r="L85" s="404"/>
      <c r="M85" s="404"/>
      <c r="N85" s="404"/>
    </row>
    <row r="86" spans="2:14" s="154" customFormat="1" ht="27" hidden="1" outlineLevel="1">
      <c r="B86" s="165" t="s">
        <v>2324</v>
      </c>
      <c r="C86" s="165" t="s">
        <v>3098</v>
      </c>
      <c r="D86" s="165" t="s">
        <v>3099</v>
      </c>
      <c r="E86" s="404">
        <v>9397693.4698306769</v>
      </c>
      <c r="F86" s="404">
        <v>15</v>
      </c>
      <c r="G86" s="405">
        <v>47695</v>
      </c>
      <c r="H86" s="404">
        <v>5479</v>
      </c>
      <c r="I86" s="404">
        <v>469884.67349153385</v>
      </c>
      <c r="J86" s="404">
        <v>8927808.7963391431</v>
      </c>
      <c r="K86" s="404">
        <v>365</v>
      </c>
      <c r="L86" s="404">
        <v>594753</v>
      </c>
      <c r="M86" s="404">
        <v>3968208</v>
      </c>
      <c r="N86" s="404">
        <v>5429485.4698306769</v>
      </c>
    </row>
    <row r="87" spans="2:14" s="154" customFormat="1" ht="27" hidden="1" outlineLevel="1">
      <c r="B87" s="165" t="s">
        <v>2324</v>
      </c>
      <c r="C87" s="165" t="s">
        <v>3098</v>
      </c>
      <c r="D87" s="165" t="s">
        <v>3100</v>
      </c>
      <c r="E87" s="404">
        <v>23494236.74246731</v>
      </c>
      <c r="F87" s="404">
        <v>10</v>
      </c>
      <c r="G87" s="405">
        <v>45869</v>
      </c>
      <c r="H87" s="404">
        <v>3653</v>
      </c>
      <c r="I87" s="404">
        <v>1174711.8371233656</v>
      </c>
      <c r="J87" s="404">
        <v>22319524.905343946</v>
      </c>
      <c r="K87" s="404">
        <v>365</v>
      </c>
      <c r="L87" s="404">
        <v>2230120</v>
      </c>
      <c r="M87" s="404">
        <v>14879421</v>
      </c>
      <c r="N87" s="404">
        <v>8614815.7424673103</v>
      </c>
    </row>
    <row r="88" spans="2:14" s="154" customFormat="1" ht="27" hidden="1" outlineLevel="1">
      <c r="B88" s="165" t="s">
        <v>2324</v>
      </c>
      <c r="C88" s="165" t="s">
        <v>3098</v>
      </c>
      <c r="D88" s="165" t="s">
        <v>3101</v>
      </c>
      <c r="E88" s="404">
        <v>14096540.707208553</v>
      </c>
      <c r="F88" s="404">
        <v>10</v>
      </c>
      <c r="G88" s="405">
        <v>45869</v>
      </c>
      <c r="H88" s="404">
        <v>3653</v>
      </c>
      <c r="I88" s="404">
        <v>704827.03536042769</v>
      </c>
      <c r="J88" s="404">
        <v>13391713.671848126</v>
      </c>
      <c r="K88" s="404">
        <v>365</v>
      </c>
      <c r="L88" s="404">
        <v>1338072</v>
      </c>
      <c r="M88" s="404">
        <v>8927653</v>
      </c>
      <c r="N88" s="404">
        <v>5168887.7072085533</v>
      </c>
    </row>
    <row r="89" spans="2:14" s="154" customFormat="1" hidden="1" outlineLevel="1">
      <c r="B89" s="165"/>
      <c r="C89" s="165"/>
      <c r="D89" s="165"/>
      <c r="E89" s="404"/>
      <c r="F89" s="404"/>
      <c r="G89" s="405"/>
      <c r="H89" s="404"/>
      <c r="I89" s="404"/>
      <c r="J89" s="404"/>
      <c r="K89" s="404"/>
      <c r="L89" s="404"/>
      <c r="M89" s="404"/>
      <c r="N89" s="404"/>
    </row>
    <row r="90" spans="2:14" s="154" customFormat="1" hidden="1" outlineLevel="1">
      <c r="B90" s="165" t="s">
        <v>2324</v>
      </c>
      <c r="C90" s="165" t="s">
        <v>3102</v>
      </c>
      <c r="D90" s="165" t="s">
        <v>3103</v>
      </c>
      <c r="E90" s="404">
        <v>13639869.5038429</v>
      </c>
      <c r="F90" s="404">
        <v>20</v>
      </c>
      <c r="G90" s="405">
        <v>49521</v>
      </c>
      <c r="H90" s="404">
        <v>7305</v>
      </c>
      <c r="I90" s="404">
        <v>681993.47519214498</v>
      </c>
      <c r="J90" s="404">
        <v>12957876.028650755</v>
      </c>
      <c r="K90" s="404">
        <v>365</v>
      </c>
      <c r="L90" s="404">
        <v>647450</v>
      </c>
      <c r="M90" s="404">
        <v>4319805</v>
      </c>
      <c r="N90" s="404">
        <v>9320064.5038428996</v>
      </c>
    </row>
    <row r="91" spans="2:14" s="154" customFormat="1" ht="27" hidden="1" outlineLevel="1">
      <c r="B91" s="165" t="s">
        <v>2324</v>
      </c>
      <c r="C91" s="165" t="s">
        <v>3102</v>
      </c>
      <c r="D91" s="165" t="s">
        <v>3104</v>
      </c>
      <c r="E91" s="404">
        <v>20459801.190336265</v>
      </c>
      <c r="F91" s="404">
        <v>10</v>
      </c>
      <c r="G91" s="405">
        <v>45869</v>
      </c>
      <c r="H91" s="404">
        <v>3653</v>
      </c>
      <c r="I91" s="404">
        <v>1022990.0595168133</v>
      </c>
      <c r="J91" s="404">
        <v>19436811.130819451</v>
      </c>
      <c r="K91" s="404">
        <v>365</v>
      </c>
      <c r="L91" s="404">
        <v>1942085</v>
      </c>
      <c r="M91" s="404">
        <v>12957645</v>
      </c>
      <c r="N91" s="404">
        <v>7502156.1903362647</v>
      </c>
    </row>
    <row r="92" spans="2:14" s="154" customFormat="1" hidden="1" outlineLevel="1">
      <c r="B92" s="165" t="s">
        <v>2324</v>
      </c>
      <c r="C92" s="165" t="s">
        <v>3102</v>
      </c>
      <c r="D92" s="165" t="s">
        <v>3105</v>
      </c>
      <c r="E92" s="404">
        <v>13639869.5038429</v>
      </c>
      <c r="F92" s="404">
        <v>5</v>
      </c>
      <c r="G92" s="405">
        <v>44043</v>
      </c>
      <c r="H92" s="404">
        <v>1827</v>
      </c>
      <c r="I92" s="404">
        <v>681993.47519214498</v>
      </c>
      <c r="J92" s="404">
        <v>12957876.028650755</v>
      </c>
      <c r="K92" s="404">
        <v>0</v>
      </c>
      <c r="L92" s="404">
        <v>0</v>
      </c>
      <c r="M92" s="404">
        <v>13639870</v>
      </c>
      <c r="N92" s="404">
        <v>-0.49615710042417049</v>
      </c>
    </row>
    <row r="93" spans="2:14" s="154" customFormat="1" hidden="1" outlineLevel="1">
      <c r="B93" s="165" t="s">
        <v>2324</v>
      </c>
      <c r="C93" s="165" t="s">
        <v>3102</v>
      </c>
      <c r="D93" s="165" t="s">
        <v>3106</v>
      </c>
      <c r="E93" s="404">
        <v>6819934.2519214498</v>
      </c>
      <c r="F93" s="404">
        <v>15</v>
      </c>
      <c r="G93" s="405">
        <v>47695</v>
      </c>
      <c r="H93" s="404">
        <v>5479</v>
      </c>
      <c r="I93" s="404">
        <v>340996.71259607252</v>
      </c>
      <c r="J93" s="404">
        <v>6478937.539325377</v>
      </c>
      <c r="K93" s="404">
        <v>365</v>
      </c>
      <c r="L93" s="404">
        <v>431614</v>
      </c>
      <c r="M93" s="404">
        <v>2879740</v>
      </c>
      <c r="N93" s="404">
        <v>3940194.2519214498</v>
      </c>
    </row>
    <row r="94" spans="2:14" s="154" customFormat="1" hidden="1" outlineLevel="1">
      <c r="B94" s="165" t="s">
        <v>2324</v>
      </c>
      <c r="C94" s="165" t="s">
        <v>3102</v>
      </c>
      <c r="D94" s="165" t="s">
        <v>3107</v>
      </c>
      <c r="E94" s="404">
        <v>13639871.067636516</v>
      </c>
      <c r="F94" s="404">
        <v>10</v>
      </c>
      <c r="G94" s="405">
        <v>45869</v>
      </c>
      <c r="H94" s="404">
        <v>3653</v>
      </c>
      <c r="I94" s="404">
        <v>681993.5533818258</v>
      </c>
      <c r="J94" s="404">
        <v>12957877.514254689</v>
      </c>
      <c r="K94" s="404">
        <v>365</v>
      </c>
      <c r="L94" s="404">
        <v>1294724</v>
      </c>
      <c r="M94" s="404">
        <v>8638434</v>
      </c>
      <c r="N94" s="404">
        <v>5001437.0676365159</v>
      </c>
    </row>
    <row r="95" spans="2:14" s="154" customFormat="1" hidden="1" outlineLevel="1">
      <c r="B95" s="165"/>
      <c r="C95" s="165"/>
      <c r="D95" s="165"/>
      <c r="E95" s="404"/>
      <c r="F95" s="404"/>
      <c r="G95" s="405"/>
      <c r="H95" s="404"/>
      <c r="I95" s="404"/>
      <c r="J95" s="404"/>
      <c r="K95" s="404"/>
      <c r="L95" s="404"/>
      <c r="M95" s="404"/>
      <c r="N95" s="404"/>
    </row>
    <row r="96" spans="2:14" s="154" customFormat="1" hidden="1" outlineLevel="1">
      <c r="B96" s="165" t="s">
        <v>2324</v>
      </c>
      <c r="C96" s="165" t="s">
        <v>3671</v>
      </c>
      <c r="D96" s="165"/>
      <c r="E96" s="404">
        <v>5852394.6018551197</v>
      </c>
      <c r="F96" s="404">
        <v>10</v>
      </c>
      <c r="G96" s="405">
        <v>45869</v>
      </c>
      <c r="H96" s="404">
        <v>3653</v>
      </c>
      <c r="I96" s="404">
        <v>292619.73009275598</v>
      </c>
      <c r="J96" s="404">
        <v>5559774.8717623632</v>
      </c>
      <c r="K96" s="404">
        <v>365</v>
      </c>
      <c r="L96" s="404">
        <v>555521</v>
      </c>
      <c r="M96" s="404">
        <v>3706451</v>
      </c>
      <c r="N96" s="404">
        <v>2145943.6018551197</v>
      </c>
    </row>
    <row r="97" spans="2:26" s="154" customFormat="1" hidden="1" outlineLevel="1">
      <c r="B97" s="165"/>
      <c r="C97" s="165"/>
      <c r="D97" s="165"/>
      <c r="E97" s="404"/>
      <c r="F97" s="404"/>
      <c r="G97" s="405"/>
      <c r="H97" s="404"/>
      <c r="I97" s="404"/>
      <c r="J97" s="404"/>
      <c r="K97" s="404"/>
      <c r="L97" s="404"/>
      <c r="M97" s="404"/>
      <c r="N97" s="404"/>
      <c r="O97" s="157"/>
      <c r="P97" s="157"/>
      <c r="Q97" s="157"/>
      <c r="R97" s="157"/>
      <c r="S97" s="157"/>
      <c r="T97" s="157"/>
      <c r="U97" s="157"/>
      <c r="V97" s="157"/>
      <c r="W97" s="157"/>
      <c r="X97" s="157"/>
      <c r="Y97" s="157"/>
      <c r="Z97" s="157"/>
    </row>
    <row r="98" spans="2:26" s="154" customFormat="1" hidden="1" outlineLevel="1">
      <c r="B98" s="165"/>
      <c r="C98" s="165"/>
      <c r="D98" s="165"/>
      <c r="E98" s="403"/>
      <c r="F98" s="404"/>
      <c r="G98" s="405"/>
      <c r="H98" s="404"/>
      <c r="I98" s="404"/>
      <c r="J98" s="404"/>
      <c r="K98" s="404"/>
      <c r="L98" s="404"/>
      <c r="M98" s="404"/>
      <c r="N98" s="403"/>
      <c r="O98" s="157"/>
      <c r="P98" s="157"/>
      <c r="Q98" s="157"/>
      <c r="R98" s="157"/>
      <c r="S98" s="157"/>
      <c r="T98" s="157"/>
      <c r="U98" s="157"/>
      <c r="V98" s="157"/>
      <c r="W98" s="157"/>
      <c r="X98" s="157"/>
      <c r="Y98" s="157"/>
      <c r="Z98" s="157"/>
    </row>
    <row r="99" spans="2:26" s="158" customFormat="1" ht="14.25" hidden="1">
      <c r="B99" s="411" t="s">
        <v>1837</v>
      </c>
      <c r="C99" s="411"/>
      <c r="D99" s="411"/>
      <c r="E99" s="413">
        <f>SUBTOTAL(9,E36:E98)</f>
        <v>2820407269.7342649</v>
      </c>
      <c r="F99" s="413"/>
      <c r="G99" s="413"/>
      <c r="H99" s="413"/>
      <c r="I99" s="413"/>
      <c r="J99" s="413"/>
      <c r="K99" s="413"/>
      <c r="L99" s="413">
        <f t="shared" ref="L99:N99" si="1">SUBTOTAL(9,L36:L98)</f>
        <v>168833075</v>
      </c>
      <c r="M99" s="413">
        <f t="shared" si="1"/>
        <v>1181997181</v>
      </c>
      <c r="N99" s="413">
        <f t="shared" si="1"/>
        <v>1638410088.7342653</v>
      </c>
      <c r="O99" s="157"/>
      <c r="P99" s="157"/>
      <c r="Q99" s="157"/>
      <c r="R99" s="157"/>
      <c r="S99" s="157"/>
      <c r="T99" s="157"/>
      <c r="U99" s="157"/>
      <c r="V99" s="157"/>
      <c r="W99" s="157"/>
      <c r="X99" s="157"/>
      <c r="Y99" s="157"/>
      <c r="Z99" s="157"/>
    </row>
    <row r="100" spans="2:26" s="154" customFormat="1" hidden="1">
      <c r="B100" s="165"/>
      <c r="C100" s="165"/>
      <c r="D100" s="165"/>
      <c r="E100" s="404"/>
      <c r="F100" s="404"/>
      <c r="G100" s="404"/>
      <c r="H100" s="404"/>
      <c r="I100" s="404"/>
      <c r="J100" s="404"/>
      <c r="K100" s="404"/>
      <c r="L100" s="404"/>
      <c r="M100" s="404"/>
      <c r="N100" s="404"/>
      <c r="O100" s="157"/>
      <c r="P100" s="157"/>
      <c r="Q100" s="157"/>
      <c r="R100" s="157"/>
      <c r="S100" s="157"/>
      <c r="T100" s="157"/>
      <c r="U100" s="157"/>
      <c r="V100" s="157"/>
      <c r="W100" s="157"/>
      <c r="X100" s="157"/>
      <c r="Y100" s="157"/>
      <c r="Z100" s="157"/>
    </row>
    <row r="101" spans="2:26" s="154" customFormat="1" ht="14.25" hidden="1">
      <c r="B101" s="411" t="str">
        <f>+B102</f>
        <v>Boiler system</v>
      </c>
      <c r="C101" s="165"/>
      <c r="D101" s="165"/>
      <c r="E101" s="404"/>
      <c r="F101" s="404"/>
      <c r="G101" s="404"/>
      <c r="H101" s="404"/>
      <c r="I101" s="404"/>
      <c r="J101" s="404"/>
      <c r="K101" s="404"/>
      <c r="L101" s="404"/>
      <c r="M101" s="404"/>
      <c r="N101" s="404"/>
      <c r="O101" s="157"/>
      <c r="P101" s="157"/>
      <c r="Q101" s="157"/>
      <c r="R101" s="157"/>
      <c r="S101" s="157"/>
      <c r="T101" s="157"/>
      <c r="U101" s="157"/>
      <c r="V101" s="157"/>
      <c r="W101" s="157"/>
      <c r="X101" s="157"/>
      <c r="Y101" s="157"/>
      <c r="Z101" s="157"/>
    </row>
    <row r="102" spans="2:26" s="154" customFormat="1" hidden="1" outlineLevel="1">
      <c r="B102" s="165" t="s">
        <v>2325</v>
      </c>
      <c r="C102" s="165"/>
      <c r="D102" s="165" t="s">
        <v>3672</v>
      </c>
      <c r="E102" s="404">
        <v>23699962.677942637</v>
      </c>
      <c r="F102" s="404">
        <v>20</v>
      </c>
      <c r="G102" s="405">
        <v>49521</v>
      </c>
      <c r="H102" s="404">
        <v>7305</v>
      </c>
      <c r="I102" s="404">
        <v>1184998.133897132</v>
      </c>
      <c r="J102" s="404">
        <v>22514964.544045504</v>
      </c>
      <c r="K102" s="404">
        <v>365</v>
      </c>
      <c r="L102" s="404">
        <v>1124978</v>
      </c>
      <c r="M102" s="404">
        <v>7505865</v>
      </c>
      <c r="N102" s="404">
        <v>16194097.677942637</v>
      </c>
    </row>
    <row r="103" spans="2:26" s="154" customFormat="1" hidden="1" outlineLevel="1">
      <c r="B103" s="165"/>
      <c r="C103" s="165"/>
      <c r="D103" s="165"/>
      <c r="E103" s="404"/>
      <c r="F103" s="404"/>
      <c r="G103" s="405"/>
      <c r="H103" s="404"/>
      <c r="I103" s="404"/>
      <c r="J103" s="404"/>
      <c r="K103" s="404"/>
      <c r="L103" s="404"/>
      <c r="M103" s="404"/>
      <c r="N103" s="404"/>
    </row>
    <row r="104" spans="2:26" s="154" customFormat="1" ht="27" hidden="1" outlineLevel="1">
      <c r="B104" s="165" t="s">
        <v>2325</v>
      </c>
      <c r="C104" s="165" t="s">
        <v>3108</v>
      </c>
      <c r="D104" s="165" t="s">
        <v>3109</v>
      </c>
      <c r="E104" s="404">
        <v>291242341.41542864</v>
      </c>
      <c r="F104" s="404">
        <v>20</v>
      </c>
      <c r="G104" s="405">
        <v>49521</v>
      </c>
      <c r="H104" s="404">
        <v>7305</v>
      </c>
      <c r="I104" s="404">
        <v>14562117.070771433</v>
      </c>
      <c r="J104" s="404">
        <v>276680224.34465718</v>
      </c>
      <c r="K104" s="404">
        <v>365</v>
      </c>
      <c r="L104" s="404">
        <v>13824542</v>
      </c>
      <c r="M104" s="404">
        <v>92237497</v>
      </c>
      <c r="N104" s="404">
        <v>199004844.41542864</v>
      </c>
    </row>
    <row r="105" spans="2:26" s="154" customFormat="1" ht="27" hidden="1" outlineLevel="1">
      <c r="B105" s="165" t="s">
        <v>2325</v>
      </c>
      <c r="C105" s="165" t="s">
        <v>3108</v>
      </c>
      <c r="D105" s="165" t="s">
        <v>3110</v>
      </c>
      <c r="E105" s="404">
        <v>97080779.577201769</v>
      </c>
      <c r="F105" s="404">
        <v>20</v>
      </c>
      <c r="G105" s="405">
        <v>49521</v>
      </c>
      <c r="H105" s="404">
        <v>7305</v>
      </c>
      <c r="I105" s="404">
        <v>4854038.9788600886</v>
      </c>
      <c r="J105" s="404">
        <v>92226740.598341674</v>
      </c>
      <c r="K105" s="404">
        <v>365</v>
      </c>
      <c r="L105" s="404">
        <v>4608181</v>
      </c>
      <c r="M105" s="404">
        <v>30745834</v>
      </c>
      <c r="N105" s="404">
        <v>66334945.577201769</v>
      </c>
    </row>
    <row r="106" spans="2:26" s="154" customFormat="1" ht="40.5" hidden="1" outlineLevel="1">
      <c r="B106" s="165" t="s">
        <v>2325</v>
      </c>
      <c r="C106" s="165" t="s">
        <v>3108</v>
      </c>
      <c r="D106" s="165" t="s">
        <v>3111</v>
      </c>
      <c r="E106" s="404">
        <v>60675487.280149333</v>
      </c>
      <c r="F106" s="404">
        <v>20</v>
      </c>
      <c r="G106" s="405">
        <v>49521</v>
      </c>
      <c r="H106" s="404">
        <v>7305</v>
      </c>
      <c r="I106" s="404">
        <v>3033774.3640074669</v>
      </c>
      <c r="J106" s="404">
        <v>57641712.916141868</v>
      </c>
      <c r="K106" s="404">
        <v>365</v>
      </c>
      <c r="L106" s="404">
        <v>2880113</v>
      </c>
      <c r="M106" s="404">
        <v>19216146</v>
      </c>
      <c r="N106" s="404">
        <v>41459341.280149333</v>
      </c>
    </row>
    <row r="107" spans="2:26" s="154" customFormat="1" ht="40.5" hidden="1" outlineLevel="1">
      <c r="B107" s="165" t="s">
        <v>2325</v>
      </c>
      <c r="C107" s="165" t="s">
        <v>3108</v>
      </c>
      <c r="D107" s="165" t="s">
        <v>3112</v>
      </c>
      <c r="E107" s="404">
        <v>24270199.267244782</v>
      </c>
      <c r="F107" s="404">
        <v>20</v>
      </c>
      <c r="G107" s="405">
        <v>49521</v>
      </c>
      <c r="H107" s="404">
        <v>7305</v>
      </c>
      <c r="I107" s="404">
        <v>1213509.9633622391</v>
      </c>
      <c r="J107" s="404">
        <v>23056689.303882543</v>
      </c>
      <c r="K107" s="404">
        <v>365</v>
      </c>
      <c r="L107" s="404">
        <v>1152045</v>
      </c>
      <c r="M107" s="404">
        <v>7686458</v>
      </c>
      <c r="N107" s="404">
        <v>16583741.267244782</v>
      </c>
    </row>
    <row r="108" spans="2:26" s="154" customFormat="1" ht="40.5" hidden="1" outlineLevel="1">
      <c r="B108" s="165" t="s">
        <v>2325</v>
      </c>
      <c r="C108" s="165" t="s">
        <v>3108</v>
      </c>
      <c r="D108" s="165" t="s">
        <v>3113</v>
      </c>
      <c r="E108" s="404">
        <v>12135097.550940344</v>
      </c>
      <c r="F108" s="404">
        <v>20</v>
      </c>
      <c r="G108" s="405">
        <v>49521</v>
      </c>
      <c r="H108" s="404">
        <v>7305</v>
      </c>
      <c r="I108" s="404">
        <v>606754.87754701718</v>
      </c>
      <c r="J108" s="404">
        <v>11528342.673393328</v>
      </c>
      <c r="K108" s="404">
        <v>365</v>
      </c>
      <c r="L108" s="404">
        <v>576023</v>
      </c>
      <c r="M108" s="404">
        <v>3843231</v>
      </c>
      <c r="N108" s="404">
        <v>8291866.5509403441</v>
      </c>
    </row>
    <row r="109" spans="2:26" s="154" customFormat="1" hidden="1" outlineLevel="1">
      <c r="B109" s="165"/>
      <c r="C109" s="165"/>
      <c r="D109" s="165"/>
      <c r="E109" s="404"/>
      <c r="F109" s="404"/>
      <c r="G109" s="405"/>
      <c r="H109" s="404"/>
      <c r="I109" s="404"/>
      <c r="J109" s="404"/>
      <c r="K109" s="404"/>
      <c r="L109" s="404"/>
      <c r="M109" s="404"/>
      <c r="N109" s="404"/>
    </row>
    <row r="110" spans="2:26" s="154" customFormat="1" ht="27" hidden="1" outlineLevel="1">
      <c r="B110" s="165" t="s">
        <v>2325</v>
      </c>
      <c r="C110" s="165" t="s">
        <v>3108</v>
      </c>
      <c r="D110" s="165" t="s">
        <v>3114</v>
      </c>
      <c r="E110" s="404">
        <v>217706916.39158717</v>
      </c>
      <c r="F110" s="404">
        <v>20</v>
      </c>
      <c r="G110" s="405">
        <v>49521</v>
      </c>
      <c r="H110" s="404">
        <v>7305</v>
      </c>
      <c r="I110" s="404">
        <v>10885345.819579359</v>
      </c>
      <c r="J110" s="404">
        <v>206821570.57200781</v>
      </c>
      <c r="K110" s="404">
        <v>365</v>
      </c>
      <c r="L110" s="404">
        <v>10334000</v>
      </c>
      <c r="M110" s="404">
        <v>68948563</v>
      </c>
      <c r="N110" s="404">
        <v>148758353.39158717</v>
      </c>
    </row>
    <row r="111" spans="2:26" s="154" customFormat="1" ht="40.5" hidden="1" outlineLevel="1">
      <c r="B111" s="165" t="s">
        <v>2325</v>
      </c>
      <c r="C111" s="165" t="s">
        <v>3108</v>
      </c>
      <c r="D111" s="165" t="s">
        <v>3115</v>
      </c>
      <c r="E111" s="404">
        <v>12094830.150829494</v>
      </c>
      <c r="F111" s="404">
        <v>30</v>
      </c>
      <c r="G111" s="405">
        <v>53174</v>
      </c>
      <c r="H111" s="404">
        <v>10958</v>
      </c>
      <c r="I111" s="404">
        <v>604741.50754147477</v>
      </c>
      <c r="J111" s="404">
        <v>11490088.64328802</v>
      </c>
      <c r="K111" s="404">
        <v>365</v>
      </c>
      <c r="L111" s="404">
        <v>382723</v>
      </c>
      <c r="M111" s="404">
        <v>2553533</v>
      </c>
      <c r="N111" s="404">
        <v>9541297.150829494</v>
      </c>
    </row>
    <row r="112" spans="2:26" s="154" customFormat="1" ht="40.5" hidden="1" outlineLevel="1">
      <c r="B112" s="165" t="s">
        <v>2325</v>
      </c>
      <c r="C112" s="165" t="s">
        <v>3108</v>
      </c>
      <c r="D112" s="165" t="s">
        <v>3116</v>
      </c>
      <c r="E112" s="404">
        <v>12094830.150829494</v>
      </c>
      <c r="F112" s="404">
        <v>20</v>
      </c>
      <c r="G112" s="405">
        <v>49521</v>
      </c>
      <c r="H112" s="404">
        <v>7305</v>
      </c>
      <c r="I112" s="404">
        <v>604741.50754147477</v>
      </c>
      <c r="J112" s="404">
        <v>11490088.64328802</v>
      </c>
      <c r="K112" s="404">
        <v>365</v>
      </c>
      <c r="L112" s="404">
        <v>574111</v>
      </c>
      <c r="M112" s="404">
        <v>3830475</v>
      </c>
      <c r="N112" s="404">
        <v>8264355.150829494</v>
      </c>
    </row>
    <row r="113" spans="2:14" s="154" customFormat="1" hidden="1" outlineLevel="1">
      <c r="B113" s="165"/>
      <c r="C113" s="165"/>
      <c r="D113" s="165"/>
      <c r="E113" s="404"/>
      <c r="F113" s="404"/>
      <c r="G113" s="405"/>
      <c r="H113" s="404"/>
      <c r="I113" s="404"/>
      <c r="J113" s="404"/>
      <c r="K113" s="404"/>
      <c r="L113" s="404"/>
      <c r="M113" s="404"/>
      <c r="N113" s="404"/>
    </row>
    <row r="114" spans="2:14" s="154" customFormat="1" hidden="1" outlineLevel="1">
      <c r="B114" s="165" t="s">
        <v>2325</v>
      </c>
      <c r="C114" s="165" t="s">
        <v>2992</v>
      </c>
      <c r="D114" s="165" t="s">
        <v>3117</v>
      </c>
      <c r="E114" s="404">
        <v>30276293.793018173</v>
      </c>
      <c r="F114" s="404">
        <v>30</v>
      </c>
      <c r="G114" s="405">
        <v>53174</v>
      </c>
      <c r="H114" s="404">
        <v>10958</v>
      </c>
      <c r="I114" s="404">
        <v>1513814.6896509088</v>
      </c>
      <c r="J114" s="404">
        <v>28762479.103367265</v>
      </c>
      <c r="K114" s="404">
        <v>365</v>
      </c>
      <c r="L114" s="404">
        <v>958049</v>
      </c>
      <c r="M114" s="404">
        <v>6392114</v>
      </c>
      <c r="N114" s="404">
        <v>23884179.793018173</v>
      </c>
    </row>
    <row r="115" spans="2:14" s="154" customFormat="1" hidden="1" outlineLevel="1">
      <c r="B115" s="165" t="s">
        <v>2325</v>
      </c>
      <c r="C115" s="165" t="s">
        <v>2992</v>
      </c>
      <c r="D115" s="165" t="s">
        <v>3673</v>
      </c>
      <c r="E115" s="404">
        <v>98971905.878763139</v>
      </c>
      <c r="F115" s="404">
        <v>30</v>
      </c>
      <c r="G115" s="405">
        <v>53174</v>
      </c>
      <c r="H115" s="404">
        <v>10958</v>
      </c>
      <c r="I115" s="404">
        <v>4948595.2939381571</v>
      </c>
      <c r="J115" s="404">
        <v>94023310.584824979</v>
      </c>
      <c r="K115" s="404">
        <v>365</v>
      </c>
      <c r="L115" s="404">
        <v>3131822</v>
      </c>
      <c r="M115" s="404">
        <v>20895552</v>
      </c>
      <c r="N115" s="404">
        <v>78076353.878763139</v>
      </c>
    </row>
    <row r="116" spans="2:14" s="154" customFormat="1" hidden="1" outlineLevel="1">
      <c r="B116" s="165" t="s">
        <v>2325</v>
      </c>
      <c r="C116" s="165" t="s">
        <v>2992</v>
      </c>
      <c r="D116" s="165" t="s">
        <v>3674</v>
      </c>
      <c r="E116" s="404">
        <v>98971905.878763139</v>
      </c>
      <c r="F116" s="404">
        <v>30</v>
      </c>
      <c r="G116" s="405">
        <v>53174</v>
      </c>
      <c r="H116" s="404">
        <v>10958</v>
      </c>
      <c r="I116" s="404">
        <v>4948595.2939381571</v>
      </c>
      <c r="J116" s="404">
        <v>94023310.584824979</v>
      </c>
      <c r="K116" s="404">
        <v>365</v>
      </c>
      <c r="L116" s="404">
        <v>3131822</v>
      </c>
      <c r="M116" s="404">
        <v>20895552</v>
      </c>
      <c r="N116" s="404">
        <v>78076353.878763139</v>
      </c>
    </row>
    <row r="117" spans="2:14" s="154" customFormat="1" ht="27" hidden="1" outlineLevel="1">
      <c r="B117" s="165" t="s">
        <v>2325</v>
      </c>
      <c r="C117" s="165" t="s">
        <v>2992</v>
      </c>
      <c r="D117" s="165" t="s">
        <v>3120</v>
      </c>
      <c r="E117" s="404">
        <v>20361345.692702554</v>
      </c>
      <c r="F117" s="404">
        <v>30</v>
      </c>
      <c r="G117" s="405">
        <v>53174</v>
      </c>
      <c r="H117" s="404">
        <v>10958</v>
      </c>
      <c r="I117" s="404">
        <v>1018067.2846351278</v>
      </c>
      <c r="J117" s="404">
        <v>19343278.408067428</v>
      </c>
      <c r="K117" s="404">
        <v>365</v>
      </c>
      <c r="L117" s="404">
        <v>644305</v>
      </c>
      <c r="M117" s="404">
        <v>4298810</v>
      </c>
      <c r="N117" s="404">
        <v>16062535.692702554</v>
      </c>
    </row>
    <row r="118" spans="2:14" s="154" customFormat="1" ht="27" hidden="1" outlineLevel="1">
      <c r="B118" s="165" t="s">
        <v>2325</v>
      </c>
      <c r="C118" s="165" t="s">
        <v>2992</v>
      </c>
      <c r="D118" s="165" t="s">
        <v>3121</v>
      </c>
      <c r="E118" s="404">
        <v>20360875.076758556</v>
      </c>
      <c r="F118" s="404">
        <v>30</v>
      </c>
      <c r="G118" s="405">
        <v>53174</v>
      </c>
      <c r="H118" s="404">
        <v>10958</v>
      </c>
      <c r="I118" s="404">
        <v>1018043.7538379278</v>
      </c>
      <c r="J118" s="404">
        <v>19342831.322920628</v>
      </c>
      <c r="K118" s="404">
        <v>365</v>
      </c>
      <c r="L118" s="404">
        <v>644290</v>
      </c>
      <c r="M118" s="404">
        <v>4298711</v>
      </c>
      <c r="N118" s="404">
        <v>16062164.076758556</v>
      </c>
    </row>
    <row r="119" spans="2:14" s="154" customFormat="1" hidden="1" outlineLevel="1">
      <c r="B119" s="165" t="s">
        <v>2325</v>
      </c>
      <c r="C119" s="165" t="s">
        <v>2992</v>
      </c>
      <c r="D119" s="165" t="s">
        <v>3675</v>
      </c>
      <c r="E119" s="404">
        <v>69805438.673739344</v>
      </c>
      <c r="F119" s="404">
        <v>25</v>
      </c>
      <c r="G119" s="405">
        <v>51348</v>
      </c>
      <c r="H119" s="404">
        <v>9132</v>
      </c>
      <c r="I119" s="404">
        <v>3490271.9336869675</v>
      </c>
      <c r="J119" s="404">
        <v>66315166.74005238</v>
      </c>
      <c r="K119" s="404">
        <v>365</v>
      </c>
      <c r="L119" s="404">
        <v>2650573</v>
      </c>
      <c r="M119" s="404">
        <v>17684653</v>
      </c>
      <c r="N119" s="404">
        <v>52120785.673739344</v>
      </c>
    </row>
    <row r="120" spans="2:14" s="154" customFormat="1" hidden="1" outlineLevel="1">
      <c r="B120" s="165" t="s">
        <v>2325</v>
      </c>
      <c r="C120" s="165" t="s">
        <v>2992</v>
      </c>
      <c r="D120" s="165" t="s">
        <v>3123</v>
      </c>
      <c r="E120" s="404">
        <v>39791534.514314838</v>
      </c>
      <c r="F120" s="404">
        <v>25</v>
      </c>
      <c r="G120" s="405">
        <v>51348</v>
      </c>
      <c r="H120" s="404">
        <v>9132</v>
      </c>
      <c r="I120" s="404">
        <v>1989576.725715742</v>
      </c>
      <c r="J120" s="404">
        <v>37801957.788599096</v>
      </c>
      <c r="K120" s="404">
        <v>365</v>
      </c>
      <c r="L120" s="404">
        <v>1510919</v>
      </c>
      <c r="M120" s="404">
        <v>10080869</v>
      </c>
      <c r="N120" s="404">
        <v>29710665.514314838</v>
      </c>
    </row>
    <row r="121" spans="2:14" s="154" customFormat="1" hidden="1" outlineLevel="1">
      <c r="B121" s="165" t="s">
        <v>2325</v>
      </c>
      <c r="C121" s="165" t="s">
        <v>2992</v>
      </c>
      <c r="D121" s="165" t="s">
        <v>3124</v>
      </c>
      <c r="E121" s="404">
        <v>72122180.170038804</v>
      </c>
      <c r="F121" s="404">
        <v>25</v>
      </c>
      <c r="G121" s="405">
        <v>51348</v>
      </c>
      <c r="H121" s="404">
        <v>9132</v>
      </c>
      <c r="I121" s="404">
        <v>3606109.0085019404</v>
      </c>
      <c r="J121" s="404">
        <v>68516071.161536857</v>
      </c>
      <c r="K121" s="404">
        <v>365</v>
      </c>
      <c r="L121" s="404">
        <v>2738542</v>
      </c>
      <c r="M121" s="404">
        <v>18271583</v>
      </c>
      <c r="N121" s="404">
        <v>53850597.170038804</v>
      </c>
    </row>
    <row r="122" spans="2:14" s="154" customFormat="1" ht="27" hidden="1" outlineLevel="1">
      <c r="B122" s="165" t="s">
        <v>2325</v>
      </c>
      <c r="C122" s="165" t="s">
        <v>2992</v>
      </c>
      <c r="D122" s="165" t="s">
        <v>3143</v>
      </c>
      <c r="E122" s="404">
        <v>12434879.578696167</v>
      </c>
      <c r="F122" s="404">
        <v>15</v>
      </c>
      <c r="G122" s="405">
        <v>47695</v>
      </c>
      <c r="H122" s="404">
        <v>5479</v>
      </c>
      <c r="I122" s="404">
        <v>621743.9789348084</v>
      </c>
      <c r="J122" s="404">
        <v>11813135.599761359</v>
      </c>
      <c r="K122" s="404">
        <v>365</v>
      </c>
      <c r="L122" s="404">
        <v>786967</v>
      </c>
      <c r="M122" s="404">
        <v>5250653</v>
      </c>
      <c r="N122" s="404">
        <v>7184226.5786961671</v>
      </c>
    </row>
    <row r="123" spans="2:14" s="154" customFormat="1" ht="27" hidden="1" outlineLevel="1">
      <c r="B123" s="165" t="s">
        <v>2325</v>
      </c>
      <c r="C123" s="165" t="s">
        <v>2992</v>
      </c>
      <c r="D123" s="165" t="s">
        <v>3676</v>
      </c>
      <c r="E123" s="404">
        <v>17290971.981489003</v>
      </c>
      <c r="F123" s="404">
        <v>20</v>
      </c>
      <c r="G123" s="405">
        <v>49521</v>
      </c>
      <c r="H123" s="404">
        <v>7305</v>
      </c>
      <c r="I123" s="404">
        <v>864548.59907445021</v>
      </c>
      <c r="J123" s="404">
        <v>16426423.382414553</v>
      </c>
      <c r="K123" s="404">
        <v>365</v>
      </c>
      <c r="L123" s="404">
        <v>820759</v>
      </c>
      <c r="M123" s="404">
        <v>5476113</v>
      </c>
      <c r="N123" s="404">
        <v>11814858.981489003</v>
      </c>
    </row>
    <row r="124" spans="2:14" s="154" customFormat="1" ht="27" hidden="1" outlineLevel="1">
      <c r="B124" s="165" t="s">
        <v>2325</v>
      </c>
      <c r="C124" s="165" t="s">
        <v>2992</v>
      </c>
      <c r="D124" s="165" t="s">
        <v>3131</v>
      </c>
      <c r="E124" s="404">
        <v>44568870.597987652</v>
      </c>
      <c r="F124" s="404">
        <v>20</v>
      </c>
      <c r="G124" s="405">
        <v>49521</v>
      </c>
      <c r="H124" s="404">
        <v>7305</v>
      </c>
      <c r="I124" s="404">
        <v>2228443.5298993825</v>
      </c>
      <c r="J124" s="404">
        <v>42340427.068088271</v>
      </c>
      <c r="K124" s="404">
        <v>365</v>
      </c>
      <c r="L124" s="404">
        <v>2115572</v>
      </c>
      <c r="M124" s="404">
        <v>14115120</v>
      </c>
      <c r="N124" s="404">
        <v>30453750.597987652</v>
      </c>
    </row>
    <row r="125" spans="2:14" s="154" customFormat="1" ht="27" hidden="1" outlineLevel="1">
      <c r="B125" s="165" t="s">
        <v>2325</v>
      </c>
      <c r="C125" s="165" t="s">
        <v>2992</v>
      </c>
      <c r="D125" s="165" t="s">
        <v>3677</v>
      </c>
      <c r="E125" s="404">
        <v>25615846.967336968</v>
      </c>
      <c r="F125" s="404">
        <v>20</v>
      </c>
      <c r="G125" s="405">
        <v>49521</v>
      </c>
      <c r="H125" s="404">
        <v>7305</v>
      </c>
      <c r="I125" s="404">
        <v>1280792.3483668484</v>
      </c>
      <c r="J125" s="404">
        <v>24335054.618970118</v>
      </c>
      <c r="K125" s="404">
        <v>365</v>
      </c>
      <c r="L125" s="404">
        <v>1215920</v>
      </c>
      <c r="M125" s="404">
        <v>8112631</v>
      </c>
      <c r="N125" s="404">
        <v>17503215.967336968</v>
      </c>
    </row>
    <row r="126" spans="2:14" s="154" customFormat="1" ht="27" hidden="1" outlineLevel="1">
      <c r="B126" s="165" t="s">
        <v>2325</v>
      </c>
      <c r="C126" s="165" t="s">
        <v>2992</v>
      </c>
      <c r="D126" s="165" t="s">
        <v>3133</v>
      </c>
      <c r="E126" s="404">
        <v>29346289.557183225</v>
      </c>
      <c r="F126" s="404">
        <v>20</v>
      </c>
      <c r="G126" s="405">
        <v>49521</v>
      </c>
      <c r="H126" s="404">
        <v>7305</v>
      </c>
      <c r="I126" s="404">
        <v>1467314.4778591613</v>
      </c>
      <c r="J126" s="404">
        <v>27878975.079324063</v>
      </c>
      <c r="K126" s="404">
        <v>365</v>
      </c>
      <c r="L126" s="404">
        <v>1392995</v>
      </c>
      <c r="M126" s="404">
        <v>9294077</v>
      </c>
      <c r="N126" s="404">
        <v>20052212.557183225</v>
      </c>
    </row>
    <row r="127" spans="2:14" s="154" customFormat="1" ht="27" hidden="1" outlineLevel="1">
      <c r="B127" s="165" t="s">
        <v>2325</v>
      </c>
      <c r="C127" s="165" t="s">
        <v>2992</v>
      </c>
      <c r="D127" s="165" t="s">
        <v>3134</v>
      </c>
      <c r="E127" s="404">
        <v>19895767.758388691</v>
      </c>
      <c r="F127" s="404">
        <v>20</v>
      </c>
      <c r="G127" s="405">
        <v>49521</v>
      </c>
      <c r="H127" s="404">
        <v>7305</v>
      </c>
      <c r="I127" s="404">
        <v>994788.38791943458</v>
      </c>
      <c r="J127" s="404">
        <v>18900979.370469257</v>
      </c>
      <c r="K127" s="404">
        <v>365</v>
      </c>
      <c r="L127" s="404">
        <v>944402</v>
      </c>
      <c r="M127" s="404">
        <v>6301061</v>
      </c>
      <c r="N127" s="404">
        <v>13594706.758388691</v>
      </c>
    </row>
    <row r="128" spans="2:14" s="154" customFormat="1" ht="27" hidden="1" outlineLevel="1">
      <c r="B128" s="165" t="s">
        <v>2325</v>
      </c>
      <c r="C128" s="165" t="s">
        <v>2992</v>
      </c>
      <c r="D128" s="165" t="s">
        <v>3135</v>
      </c>
      <c r="E128" s="404">
        <v>24869757.910603374</v>
      </c>
      <c r="F128" s="404">
        <v>20</v>
      </c>
      <c r="G128" s="405">
        <v>49521</v>
      </c>
      <c r="H128" s="404">
        <v>7305</v>
      </c>
      <c r="I128" s="404">
        <v>1243487.8955301687</v>
      </c>
      <c r="J128" s="404">
        <v>23626270.015073206</v>
      </c>
      <c r="K128" s="404">
        <v>365</v>
      </c>
      <c r="L128" s="404">
        <v>1180505</v>
      </c>
      <c r="M128" s="404">
        <v>7876342</v>
      </c>
      <c r="N128" s="404">
        <v>16993415.910603374</v>
      </c>
    </row>
    <row r="129" spans="2:14" s="154" customFormat="1" ht="27" hidden="1" outlineLevel="1">
      <c r="B129" s="165" t="s">
        <v>2325</v>
      </c>
      <c r="C129" s="165" t="s">
        <v>2992</v>
      </c>
      <c r="D129" s="165" t="s">
        <v>3136</v>
      </c>
      <c r="E129" s="404">
        <v>24869757.910603374</v>
      </c>
      <c r="F129" s="404">
        <v>15</v>
      </c>
      <c r="G129" s="405">
        <v>47695</v>
      </c>
      <c r="H129" s="404">
        <v>5479</v>
      </c>
      <c r="I129" s="404">
        <v>1243487.8955301687</v>
      </c>
      <c r="J129" s="404">
        <v>23626270.015073206</v>
      </c>
      <c r="K129" s="404">
        <v>365</v>
      </c>
      <c r="L129" s="404">
        <v>1573935</v>
      </c>
      <c r="M129" s="404">
        <v>10501311</v>
      </c>
      <c r="N129" s="404">
        <v>14368446.910603374</v>
      </c>
    </row>
    <row r="130" spans="2:14" s="154" customFormat="1" hidden="1" outlineLevel="1">
      <c r="B130" s="165" t="s">
        <v>2325</v>
      </c>
      <c r="C130" s="165" t="s">
        <v>2992</v>
      </c>
      <c r="D130" s="165" t="s">
        <v>3137</v>
      </c>
      <c r="E130" s="404">
        <v>44765525.66899205</v>
      </c>
      <c r="F130" s="404">
        <v>25</v>
      </c>
      <c r="G130" s="405">
        <v>51348</v>
      </c>
      <c r="H130" s="404">
        <v>9132</v>
      </c>
      <c r="I130" s="404">
        <v>2238276.2834496028</v>
      </c>
      <c r="J130" s="404">
        <v>42527249.385542445</v>
      </c>
      <c r="K130" s="404">
        <v>365</v>
      </c>
      <c r="L130" s="404">
        <v>1699786</v>
      </c>
      <c r="M130" s="404">
        <v>11340991</v>
      </c>
      <c r="N130" s="404">
        <v>33424534.66899205</v>
      </c>
    </row>
    <row r="131" spans="2:14" s="154" customFormat="1" ht="27" hidden="1" outlineLevel="1">
      <c r="B131" s="165" t="s">
        <v>2325</v>
      </c>
      <c r="C131" s="165" t="s">
        <v>2992</v>
      </c>
      <c r="D131" s="165" t="s">
        <v>3138</v>
      </c>
      <c r="E131" s="404">
        <v>14921873.693191128</v>
      </c>
      <c r="F131" s="404">
        <v>20</v>
      </c>
      <c r="G131" s="405">
        <v>49521</v>
      </c>
      <c r="H131" s="404">
        <v>7305</v>
      </c>
      <c r="I131" s="404">
        <v>746093.68465955649</v>
      </c>
      <c r="J131" s="404">
        <v>14175780.00853157</v>
      </c>
      <c r="K131" s="404">
        <v>365</v>
      </c>
      <c r="L131" s="404">
        <v>708304</v>
      </c>
      <c r="M131" s="404">
        <v>4725811</v>
      </c>
      <c r="N131" s="404">
        <v>10196062.693191128</v>
      </c>
    </row>
    <row r="132" spans="2:14" s="154" customFormat="1" ht="27" hidden="1" outlineLevel="1">
      <c r="B132" s="165" t="s">
        <v>2325</v>
      </c>
      <c r="C132" s="165" t="s">
        <v>2992</v>
      </c>
      <c r="D132" s="165" t="s">
        <v>3139</v>
      </c>
      <c r="E132" s="404">
        <v>6963527.4399731541</v>
      </c>
      <c r="F132" s="404">
        <v>20</v>
      </c>
      <c r="G132" s="405">
        <v>49521</v>
      </c>
      <c r="H132" s="404">
        <v>7305</v>
      </c>
      <c r="I132" s="404">
        <v>348176.37199865771</v>
      </c>
      <c r="J132" s="404">
        <v>6615351.0679744966</v>
      </c>
      <c r="K132" s="404">
        <v>365</v>
      </c>
      <c r="L132" s="404">
        <v>330541</v>
      </c>
      <c r="M132" s="404">
        <v>2205374</v>
      </c>
      <c r="N132" s="404">
        <v>4758153.4399731541</v>
      </c>
    </row>
    <row r="133" spans="2:14" s="154" customFormat="1" ht="27" hidden="1" outlineLevel="1">
      <c r="B133" s="165" t="s">
        <v>2325</v>
      </c>
      <c r="C133" s="165" t="s">
        <v>2992</v>
      </c>
      <c r="D133" s="165" t="s">
        <v>3140</v>
      </c>
      <c r="E133" s="404">
        <v>2735627.3444920634</v>
      </c>
      <c r="F133" s="404">
        <v>20</v>
      </c>
      <c r="G133" s="405">
        <v>49521</v>
      </c>
      <c r="H133" s="404">
        <v>7305</v>
      </c>
      <c r="I133" s="404">
        <v>136781.36722460316</v>
      </c>
      <c r="J133" s="404">
        <v>2598845.9772674604</v>
      </c>
      <c r="K133" s="404">
        <v>365</v>
      </c>
      <c r="L133" s="404">
        <v>129853</v>
      </c>
      <c r="M133" s="404">
        <v>866381</v>
      </c>
      <c r="N133" s="404">
        <v>1869246.3444920634</v>
      </c>
    </row>
    <row r="134" spans="2:14" s="154" customFormat="1" ht="27" hidden="1" outlineLevel="1">
      <c r="B134" s="165" t="s">
        <v>2325</v>
      </c>
      <c r="C134" s="165" t="s">
        <v>2992</v>
      </c>
      <c r="D134" s="165" t="s">
        <v>3141</v>
      </c>
      <c r="E134" s="404">
        <v>1989537.2877584668</v>
      </c>
      <c r="F134" s="404">
        <v>15</v>
      </c>
      <c r="G134" s="405">
        <v>47695</v>
      </c>
      <c r="H134" s="404">
        <v>5479</v>
      </c>
      <c r="I134" s="404">
        <v>99476.864387923342</v>
      </c>
      <c r="J134" s="404">
        <v>1890060.4233705434</v>
      </c>
      <c r="K134" s="404">
        <v>365</v>
      </c>
      <c r="L134" s="404">
        <v>125912</v>
      </c>
      <c r="M134" s="404">
        <v>840086</v>
      </c>
      <c r="N134" s="404">
        <v>1149451.2877584668</v>
      </c>
    </row>
    <row r="135" spans="2:14" s="154" customFormat="1" ht="27" hidden="1" outlineLevel="1">
      <c r="B135" s="165" t="s">
        <v>2325</v>
      </c>
      <c r="C135" s="165" t="s">
        <v>2992</v>
      </c>
      <c r="D135" s="165" t="s">
        <v>3142</v>
      </c>
      <c r="E135" s="404">
        <v>2984355.0985407489</v>
      </c>
      <c r="F135" s="404">
        <v>10</v>
      </c>
      <c r="G135" s="405">
        <v>45869</v>
      </c>
      <c r="H135" s="404">
        <v>3653</v>
      </c>
      <c r="I135" s="404">
        <v>149217.75492703746</v>
      </c>
      <c r="J135" s="404">
        <v>2835137.3436137117</v>
      </c>
      <c r="K135" s="404">
        <v>365</v>
      </c>
      <c r="L135" s="404">
        <v>283281</v>
      </c>
      <c r="M135" s="404">
        <v>1890054</v>
      </c>
      <c r="N135" s="404">
        <v>1094301.0985407489</v>
      </c>
    </row>
    <row r="136" spans="2:14" s="154" customFormat="1" hidden="1" outlineLevel="1">
      <c r="B136" s="165" t="s">
        <v>2325</v>
      </c>
      <c r="C136" s="165" t="s">
        <v>2992</v>
      </c>
      <c r="D136" s="165" t="s">
        <v>3678</v>
      </c>
      <c r="E136" s="404">
        <v>132842511.51726592</v>
      </c>
      <c r="F136" s="404">
        <v>30</v>
      </c>
      <c r="G136" s="405">
        <v>53174</v>
      </c>
      <c r="H136" s="404">
        <v>10958</v>
      </c>
      <c r="I136" s="404">
        <v>6642125.5758632962</v>
      </c>
      <c r="J136" s="404">
        <v>126200385.94140261</v>
      </c>
      <c r="K136" s="404">
        <v>365</v>
      </c>
      <c r="L136" s="404">
        <v>4203608</v>
      </c>
      <c r="M136" s="404">
        <v>28046519</v>
      </c>
      <c r="N136" s="404">
        <v>104795992.51726592</v>
      </c>
    </row>
    <row r="137" spans="2:14" s="154" customFormat="1" hidden="1" outlineLevel="1">
      <c r="B137" s="165" t="s">
        <v>2325</v>
      </c>
      <c r="C137" s="165" t="s">
        <v>2992</v>
      </c>
      <c r="D137" s="165" t="s">
        <v>3679</v>
      </c>
      <c r="E137" s="404">
        <v>133090849.02536353</v>
      </c>
      <c r="F137" s="404">
        <v>30</v>
      </c>
      <c r="G137" s="405">
        <v>53174</v>
      </c>
      <c r="H137" s="404">
        <v>10958</v>
      </c>
      <c r="I137" s="404">
        <v>6654542.4512681775</v>
      </c>
      <c r="J137" s="404">
        <v>126436306.57409535</v>
      </c>
      <c r="K137" s="404">
        <v>365</v>
      </c>
      <c r="L137" s="404">
        <v>4211467</v>
      </c>
      <c r="M137" s="404">
        <v>28098954</v>
      </c>
      <c r="N137" s="404">
        <v>104991895.02536353</v>
      </c>
    </row>
    <row r="138" spans="2:14" s="154" customFormat="1" ht="27" hidden="1" outlineLevel="1">
      <c r="B138" s="165" t="s">
        <v>2325</v>
      </c>
      <c r="C138" s="165" t="s">
        <v>2992</v>
      </c>
      <c r="D138" s="165" t="s">
        <v>3128</v>
      </c>
      <c r="E138" s="404">
        <v>20393128.061073598</v>
      </c>
      <c r="F138" s="404">
        <v>30</v>
      </c>
      <c r="G138" s="405">
        <v>53174</v>
      </c>
      <c r="H138" s="404">
        <v>10958</v>
      </c>
      <c r="I138" s="404">
        <v>1019656.40305368</v>
      </c>
      <c r="J138" s="404">
        <v>19373471.658019919</v>
      </c>
      <c r="K138" s="404">
        <v>365</v>
      </c>
      <c r="L138" s="404">
        <v>645311</v>
      </c>
      <c r="M138" s="404">
        <v>4305522</v>
      </c>
      <c r="N138" s="404">
        <v>16087606.061073598</v>
      </c>
    </row>
    <row r="139" spans="2:14" s="154" customFormat="1" ht="27" hidden="1" outlineLevel="1">
      <c r="B139" s="165" t="s">
        <v>2325</v>
      </c>
      <c r="C139" s="165" t="s">
        <v>2992</v>
      </c>
      <c r="D139" s="165" t="s">
        <v>3129</v>
      </c>
      <c r="E139" s="404">
        <v>20393128.061073598</v>
      </c>
      <c r="F139" s="404">
        <v>30</v>
      </c>
      <c r="G139" s="405">
        <v>53174</v>
      </c>
      <c r="H139" s="404">
        <v>10958</v>
      </c>
      <c r="I139" s="404">
        <v>1019656.40305368</v>
      </c>
      <c r="J139" s="404">
        <v>19373471.658019919</v>
      </c>
      <c r="K139" s="404">
        <v>365</v>
      </c>
      <c r="L139" s="404">
        <v>645311</v>
      </c>
      <c r="M139" s="404">
        <v>4305522</v>
      </c>
      <c r="N139" s="404">
        <v>16087606.061073598</v>
      </c>
    </row>
    <row r="140" spans="2:14" s="154" customFormat="1" hidden="1" outlineLevel="1">
      <c r="B140" s="165" t="s">
        <v>2325</v>
      </c>
      <c r="C140" s="165" t="s">
        <v>2992</v>
      </c>
      <c r="D140" s="165" t="s">
        <v>3680</v>
      </c>
      <c r="E140" s="404">
        <v>144244361.02143848</v>
      </c>
      <c r="F140" s="404">
        <v>30</v>
      </c>
      <c r="G140" s="405">
        <v>53174</v>
      </c>
      <c r="H140" s="404">
        <v>10958</v>
      </c>
      <c r="I140" s="404">
        <v>7212218.0510719242</v>
      </c>
      <c r="J140" s="404">
        <v>137032142.97036657</v>
      </c>
      <c r="K140" s="404">
        <v>365</v>
      </c>
      <c r="L140" s="404">
        <v>4564403</v>
      </c>
      <c r="M140" s="404">
        <v>30453748</v>
      </c>
      <c r="N140" s="404">
        <v>113790613.02143848</v>
      </c>
    </row>
    <row r="141" spans="2:14" s="154" customFormat="1" hidden="1" outlineLevel="1">
      <c r="B141" s="165" t="s">
        <v>2325</v>
      </c>
      <c r="C141" s="165" t="s">
        <v>2992</v>
      </c>
      <c r="D141" s="165" t="s">
        <v>3681</v>
      </c>
      <c r="E141" s="404">
        <v>124348595.26551239</v>
      </c>
      <c r="F141" s="404">
        <v>30</v>
      </c>
      <c r="G141" s="405">
        <v>53174</v>
      </c>
      <c r="H141" s="404">
        <v>10958</v>
      </c>
      <c r="I141" s="404">
        <v>6217429.7632756196</v>
      </c>
      <c r="J141" s="404">
        <v>118131165.50223677</v>
      </c>
      <c r="K141" s="404">
        <v>365</v>
      </c>
      <c r="L141" s="404">
        <v>3934831</v>
      </c>
      <c r="M141" s="404">
        <v>26253235</v>
      </c>
      <c r="N141" s="404">
        <v>98095360.265512392</v>
      </c>
    </row>
    <row r="142" spans="2:14" s="154" customFormat="1" hidden="1" outlineLevel="1">
      <c r="B142" s="165" t="s">
        <v>2325</v>
      </c>
      <c r="C142" s="165" t="s">
        <v>2992</v>
      </c>
      <c r="D142" s="165" t="s">
        <v>3682</v>
      </c>
      <c r="E142" s="404">
        <v>20393128.061073598</v>
      </c>
      <c r="F142" s="404">
        <v>30</v>
      </c>
      <c r="G142" s="405">
        <v>53174</v>
      </c>
      <c r="H142" s="404">
        <v>10958</v>
      </c>
      <c r="I142" s="404">
        <v>1019656.40305368</v>
      </c>
      <c r="J142" s="404">
        <v>19373471.658019919</v>
      </c>
      <c r="K142" s="404">
        <v>365</v>
      </c>
      <c r="L142" s="404">
        <v>645311</v>
      </c>
      <c r="M142" s="404">
        <v>4305522</v>
      </c>
      <c r="N142" s="404">
        <v>16087606.061073598</v>
      </c>
    </row>
    <row r="143" spans="2:14" s="154" customFormat="1" hidden="1" outlineLevel="1">
      <c r="B143" s="165" t="s">
        <v>2325</v>
      </c>
      <c r="C143" s="165" t="s">
        <v>2992</v>
      </c>
      <c r="D143" s="165" t="s">
        <v>3683</v>
      </c>
      <c r="E143" s="404">
        <v>20393128.061073598</v>
      </c>
      <c r="F143" s="404">
        <v>30</v>
      </c>
      <c r="G143" s="405">
        <v>53174</v>
      </c>
      <c r="H143" s="404">
        <v>10958</v>
      </c>
      <c r="I143" s="404">
        <v>1019656.40305368</v>
      </c>
      <c r="J143" s="404">
        <v>19373471.658019919</v>
      </c>
      <c r="K143" s="404">
        <v>365</v>
      </c>
      <c r="L143" s="404">
        <v>645311</v>
      </c>
      <c r="M143" s="404">
        <v>4305522</v>
      </c>
      <c r="N143" s="404">
        <v>16087606.061073598</v>
      </c>
    </row>
    <row r="144" spans="2:14" s="154" customFormat="1" ht="27" hidden="1" outlineLevel="1">
      <c r="B144" s="165" t="s">
        <v>2325</v>
      </c>
      <c r="C144" s="165" t="s">
        <v>2992</v>
      </c>
      <c r="D144" s="165" t="s">
        <v>3684</v>
      </c>
      <c r="E144" s="404">
        <v>20303542.123475611</v>
      </c>
      <c r="F144" s="404">
        <v>30</v>
      </c>
      <c r="G144" s="405">
        <v>53174</v>
      </c>
      <c r="H144" s="404">
        <v>10958</v>
      </c>
      <c r="I144" s="404">
        <v>1015177.1061737806</v>
      </c>
      <c r="J144" s="404">
        <v>19288365.017301831</v>
      </c>
      <c r="K144" s="404">
        <v>365</v>
      </c>
      <c r="L144" s="404">
        <v>642476</v>
      </c>
      <c r="M144" s="404">
        <v>4286607</v>
      </c>
      <c r="N144" s="404">
        <v>16016935.123475611</v>
      </c>
    </row>
    <row r="145" spans="2:14" s="154" customFormat="1" hidden="1" outlineLevel="1">
      <c r="B145" s="165" t="s">
        <v>2325</v>
      </c>
      <c r="C145" s="165" t="s">
        <v>2992</v>
      </c>
      <c r="D145" s="165" t="s">
        <v>3149</v>
      </c>
      <c r="E145" s="404">
        <v>122425753.17891771</v>
      </c>
      <c r="F145" s="404">
        <v>30</v>
      </c>
      <c r="G145" s="405">
        <v>53174</v>
      </c>
      <c r="H145" s="404">
        <v>10958</v>
      </c>
      <c r="I145" s="404">
        <v>6121287.6589458855</v>
      </c>
      <c r="J145" s="404">
        <v>116304465.51997182</v>
      </c>
      <c r="K145" s="404">
        <v>365</v>
      </c>
      <c r="L145" s="404">
        <v>3873985</v>
      </c>
      <c r="M145" s="404">
        <v>25847271</v>
      </c>
      <c r="N145" s="404">
        <v>96578482.178917706</v>
      </c>
    </row>
    <row r="146" spans="2:14" s="154" customFormat="1" hidden="1" outlineLevel="1">
      <c r="B146" s="165"/>
      <c r="C146" s="165"/>
      <c r="D146" s="165"/>
      <c r="E146" s="404"/>
      <c r="F146" s="404"/>
      <c r="G146" s="405"/>
      <c r="H146" s="404"/>
      <c r="I146" s="404"/>
      <c r="J146" s="404"/>
      <c r="K146" s="404"/>
      <c r="L146" s="404"/>
      <c r="M146" s="404"/>
      <c r="N146" s="404"/>
    </row>
    <row r="147" spans="2:14" s="154" customFormat="1" hidden="1" outlineLevel="1">
      <c r="B147" s="165" t="s">
        <v>2325</v>
      </c>
      <c r="C147" s="165" t="s">
        <v>2992</v>
      </c>
      <c r="D147" s="165" t="s">
        <v>3151</v>
      </c>
      <c r="E147" s="404">
        <v>23307662.484183267</v>
      </c>
      <c r="F147" s="404">
        <v>20</v>
      </c>
      <c r="G147" s="405">
        <v>49521</v>
      </c>
      <c r="H147" s="404">
        <v>7305</v>
      </c>
      <c r="I147" s="404">
        <v>1165383.1242091635</v>
      </c>
      <c r="J147" s="404">
        <v>22142279.359974105</v>
      </c>
      <c r="K147" s="404">
        <v>365</v>
      </c>
      <c r="L147" s="404">
        <v>1106356</v>
      </c>
      <c r="M147" s="404">
        <v>7381619</v>
      </c>
      <c r="N147" s="404">
        <v>15926043.484183267</v>
      </c>
    </row>
    <row r="148" spans="2:14" s="154" customFormat="1" ht="27" hidden="1" outlineLevel="1">
      <c r="B148" s="165" t="s">
        <v>2325</v>
      </c>
      <c r="C148" s="165" t="s">
        <v>2992</v>
      </c>
      <c r="D148" s="165" t="s">
        <v>3152</v>
      </c>
      <c r="E148" s="404">
        <v>23307662.484183267</v>
      </c>
      <c r="F148" s="404">
        <v>20</v>
      </c>
      <c r="G148" s="405">
        <v>49521</v>
      </c>
      <c r="H148" s="404">
        <v>7305</v>
      </c>
      <c r="I148" s="404">
        <v>1165383.1242091635</v>
      </c>
      <c r="J148" s="404">
        <v>22142279.359974105</v>
      </c>
      <c r="K148" s="404">
        <v>365</v>
      </c>
      <c r="L148" s="404">
        <v>1106356</v>
      </c>
      <c r="M148" s="404">
        <v>7381619</v>
      </c>
      <c r="N148" s="404">
        <v>15926043.484183267</v>
      </c>
    </row>
    <row r="149" spans="2:14" s="154" customFormat="1" hidden="1" outlineLevel="1">
      <c r="B149" s="165"/>
      <c r="C149" s="165"/>
      <c r="D149" s="165"/>
      <c r="E149" s="404"/>
      <c r="F149" s="404"/>
      <c r="G149" s="405"/>
      <c r="H149" s="404"/>
      <c r="I149" s="404"/>
      <c r="J149" s="404"/>
      <c r="K149" s="404"/>
      <c r="L149" s="404"/>
      <c r="M149" s="404"/>
      <c r="N149" s="404"/>
    </row>
    <row r="150" spans="2:14" s="154" customFormat="1" hidden="1" outlineLevel="1">
      <c r="B150" s="165" t="s">
        <v>2325</v>
      </c>
      <c r="C150" s="165" t="s">
        <v>2992</v>
      </c>
      <c r="D150" s="165" t="s">
        <v>3150</v>
      </c>
      <c r="E150" s="404">
        <v>83740336.86910212</v>
      </c>
      <c r="F150" s="404">
        <v>30</v>
      </c>
      <c r="G150" s="405">
        <v>53174</v>
      </c>
      <c r="H150" s="404">
        <v>10958</v>
      </c>
      <c r="I150" s="404">
        <v>4187016.843455106</v>
      </c>
      <c r="J150" s="404">
        <v>79553320.025647014</v>
      </c>
      <c r="K150" s="404">
        <v>365</v>
      </c>
      <c r="L150" s="404">
        <v>2649841</v>
      </c>
      <c r="M150" s="404">
        <v>17679769</v>
      </c>
      <c r="N150" s="404">
        <v>66060567.86910212</v>
      </c>
    </row>
    <row r="151" spans="2:14" s="154" customFormat="1" hidden="1" outlineLevel="1">
      <c r="B151" s="165" t="s">
        <v>2325</v>
      </c>
      <c r="C151" s="165" t="s">
        <v>2992</v>
      </c>
      <c r="D151" s="165" t="s">
        <v>3154</v>
      </c>
      <c r="E151" s="404">
        <v>36659840.732200548</v>
      </c>
      <c r="F151" s="404">
        <v>25</v>
      </c>
      <c r="G151" s="405">
        <v>51348</v>
      </c>
      <c r="H151" s="404">
        <v>9132</v>
      </c>
      <c r="I151" s="404">
        <v>1832992.0366100275</v>
      </c>
      <c r="J151" s="404">
        <v>34826848.695590518</v>
      </c>
      <c r="K151" s="404">
        <v>365</v>
      </c>
      <c r="L151" s="404">
        <v>1392006</v>
      </c>
      <c r="M151" s="404">
        <v>9287480</v>
      </c>
      <c r="N151" s="404">
        <v>27372360.732200548</v>
      </c>
    </row>
    <row r="152" spans="2:14" s="154" customFormat="1" hidden="1" outlineLevel="1">
      <c r="B152" s="165" t="s">
        <v>2325</v>
      </c>
      <c r="C152" s="165" t="s">
        <v>2992</v>
      </c>
      <c r="D152" s="165" t="s">
        <v>3155</v>
      </c>
      <c r="E152" s="404">
        <v>22245104.548073139</v>
      </c>
      <c r="F152" s="404">
        <v>25</v>
      </c>
      <c r="G152" s="405">
        <v>51348</v>
      </c>
      <c r="H152" s="404">
        <v>9132</v>
      </c>
      <c r="I152" s="404">
        <v>1112255.227403657</v>
      </c>
      <c r="J152" s="404">
        <v>21132849.320669483</v>
      </c>
      <c r="K152" s="404">
        <v>365</v>
      </c>
      <c r="L152" s="404">
        <v>844666</v>
      </c>
      <c r="M152" s="404">
        <v>5635621</v>
      </c>
      <c r="N152" s="404">
        <v>16609483.548073139</v>
      </c>
    </row>
    <row r="153" spans="2:14" s="154" customFormat="1" hidden="1" outlineLevel="1">
      <c r="B153" s="165" t="s">
        <v>2325</v>
      </c>
      <c r="C153" s="165" t="s">
        <v>2992</v>
      </c>
      <c r="D153" s="165" t="s">
        <v>3156</v>
      </c>
      <c r="E153" s="404">
        <v>208101452.3186489</v>
      </c>
      <c r="F153" s="404">
        <v>20</v>
      </c>
      <c r="G153" s="405">
        <v>49521</v>
      </c>
      <c r="H153" s="404">
        <v>7305</v>
      </c>
      <c r="I153" s="404">
        <v>10405072.615932446</v>
      </c>
      <c r="J153" s="404">
        <v>197696379.70271647</v>
      </c>
      <c r="K153" s="404">
        <v>365</v>
      </c>
      <c r="L153" s="404">
        <v>9878053</v>
      </c>
      <c r="M153" s="404">
        <v>65906478</v>
      </c>
      <c r="N153" s="404">
        <v>142194974.3186489</v>
      </c>
    </row>
    <row r="154" spans="2:14" s="154" customFormat="1" hidden="1" outlineLevel="1">
      <c r="B154" s="165" t="s">
        <v>2325</v>
      </c>
      <c r="C154" s="165" t="s">
        <v>2992</v>
      </c>
      <c r="D154" s="165" t="s">
        <v>3157</v>
      </c>
      <c r="E154" s="404">
        <v>24735057.190748546</v>
      </c>
      <c r="F154" s="404">
        <v>25</v>
      </c>
      <c r="G154" s="405">
        <v>51348</v>
      </c>
      <c r="H154" s="404">
        <v>9132</v>
      </c>
      <c r="I154" s="404">
        <v>1236752.8595374273</v>
      </c>
      <c r="J154" s="404">
        <v>23498304.33121112</v>
      </c>
      <c r="K154" s="404">
        <v>365</v>
      </c>
      <c r="L154" s="404">
        <v>939212</v>
      </c>
      <c r="M154" s="404">
        <v>6266432</v>
      </c>
      <c r="N154" s="404">
        <v>18468625.190748546</v>
      </c>
    </row>
    <row r="155" spans="2:14" s="154" customFormat="1" hidden="1" outlineLevel="1">
      <c r="B155" s="165" t="s">
        <v>2325</v>
      </c>
      <c r="C155" s="165" t="s">
        <v>2992</v>
      </c>
      <c r="D155" s="165" t="s">
        <v>3158</v>
      </c>
      <c r="E155" s="404">
        <v>123583828.11944382</v>
      </c>
      <c r="F155" s="404">
        <v>20</v>
      </c>
      <c r="G155" s="405">
        <v>49521</v>
      </c>
      <c r="H155" s="404">
        <v>7305</v>
      </c>
      <c r="I155" s="404">
        <v>6179191.4059721911</v>
      </c>
      <c r="J155" s="404">
        <v>117404636.71347162</v>
      </c>
      <c r="K155" s="404">
        <v>365</v>
      </c>
      <c r="L155" s="404">
        <v>5866214</v>
      </c>
      <c r="M155" s="404">
        <v>39139444</v>
      </c>
      <c r="N155" s="404">
        <v>84444384.119443819</v>
      </c>
    </row>
    <row r="156" spans="2:14" s="154" customFormat="1" hidden="1" outlineLevel="1">
      <c r="B156" s="165" t="s">
        <v>2325</v>
      </c>
      <c r="C156" s="165" t="s">
        <v>2992</v>
      </c>
      <c r="D156" s="165" t="s">
        <v>3159</v>
      </c>
      <c r="E156" s="404">
        <v>49022724.862802155</v>
      </c>
      <c r="F156" s="404">
        <v>20</v>
      </c>
      <c r="G156" s="405">
        <v>49521</v>
      </c>
      <c r="H156" s="404">
        <v>7305</v>
      </c>
      <c r="I156" s="404">
        <v>2451136.243140108</v>
      </c>
      <c r="J156" s="404">
        <v>46571588.619662046</v>
      </c>
      <c r="K156" s="404">
        <v>365</v>
      </c>
      <c r="L156" s="404">
        <v>2326986</v>
      </c>
      <c r="M156" s="404">
        <v>15525676</v>
      </c>
      <c r="N156" s="404">
        <v>33497048.862802155</v>
      </c>
    </row>
    <row r="157" spans="2:14" s="154" customFormat="1" hidden="1" outlineLevel="1">
      <c r="B157" s="165" t="s">
        <v>2325</v>
      </c>
      <c r="C157" s="165" t="s">
        <v>2992</v>
      </c>
      <c r="D157" s="165" t="s">
        <v>3160</v>
      </c>
      <c r="E157" s="404">
        <v>147068169.33915493</v>
      </c>
      <c r="F157" s="404">
        <v>20</v>
      </c>
      <c r="G157" s="405">
        <v>49521</v>
      </c>
      <c r="H157" s="404">
        <v>7305</v>
      </c>
      <c r="I157" s="404">
        <v>7353408.466957747</v>
      </c>
      <c r="J157" s="404">
        <v>139714760.87219718</v>
      </c>
      <c r="K157" s="404">
        <v>365</v>
      </c>
      <c r="L157" s="404">
        <v>6980957</v>
      </c>
      <c r="M157" s="404">
        <v>46577021</v>
      </c>
      <c r="N157" s="404">
        <v>100491148.33915493</v>
      </c>
    </row>
    <row r="158" spans="2:14" s="154" customFormat="1" hidden="1" outlineLevel="1">
      <c r="B158" s="165" t="s">
        <v>2325</v>
      </c>
      <c r="C158" s="165" t="s">
        <v>2992</v>
      </c>
      <c r="D158" s="165" t="s">
        <v>3161</v>
      </c>
      <c r="E158" s="404">
        <v>99059309.096263707</v>
      </c>
      <c r="F158" s="404">
        <v>20</v>
      </c>
      <c r="G158" s="405">
        <v>49521</v>
      </c>
      <c r="H158" s="404">
        <v>7305</v>
      </c>
      <c r="I158" s="404">
        <v>4952965.4548131851</v>
      </c>
      <c r="J158" s="404">
        <v>94106343.641450524</v>
      </c>
      <c r="K158" s="404">
        <v>365</v>
      </c>
      <c r="L158" s="404">
        <v>4702097</v>
      </c>
      <c r="M158" s="404">
        <v>31372442</v>
      </c>
      <c r="N158" s="404">
        <v>67686867.096263707</v>
      </c>
    </row>
    <row r="159" spans="2:14" s="154" customFormat="1" hidden="1" outlineLevel="1">
      <c r="B159" s="165" t="s">
        <v>2325</v>
      </c>
      <c r="C159" s="165" t="s">
        <v>2992</v>
      </c>
      <c r="D159" s="165" t="s">
        <v>3162</v>
      </c>
      <c r="E159" s="404">
        <v>65293629.437270552</v>
      </c>
      <c r="F159" s="404">
        <v>20</v>
      </c>
      <c r="G159" s="405">
        <v>49521</v>
      </c>
      <c r="H159" s="404">
        <v>7305</v>
      </c>
      <c r="I159" s="404">
        <v>3264681.4718635278</v>
      </c>
      <c r="J159" s="404">
        <v>62028947.965407021</v>
      </c>
      <c r="K159" s="404">
        <v>365</v>
      </c>
      <c r="L159" s="404">
        <v>3099325</v>
      </c>
      <c r="M159" s="404">
        <v>20678730</v>
      </c>
      <c r="N159" s="404">
        <v>44614899.437270552</v>
      </c>
    </row>
    <row r="160" spans="2:14" s="154" customFormat="1" hidden="1" outlineLevel="1">
      <c r="B160" s="165" t="s">
        <v>2325</v>
      </c>
      <c r="C160" s="165" t="s">
        <v>2992</v>
      </c>
      <c r="D160" s="165" t="s">
        <v>3163</v>
      </c>
      <c r="E160" s="404">
        <v>417892714.33913201</v>
      </c>
      <c r="F160" s="404">
        <v>25</v>
      </c>
      <c r="G160" s="405">
        <v>51348</v>
      </c>
      <c r="H160" s="404">
        <v>9132</v>
      </c>
      <c r="I160" s="404">
        <v>20894635.716956601</v>
      </c>
      <c r="J160" s="404">
        <v>396998078.6221754</v>
      </c>
      <c r="K160" s="404">
        <v>365</v>
      </c>
      <c r="L160" s="404">
        <v>15867751</v>
      </c>
      <c r="M160" s="404">
        <v>105869808</v>
      </c>
      <c r="N160" s="404">
        <v>312022906.33913201</v>
      </c>
    </row>
    <row r="161" spans="2:14" s="154" customFormat="1" hidden="1" outlineLevel="1">
      <c r="B161" s="165" t="s">
        <v>2325</v>
      </c>
      <c r="C161" s="165" t="s">
        <v>2992</v>
      </c>
      <c r="D161" s="165" t="s">
        <v>3164</v>
      </c>
      <c r="E161" s="404">
        <v>119183992.61700225</v>
      </c>
      <c r="F161" s="404">
        <v>25</v>
      </c>
      <c r="G161" s="405">
        <v>51348</v>
      </c>
      <c r="H161" s="404">
        <v>9132</v>
      </c>
      <c r="I161" s="404">
        <v>5959199.630850113</v>
      </c>
      <c r="J161" s="404">
        <v>113224792.98615214</v>
      </c>
      <c r="K161" s="404">
        <v>365</v>
      </c>
      <c r="L161" s="404">
        <v>4525520</v>
      </c>
      <c r="M161" s="404">
        <v>30194320</v>
      </c>
      <c r="N161" s="404">
        <v>88989672.617002249</v>
      </c>
    </row>
    <row r="162" spans="2:14" s="154" customFormat="1" hidden="1" outlineLevel="1">
      <c r="B162" s="165" t="s">
        <v>2325</v>
      </c>
      <c r="C162" s="165" t="s">
        <v>2992</v>
      </c>
      <c r="D162" s="165" t="s">
        <v>3165</v>
      </c>
      <c r="E162" s="404">
        <v>6299376.8394729486</v>
      </c>
      <c r="F162" s="404">
        <v>20</v>
      </c>
      <c r="G162" s="405">
        <v>49521</v>
      </c>
      <c r="H162" s="404">
        <v>7305</v>
      </c>
      <c r="I162" s="404">
        <v>314968.84197364748</v>
      </c>
      <c r="J162" s="404">
        <v>5984407.9974993011</v>
      </c>
      <c r="K162" s="404">
        <v>365</v>
      </c>
      <c r="L162" s="404">
        <v>299016</v>
      </c>
      <c r="M162" s="404">
        <v>1995038</v>
      </c>
      <c r="N162" s="404">
        <v>4304338.8394729486</v>
      </c>
    </row>
    <row r="163" spans="2:14" s="154" customFormat="1" hidden="1" outlineLevel="1">
      <c r="B163" s="165" t="s">
        <v>2325</v>
      </c>
      <c r="C163" s="165" t="s">
        <v>2992</v>
      </c>
      <c r="D163" s="165" t="s">
        <v>3166</v>
      </c>
      <c r="E163" s="404">
        <v>41781073.367501386</v>
      </c>
      <c r="F163" s="404">
        <v>25</v>
      </c>
      <c r="G163" s="405">
        <v>51348</v>
      </c>
      <c r="H163" s="404">
        <v>9132</v>
      </c>
      <c r="I163" s="404">
        <v>2089053.6683750693</v>
      </c>
      <c r="J163" s="404">
        <v>39692019.699126318</v>
      </c>
      <c r="K163" s="404">
        <v>365</v>
      </c>
      <c r="L163" s="404">
        <v>1586464</v>
      </c>
      <c r="M163" s="404">
        <v>10584905</v>
      </c>
      <c r="N163" s="404">
        <v>31196168.367501386</v>
      </c>
    </row>
    <row r="164" spans="2:14" s="154" customFormat="1" hidden="1" outlineLevel="1">
      <c r="B164" s="165" t="s">
        <v>2325</v>
      </c>
      <c r="C164" s="165" t="s">
        <v>2992</v>
      </c>
      <c r="D164" s="165" t="s">
        <v>3179</v>
      </c>
      <c r="E164" s="404">
        <v>295552251.47452784</v>
      </c>
      <c r="F164" s="404">
        <v>25</v>
      </c>
      <c r="G164" s="405">
        <v>51348</v>
      </c>
      <c r="H164" s="404">
        <v>9132</v>
      </c>
      <c r="I164" s="404">
        <v>14777612.573726393</v>
      </c>
      <c r="J164" s="404">
        <v>280774638.90080142</v>
      </c>
      <c r="K164" s="404">
        <v>365</v>
      </c>
      <c r="L164" s="404">
        <v>11222377</v>
      </c>
      <c r="M164" s="404">
        <v>74875822</v>
      </c>
      <c r="N164" s="404">
        <v>220676429.47452784</v>
      </c>
    </row>
    <row r="165" spans="2:14" s="154" customFormat="1" hidden="1" outlineLevel="1">
      <c r="B165" s="165" t="s">
        <v>2325</v>
      </c>
      <c r="C165" s="165" t="s">
        <v>2992</v>
      </c>
      <c r="D165" s="165" t="s">
        <v>3167</v>
      </c>
      <c r="E165" s="404">
        <v>128527131.87636562</v>
      </c>
      <c r="F165" s="404">
        <v>25</v>
      </c>
      <c r="G165" s="405">
        <v>51348</v>
      </c>
      <c r="H165" s="404">
        <v>9132</v>
      </c>
      <c r="I165" s="404">
        <v>6426356.5938182808</v>
      </c>
      <c r="J165" s="404">
        <v>122100775.28254734</v>
      </c>
      <c r="K165" s="404">
        <v>365</v>
      </c>
      <c r="L165" s="404">
        <v>4880287</v>
      </c>
      <c r="M165" s="404">
        <v>32561329</v>
      </c>
      <c r="N165" s="404">
        <v>95965802.876365617</v>
      </c>
    </row>
    <row r="166" spans="2:14" s="154" customFormat="1" ht="27" hidden="1" outlineLevel="1">
      <c r="B166" s="165" t="s">
        <v>2325</v>
      </c>
      <c r="C166" s="165" t="s">
        <v>2992</v>
      </c>
      <c r="D166" s="165" t="s">
        <v>3178</v>
      </c>
      <c r="E166" s="404">
        <v>42592115.845178746</v>
      </c>
      <c r="F166" s="404">
        <v>20</v>
      </c>
      <c r="G166" s="405">
        <v>49521</v>
      </c>
      <c r="H166" s="404">
        <v>7305</v>
      </c>
      <c r="I166" s="404">
        <v>2129605.7922589374</v>
      </c>
      <c r="J166" s="404">
        <v>40462510.052919805</v>
      </c>
      <c r="K166" s="404">
        <v>365</v>
      </c>
      <c r="L166" s="404">
        <v>2021741</v>
      </c>
      <c r="M166" s="404">
        <v>13489078</v>
      </c>
      <c r="N166" s="404">
        <v>29103037.845178746</v>
      </c>
    </row>
    <row r="167" spans="2:14" s="154" customFormat="1" hidden="1" outlineLevel="1">
      <c r="B167" s="165" t="s">
        <v>2325</v>
      </c>
      <c r="C167" s="165" t="s">
        <v>2992</v>
      </c>
      <c r="D167" s="165" t="s">
        <v>3153</v>
      </c>
      <c r="E167" s="404">
        <v>240211393.04046565</v>
      </c>
      <c r="F167" s="404">
        <v>20</v>
      </c>
      <c r="G167" s="405">
        <v>49521</v>
      </c>
      <c r="H167" s="404">
        <v>7305</v>
      </c>
      <c r="I167" s="404">
        <v>12010569.652023284</v>
      </c>
      <c r="J167" s="404">
        <v>228200823.38844237</v>
      </c>
      <c r="K167" s="404">
        <v>365</v>
      </c>
      <c r="L167" s="404">
        <v>11402231</v>
      </c>
      <c r="M167" s="404">
        <v>76075811</v>
      </c>
      <c r="N167" s="404">
        <v>164135582.04046565</v>
      </c>
    </row>
    <row r="168" spans="2:14" s="154" customFormat="1" ht="27" hidden="1" outlineLevel="1">
      <c r="B168" s="165" t="s">
        <v>2325</v>
      </c>
      <c r="C168" s="165" t="s">
        <v>2992</v>
      </c>
      <c r="D168" s="165" t="s">
        <v>3168</v>
      </c>
      <c r="E168" s="404">
        <v>29413634.6139047</v>
      </c>
      <c r="F168" s="404">
        <v>20</v>
      </c>
      <c r="G168" s="405">
        <v>49521</v>
      </c>
      <c r="H168" s="404">
        <v>7305</v>
      </c>
      <c r="I168" s="404">
        <v>1470681.7306952351</v>
      </c>
      <c r="J168" s="404">
        <v>27942952.883209463</v>
      </c>
      <c r="K168" s="404">
        <v>365</v>
      </c>
      <c r="L168" s="404">
        <v>1396191</v>
      </c>
      <c r="M168" s="404">
        <v>9315403</v>
      </c>
      <c r="N168" s="404">
        <v>20098231.6139047</v>
      </c>
    </row>
    <row r="169" spans="2:14" s="154" customFormat="1" hidden="1" outlineLevel="1">
      <c r="B169" s="165" t="s">
        <v>2325</v>
      </c>
      <c r="C169" s="165" t="s">
        <v>2992</v>
      </c>
      <c r="D169" s="165" t="s">
        <v>3169</v>
      </c>
      <c r="E169" s="404">
        <v>328452292.83317214</v>
      </c>
      <c r="F169" s="404">
        <v>20</v>
      </c>
      <c r="G169" s="405">
        <v>49521</v>
      </c>
      <c r="H169" s="404">
        <v>7305</v>
      </c>
      <c r="I169" s="404">
        <v>16422614.641658608</v>
      </c>
      <c r="J169" s="404">
        <v>312029678.19151354</v>
      </c>
      <c r="K169" s="404">
        <v>365</v>
      </c>
      <c r="L169" s="404">
        <v>15590805</v>
      </c>
      <c r="M169" s="404">
        <v>104022023</v>
      </c>
      <c r="N169" s="404">
        <v>224430269.83317214</v>
      </c>
    </row>
    <row r="170" spans="2:14" s="154" customFormat="1" hidden="1" outlineLevel="1">
      <c r="B170" s="165" t="s">
        <v>2325</v>
      </c>
      <c r="C170" s="165" t="s">
        <v>2992</v>
      </c>
      <c r="D170" s="165" t="s">
        <v>3170</v>
      </c>
      <c r="E170" s="404">
        <v>69805327.733786866</v>
      </c>
      <c r="F170" s="404">
        <v>25</v>
      </c>
      <c r="G170" s="405">
        <v>51348</v>
      </c>
      <c r="H170" s="404">
        <v>9132</v>
      </c>
      <c r="I170" s="404">
        <v>3490266.3866893435</v>
      </c>
      <c r="J170" s="404">
        <v>66315061.347097524</v>
      </c>
      <c r="K170" s="404">
        <v>365</v>
      </c>
      <c r="L170" s="404">
        <v>2650569</v>
      </c>
      <c r="M170" s="404">
        <v>17684626</v>
      </c>
      <c r="N170" s="404">
        <v>52120701.733786866</v>
      </c>
    </row>
    <row r="171" spans="2:14" s="154" customFormat="1" hidden="1" outlineLevel="1">
      <c r="B171" s="165" t="s">
        <v>2325</v>
      </c>
      <c r="C171" s="165" t="s">
        <v>2992</v>
      </c>
      <c r="D171" s="165" t="s">
        <v>3685</v>
      </c>
      <c r="E171" s="404">
        <v>192790744.54188043</v>
      </c>
      <c r="F171" s="404">
        <v>20</v>
      </c>
      <c r="G171" s="405">
        <v>49521</v>
      </c>
      <c r="H171" s="404">
        <v>7305</v>
      </c>
      <c r="I171" s="404">
        <v>9639537.2270940226</v>
      </c>
      <c r="J171" s="404">
        <v>183151207.3147864</v>
      </c>
      <c r="K171" s="404">
        <v>365</v>
      </c>
      <c r="L171" s="404">
        <v>9151292</v>
      </c>
      <c r="M171" s="404">
        <v>61057521</v>
      </c>
      <c r="N171" s="404">
        <v>131733223.54188043</v>
      </c>
    </row>
    <row r="172" spans="2:14" s="154" customFormat="1" ht="27" hidden="1" outlineLevel="1">
      <c r="B172" s="165" t="s">
        <v>2325</v>
      </c>
      <c r="C172" s="165" t="s">
        <v>2992</v>
      </c>
      <c r="D172" s="165" t="s">
        <v>3172</v>
      </c>
      <c r="E172" s="404">
        <v>40567952.758681417</v>
      </c>
      <c r="F172" s="404">
        <v>25</v>
      </c>
      <c r="G172" s="405">
        <v>51348</v>
      </c>
      <c r="H172" s="404">
        <v>9132</v>
      </c>
      <c r="I172" s="404">
        <v>2028397.637934071</v>
      </c>
      <c r="J172" s="404">
        <v>38539555.120747343</v>
      </c>
      <c r="K172" s="404">
        <v>365</v>
      </c>
      <c r="L172" s="404">
        <v>1540401</v>
      </c>
      <c r="M172" s="404">
        <v>10277572</v>
      </c>
      <c r="N172" s="404">
        <v>30290380.758681417</v>
      </c>
    </row>
    <row r="173" spans="2:14" s="154" customFormat="1" hidden="1" outlineLevel="1">
      <c r="B173" s="165" t="s">
        <v>2325</v>
      </c>
      <c r="C173" s="165" t="s">
        <v>2992</v>
      </c>
      <c r="D173" s="165" t="s">
        <v>3686</v>
      </c>
      <c r="E173" s="404">
        <v>192840629.11596224</v>
      </c>
      <c r="F173" s="404">
        <v>20</v>
      </c>
      <c r="G173" s="405">
        <v>49521</v>
      </c>
      <c r="H173" s="404">
        <v>7305</v>
      </c>
      <c r="I173" s="404">
        <v>9642031.4557981119</v>
      </c>
      <c r="J173" s="404">
        <v>183198597.66016412</v>
      </c>
      <c r="K173" s="404">
        <v>365</v>
      </c>
      <c r="L173" s="404">
        <v>9153660</v>
      </c>
      <c r="M173" s="404">
        <v>61073321</v>
      </c>
      <c r="N173" s="404">
        <v>131767308.11596224</v>
      </c>
    </row>
    <row r="174" spans="2:14" s="154" customFormat="1" ht="27" hidden="1" outlineLevel="1">
      <c r="B174" s="165" t="s">
        <v>2325</v>
      </c>
      <c r="C174" s="165" t="s">
        <v>2992</v>
      </c>
      <c r="D174" s="165" t="s">
        <v>3174</v>
      </c>
      <c r="E174" s="404">
        <v>40567952.758681417</v>
      </c>
      <c r="F174" s="404">
        <v>25</v>
      </c>
      <c r="G174" s="405">
        <v>51348</v>
      </c>
      <c r="H174" s="404">
        <v>9132</v>
      </c>
      <c r="I174" s="404">
        <v>2028397.637934071</v>
      </c>
      <c r="J174" s="404">
        <v>38539555.120747343</v>
      </c>
      <c r="K174" s="404">
        <v>365</v>
      </c>
      <c r="L174" s="404">
        <v>1540401</v>
      </c>
      <c r="M174" s="404">
        <v>10277572</v>
      </c>
      <c r="N174" s="404">
        <v>30290380.758681417</v>
      </c>
    </row>
    <row r="175" spans="2:14" s="154" customFormat="1" hidden="1" outlineLevel="1">
      <c r="B175" s="165"/>
      <c r="C175" s="165"/>
      <c r="D175" s="165"/>
      <c r="E175" s="404"/>
      <c r="F175" s="404"/>
      <c r="G175" s="405"/>
      <c r="H175" s="404"/>
      <c r="I175" s="404"/>
      <c r="J175" s="404"/>
      <c r="K175" s="404"/>
      <c r="L175" s="404"/>
      <c r="M175" s="404"/>
      <c r="N175" s="404"/>
    </row>
    <row r="176" spans="2:14" s="154" customFormat="1" hidden="1" outlineLevel="1">
      <c r="B176" s="165" t="s">
        <v>2325</v>
      </c>
      <c r="C176" s="165" t="s">
        <v>2992</v>
      </c>
      <c r="D176" s="165" t="s">
        <v>3180</v>
      </c>
      <c r="E176" s="404">
        <v>333550684.47540188</v>
      </c>
      <c r="F176" s="404">
        <v>25</v>
      </c>
      <c r="G176" s="405">
        <v>51348</v>
      </c>
      <c r="H176" s="404">
        <v>9132</v>
      </c>
      <c r="I176" s="404">
        <v>16677534.223770095</v>
      </c>
      <c r="J176" s="404">
        <v>316873150.2516318</v>
      </c>
      <c r="K176" s="404">
        <v>365</v>
      </c>
      <c r="L176" s="404">
        <v>12665210</v>
      </c>
      <c r="M176" s="404">
        <v>84502420</v>
      </c>
      <c r="N176" s="404">
        <v>249048264.47540188</v>
      </c>
    </row>
    <row r="177" spans="2:14" s="154" customFormat="1" hidden="1" outlineLevel="1">
      <c r="B177" s="165" t="s">
        <v>2325</v>
      </c>
      <c r="C177" s="165" t="s">
        <v>2992</v>
      </c>
      <c r="D177" s="165" t="s">
        <v>3181</v>
      </c>
      <c r="E177" s="404">
        <v>78240285.696533903</v>
      </c>
      <c r="F177" s="404">
        <v>20</v>
      </c>
      <c r="G177" s="405">
        <v>49521</v>
      </c>
      <c r="H177" s="404">
        <v>7305</v>
      </c>
      <c r="I177" s="404">
        <v>3912014.2848266955</v>
      </c>
      <c r="J177" s="404">
        <v>74328271.411707208</v>
      </c>
      <c r="K177" s="404">
        <v>365</v>
      </c>
      <c r="L177" s="404">
        <v>3713870</v>
      </c>
      <c r="M177" s="404">
        <v>24778981</v>
      </c>
      <c r="N177" s="404">
        <v>53461304.696533903</v>
      </c>
    </row>
    <row r="178" spans="2:14" s="154" customFormat="1" hidden="1" outlineLevel="1">
      <c r="B178" s="165"/>
      <c r="C178" s="165"/>
      <c r="D178" s="165"/>
      <c r="E178" s="404"/>
      <c r="F178" s="404"/>
      <c r="G178" s="405"/>
      <c r="H178" s="404"/>
      <c r="I178" s="404"/>
      <c r="J178" s="404"/>
      <c r="K178" s="404"/>
      <c r="L178" s="404"/>
      <c r="M178" s="404"/>
      <c r="N178" s="404"/>
    </row>
    <row r="179" spans="2:14" s="154" customFormat="1" hidden="1" outlineLevel="1">
      <c r="B179" s="165" t="s">
        <v>2325</v>
      </c>
      <c r="C179" s="165" t="s">
        <v>2992</v>
      </c>
      <c r="D179" s="165" t="s">
        <v>3687</v>
      </c>
      <c r="E179" s="404">
        <v>89825028.276153967</v>
      </c>
      <c r="F179" s="404">
        <v>25</v>
      </c>
      <c r="G179" s="405">
        <v>51348</v>
      </c>
      <c r="H179" s="404">
        <v>9132</v>
      </c>
      <c r="I179" s="404">
        <v>4491251.4138076985</v>
      </c>
      <c r="J179" s="404">
        <v>85333776.862346262</v>
      </c>
      <c r="K179" s="404">
        <v>365</v>
      </c>
      <c r="L179" s="404">
        <v>3410735</v>
      </c>
      <c r="M179" s="404">
        <v>22756461</v>
      </c>
      <c r="N179" s="404">
        <v>67068567.276153967</v>
      </c>
    </row>
    <row r="180" spans="2:14" s="154" customFormat="1" hidden="1" outlineLevel="1">
      <c r="B180" s="165" t="s">
        <v>2325</v>
      </c>
      <c r="C180" s="165" t="s">
        <v>2992</v>
      </c>
      <c r="D180" s="165" t="s">
        <v>3688</v>
      </c>
      <c r="E180" s="404">
        <v>486447632.18367511</v>
      </c>
      <c r="F180" s="404">
        <v>20</v>
      </c>
      <c r="G180" s="405">
        <v>49521</v>
      </c>
      <c r="H180" s="404">
        <v>7305</v>
      </c>
      <c r="I180" s="404">
        <v>24322381.609183758</v>
      </c>
      <c r="J180" s="404">
        <v>462125250.57449138</v>
      </c>
      <c r="K180" s="404">
        <v>365</v>
      </c>
      <c r="L180" s="404">
        <v>23090447</v>
      </c>
      <c r="M180" s="404">
        <v>154059717</v>
      </c>
      <c r="N180" s="404">
        <v>332387915.18367511</v>
      </c>
    </row>
    <row r="181" spans="2:14" s="154" customFormat="1" hidden="1" outlineLevel="1">
      <c r="B181" s="165"/>
      <c r="C181" s="165"/>
      <c r="D181" s="165"/>
      <c r="E181" s="404"/>
      <c r="F181" s="404"/>
      <c r="G181" s="405"/>
      <c r="H181" s="404"/>
      <c r="I181" s="404"/>
      <c r="J181" s="404"/>
      <c r="K181" s="404"/>
      <c r="L181" s="404"/>
      <c r="M181" s="404"/>
      <c r="N181" s="404"/>
    </row>
    <row r="182" spans="2:14" s="154" customFormat="1" hidden="1" outlineLevel="1">
      <c r="B182" s="165" t="s">
        <v>2325</v>
      </c>
      <c r="C182" s="165" t="s">
        <v>2992</v>
      </c>
      <c r="D182" s="165" t="s">
        <v>3180</v>
      </c>
      <c r="E182" s="404">
        <v>77740369.082894266</v>
      </c>
      <c r="F182" s="404">
        <v>25</v>
      </c>
      <c r="G182" s="405">
        <v>51348</v>
      </c>
      <c r="H182" s="404">
        <v>9132</v>
      </c>
      <c r="I182" s="404">
        <v>3887018.4541447135</v>
      </c>
      <c r="J182" s="404">
        <v>73853350.628749549</v>
      </c>
      <c r="K182" s="404">
        <v>365</v>
      </c>
      <c r="L182" s="404">
        <v>2951870</v>
      </c>
      <c r="M182" s="404">
        <v>19694908</v>
      </c>
      <c r="N182" s="404">
        <v>58045461.082894266</v>
      </c>
    </row>
    <row r="183" spans="2:14" s="154" customFormat="1" hidden="1" outlineLevel="1">
      <c r="B183" s="165" t="s">
        <v>2325</v>
      </c>
      <c r="C183" s="165" t="s">
        <v>2992</v>
      </c>
      <c r="D183" s="165" t="s">
        <v>3181</v>
      </c>
      <c r="E183" s="404">
        <v>18235392.902989496</v>
      </c>
      <c r="F183" s="404">
        <v>20</v>
      </c>
      <c r="G183" s="405">
        <v>49521</v>
      </c>
      <c r="H183" s="404">
        <v>7305</v>
      </c>
      <c r="I183" s="404">
        <v>911769.64514947485</v>
      </c>
      <c r="J183" s="404">
        <v>17323623.257840022</v>
      </c>
      <c r="K183" s="404">
        <v>365</v>
      </c>
      <c r="L183" s="404">
        <v>865588</v>
      </c>
      <c r="M183" s="404">
        <v>5775213</v>
      </c>
      <c r="N183" s="404">
        <v>12460179.902989496</v>
      </c>
    </row>
    <row r="184" spans="2:14" s="154" customFormat="1" hidden="1" outlineLevel="1">
      <c r="B184" s="165"/>
      <c r="C184" s="165"/>
      <c r="D184" s="165"/>
      <c r="E184" s="404"/>
      <c r="F184" s="404"/>
      <c r="G184" s="405"/>
      <c r="H184" s="404"/>
      <c r="I184" s="404"/>
      <c r="J184" s="404"/>
      <c r="K184" s="404"/>
      <c r="L184" s="404"/>
      <c r="M184" s="404"/>
      <c r="N184" s="404"/>
    </row>
    <row r="185" spans="2:14" s="154" customFormat="1" hidden="1" outlineLevel="1">
      <c r="B185" s="165" t="s">
        <v>2325</v>
      </c>
      <c r="C185" s="165" t="s">
        <v>2992</v>
      </c>
      <c r="D185" s="165" t="s">
        <v>3182</v>
      </c>
      <c r="E185" s="404">
        <v>25197513.039252672</v>
      </c>
      <c r="F185" s="404">
        <v>25</v>
      </c>
      <c r="G185" s="405">
        <v>51348</v>
      </c>
      <c r="H185" s="404">
        <v>9132</v>
      </c>
      <c r="I185" s="404">
        <v>1259875.6519626337</v>
      </c>
      <c r="J185" s="404">
        <v>23937637.387290038</v>
      </c>
      <c r="K185" s="404">
        <v>365</v>
      </c>
      <c r="L185" s="404">
        <v>956772</v>
      </c>
      <c r="M185" s="404">
        <v>6383593</v>
      </c>
      <c r="N185" s="404">
        <v>18813920.039252672</v>
      </c>
    </row>
    <row r="186" spans="2:14" s="154" customFormat="1" hidden="1" outlineLevel="1">
      <c r="B186" s="165" t="s">
        <v>2325</v>
      </c>
      <c r="C186" s="165" t="s">
        <v>2992</v>
      </c>
      <c r="D186" s="165" t="s">
        <v>3183</v>
      </c>
      <c r="E186" s="404">
        <v>325743614.29132622</v>
      </c>
      <c r="F186" s="404">
        <v>25</v>
      </c>
      <c r="G186" s="405">
        <v>51348</v>
      </c>
      <c r="H186" s="404">
        <v>9132</v>
      </c>
      <c r="I186" s="404">
        <v>16287180.714566313</v>
      </c>
      <c r="J186" s="404">
        <v>309456433.57675993</v>
      </c>
      <c r="K186" s="404">
        <v>365</v>
      </c>
      <c r="L186" s="404">
        <v>12368769</v>
      </c>
      <c r="M186" s="404">
        <v>82524563</v>
      </c>
      <c r="N186" s="404">
        <v>243219051.29132622</v>
      </c>
    </row>
    <row r="187" spans="2:14" s="154" customFormat="1" hidden="1" outlineLevel="1">
      <c r="B187" s="165" t="s">
        <v>2325</v>
      </c>
      <c r="C187" s="165" t="s">
        <v>2992</v>
      </c>
      <c r="D187" s="165" t="s">
        <v>3184</v>
      </c>
      <c r="E187" s="404">
        <v>71148213.615205556</v>
      </c>
      <c r="F187" s="404">
        <v>25</v>
      </c>
      <c r="G187" s="405">
        <v>51348</v>
      </c>
      <c r="H187" s="404">
        <v>9132</v>
      </c>
      <c r="I187" s="404">
        <v>3557410.6807602779</v>
      </c>
      <c r="J187" s="404">
        <v>67590802.934445277</v>
      </c>
      <c r="K187" s="404">
        <v>365</v>
      </c>
      <c r="L187" s="404">
        <v>2701560</v>
      </c>
      <c r="M187" s="404">
        <v>18024837</v>
      </c>
      <c r="N187" s="404">
        <v>53123376.615205556</v>
      </c>
    </row>
    <row r="188" spans="2:14" s="154" customFormat="1" hidden="1" outlineLevel="1">
      <c r="B188" s="165" t="s">
        <v>2325</v>
      </c>
      <c r="C188" s="165" t="s">
        <v>2992</v>
      </c>
      <c r="D188" s="165" t="s">
        <v>3185</v>
      </c>
      <c r="E188" s="404">
        <v>354662879.29980069</v>
      </c>
      <c r="F188" s="404">
        <v>25</v>
      </c>
      <c r="G188" s="405">
        <v>51348</v>
      </c>
      <c r="H188" s="404">
        <v>9132</v>
      </c>
      <c r="I188" s="404">
        <v>17733143.964990035</v>
      </c>
      <c r="J188" s="404">
        <v>336929735.33481067</v>
      </c>
      <c r="K188" s="404">
        <v>365</v>
      </c>
      <c r="L188" s="404">
        <v>13466859</v>
      </c>
      <c r="M188" s="404">
        <v>89851030</v>
      </c>
      <c r="N188" s="404">
        <v>264811849.29980069</v>
      </c>
    </row>
    <row r="189" spans="2:14" s="154" customFormat="1" ht="27" hidden="1" outlineLevel="1">
      <c r="B189" s="165" t="s">
        <v>2325</v>
      </c>
      <c r="C189" s="165" t="s">
        <v>2992</v>
      </c>
      <c r="D189" s="165" t="s">
        <v>3186</v>
      </c>
      <c r="E189" s="404">
        <v>73700110.749806225</v>
      </c>
      <c r="F189" s="404">
        <v>25</v>
      </c>
      <c r="G189" s="405">
        <v>51348</v>
      </c>
      <c r="H189" s="404">
        <v>9132</v>
      </c>
      <c r="I189" s="404">
        <v>3685005.5374903115</v>
      </c>
      <c r="J189" s="404">
        <v>70015105.212315917</v>
      </c>
      <c r="K189" s="404">
        <v>365</v>
      </c>
      <c r="L189" s="404">
        <v>2798457</v>
      </c>
      <c r="M189" s="404">
        <v>18671336</v>
      </c>
      <c r="N189" s="404">
        <v>55028774.749806225</v>
      </c>
    </row>
    <row r="190" spans="2:14" s="154" customFormat="1" hidden="1" outlineLevel="1">
      <c r="B190" s="165" t="s">
        <v>2325</v>
      </c>
      <c r="C190" s="165" t="s">
        <v>2992</v>
      </c>
      <c r="D190" s="165" t="s">
        <v>3187</v>
      </c>
      <c r="E190" s="404">
        <v>49545404.435614705</v>
      </c>
      <c r="F190" s="404">
        <v>20</v>
      </c>
      <c r="G190" s="405">
        <v>49521</v>
      </c>
      <c r="H190" s="404">
        <v>7305</v>
      </c>
      <c r="I190" s="404">
        <v>2477270.2217807355</v>
      </c>
      <c r="J190" s="404">
        <v>47068134.213833973</v>
      </c>
      <c r="K190" s="404">
        <v>365</v>
      </c>
      <c r="L190" s="404">
        <v>2351796</v>
      </c>
      <c r="M190" s="404">
        <v>15691208</v>
      </c>
      <c r="N190" s="404">
        <v>33854196.435614705</v>
      </c>
    </row>
    <row r="191" spans="2:14" s="154" customFormat="1" hidden="1" outlineLevel="1">
      <c r="B191" s="165" t="s">
        <v>2325</v>
      </c>
      <c r="C191" s="165" t="s">
        <v>2992</v>
      </c>
      <c r="D191" s="165" t="s">
        <v>3188</v>
      </c>
      <c r="E191" s="404">
        <v>169975704.74899882</v>
      </c>
      <c r="F191" s="404">
        <v>15</v>
      </c>
      <c r="G191" s="405">
        <v>47695</v>
      </c>
      <c r="H191" s="404">
        <v>5479</v>
      </c>
      <c r="I191" s="404">
        <v>8498785.2374499422</v>
      </c>
      <c r="J191" s="404">
        <v>161476919.51154888</v>
      </c>
      <c r="K191" s="404">
        <v>365</v>
      </c>
      <c r="L191" s="404">
        <v>10757269</v>
      </c>
      <c r="M191" s="404">
        <v>71772617</v>
      </c>
      <c r="N191" s="404">
        <v>98203087.748998821</v>
      </c>
    </row>
    <row r="192" spans="2:14" s="154" customFormat="1" hidden="1" outlineLevel="1">
      <c r="B192" s="165" t="s">
        <v>2325</v>
      </c>
      <c r="C192" s="165" t="s">
        <v>2992</v>
      </c>
      <c r="D192" s="165" t="s">
        <v>3189</v>
      </c>
      <c r="E192" s="404">
        <v>40315946.447532721</v>
      </c>
      <c r="F192" s="404">
        <v>20</v>
      </c>
      <c r="G192" s="405">
        <v>49521</v>
      </c>
      <c r="H192" s="404">
        <v>7305</v>
      </c>
      <c r="I192" s="404">
        <v>2015797.3223766361</v>
      </c>
      <c r="J192" s="404">
        <v>38300149.125156082</v>
      </c>
      <c r="K192" s="404">
        <v>365</v>
      </c>
      <c r="L192" s="404">
        <v>1913697</v>
      </c>
      <c r="M192" s="404">
        <v>12768207</v>
      </c>
      <c r="N192" s="404">
        <v>27547739.447532721</v>
      </c>
    </row>
    <row r="193" spans="2:14" s="154" customFormat="1" hidden="1" outlineLevel="1">
      <c r="B193" s="165" t="s">
        <v>2325</v>
      </c>
      <c r="C193" s="165" t="s">
        <v>2992</v>
      </c>
      <c r="D193" s="165" t="s">
        <v>3195</v>
      </c>
      <c r="E193" s="404">
        <v>61936531.079467073</v>
      </c>
      <c r="F193" s="404">
        <v>25</v>
      </c>
      <c r="G193" s="405">
        <v>51348</v>
      </c>
      <c r="H193" s="404">
        <v>9132</v>
      </c>
      <c r="I193" s="404">
        <v>3096826.5539733539</v>
      </c>
      <c r="J193" s="404">
        <v>58839704.525493719</v>
      </c>
      <c r="K193" s="404">
        <v>365</v>
      </c>
      <c r="L193" s="404">
        <v>2351784</v>
      </c>
      <c r="M193" s="404">
        <v>15691129</v>
      </c>
      <c r="N193" s="404">
        <v>46245402.079467073</v>
      </c>
    </row>
    <row r="194" spans="2:14" s="154" customFormat="1" ht="27" hidden="1" outlineLevel="1">
      <c r="B194" s="165" t="s">
        <v>2325</v>
      </c>
      <c r="C194" s="165" t="s">
        <v>2992</v>
      </c>
      <c r="D194" s="165" t="s">
        <v>3689</v>
      </c>
      <c r="E194" s="404">
        <v>33119697.191835474</v>
      </c>
      <c r="F194" s="404">
        <v>20</v>
      </c>
      <c r="G194" s="405">
        <v>49521</v>
      </c>
      <c r="H194" s="404">
        <v>7305</v>
      </c>
      <c r="I194" s="404">
        <v>1655984.8595917737</v>
      </c>
      <c r="J194" s="404">
        <v>31463712.3322437</v>
      </c>
      <c r="K194" s="404">
        <v>365</v>
      </c>
      <c r="L194" s="404">
        <v>1572109</v>
      </c>
      <c r="M194" s="404">
        <v>10489128</v>
      </c>
      <c r="N194" s="404">
        <v>22630569.191835474</v>
      </c>
    </row>
    <row r="195" spans="2:14" s="154" customFormat="1" hidden="1" outlineLevel="1">
      <c r="B195" s="165"/>
      <c r="C195" s="165"/>
      <c r="D195" s="165"/>
      <c r="E195" s="404"/>
      <c r="F195" s="404"/>
      <c r="G195" s="405"/>
      <c r="H195" s="404"/>
      <c r="I195" s="404"/>
      <c r="J195" s="404"/>
      <c r="K195" s="404"/>
      <c r="L195" s="404"/>
      <c r="M195" s="404"/>
      <c r="N195" s="404"/>
    </row>
    <row r="196" spans="2:14" s="154" customFormat="1" hidden="1" outlineLevel="1">
      <c r="B196" s="165" t="s">
        <v>2325</v>
      </c>
      <c r="C196" s="165" t="s">
        <v>2992</v>
      </c>
      <c r="D196" s="165" t="s">
        <v>3192</v>
      </c>
      <c r="E196" s="404">
        <v>8940277.3781166784</v>
      </c>
      <c r="F196" s="404">
        <v>25</v>
      </c>
      <c r="G196" s="405">
        <v>51348</v>
      </c>
      <c r="H196" s="404">
        <v>9132</v>
      </c>
      <c r="I196" s="404">
        <v>447013.86890583392</v>
      </c>
      <c r="J196" s="404">
        <v>8493263.5092108436</v>
      </c>
      <c r="K196" s="404">
        <v>365</v>
      </c>
      <c r="L196" s="404">
        <v>339470</v>
      </c>
      <c r="M196" s="404">
        <v>2264948</v>
      </c>
      <c r="N196" s="404">
        <v>6675329.3781166784</v>
      </c>
    </row>
    <row r="197" spans="2:14" s="154" customFormat="1" hidden="1" outlineLevel="1">
      <c r="B197" s="165" t="s">
        <v>2325</v>
      </c>
      <c r="C197" s="165" t="s">
        <v>2992</v>
      </c>
      <c r="D197" s="165" t="s">
        <v>3193</v>
      </c>
      <c r="E197" s="404">
        <v>8940277.3781166784</v>
      </c>
      <c r="F197" s="404">
        <v>25</v>
      </c>
      <c r="G197" s="405">
        <v>51348</v>
      </c>
      <c r="H197" s="404">
        <v>9132</v>
      </c>
      <c r="I197" s="404">
        <v>447013.86890583392</v>
      </c>
      <c r="J197" s="404">
        <v>8493263.5092108436</v>
      </c>
      <c r="K197" s="404">
        <v>365</v>
      </c>
      <c r="L197" s="404">
        <v>339470</v>
      </c>
      <c r="M197" s="404">
        <v>2264948</v>
      </c>
      <c r="N197" s="404">
        <v>6675329.3781166784</v>
      </c>
    </row>
    <row r="198" spans="2:14" s="154" customFormat="1" hidden="1" outlineLevel="1">
      <c r="B198" s="165" t="s">
        <v>2325</v>
      </c>
      <c r="C198" s="165" t="s">
        <v>2992</v>
      </c>
      <c r="D198" s="165" t="s">
        <v>3194</v>
      </c>
      <c r="E198" s="404">
        <v>8940273.9754596278</v>
      </c>
      <c r="F198" s="404">
        <v>25</v>
      </c>
      <c r="G198" s="405">
        <v>51348</v>
      </c>
      <c r="H198" s="404">
        <v>9132</v>
      </c>
      <c r="I198" s="404">
        <v>447013.69877298141</v>
      </c>
      <c r="J198" s="404">
        <v>8493260.276686646</v>
      </c>
      <c r="K198" s="404">
        <v>365</v>
      </c>
      <c r="L198" s="404">
        <v>339470</v>
      </c>
      <c r="M198" s="404">
        <v>2264948</v>
      </c>
      <c r="N198" s="404">
        <v>6675325.9754596278</v>
      </c>
    </row>
    <row r="199" spans="2:14" s="154" customFormat="1" hidden="1" outlineLevel="1">
      <c r="B199" s="165"/>
      <c r="C199" s="165"/>
      <c r="D199" s="165"/>
      <c r="E199" s="404"/>
      <c r="F199" s="404"/>
      <c r="G199" s="405"/>
      <c r="H199" s="404"/>
      <c r="I199" s="404"/>
      <c r="J199" s="404"/>
      <c r="K199" s="404"/>
      <c r="L199" s="404"/>
      <c r="M199" s="404"/>
      <c r="N199" s="404"/>
    </row>
    <row r="200" spans="2:14" s="154" customFormat="1" hidden="1" outlineLevel="1">
      <c r="B200" s="165" t="s">
        <v>2325</v>
      </c>
      <c r="C200" s="165" t="s">
        <v>2992</v>
      </c>
      <c r="D200" s="165" t="s">
        <v>3198</v>
      </c>
      <c r="E200" s="404">
        <v>8508922.1462679729</v>
      </c>
      <c r="F200" s="404">
        <v>25</v>
      </c>
      <c r="G200" s="405">
        <v>51348</v>
      </c>
      <c r="H200" s="404">
        <v>9132</v>
      </c>
      <c r="I200" s="404">
        <v>425446.10731339868</v>
      </c>
      <c r="J200" s="404">
        <v>8083476.0389545746</v>
      </c>
      <c r="K200" s="404">
        <v>365</v>
      </c>
      <c r="L200" s="404">
        <v>323091</v>
      </c>
      <c r="M200" s="404">
        <v>2155667</v>
      </c>
      <c r="N200" s="404">
        <v>6353255.1462679729</v>
      </c>
    </row>
    <row r="201" spans="2:14" s="154" customFormat="1" hidden="1" outlineLevel="1">
      <c r="B201" s="165" t="s">
        <v>2325</v>
      </c>
      <c r="C201" s="165" t="s">
        <v>2992</v>
      </c>
      <c r="D201" s="165" t="s">
        <v>3199</v>
      </c>
      <c r="E201" s="404">
        <v>12497449.546582928</v>
      </c>
      <c r="F201" s="404">
        <v>15</v>
      </c>
      <c r="G201" s="405">
        <v>47695</v>
      </c>
      <c r="H201" s="404">
        <v>5479</v>
      </c>
      <c r="I201" s="404">
        <v>624872.47732914647</v>
      </c>
      <c r="J201" s="404">
        <v>11872577.069253782</v>
      </c>
      <c r="K201" s="404">
        <v>365</v>
      </c>
      <c r="L201" s="404">
        <v>790927</v>
      </c>
      <c r="M201" s="404">
        <v>5277074</v>
      </c>
      <c r="N201" s="404">
        <v>7220375.5465829279</v>
      </c>
    </row>
    <row r="202" spans="2:14" s="154" customFormat="1" hidden="1" outlineLevel="1">
      <c r="B202" s="165" t="s">
        <v>2325</v>
      </c>
      <c r="C202" s="165" t="s">
        <v>2992</v>
      </c>
      <c r="D202" s="165" t="s">
        <v>3200</v>
      </c>
      <c r="E202" s="404">
        <v>9621230.0798382629</v>
      </c>
      <c r="F202" s="404">
        <v>25</v>
      </c>
      <c r="G202" s="405">
        <v>51348</v>
      </c>
      <c r="H202" s="404">
        <v>9132</v>
      </c>
      <c r="I202" s="404">
        <v>481061.50399191317</v>
      </c>
      <c r="J202" s="404">
        <v>9140168.5758463498</v>
      </c>
      <c r="K202" s="404">
        <v>365</v>
      </c>
      <c r="L202" s="404">
        <v>365326</v>
      </c>
      <c r="M202" s="404">
        <v>2437460</v>
      </c>
      <c r="N202" s="404">
        <v>7183770.0798382629</v>
      </c>
    </row>
    <row r="203" spans="2:14" s="154" customFormat="1" hidden="1" outlineLevel="1">
      <c r="B203" s="165" t="s">
        <v>2325</v>
      </c>
      <c r="C203" s="165" t="s">
        <v>2992</v>
      </c>
      <c r="D203" s="165" t="s">
        <v>3201</v>
      </c>
      <c r="E203" s="404">
        <v>7098969.1670196103</v>
      </c>
      <c r="F203" s="404">
        <v>15</v>
      </c>
      <c r="G203" s="405">
        <v>47695</v>
      </c>
      <c r="H203" s="404">
        <v>5479</v>
      </c>
      <c r="I203" s="404">
        <v>354948.45835098054</v>
      </c>
      <c r="J203" s="404">
        <v>6744020.7086686296</v>
      </c>
      <c r="K203" s="404">
        <v>365</v>
      </c>
      <c r="L203" s="404">
        <v>449273</v>
      </c>
      <c r="M203" s="404">
        <v>2997555</v>
      </c>
      <c r="N203" s="404">
        <v>4101414.1670196103</v>
      </c>
    </row>
    <row r="204" spans="2:14" s="154" customFormat="1" hidden="1" outlineLevel="1">
      <c r="B204" s="165"/>
      <c r="C204" s="165"/>
      <c r="D204" s="165"/>
      <c r="E204" s="404"/>
      <c r="F204" s="404"/>
      <c r="G204" s="405"/>
      <c r="H204" s="404"/>
      <c r="I204" s="404"/>
      <c r="J204" s="404"/>
      <c r="K204" s="404"/>
      <c r="L204" s="404"/>
      <c r="M204" s="404"/>
      <c r="N204" s="404"/>
    </row>
    <row r="205" spans="2:14" s="154" customFormat="1" hidden="1" outlineLevel="1">
      <c r="B205" s="165" t="s">
        <v>2325</v>
      </c>
      <c r="C205" s="165" t="s">
        <v>2992</v>
      </c>
      <c r="D205" s="165" t="s">
        <v>3190</v>
      </c>
      <c r="E205" s="404">
        <v>94039532.273286059</v>
      </c>
      <c r="F205" s="404">
        <v>25</v>
      </c>
      <c r="G205" s="405">
        <v>51348</v>
      </c>
      <c r="H205" s="404">
        <v>9132</v>
      </c>
      <c r="I205" s="404">
        <v>4701976.613664303</v>
      </c>
      <c r="J205" s="404">
        <v>89337555.65962176</v>
      </c>
      <c r="K205" s="404">
        <v>365</v>
      </c>
      <c r="L205" s="404">
        <v>3570763</v>
      </c>
      <c r="M205" s="404">
        <v>23824170</v>
      </c>
      <c r="N205" s="404">
        <v>70215362.273286059</v>
      </c>
    </row>
    <row r="206" spans="2:14" s="154" customFormat="1" hidden="1" outlineLevel="1">
      <c r="B206" s="165"/>
      <c r="C206" s="165"/>
      <c r="D206" s="165"/>
      <c r="E206" s="404"/>
      <c r="F206" s="404"/>
      <c r="G206" s="405"/>
      <c r="H206" s="404"/>
      <c r="I206" s="404"/>
      <c r="J206" s="404"/>
      <c r="K206" s="404"/>
      <c r="L206" s="404"/>
      <c r="M206" s="404"/>
      <c r="N206" s="404"/>
    </row>
    <row r="207" spans="2:14" s="154" customFormat="1" hidden="1" outlineLevel="1">
      <c r="B207" s="165" t="s">
        <v>2325</v>
      </c>
      <c r="C207" s="165" t="s">
        <v>2992</v>
      </c>
      <c r="D207" s="165" t="s">
        <v>3202</v>
      </c>
      <c r="E207" s="404">
        <v>7175982.6270260904</v>
      </c>
      <c r="F207" s="404">
        <v>15</v>
      </c>
      <c r="G207" s="405">
        <v>47695</v>
      </c>
      <c r="H207" s="404">
        <v>5479</v>
      </c>
      <c r="I207" s="404">
        <v>358799.13135130453</v>
      </c>
      <c r="J207" s="404">
        <v>6817183.4956747862</v>
      </c>
      <c r="K207" s="404">
        <v>365</v>
      </c>
      <c r="L207" s="404">
        <v>454147</v>
      </c>
      <c r="M207" s="404">
        <v>3030074</v>
      </c>
      <c r="N207" s="404">
        <v>4145908.6270260904</v>
      </c>
    </row>
    <row r="208" spans="2:14" s="154" customFormat="1" hidden="1" outlineLevel="1">
      <c r="B208" s="165" t="s">
        <v>2325</v>
      </c>
      <c r="C208" s="165" t="s">
        <v>2992</v>
      </c>
      <c r="D208" s="165" t="s">
        <v>3203</v>
      </c>
      <c r="E208" s="404">
        <v>5345197.0115553178</v>
      </c>
      <c r="F208" s="404">
        <v>15</v>
      </c>
      <c r="G208" s="405">
        <v>47695</v>
      </c>
      <c r="H208" s="404">
        <v>5479</v>
      </c>
      <c r="I208" s="404">
        <v>267259.8505777659</v>
      </c>
      <c r="J208" s="404">
        <v>5077937.1609775517</v>
      </c>
      <c r="K208" s="404">
        <v>365</v>
      </c>
      <c r="L208" s="404">
        <v>338282</v>
      </c>
      <c r="M208" s="404">
        <v>2257021</v>
      </c>
      <c r="N208" s="404">
        <v>3088176.0115553178</v>
      </c>
    </row>
    <row r="209" spans="2:14" s="154" customFormat="1" ht="27" hidden="1" outlineLevel="1">
      <c r="B209" s="165" t="s">
        <v>2325</v>
      </c>
      <c r="C209" s="165" t="s">
        <v>2992</v>
      </c>
      <c r="D209" s="165" t="s">
        <v>3690</v>
      </c>
      <c r="E209" s="404">
        <v>72872793.044238061</v>
      </c>
      <c r="F209" s="404">
        <v>20</v>
      </c>
      <c r="G209" s="405">
        <v>49521</v>
      </c>
      <c r="H209" s="404">
        <v>7305</v>
      </c>
      <c r="I209" s="404">
        <v>3643639.6522119031</v>
      </c>
      <c r="J209" s="404">
        <v>69229153.392026156</v>
      </c>
      <c r="K209" s="404">
        <v>365</v>
      </c>
      <c r="L209" s="404">
        <v>3459088</v>
      </c>
      <c r="M209" s="404">
        <v>23079073</v>
      </c>
      <c r="N209" s="404">
        <v>49793720.044238061</v>
      </c>
    </row>
    <row r="210" spans="2:14" s="154" customFormat="1" ht="27" hidden="1" outlineLevel="1">
      <c r="B210" s="165" t="s">
        <v>2325</v>
      </c>
      <c r="C210" s="165" t="s">
        <v>2992</v>
      </c>
      <c r="D210" s="165" t="s">
        <v>3691</v>
      </c>
      <c r="E210" s="404">
        <v>277203456.93319082</v>
      </c>
      <c r="F210" s="404">
        <v>25</v>
      </c>
      <c r="G210" s="405">
        <v>51348</v>
      </c>
      <c r="H210" s="404">
        <v>9132</v>
      </c>
      <c r="I210" s="404">
        <v>13860172.846659541</v>
      </c>
      <c r="J210" s="404">
        <v>263343284.08653128</v>
      </c>
      <c r="K210" s="404">
        <v>365</v>
      </c>
      <c r="L210" s="404">
        <v>10525657</v>
      </c>
      <c r="M210" s="404">
        <v>70227299</v>
      </c>
      <c r="N210" s="404">
        <v>206976157.93319082</v>
      </c>
    </row>
    <row r="211" spans="2:14" s="154" customFormat="1" hidden="1" outlineLevel="1">
      <c r="B211" s="165" t="s">
        <v>2325</v>
      </c>
      <c r="C211" s="165" t="s">
        <v>2992</v>
      </c>
      <c r="D211" s="165" t="s">
        <v>3206</v>
      </c>
      <c r="E211" s="404">
        <v>74670698.839602917</v>
      </c>
      <c r="F211" s="404">
        <v>20</v>
      </c>
      <c r="G211" s="405">
        <v>49521</v>
      </c>
      <c r="H211" s="404">
        <v>7305</v>
      </c>
      <c r="I211" s="404">
        <v>3733534.9419801459</v>
      </c>
      <c r="J211" s="404">
        <v>70937163.897622764</v>
      </c>
      <c r="K211" s="404">
        <v>365</v>
      </c>
      <c r="L211" s="404">
        <v>3544431</v>
      </c>
      <c r="M211" s="404">
        <v>23648481</v>
      </c>
      <c r="N211" s="404">
        <v>51022217.839602917</v>
      </c>
    </row>
    <row r="212" spans="2:14" s="154" customFormat="1" hidden="1" outlineLevel="1">
      <c r="B212" s="165" t="s">
        <v>2325</v>
      </c>
      <c r="C212" s="165" t="s">
        <v>2992</v>
      </c>
      <c r="D212" s="165" t="s">
        <v>3207</v>
      </c>
      <c r="E212" s="404">
        <v>92097840.21236816</v>
      </c>
      <c r="F212" s="404">
        <v>25</v>
      </c>
      <c r="G212" s="405">
        <v>51348</v>
      </c>
      <c r="H212" s="404">
        <v>9132</v>
      </c>
      <c r="I212" s="404">
        <v>4604892.0106184082</v>
      </c>
      <c r="J212" s="404">
        <v>87492948.201749757</v>
      </c>
      <c r="K212" s="404">
        <v>365</v>
      </c>
      <c r="L212" s="404">
        <v>3497035</v>
      </c>
      <c r="M212" s="404">
        <v>23332256</v>
      </c>
      <c r="N212" s="404">
        <v>68765584.21236816</v>
      </c>
    </row>
    <row r="213" spans="2:14" s="154" customFormat="1" hidden="1" outlineLevel="1">
      <c r="B213" s="165" t="s">
        <v>2325</v>
      </c>
      <c r="C213" s="165" t="s">
        <v>2992</v>
      </c>
      <c r="D213" s="165" t="s">
        <v>3211</v>
      </c>
      <c r="E213" s="404">
        <v>275559242.7003724</v>
      </c>
      <c r="F213" s="404">
        <v>25</v>
      </c>
      <c r="G213" s="405">
        <v>51348</v>
      </c>
      <c r="H213" s="404">
        <v>9132</v>
      </c>
      <c r="I213" s="404">
        <v>13777962.135018621</v>
      </c>
      <c r="J213" s="404">
        <v>261781280.56535378</v>
      </c>
      <c r="K213" s="404">
        <v>365</v>
      </c>
      <c r="L213" s="404">
        <v>10463225</v>
      </c>
      <c r="M213" s="404">
        <v>69810752</v>
      </c>
      <c r="N213" s="404">
        <v>205748490.7003724</v>
      </c>
    </row>
    <row r="214" spans="2:14" s="154" customFormat="1" hidden="1" outlineLevel="1">
      <c r="B214" s="165" t="s">
        <v>2325</v>
      </c>
      <c r="C214" s="165" t="s">
        <v>2992</v>
      </c>
      <c r="D214" s="165" t="s">
        <v>3208</v>
      </c>
      <c r="E214" s="404">
        <v>5069602.196979857</v>
      </c>
      <c r="F214" s="404">
        <v>15</v>
      </c>
      <c r="G214" s="405">
        <v>47695</v>
      </c>
      <c r="H214" s="404">
        <v>5479</v>
      </c>
      <c r="I214" s="404">
        <v>253480.10984899287</v>
      </c>
      <c r="J214" s="404">
        <v>4816122.0871308642</v>
      </c>
      <c r="K214" s="404">
        <v>365</v>
      </c>
      <c r="L214" s="404">
        <v>320840</v>
      </c>
      <c r="M214" s="404">
        <v>2140648</v>
      </c>
      <c r="N214" s="404">
        <v>2928954.196979857</v>
      </c>
    </row>
    <row r="215" spans="2:14" s="154" customFormat="1" hidden="1" outlineLevel="1">
      <c r="B215" s="165" t="s">
        <v>2325</v>
      </c>
      <c r="C215" s="165" t="s">
        <v>2992</v>
      </c>
      <c r="D215" s="165" t="s">
        <v>3692</v>
      </c>
      <c r="E215" s="404">
        <v>3678673.5452746777</v>
      </c>
      <c r="F215" s="404">
        <v>15</v>
      </c>
      <c r="G215" s="405">
        <v>47695</v>
      </c>
      <c r="H215" s="404">
        <v>5479</v>
      </c>
      <c r="I215" s="404">
        <v>183933.6772637339</v>
      </c>
      <c r="J215" s="404">
        <v>3494739.8680109438</v>
      </c>
      <c r="K215" s="404">
        <v>365</v>
      </c>
      <c r="L215" s="404">
        <v>232813</v>
      </c>
      <c r="M215" s="404">
        <v>1553330</v>
      </c>
      <c r="N215" s="404">
        <v>2125343.5452746777</v>
      </c>
    </row>
    <row r="216" spans="2:14" s="154" customFormat="1" hidden="1" outlineLevel="1">
      <c r="B216" s="165" t="s">
        <v>2325</v>
      </c>
      <c r="C216" s="165" t="s">
        <v>2992</v>
      </c>
      <c r="D216" s="165" t="s">
        <v>3209</v>
      </c>
      <c r="E216" s="404">
        <v>9612145.4346738383</v>
      </c>
      <c r="F216" s="404">
        <v>10</v>
      </c>
      <c r="G216" s="405">
        <v>45869</v>
      </c>
      <c r="H216" s="404">
        <v>3653</v>
      </c>
      <c r="I216" s="404">
        <v>480607.27173369192</v>
      </c>
      <c r="J216" s="404">
        <v>9131538.1629401464</v>
      </c>
      <c r="K216" s="404">
        <v>365</v>
      </c>
      <c r="L216" s="404">
        <v>912404</v>
      </c>
      <c r="M216" s="404">
        <v>6087570</v>
      </c>
      <c r="N216" s="404">
        <v>3524575.4346738383</v>
      </c>
    </row>
    <row r="217" spans="2:14" s="154" customFormat="1" hidden="1" outlineLevel="1">
      <c r="B217" s="165" t="s">
        <v>2325</v>
      </c>
      <c r="C217" s="165" t="s">
        <v>2992</v>
      </c>
      <c r="D217" s="165" t="s">
        <v>3212</v>
      </c>
      <c r="E217" s="404">
        <v>4872169.8081566421</v>
      </c>
      <c r="F217" s="404">
        <v>20</v>
      </c>
      <c r="G217" s="405">
        <v>49521</v>
      </c>
      <c r="H217" s="404">
        <v>7305</v>
      </c>
      <c r="I217" s="404">
        <v>243608.49040783211</v>
      </c>
      <c r="J217" s="404">
        <v>4628561.3177488102</v>
      </c>
      <c r="K217" s="404">
        <v>365</v>
      </c>
      <c r="L217" s="404">
        <v>231270</v>
      </c>
      <c r="M217" s="404">
        <v>1543035</v>
      </c>
      <c r="N217" s="404">
        <v>3329134.8081566421</v>
      </c>
    </row>
    <row r="218" spans="2:14" s="154" customFormat="1" hidden="1" outlineLevel="1">
      <c r="B218" s="165" t="s">
        <v>2325</v>
      </c>
      <c r="C218" s="165" t="s">
        <v>2992</v>
      </c>
      <c r="D218" s="165" t="s">
        <v>3693</v>
      </c>
      <c r="E218" s="404">
        <v>372671787.18330133</v>
      </c>
      <c r="F218" s="404">
        <v>25</v>
      </c>
      <c r="G218" s="405">
        <v>51348</v>
      </c>
      <c r="H218" s="404">
        <v>9132</v>
      </c>
      <c r="I218" s="404">
        <v>18633589.359165069</v>
      </c>
      <c r="J218" s="404">
        <v>354038197.82413626</v>
      </c>
      <c r="K218" s="404">
        <v>365</v>
      </c>
      <c r="L218" s="404">
        <v>14150673</v>
      </c>
      <c r="M218" s="404">
        <v>94413446</v>
      </c>
      <c r="N218" s="404">
        <v>278258341.18330133</v>
      </c>
    </row>
    <row r="219" spans="2:14" s="154" customFormat="1" hidden="1" outlineLevel="1">
      <c r="B219" s="165" t="s">
        <v>2325</v>
      </c>
      <c r="C219" s="165" t="s">
        <v>2992</v>
      </c>
      <c r="D219" s="165" t="s">
        <v>3193</v>
      </c>
      <c r="E219" s="404">
        <v>161283390.5186891</v>
      </c>
      <c r="F219" s="404">
        <v>25</v>
      </c>
      <c r="G219" s="405">
        <v>51348</v>
      </c>
      <c r="H219" s="404">
        <v>9132</v>
      </c>
      <c r="I219" s="404">
        <v>8064169.525934455</v>
      </c>
      <c r="J219" s="404">
        <v>153219220.99275464</v>
      </c>
      <c r="K219" s="404">
        <v>365</v>
      </c>
      <c r="L219" s="404">
        <v>6124071</v>
      </c>
      <c r="M219" s="404">
        <v>40859869</v>
      </c>
      <c r="N219" s="404">
        <v>120423521.5186891</v>
      </c>
    </row>
    <row r="220" spans="2:14" s="154" customFormat="1" hidden="1" outlineLevel="1">
      <c r="B220" s="165" t="s">
        <v>2325</v>
      </c>
      <c r="C220" s="165" t="s">
        <v>2992</v>
      </c>
      <c r="D220" s="165" t="s">
        <v>3213</v>
      </c>
      <c r="E220" s="404">
        <v>23064013.699839417</v>
      </c>
      <c r="F220" s="404">
        <v>20</v>
      </c>
      <c r="G220" s="405">
        <v>49521</v>
      </c>
      <c r="H220" s="404">
        <v>7305</v>
      </c>
      <c r="I220" s="404">
        <v>1153200.6849919709</v>
      </c>
      <c r="J220" s="404">
        <v>21910813.014847446</v>
      </c>
      <c r="K220" s="404">
        <v>365</v>
      </c>
      <c r="L220" s="404">
        <v>1094791</v>
      </c>
      <c r="M220" s="404">
        <v>7304457</v>
      </c>
      <c r="N220" s="404">
        <v>15759556.699839417</v>
      </c>
    </row>
    <row r="221" spans="2:14" s="154" customFormat="1" hidden="1" outlineLevel="1">
      <c r="B221" s="165" t="s">
        <v>2325</v>
      </c>
      <c r="C221" s="165" t="s">
        <v>2992</v>
      </c>
      <c r="D221" s="165" t="s">
        <v>3216</v>
      </c>
      <c r="E221" s="404">
        <v>47748914.357324354</v>
      </c>
      <c r="F221" s="404">
        <v>20</v>
      </c>
      <c r="G221" s="405">
        <v>49521</v>
      </c>
      <c r="H221" s="404">
        <v>7305</v>
      </c>
      <c r="I221" s="404">
        <v>2387445.7178662177</v>
      </c>
      <c r="J221" s="404">
        <v>45361468.639458135</v>
      </c>
      <c r="K221" s="404">
        <v>365</v>
      </c>
      <c r="L221" s="404">
        <v>2266521</v>
      </c>
      <c r="M221" s="404">
        <v>15122253</v>
      </c>
      <c r="N221" s="404">
        <v>32626661.357324354</v>
      </c>
    </row>
    <row r="222" spans="2:14" s="154" customFormat="1" ht="27" hidden="1" outlineLevel="1">
      <c r="B222" s="165" t="s">
        <v>2325</v>
      </c>
      <c r="C222" s="165" t="s">
        <v>2992</v>
      </c>
      <c r="D222" s="165" t="s">
        <v>3215</v>
      </c>
      <c r="E222" s="404">
        <v>24798911.298917346</v>
      </c>
      <c r="F222" s="404">
        <v>15</v>
      </c>
      <c r="G222" s="405">
        <v>47695</v>
      </c>
      <c r="H222" s="404">
        <v>5479</v>
      </c>
      <c r="I222" s="404">
        <v>1239945.5649458673</v>
      </c>
      <c r="J222" s="404">
        <v>23558965.733971477</v>
      </c>
      <c r="K222" s="404">
        <v>365</v>
      </c>
      <c r="L222" s="404">
        <v>1569451</v>
      </c>
      <c r="M222" s="404">
        <v>10471394</v>
      </c>
      <c r="N222" s="404">
        <v>14327517.298917346</v>
      </c>
    </row>
    <row r="223" spans="2:14" s="154" customFormat="1" hidden="1" outlineLevel="1">
      <c r="B223" s="165" t="s">
        <v>2325</v>
      </c>
      <c r="C223" s="165" t="s">
        <v>2992</v>
      </c>
      <c r="D223" s="165" t="s">
        <v>3217</v>
      </c>
      <c r="E223" s="404">
        <v>830595063.9523108</v>
      </c>
      <c r="F223" s="404">
        <v>50</v>
      </c>
      <c r="G223" s="405">
        <v>60479</v>
      </c>
      <c r="H223" s="404">
        <v>18263</v>
      </c>
      <c r="I223" s="404">
        <v>41529753.197615542</v>
      </c>
      <c r="J223" s="404">
        <v>789065310.7546953</v>
      </c>
      <c r="K223" s="404">
        <v>365</v>
      </c>
      <c r="L223" s="404">
        <v>15770073</v>
      </c>
      <c r="M223" s="404">
        <v>105218099</v>
      </c>
      <c r="N223" s="404">
        <v>725376964.9523108</v>
      </c>
    </row>
    <row r="224" spans="2:14" s="154" customFormat="1" hidden="1" outlineLevel="1">
      <c r="B224" s="165" t="s">
        <v>2325</v>
      </c>
      <c r="C224" s="165" t="s">
        <v>2992</v>
      </c>
      <c r="D224" s="165" t="s">
        <v>3218</v>
      </c>
      <c r="E224" s="404">
        <v>9744231.1145051643</v>
      </c>
      <c r="F224" s="404">
        <v>15</v>
      </c>
      <c r="G224" s="405">
        <v>47695</v>
      </c>
      <c r="H224" s="404">
        <v>5479</v>
      </c>
      <c r="I224" s="404">
        <v>487211.55572525825</v>
      </c>
      <c r="J224" s="404">
        <v>9257019.5587799065</v>
      </c>
      <c r="K224" s="404">
        <v>365</v>
      </c>
      <c r="L224" s="404">
        <v>616684</v>
      </c>
      <c r="M224" s="404">
        <v>4114523</v>
      </c>
      <c r="N224" s="404">
        <v>5629708.1145051643</v>
      </c>
    </row>
    <row r="225" spans="2:26" s="154" customFormat="1" hidden="1" outlineLevel="1">
      <c r="B225" s="165" t="s">
        <v>2325</v>
      </c>
      <c r="C225" s="165" t="s">
        <v>2992</v>
      </c>
      <c r="D225" s="165" t="s">
        <v>3219</v>
      </c>
      <c r="E225" s="404">
        <v>29703039.934141684</v>
      </c>
      <c r="F225" s="404">
        <v>5</v>
      </c>
      <c r="G225" s="405">
        <v>44043</v>
      </c>
      <c r="H225" s="404">
        <v>1827</v>
      </c>
      <c r="I225" s="404">
        <v>1485151.9967070844</v>
      </c>
      <c r="J225" s="404">
        <v>28217887.937434599</v>
      </c>
      <c r="K225" s="404">
        <v>0</v>
      </c>
      <c r="L225" s="404">
        <v>0</v>
      </c>
      <c r="M225" s="404">
        <v>29703040</v>
      </c>
      <c r="N225" s="403">
        <v>-6.5858315676450729E-2</v>
      </c>
    </row>
    <row r="226" spans="2:26" s="154" customFormat="1" hidden="1" outlineLevel="1">
      <c r="B226" s="165" t="s">
        <v>2325</v>
      </c>
      <c r="C226" s="165" t="s">
        <v>2987</v>
      </c>
      <c r="D226" s="165"/>
      <c r="E226" s="404">
        <v>81013683.085273564</v>
      </c>
      <c r="F226" s="404">
        <v>25</v>
      </c>
      <c r="G226" s="405">
        <v>51348</v>
      </c>
      <c r="H226" s="404">
        <v>9132</v>
      </c>
      <c r="I226" s="404">
        <v>4050684.1542636785</v>
      </c>
      <c r="J226" s="404">
        <v>76962998.931009889</v>
      </c>
      <c r="K226" s="404">
        <v>365</v>
      </c>
      <c r="L226" s="404">
        <v>3076160</v>
      </c>
      <c r="M226" s="404">
        <v>20524174</v>
      </c>
      <c r="N226" s="404">
        <v>60489509.085273564</v>
      </c>
    </row>
    <row r="227" spans="2:26" s="154" customFormat="1" hidden="1" outlineLevel="1">
      <c r="B227" s="165" t="s">
        <v>2325</v>
      </c>
      <c r="C227" s="165" t="s">
        <v>3694</v>
      </c>
      <c r="D227" s="165" t="s">
        <v>3221</v>
      </c>
      <c r="E227" s="404">
        <v>86728441.073408589</v>
      </c>
      <c r="F227" s="404">
        <v>25</v>
      </c>
      <c r="G227" s="405">
        <v>51348</v>
      </c>
      <c r="H227" s="404">
        <v>9132</v>
      </c>
      <c r="I227" s="404">
        <v>4336422.0536704296</v>
      </c>
      <c r="J227" s="404">
        <v>82392019.019738153</v>
      </c>
      <c r="K227" s="404">
        <v>365</v>
      </c>
      <c r="L227" s="404">
        <v>3293155</v>
      </c>
      <c r="M227" s="404">
        <v>21971966</v>
      </c>
      <c r="N227" s="404">
        <v>64756475.073408589</v>
      </c>
    </row>
    <row r="228" spans="2:26" s="154" customFormat="1" hidden="1" outlineLevel="1">
      <c r="B228" s="165" t="s">
        <v>2325</v>
      </c>
      <c r="C228" s="165" t="s">
        <v>3695</v>
      </c>
      <c r="D228" s="165" t="s">
        <v>3223</v>
      </c>
      <c r="E228" s="404">
        <v>3888784.8187603457</v>
      </c>
      <c r="F228" s="404">
        <v>20</v>
      </c>
      <c r="G228" s="405">
        <v>49521</v>
      </c>
      <c r="H228" s="404">
        <v>7305</v>
      </c>
      <c r="I228" s="404">
        <v>194439.24093801729</v>
      </c>
      <c r="J228" s="404">
        <v>3694345.5778223285</v>
      </c>
      <c r="K228" s="404">
        <v>365</v>
      </c>
      <c r="L228" s="404">
        <v>184591</v>
      </c>
      <c r="M228" s="404">
        <v>1231593</v>
      </c>
      <c r="N228" s="404">
        <v>2657191.8187603457</v>
      </c>
    </row>
    <row r="229" spans="2:26" s="154" customFormat="1" hidden="1" outlineLevel="1">
      <c r="B229" s="165" t="s">
        <v>2325</v>
      </c>
      <c r="C229" s="165" t="s">
        <v>3695</v>
      </c>
      <c r="D229" s="165" t="s">
        <v>3223</v>
      </c>
      <c r="E229" s="404">
        <v>127731217.02966271</v>
      </c>
      <c r="F229" s="404">
        <v>20</v>
      </c>
      <c r="G229" s="405">
        <v>49521</v>
      </c>
      <c r="H229" s="404">
        <v>7305</v>
      </c>
      <c r="I229" s="404">
        <v>6386560.8514831364</v>
      </c>
      <c r="J229" s="404">
        <v>121344656.17817958</v>
      </c>
      <c r="K229" s="404">
        <v>365</v>
      </c>
      <c r="L229" s="404">
        <v>6063080</v>
      </c>
      <c r="M229" s="404">
        <v>40452936</v>
      </c>
      <c r="N229" s="404">
        <v>87278281.029662713</v>
      </c>
    </row>
    <row r="230" spans="2:26" s="154" customFormat="1" hidden="1" outlineLevel="1">
      <c r="B230" s="165" t="s">
        <v>2325</v>
      </c>
      <c r="C230" s="165" t="s">
        <v>3226</v>
      </c>
      <c r="D230" s="165" t="s">
        <v>3225</v>
      </c>
      <c r="E230" s="404">
        <v>100061406.78808624</v>
      </c>
      <c r="F230" s="404">
        <v>25</v>
      </c>
      <c r="G230" s="405">
        <v>51348</v>
      </c>
      <c r="H230" s="404">
        <v>9132</v>
      </c>
      <c r="I230" s="404">
        <v>5003070.339404312</v>
      </c>
      <c r="J230" s="404">
        <v>95058336.448681921</v>
      </c>
      <c r="K230" s="404">
        <v>365</v>
      </c>
      <c r="L230" s="404">
        <v>3799419</v>
      </c>
      <c r="M230" s="404">
        <v>25349765</v>
      </c>
      <c r="N230" s="404">
        <v>74711641.788086236</v>
      </c>
    </row>
    <row r="231" spans="2:26" s="154" customFormat="1" hidden="1" outlineLevel="1">
      <c r="B231" s="165"/>
      <c r="C231" s="165"/>
      <c r="D231" s="165"/>
      <c r="E231" s="404"/>
      <c r="F231" s="404"/>
      <c r="G231" s="405"/>
      <c r="H231" s="404"/>
      <c r="I231" s="404"/>
      <c r="J231" s="404"/>
      <c r="K231" s="404"/>
      <c r="L231" s="404"/>
      <c r="M231" s="404"/>
      <c r="N231" s="404"/>
      <c r="O231" s="157"/>
      <c r="P231" s="157"/>
      <c r="Q231" s="157"/>
      <c r="R231" s="157"/>
      <c r="S231" s="157"/>
      <c r="T231" s="157"/>
      <c r="U231" s="157"/>
      <c r="V231" s="157"/>
      <c r="W231" s="157"/>
      <c r="X231" s="157"/>
      <c r="Y231" s="157"/>
      <c r="Z231" s="157"/>
    </row>
    <row r="232" spans="2:26" s="154" customFormat="1" hidden="1" outlineLevel="1">
      <c r="B232" s="165"/>
      <c r="C232" s="165"/>
      <c r="D232" s="165"/>
      <c r="E232" s="403"/>
      <c r="F232" s="404"/>
      <c r="G232" s="405"/>
      <c r="H232" s="404"/>
      <c r="I232" s="404"/>
      <c r="J232" s="404"/>
      <c r="K232" s="404"/>
      <c r="L232" s="404"/>
      <c r="M232" s="404"/>
      <c r="N232" s="403"/>
      <c r="O232" s="157"/>
      <c r="P232" s="157"/>
      <c r="Q232" s="157"/>
      <c r="R232" s="157"/>
      <c r="S232" s="157"/>
      <c r="T232" s="157"/>
      <c r="U232" s="157"/>
      <c r="V232" s="157"/>
      <c r="W232" s="157"/>
      <c r="X232" s="157"/>
      <c r="Y232" s="157"/>
      <c r="Z232" s="157"/>
    </row>
    <row r="233" spans="2:26" s="154" customFormat="1" ht="14.25" hidden="1">
      <c r="B233" s="411" t="s">
        <v>1837</v>
      </c>
      <c r="C233" s="165"/>
      <c r="D233" s="165"/>
      <c r="E233" s="413">
        <f>SUBTOTAL(9,E100:E232)</f>
        <v>10501508625.21838</v>
      </c>
      <c r="F233" s="404"/>
      <c r="G233" s="404"/>
      <c r="H233" s="413"/>
      <c r="I233" s="413"/>
      <c r="J233" s="413"/>
      <c r="K233" s="404"/>
      <c r="L233" s="413">
        <f t="shared" ref="L233:N233" si="2">SUBTOTAL(9,L100:L232)</f>
        <v>418351002</v>
      </c>
      <c r="M233" s="413">
        <f t="shared" si="2"/>
        <v>2820945525</v>
      </c>
      <c r="N233" s="413">
        <f t="shared" si="2"/>
        <v>7680563100.2183828</v>
      </c>
      <c r="O233" s="157"/>
      <c r="P233" s="157"/>
      <c r="Q233" s="157"/>
      <c r="R233" s="157"/>
      <c r="S233" s="157"/>
      <c r="T233" s="157"/>
      <c r="U233" s="157"/>
      <c r="V233" s="157"/>
      <c r="W233" s="157"/>
      <c r="X233" s="157"/>
      <c r="Y233" s="157"/>
      <c r="Z233" s="157"/>
    </row>
    <row r="234" spans="2:26" s="154" customFormat="1" hidden="1">
      <c r="B234" s="165"/>
      <c r="C234" s="165"/>
      <c r="D234" s="165"/>
      <c r="E234" s="441"/>
      <c r="F234" s="404"/>
      <c r="G234" s="404"/>
      <c r="H234" s="404"/>
      <c r="I234" s="404"/>
      <c r="J234" s="404"/>
      <c r="K234" s="404"/>
      <c r="L234" s="404"/>
      <c r="M234" s="404"/>
      <c r="N234" s="404"/>
      <c r="O234" s="157"/>
      <c r="P234" s="157"/>
      <c r="Q234" s="157"/>
      <c r="R234" s="157"/>
      <c r="S234" s="157"/>
      <c r="T234" s="157"/>
      <c r="U234" s="157"/>
      <c r="V234" s="157"/>
      <c r="W234" s="157"/>
      <c r="X234" s="157"/>
      <c r="Y234" s="157"/>
      <c r="Z234" s="157"/>
    </row>
    <row r="235" spans="2:26" s="154" customFormat="1" ht="14.25" hidden="1">
      <c r="B235" s="411" t="str">
        <f>+B236</f>
        <v>Coal Handling Plant</v>
      </c>
      <c r="C235" s="165"/>
      <c r="D235" s="165"/>
      <c r="E235" s="404"/>
      <c r="F235" s="404"/>
      <c r="G235" s="404"/>
      <c r="H235" s="404"/>
      <c r="I235" s="404"/>
      <c r="J235" s="404"/>
      <c r="K235" s="404"/>
      <c r="L235" s="404"/>
      <c r="M235" s="404"/>
      <c r="N235" s="404"/>
      <c r="O235" s="157"/>
      <c r="P235" s="157"/>
      <c r="Q235" s="157"/>
      <c r="R235" s="157"/>
      <c r="S235" s="157"/>
      <c r="T235" s="157"/>
      <c r="U235" s="157"/>
      <c r="V235" s="157"/>
      <c r="W235" s="157"/>
      <c r="X235" s="157"/>
      <c r="Y235" s="157"/>
      <c r="Z235" s="157"/>
    </row>
    <row r="236" spans="2:26" s="154" customFormat="1" hidden="1" outlineLevel="1">
      <c r="B236" s="165" t="s">
        <v>2326</v>
      </c>
      <c r="C236" s="165" t="s">
        <v>2326</v>
      </c>
      <c r="D236" s="165" t="s">
        <v>3228</v>
      </c>
      <c r="E236" s="404">
        <v>262980063.33292967</v>
      </c>
      <c r="F236" s="404">
        <v>10</v>
      </c>
      <c r="G236" s="405">
        <v>45869</v>
      </c>
      <c r="H236" s="404">
        <v>3653</v>
      </c>
      <c r="I236" s="404">
        <v>13149003.166646484</v>
      </c>
      <c r="J236" s="404">
        <v>249831060.16628319</v>
      </c>
      <c r="K236" s="404">
        <v>365</v>
      </c>
      <c r="L236" s="404">
        <v>24962589</v>
      </c>
      <c r="M236" s="404">
        <v>166552123</v>
      </c>
      <c r="N236" s="404">
        <v>96427940.332929671</v>
      </c>
    </row>
    <row r="237" spans="2:26" s="154" customFormat="1" ht="27" hidden="1" outlineLevel="1">
      <c r="B237" s="165" t="s">
        <v>2326</v>
      </c>
      <c r="C237" s="165" t="s">
        <v>2326</v>
      </c>
      <c r="D237" s="165" t="s">
        <v>3229</v>
      </c>
      <c r="E237" s="404">
        <v>210384049.77209038</v>
      </c>
      <c r="F237" s="404">
        <v>10</v>
      </c>
      <c r="G237" s="405">
        <v>45869</v>
      </c>
      <c r="H237" s="404">
        <v>3653</v>
      </c>
      <c r="I237" s="404">
        <v>10519202.48860452</v>
      </c>
      <c r="J237" s="404">
        <v>199864847.28348586</v>
      </c>
      <c r="K237" s="404">
        <v>365</v>
      </c>
      <c r="L237" s="404">
        <v>19970071</v>
      </c>
      <c r="M237" s="404">
        <v>133241697</v>
      </c>
      <c r="N237" s="404">
        <v>77142352.772090375</v>
      </c>
    </row>
    <row r="238" spans="2:26" s="154" customFormat="1" ht="27" hidden="1" outlineLevel="1">
      <c r="B238" s="165" t="s">
        <v>2326</v>
      </c>
      <c r="C238" s="165" t="s">
        <v>2326</v>
      </c>
      <c r="D238" s="165" t="s">
        <v>3230</v>
      </c>
      <c r="E238" s="404">
        <v>105192027.00820841</v>
      </c>
      <c r="F238" s="404">
        <v>8</v>
      </c>
      <c r="G238" s="405">
        <v>45138</v>
      </c>
      <c r="H238" s="404">
        <v>2922</v>
      </c>
      <c r="I238" s="404">
        <v>5259601.3504104204</v>
      </c>
      <c r="J238" s="404">
        <v>99932425.657797992</v>
      </c>
      <c r="K238" s="404">
        <v>365</v>
      </c>
      <c r="L238" s="404">
        <v>12483003</v>
      </c>
      <c r="M238" s="404">
        <v>83287461</v>
      </c>
      <c r="N238" s="404">
        <v>21904566.008208409</v>
      </c>
    </row>
    <row r="239" spans="2:26" s="154" customFormat="1" hidden="1" outlineLevel="1">
      <c r="B239" s="165" t="s">
        <v>2326</v>
      </c>
      <c r="C239" s="165" t="s">
        <v>2326</v>
      </c>
      <c r="D239" s="165" t="s">
        <v>3231</v>
      </c>
      <c r="E239" s="404">
        <v>157788038.89014933</v>
      </c>
      <c r="F239" s="404">
        <v>20</v>
      </c>
      <c r="G239" s="405">
        <v>49521</v>
      </c>
      <c r="H239" s="404">
        <v>7305</v>
      </c>
      <c r="I239" s="404">
        <v>7889401.9445074666</v>
      </c>
      <c r="J239" s="404">
        <v>149898636.94564185</v>
      </c>
      <c r="K239" s="404">
        <v>365</v>
      </c>
      <c r="L239" s="404">
        <v>7489802</v>
      </c>
      <c r="M239" s="404">
        <v>49972478</v>
      </c>
      <c r="N239" s="404">
        <v>107815560.89014933</v>
      </c>
    </row>
    <row r="240" spans="2:26" s="154" customFormat="1" hidden="1" outlineLevel="1">
      <c r="B240" s="165" t="s">
        <v>2326</v>
      </c>
      <c r="C240" s="165" t="s">
        <v>2326</v>
      </c>
      <c r="D240" s="165" t="s">
        <v>3232</v>
      </c>
      <c r="E240" s="404">
        <v>315576076.78029865</v>
      </c>
      <c r="F240" s="404">
        <v>40</v>
      </c>
      <c r="G240" s="405">
        <v>56826</v>
      </c>
      <c r="H240" s="404">
        <v>14610</v>
      </c>
      <c r="I240" s="404">
        <v>15778803.839014933</v>
      </c>
      <c r="J240" s="404">
        <v>299797272.9412837</v>
      </c>
      <c r="K240" s="404">
        <v>365</v>
      </c>
      <c r="L240" s="404">
        <v>7489802</v>
      </c>
      <c r="M240" s="404">
        <v>49972478</v>
      </c>
      <c r="N240" s="404">
        <v>265603598.78029865</v>
      </c>
    </row>
    <row r="241" spans="2:14" s="154" customFormat="1" hidden="1" outlineLevel="1">
      <c r="B241" s="165"/>
      <c r="C241" s="165"/>
      <c r="D241" s="165"/>
      <c r="E241" s="404"/>
      <c r="F241" s="404"/>
      <c r="G241" s="405"/>
      <c r="H241" s="404"/>
      <c r="I241" s="404"/>
      <c r="J241" s="404"/>
      <c r="K241" s="404"/>
      <c r="L241" s="404"/>
      <c r="M241" s="404"/>
      <c r="N241" s="404"/>
    </row>
    <row r="242" spans="2:14" s="154" customFormat="1" hidden="1" outlineLevel="1">
      <c r="B242" s="165" t="s">
        <v>2326</v>
      </c>
      <c r="C242" s="165" t="s">
        <v>2326</v>
      </c>
      <c r="D242" s="165" t="s">
        <v>3236</v>
      </c>
      <c r="E242" s="404">
        <v>18366956.602790989</v>
      </c>
      <c r="F242" s="404">
        <v>25</v>
      </c>
      <c r="G242" s="405">
        <v>51348</v>
      </c>
      <c r="H242" s="404">
        <v>9132</v>
      </c>
      <c r="I242" s="404">
        <v>918347.83013954945</v>
      </c>
      <c r="J242" s="404">
        <v>17448608.772651441</v>
      </c>
      <c r="K242" s="404">
        <v>365</v>
      </c>
      <c r="L242" s="404">
        <v>697409</v>
      </c>
      <c r="M242" s="404">
        <v>4653162</v>
      </c>
      <c r="N242" s="404">
        <v>13713794.602790989</v>
      </c>
    </row>
    <row r="243" spans="2:14" s="154" customFormat="1" hidden="1" outlineLevel="1">
      <c r="B243" s="165" t="s">
        <v>2326</v>
      </c>
      <c r="C243" s="165" t="s">
        <v>2326</v>
      </c>
      <c r="D243" s="165" t="s">
        <v>3237</v>
      </c>
      <c r="E243" s="404">
        <v>6122318.8675969942</v>
      </c>
      <c r="F243" s="404">
        <v>25</v>
      </c>
      <c r="G243" s="405">
        <v>51348</v>
      </c>
      <c r="H243" s="404">
        <v>9132</v>
      </c>
      <c r="I243" s="404">
        <v>306115.94337984972</v>
      </c>
      <c r="J243" s="404">
        <v>5816202.924217144</v>
      </c>
      <c r="K243" s="404">
        <v>365</v>
      </c>
      <c r="L243" s="404">
        <v>232470</v>
      </c>
      <c r="M243" s="404">
        <v>1551056</v>
      </c>
      <c r="N243" s="404">
        <v>4571262.8675969942</v>
      </c>
    </row>
    <row r="244" spans="2:14" s="154" customFormat="1" hidden="1" outlineLevel="1">
      <c r="B244" s="165"/>
      <c r="C244" s="165"/>
      <c r="D244" s="165"/>
      <c r="E244" s="404"/>
      <c r="F244" s="404"/>
      <c r="G244" s="405"/>
      <c r="H244" s="404"/>
      <c r="I244" s="404"/>
      <c r="J244" s="404"/>
      <c r="K244" s="404"/>
      <c r="L244" s="404"/>
      <c r="M244" s="404"/>
      <c r="N244" s="404"/>
    </row>
    <row r="245" spans="2:14" s="154" customFormat="1" hidden="1" outlineLevel="1">
      <c r="B245" s="165" t="s">
        <v>2326</v>
      </c>
      <c r="C245" s="165" t="s">
        <v>2326</v>
      </c>
      <c r="D245" s="165" t="s">
        <v>3696</v>
      </c>
      <c r="E245" s="404">
        <v>19091924.808921091</v>
      </c>
      <c r="F245" s="404">
        <v>15</v>
      </c>
      <c r="G245" s="405">
        <v>47695</v>
      </c>
      <c r="H245" s="404">
        <v>5479</v>
      </c>
      <c r="I245" s="404">
        <v>954596.24044605461</v>
      </c>
      <c r="J245" s="404">
        <v>18137328.568475038</v>
      </c>
      <c r="K245" s="404">
        <v>365</v>
      </c>
      <c r="L245" s="404">
        <v>1208272</v>
      </c>
      <c r="M245" s="404">
        <v>8061676</v>
      </c>
      <c r="N245" s="404">
        <v>11030248.808921091</v>
      </c>
    </row>
    <row r="246" spans="2:14" s="154" customFormat="1" hidden="1" outlineLevel="1">
      <c r="B246" s="165" t="s">
        <v>2326</v>
      </c>
      <c r="C246" s="165" t="s">
        <v>2326</v>
      </c>
      <c r="D246" s="165" t="s">
        <v>3697</v>
      </c>
      <c r="E246" s="404">
        <v>12727949.112285342</v>
      </c>
      <c r="F246" s="404">
        <v>15</v>
      </c>
      <c r="G246" s="405">
        <v>47695</v>
      </c>
      <c r="H246" s="404">
        <v>5479</v>
      </c>
      <c r="I246" s="404">
        <v>636397.45561426715</v>
      </c>
      <c r="J246" s="404">
        <v>12091551.656671075</v>
      </c>
      <c r="K246" s="404">
        <v>365</v>
      </c>
      <c r="L246" s="404">
        <v>805515</v>
      </c>
      <c r="M246" s="404">
        <v>5374452</v>
      </c>
      <c r="N246" s="404">
        <v>7353497.1122853421</v>
      </c>
    </row>
    <row r="247" spans="2:14" s="154" customFormat="1" hidden="1" outlineLevel="1">
      <c r="B247" s="165"/>
      <c r="C247" s="165"/>
      <c r="D247" s="165"/>
      <c r="E247" s="404"/>
      <c r="F247" s="404"/>
      <c r="G247" s="405"/>
      <c r="H247" s="404"/>
      <c r="I247" s="404"/>
      <c r="J247" s="404"/>
      <c r="K247" s="404"/>
      <c r="L247" s="404"/>
      <c r="M247" s="404"/>
      <c r="N247" s="404"/>
    </row>
    <row r="248" spans="2:14" s="154" customFormat="1" ht="40.5" hidden="1" outlineLevel="1">
      <c r="B248" s="165" t="s">
        <v>2326</v>
      </c>
      <c r="C248" s="165" t="s">
        <v>2326</v>
      </c>
      <c r="D248" s="165" t="s">
        <v>3698</v>
      </c>
      <c r="E248" s="404">
        <v>27367913.50090047</v>
      </c>
      <c r="F248" s="404">
        <v>20</v>
      </c>
      <c r="G248" s="405">
        <v>49521</v>
      </c>
      <c r="H248" s="404">
        <v>7305</v>
      </c>
      <c r="I248" s="404">
        <v>1368395.6750450237</v>
      </c>
      <c r="J248" s="404">
        <v>25999517.825855445</v>
      </c>
      <c r="K248" s="404">
        <v>365</v>
      </c>
      <c r="L248" s="404">
        <v>1299086</v>
      </c>
      <c r="M248" s="404">
        <v>8667592</v>
      </c>
      <c r="N248" s="404">
        <v>18700321.50090047</v>
      </c>
    </row>
    <row r="249" spans="2:14" s="154" customFormat="1" ht="27" hidden="1" outlineLevel="1">
      <c r="B249" s="165" t="s">
        <v>2326</v>
      </c>
      <c r="C249" s="165" t="s">
        <v>2326</v>
      </c>
      <c r="D249" s="165" t="s">
        <v>3699</v>
      </c>
      <c r="E249" s="404">
        <v>6841978.1836688025</v>
      </c>
      <c r="F249" s="404">
        <v>15</v>
      </c>
      <c r="G249" s="405">
        <v>47695</v>
      </c>
      <c r="H249" s="404">
        <v>5479</v>
      </c>
      <c r="I249" s="404">
        <v>342098.90918344015</v>
      </c>
      <c r="J249" s="404">
        <v>6499879.2744853627</v>
      </c>
      <c r="K249" s="404">
        <v>365</v>
      </c>
      <c r="L249" s="404">
        <v>433009</v>
      </c>
      <c r="M249" s="404">
        <v>2889066</v>
      </c>
      <c r="N249" s="404">
        <v>3952912.1836688025</v>
      </c>
    </row>
    <row r="250" spans="2:14" s="154" customFormat="1" hidden="1" outlineLevel="1">
      <c r="B250" s="165"/>
      <c r="C250" s="165"/>
      <c r="D250" s="165"/>
      <c r="E250" s="404"/>
      <c r="F250" s="404"/>
      <c r="G250" s="405"/>
      <c r="H250" s="404"/>
      <c r="I250" s="404"/>
      <c r="J250" s="404"/>
      <c r="K250" s="404"/>
      <c r="L250" s="404"/>
      <c r="M250" s="404"/>
      <c r="N250" s="404"/>
    </row>
    <row r="251" spans="2:14" s="154" customFormat="1" ht="40.5" hidden="1" outlineLevel="1">
      <c r="B251" s="165" t="s">
        <v>2326</v>
      </c>
      <c r="C251" s="165" t="s">
        <v>2326</v>
      </c>
      <c r="D251" s="165" t="s">
        <v>3700</v>
      </c>
      <c r="E251" s="404">
        <v>3273915.4640065059</v>
      </c>
      <c r="F251" s="404">
        <v>15</v>
      </c>
      <c r="G251" s="405">
        <v>47695</v>
      </c>
      <c r="H251" s="404">
        <v>5479</v>
      </c>
      <c r="I251" s="404">
        <v>163695.77320032532</v>
      </c>
      <c r="J251" s="404">
        <v>3110219.6908061807</v>
      </c>
      <c r="K251" s="404">
        <v>365</v>
      </c>
      <c r="L251" s="404">
        <v>207197</v>
      </c>
      <c r="M251" s="404">
        <v>1382432</v>
      </c>
      <c r="N251" s="404">
        <v>1891483.4640065059</v>
      </c>
    </row>
    <row r="252" spans="2:14" s="154" customFormat="1" ht="27" hidden="1" outlineLevel="1">
      <c r="B252" s="165" t="s">
        <v>2326</v>
      </c>
      <c r="C252" s="165" t="s">
        <v>2326</v>
      </c>
      <c r="D252" s="165" t="s">
        <v>3701</v>
      </c>
      <c r="E252" s="404">
        <v>818476.41557860991</v>
      </c>
      <c r="F252" s="404">
        <v>5</v>
      </c>
      <c r="G252" s="405">
        <v>44043</v>
      </c>
      <c r="H252" s="404">
        <v>1827</v>
      </c>
      <c r="I252" s="404">
        <v>40923.820778930502</v>
      </c>
      <c r="J252" s="404">
        <v>777552.59479967947</v>
      </c>
      <c r="K252" s="404">
        <v>0</v>
      </c>
      <c r="L252" s="404">
        <v>0</v>
      </c>
      <c r="M252" s="404">
        <v>818476</v>
      </c>
      <c r="N252" s="404">
        <v>0.41557860991451889</v>
      </c>
    </row>
    <row r="253" spans="2:14" s="154" customFormat="1" hidden="1" outlineLevel="1">
      <c r="B253" s="165"/>
      <c r="C253" s="165"/>
      <c r="D253" s="165"/>
      <c r="E253" s="404"/>
      <c r="F253" s="404"/>
      <c r="G253" s="405"/>
      <c r="H253" s="404"/>
      <c r="I253" s="404"/>
      <c r="J253" s="404"/>
      <c r="K253" s="404"/>
      <c r="L253" s="404"/>
      <c r="M253" s="404"/>
      <c r="N253" s="404"/>
    </row>
    <row r="254" spans="2:14" s="154" customFormat="1" ht="27" hidden="1" outlineLevel="1">
      <c r="B254" s="165" t="s">
        <v>2326</v>
      </c>
      <c r="C254" s="165" t="s">
        <v>2326</v>
      </c>
      <c r="D254" s="165" t="s">
        <v>3702</v>
      </c>
      <c r="E254" s="404">
        <v>30782478.985216606</v>
      </c>
      <c r="F254" s="404">
        <v>15</v>
      </c>
      <c r="G254" s="405">
        <v>47695</v>
      </c>
      <c r="H254" s="404">
        <v>5479</v>
      </c>
      <c r="I254" s="404">
        <v>1539123.9492608304</v>
      </c>
      <c r="J254" s="404">
        <v>29243355.035955776</v>
      </c>
      <c r="K254" s="404">
        <v>365</v>
      </c>
      <c r="L254" s="404">
        <v>1948134</v>
      </c>
      <c r="M254" s="404">
        <v>12998085</v>
      </c>
      <c r="N254" s="404">
        <v>17784393.985216606</v>
      </c>
    </row>
    <row r="255" spans="2:14" s="154" customFormat="1" hidden="1" outlineLevel="1">
      <c r="B255" s="165" t="s">
        <v>2326</v>
      </c>
      <c r="C255" s="165" t="s">
        <v>2326</v>
      </c>
      <c r="D255" s="165" t="s">
        <v>3703</v>
      </c>
      <c r="E255" s="404">
        <v>7695616.6516097076</v>
      </c>
      <c r="F255" s="404">
        <v>3</v>
      </c>
      <c r="G255" s="405">
        <v>43312</v>
      </c>
      <c r="H255" s="404">
        <v>1096</v>
      </c>
      <c r="I255" s="404">
        <v>384780.83258048538</v>
      </c>
      <c r="J255" s="404">
        <v>7310835.8190292222</v>
      </c>
      <c r="K255" s="404">
        <v>0</v>
      </c>
      <c r="L255" s="404">
        <v>0</v>
      </c>
      <c r="M255" s="404">
        <v>7695617</v>
      </c>
      <c r="N255" s="403">
        <v>-0.34839029237627983</v>
      </c>
    </row>
    <row r="256" spans="2:14" s="154" customFormat="1" hidden="1" outlineLevel="1">
      <c r="B256" s="165"/>
      <c r="C256" s="165"/>
      <c r="D256" s="165"/>
      <c r="E256" s="404"/>
      <c r="F256" s="404"/>
      <c r="G256" s="405"/>
      <c r="H256" s="404"/>
      <c r="I256" s="404"/>
      <c r="J256" s="404"/>
      <c r="K256" s="404"/>
      <c r="L256" s="404"/>
      <c r="M256" s="404"/>
      <c r="N256" s="404"/>
    </row>
    <row r="257" spans="2:14" s="154" customFormat="1" ht="27" hidden="1" outlineLevel="1">
      <c r="B257" s="165" t="s">
        <v>2326</v>
      </c>
      <c r="C257" s="165" t="s">
        <v>2326</v>
      </c>
      <c r="D257" s="165" t="s">
        <v>3249</v>
      </c>
      <c r="E257" s="404">
        <v>101606637.80084795</v>
      </c>
      <c r="F257" s="404">
        <v>20</v>
      </c>
      <c r="G257" s="405">
        <v>49521</v>
      </c>
      <c r="H257" s="404">
        <v>7305</v>
      </c>
      <c r="I257" s="404">
        <v>5080331.8900423981</v>
      </c>
      <c r="J257" s="404">
        <v>96526305.910805553</v>
      </c>
      <c r="K257" s="404">
        <v>365</v>
      </c>
      <c r="L257" s="404">
        <v>4823012</v>
      </c>
      <c r="M257" s="404">
        <v>32179471</v>
      </c>
      <c r="N257" s="404">
        <v>69427166.800847948</v>
      </c>
    </row>
    <row r="258" spans="2:14" s="154" customFormat="1" ht="27" hidden="1" outlineLevel="1">
      <c r="B258" s="165" t="s">
        <v>2326</v>
      </c>
      <c r="C258" s="165" t="s">
        <v>2326</v>
      </c>
      <c r="D258" s="165" t="s">
        <v>3250</v>
      </c>
      <c r="E258" s="404">
        <v>50803318.399192691</v>
      </c>
      <c r="F258" s="404">
        <v>20</v>
      </c>
      <c r="G258" s="405">
        <v>49521</v>
      </c>
      <c r="H258" s="404">
        <v>7305</v>
      </c>
      <c r="I258" s="404">
        <v>2540165.9199596345</v>
      </c>
      <c r="J258" s="404">
        <v>48263152.479233056</v>
      </c>
      <c r="K258" s="404">
        <v>365</v>
      </c>
      <c r="L258" s="404">
        <v>2411506</v>
      </c>
      <c r="M258" s="404">
        <v>16089735</v>
      </c>
      <c r="N258" s="404">
        <v>34713583.399192691</v>
      </c>
    </row>
    <row r="259" spans="2:14" s="154" customFormat="1" hidden="1" outlineLevel="1">
      <c r="B259" s="165" t="s">
        <v>2326</v>
      </c>
      <c r="C259" s="165" t="s">
        <v>2326</v>
      </c>
      <c r="D259" s="165" t="s">
        <v>3251</v>
      </c>
      <c r="E259" s="404">
        <v>355623227.91766924</v>
      </c>
      <c r="F259" s="404">
        <v>30</v>
      </c>
      <c r="G259" s="405">
        <v>53174</v>
      </c>
      <c r="H259" s="404">
        <v>10958</v>
      </c>
      <c r="I259" s="404">
        <v>17781161.395883463</v>
      </c>
      <c r="J259" s="404">
        <v>337842066.5217858</v>
      </c>
      <c r="K259" s="404">
        <v>365</v>
      </c>
      <c r="L259" s="404">
        <v>11253181</v>
      </c>
      <c r="M259" s="404">
        <v>75082003</v>
      </c>
      <c r="N259" s="404">
        <v>280541224.91766924</v>
      </c>
    </row>
    <row r="260" spans="2:14" s="154" customFormat="1" hidden="1" outlineLevel="1">
      <c r="B260" s="165"/>
      <c r="C260" s="165"/>
      <c r="D260" s="165"/>
      <c r="E260" s="404"/>
      <c r="F260" s="404"/>
      <c r="G260" s="405"/>
      <c r="H260" s="404"/>
      <c r="I260" s="404"/>
      <c r="J260" s="404"/>
      <c r="K260" s="404"/>
      <c r="L260" s="404"/>
      <c r="M260" s="404"/>
      <c r="N260" s="404"/>
    </row>
    <row r="261" spans="2:14" s="154" customFormat="1" hidden="1" outlineLevel="1">
      <c r="B261" s="165" t="s">
        <v>2326</v>
      </c>
      <c r="C261" s="165" t="s">
        <v>2326</v>
      </c>
      <c r="D261" s="165" t="s">
        <v>3704</v>
      </c>
      <c r="E261" s="404">
        <v>28373990.726009212</v>
      </c>
      <c r="F261" s="404">
        <v>10</v>
      </c>
      <c r="G261" s="405">
        <v>45869</v>
      </c>
      <c r="H261" s="404">
        <v>3653</v>
      </c>
      <c r="I261" s="404">
        <v>1418699.5363004608</v>
      </c>
      <c r="J261" s="404">
        <v>26955291.189708751</v>
      </c>
      <c r="K261" s="404">
        <v>365</v>
      </c>
      <c r="L261" s="404">
        <v>2693315</v>
      </c>
      <c r="M261" s="404">
        <v>17969985</v>
      </c>
      <c r="N261" s="404">
        <v>10404005.726009212</v>
      </c>
    </row>
    <row r="262" spans="2:14" s="154" customFormat="1" ht="27" hidden="1" outlineLevel="1">
      <c r="B262" s="165" t="s">
        <v>2326</v>
      </c>
      <c r="C262" s="165" t="s">
        <v>2326</v>
      </c>
      <c r="D262" s="165" t="s">
        <v>3256</v>
      </c>
      <c r="E262" s="404">
        <v>1060368.6569148388</v>
      </c>
      <c r="F262" s="404">
        <v>8</v>
      </c>
      <c r="G262" s="405">
        <v>45138</v>
      </c>
      <c r="H262" s="404">
        <v>2922</v>
      </c>
      <c r="I262" s="404">
        <v>53018.432845741947</v>
      </c>
      <c r="J262" s="404">
        <v>1007350.2240690968</v>
      </c>
      <c r="K262" s="404">
        <v>365</v>
      </c>
      <c r="L262" s="404">
        <v>125833</v>
      </c>
      <c r="M262" s="404">
        <v>839565</v>
      </c>
      <c r="N262" s="404">
        <v>220803.65691483882</v>
      </c>
    </row>
    <row r="263" spans="2:14" s="154" customFormat="1" hidden="1" outlineLevel="1">
      <c r="B263" s="165" t="s">
        <v>2326</v>
      </c>
      <c r="C263" s="165" t="s">
        <v>2326</v>
      </c>
      <c r="D263" s="165" t="s">
        <v>3257</v>
      </c>
      <c r="E263" s="404">
        <v>31328019.845018342</v>
      </c>
      <c r="F263" s="404">
        <v>8</v>
      </c>
      <c r="G263" s="405">
        <v>45138</v>
      </c>
      <c r="H263" s="404">
        <v>2922</v>
      </c>
      <c r="I263" s="404">
        <v>1566400.9922509172</v>
      </c>
      <c r="J263" s="404">
        <v>29761618.852767427</v>
      </c>
      <c r="K263" s="404">
        <v>365</v>
      </c>
      <c r="L263" s="404">
        <v>3717656</v>
      </c>
      <c r="M263" s="404">
        <v>24804458</v>
      </c>
      <c r="N263" s="404">
        <v>6523561.8450183421</v>
      </c>
    </row>
    <row r="264" spans="2:14" s="154" customFormat="1" ht="27" hidden="1" outlineLevel="1">
      <c r="B264" s="165" t="s">
        <v>2326</v>
      </c>
      <c r="C264" s="165" t="s">
        <v>2326</v>
      </c>
      <c r="D264" s="165" t="s">
        <v>3258</v>
      </c>
      <c r="E264" s="404">
        <v>10486733.36143774</v>
      </c>
      <c r="F264" s="404">
        <v>10</v>
      </c>
      <c r="G264" s="405">
        <v>45869</v>
      </c>
      <c r="H264" s="404">
        <v>3653</v>
      </c>
      <c r="I264" s="404">
        <v>524336.66807188699</v>
      </c>
      <c r="J264" s="404">
        <v>9962396.6933658533</v>
      </c>
      <c r="K264" s="404">
        <v>365</v>
      </c>
      <c r="L264" s="404">
        <v>995422</v>
      </c>
      <c r="M264" s="404">
        <v>6641524</v>
      </c>
      <c r="N264" s="404">
        <v>3845209.3614377398</v>
      </c>
    </row>
    <row r="265" spans="2:14" s="154" customFormat="1" hidden="1" outlineLevel="1">
      <c r="B265" s="165"/>
      <c r="C265" s="165"/>
      <c r="D265" s="165"/>
      <c r="E265" s="404"/>
      <c r="F265" s="404"/>
      <c r="G265" s="405"/>
      <c r="H265" s="404"/>
      <c r="I265" s="404"/>
      <c r="J265" s="404"/>
      <c r="K265" s="404"/>
      <c r="L265" s="404"/>
      <c r="M265" s="404"/>
      <c r="N265" s="404"/>
    </row>
    <row r="266" spans="2:14" s="154" customFormat="1" hidden="1" outlineLevel="1">
      <c r="B266" s="165" t="s">
        <v>2326</v>
      </c>
      <c r="C266" s="165" t="s">
        <v>2326</v>
      </c>
      <c r="D266" s="165" t="s">
        <v>3705</v>
      </c>
      <c r="E266" s="404">
        <v>18534371.388927557</v>
      </c>
      <c r="F266" s="404">
        <v>15</v>
      </c>
      <c r="G266" s="405">
        <v>47695</v>
      </c>
      <c r="H266" s="404">
        <v>5479</v>
      </c>
      <c r="I266" s="404">
        <v>926718.56944637792</v>
      </c>
      <c r="J266" s="404">
        <v>17607652.819481179</v>
      </c>
      <c r="K266" s="404">
        <v>365</v>
      </c>
      <c r="L266" s="404">
        <v>1172987</v>
      </c>
      <c r="M266" s="404">
        <v>7826250</v>
      </c>
      <c r="N266" s="404">
        <v>10708121.388927557</v>
      </c>
    </row>
    <row r="267" spans="2:14" s="154" customFormat="1" hidden="1" outlineLevel="1">
      <c r="B267" s="165" t="s">
        <v>2326</v>
      </c>
      <c r="C267" s="165" t="s">
        <v>2326</v>
      </c>
      <c r="D267" s="165" t="s">
        <v>3706</v>
      </c>
      <c r="E267" s="404">
        <v>4633590.2345611732</v>
      </c>
      <c r="F267" s="404">
        <v>15</v>
      </c>
      <c r="G267" s="405">
        <v>47695</v>
      </c>
      <c r="H267" s="404">
        <v>5479</v>
      </c>
      <c r="I267" s="404">
        <v>231679.51172805869</v>
      </c>
      <c r="J267" s="404">
        <v>4401910.7228331147</v>
      </c>
      <c r="K267" s="404">
        <v>365</v>
      </c>
      <c r="L267" s="404">
        <v>293246</v>
      </c>
      <c r="M267" s="404">
        <v>1956559</v>
      </c>
      <c r="N267" s="404">
        <v>2677031.2345611732</v>
      </c>
    </row>
    <row r="268" spans="2:14" s="154" customFormat="1" hidden="1" outlineLevel="1">
      <c r="B268" s="165"/>
      <c r="C268" s="165"/>
      <c r="D268" s="165"/>
      <c r="E268" s="404"/>
      <c r="F268" s="404"/>
      <c r="G268" s="405"/>
      <c r="H268" s="404"/>
      <c r="I268" s="404"/>
      <c r="J268" s="404"/>
      <c r="K268" s="404"/>
      <c r="L268" s="404"/>
      <c r="M268" s="404"/>
      <c r="N268" s="404"/>
    </row>
    <row r="269" spans="2:14" s="154" customFormat="1" hidden="1" outlineLevel="1">
      <c r="B269" s="165"/>
      <c r="C269" s="165"/>
      <c r="D269" s="165"/>
      <c r="E269" s="404"/>
      <c r="F269" s="404"/>
      <c r="G269" s="405"/>
      <c r="H269" s="404"/>
      <c r="I269" s="404"/>
      <c r="J269" s="404"/>
      <c r="K269" s="404"/>
      <c r="L269" s="404"/>
      <c r="M269" s="404"/>
      <c r="N269" s="404"/>
    </row>
    <row r="270" spans="2:14" s="154" customFormat="1" hidden="1" outlineLevel="1">
      <c r="B270" s="165" t="s">
        <v>2326</v>
      </c>
      <c r="C270" s="165" t="s">
        <v>2326</v>
      </c>
      <c r="D270" s="165" t="s">
        <v>3261</v>
      </c>
      <c r="E270" s="404">
        <v>21866157.924227852</v>
      </c>
      <c r="F270" s="404">
        <v>20</v>
      </c>
      <c r="G270" s="405">
        <v>49521</v>
      </c>
      <c r="H270" s="404">
        <v>7305</v>
      </c>
      <c r="I270" s="404">
        <v>1093307.8962113927</v>
      </c>
      <c r="J270" s="404">
        <v>20772850.028016459</v>
      </c>
      <c r="K270" s="404">
        <v>365</v>
      </c>
      <c r="L270" s="404">
        <v>1037932</v>
      </c>
      <c r="M270" s="404">
        <v>6925153</v>
      </c>
      <c r="N270" s="404">
        <v>14941004.924227852</v>
      </c>
    </row>
    <row r="271" spans="2:14" s="154" customFormat="1" ht="27" hidden="1" outlineLevel="1">
      <c r="B271" s="165" t="s">
        <v>2326</v>
      </c>
      <c r="C271" s="165"/>
      <c r="D271" s="165" t="s">
        <v>3707</v>
      </c>
      <c r="E271" s="404">
        <v>47890212.494258016</v>
      </c>
      <c r="F271" s="404">
        <v>10</v>
      </c>
      <c r="G271" s="405">
        <v>45869</v>
      </c>
      <c r="H271" s="404">
        <v>3653</v>
      </c>
      <c r="I271" s="404">
        <v>2394510.6247129007</v>
      </c>
      <c r="J271" s="404">
        <v>45495701.869545117</v>
      </c>
      <c r="K271" s="404">
        <v>365</v>
      </c>
      <c r="L271" s="404">
        <v>4545834</v>
      </c>
      <c r="M271" s="404">
        <v>30330119</v>
      </c>
      <c r="N271" s="404">
        <v>17560093.494258016</v>
      </c>
    </row>
    <row r="272" spans="2:14" s="154" customFormat="1" hidden="1" outlineLevel="1">
      <c r="B272" s="165" t="s">
        <v>2326</v>
      </c>
      <c r="C272" s="165" t="s">
        <v>3264</v>
      </c>
      <c r="D272" s="165" t="s">
        <v>3265</v>
      </c>
      <c r="E272" s="404">
        <v>24072774.13130036</v>
      </c>
      <c r="F272" s="404">
        <v>20</v>
      </c>
      <c r="G272" s="405">
        <v>49521</v>
      </c>
      <c r="H272" s="404">
        <v>7305</v>
      </c>
      <c r="I272" s="404">
        <v>1203638.706565018</v>
      </c>
      <c r="J272" s="404">
        <v>22869135.424735341</v>
      </c>
      <c r="K272" s="404">
        <v>365</v>
      </c>
      <c r="L272" s="404">
        <v>1142674</v>
      </c>
      <c r="M272" s="404">
        <v>7624001</v>
      </c>
      <c r="N272" s="404">
        <v>16448773.13130036</v>
      </c>
    </row>
    <row r="273" spans="2:14" s="154" customFormat="1" hidden="1" outlineLevel="1">
      <c r="B273" s="165" t="s">
        <v>2326</v>
      </c>
      <c r="C273" s="165" t="s">
        <v>3264</v>
      </c>
      <c r="D273" s="165" t="s">
        <v>3033</v>
      </c>
      <c r="E273" s="404">
        <v>53446757.568153806</v>
      </c>
      <c r="F273" s="404">
        <v>20</v>
      </c>
      <c r="G273" s="405">
        <v>49521</v>
      </c>
      <c r="H273" s="404">
        <v>7305</v>
      </c>
      <c r="I273" s="404">
        <v>2672337.8784076907</v>
      </c>
      <c r="J273" s="404">
        <v>50774419.689746112</v>
      </c>
      <c r="K273" s="404">
        <v>365</v>
      </c>
      <c r="L273" s="404">
        <v>2536983</v>
      </c>
      <c r="M273" s="404">
        <v>16926927</v>
      </c>
      <c r="N273" s="404">
        <v>36519830.568153806</v>
      </c>
    </row>
    <row r="274" spans="2:14" s="154" customFormat="1" ht="27" hidden="1" outlineLevel="1">
      <c r="B274" s="165" t="s">
        <v>2326</v>
      </c>
      <c r="C274" s="165" t="s">
        <v>3264</v>
      </c>
      <c r="D274" s="165" t="s">
        <v>3267</v>
      </c>
      <c r="E274" s="404">
        <v>127886053.14548713</v>
      </c>
      <c r="F274" s="404">
        <v>10</v>
      </c>
      <c r="G274" s="405">
        <v>45869</v>
      </c>
      <c r="H274" s="404">
        <v>3653</v>
      </c>
      <c r="I274" s="404">
        <v>6394302.657274357</v>
      </c>
      <c r="J274" s="404">
        <v>121491750.48821278</v>
      </c>
      <c r="K274" s="404">
        <v>365</v>
      </c>
      <c r="L274" s="404">
        <v>12139198</v>
      </c>
      <c r="M274" s="404">
        <v>80993570</v>
      </c>
      <c r="N274" s="404">
        <v>46892483.14548713</v>
      </c>
    </row>
    <row r="275" spans="2:14" s="154" customFormat="1" hidden="1" outlineLevel="1">
      <c r="B275" s="165"/>
      <c r="C275" s="165"/>
      <c r="D275" s="165"/>
      <c r="E275" s="404"/>
      <c r="F275" s="404"/>
      <c r="G275" s="405"/>
      <c r="H275" s="404"/>
      <c r="I275" s="404"/>
      <c r="J275" s="404"/>
      <c r="K275" s="404"/>
      <c r="L275" s="404"/>
      <c r="M275" s="404"/>
      <c r="N275" s="404"/>
    </row>
    <row r="276" spans="2:14" s="154" customFormat="1" hidden="1" outlineLevel="1">
      <c r="B276" s="165" t="s">
        <v>2326</v>
      </c>
      <c r="C276" s="165" t="s">
        <v>3264</v>
      </c>
      <c r="D276" s="165" t="s">
        <v>3708</v>
      </c>
      <c r="E276" s="404">
        <v>29262119.79538488</v>
      </c>
      <c r="F276" s="404">
        <v>2</v>
      </c>
      <c r="G276" s="405">
        <v>42947</v>
      </c>
      <c r="H276" s="404">
        <v>731</v>
      </c>
      <c r="I276" s="404">
        <v>1463105.9897692441</v>
      </c>
      <c r="J276" s="404">
        <v>27799013.805615637</v>
      </c>
      <c r="K276" s="404">
        <v>0</v>
      </c>
      <c r="L276" s="404">
        <v>0</v>
      </c>
      <c r="M276" s="404">
        <v>29262120</v>
      </c>
      <c r="N276" s="403">
        <v>-0.20461511984467506</v>
      </c>
    </row>
    <row r="277" spans="2:14" s="154" customFormat="1" ht="27" hidden="1" outlineLevel="1">
      <c r="B277" s="165" t="s">
        <v>2326</v>
      </c>
      <c r="C277" s="165" t="s">
        <v>3264</v>
      </c>
      <c r="D277" s="165" t="s">
        <v>3709</v>
      </c>
      <c r="E277" s="404">
        <v>68278281.911569178</v>
      </c>
      <c r="F277" s="404">
        <v>25</v>
      </c>
      <c r="G277" s="405">
        <v>51348</v>
      </c>
      <c r="H277" s="404">
        <v>9132</v>
      </c>
      <c r="I277" s="404">
        <v>3413914.0955784591</v>
      </c>
      <c r="J277" s="404">
        <v>64864367.815990716</v>
      </c>
      <c r="K277" s="404">
        <v>365</v>
      </c>
      <c r="L277" s="404">
        <v>2592586</v>
      </c>
      <c r="M277" s="404">
        <v>17297913</v>
      </c>
      <c r="N277" s="404">
        <v>50980368.911569178</v>
      </c>
    </row>
    <row r="278" spans="2:14" s="154" customFormat="1" hidden="1" outlineLevel="1">
      <c r="B278" s="165"/>
      <c r="C278" s="165"/>
      <c r="D278" s="165"/>
      <c r="E278" s="404"/>
      <c r="F278" s="404"/>
      <c r="G278" s="405"/>
      <c r="H278" s="404"/>
      <c r="I278" s="404"/>
      <c r="J278" s="404"/>
      <c r="K278" s="404"/>
      <c r="L278" s="404"/>
      <c r="M278" s="404"/>
      <c r="N278" s="404"/>
    </row>
    <row r="279" spans="2:14" s="154" customFormat="1" hidden="1" outlineLevel="1">
      <c r="B279" s="165" t="s">
        <v>2326</v>
      </c>
      <c r="C279" s="165" t="s">
        <v>3264</v>
      </c>
      <c r="D279" s="165" t="s">
        <v>3270</v>
      </c>
      <c r="E279" s="404">
        <v>53453009.402191415</v>
      </c>
      <c r="F279" s="404">
        <v>10</v>
      </c>
      <c r="G279" s="405">
        <v>45869</v>
      </c>
      <c r="H279" s="404">
        <v>3653</v>
      </c>
      <c r="I279" s="404">
        <v>2672650.4701095708</v>
      </c>
      <c r="J279" s="404">
        <v>50780358.932081848</v>
      </c>
      <c r="K279" s="404">
        <v>365</v>
      </c>
      <c r="L279" s="404">
        <v>5073866</v>
      </c>
      <c r="M279" s="404">
        <v>33853185</v>
      </c>
      <c r="N279" s="404">
        <v>19599824.402191415</v>
      </c>
    </row>
    <row r="280" spans="2:14" s="154" customFormat="1" hidden="1" outlineLevel="1">
      <c r="B280" s="165" t="s">
        <v>2326</v>
      </c>
      <c r="C280" s="165" t="s">
        <v>3264</v>
      </c>
      <c r="D280" s="165" t="s">
        <v>3271</v>
      </c>
      <c r="E280" s="404">
        <v>39246166.323894642</v>
      </c>
      <c r="F280" s="404">
        <v>10</v>
      </c>
      <c r="G280" s="405">
        <v>45869</v>
      </c>
      <c r="H280" s="404">
        <v>3653</v>
      </c>
      <c r="I280" s="404">
        <v>1962308.3161947322</v>
      </c>
      <c r="J280" s="404">
        <v>37283858.007699907</v>
      </c>
      <c r="K280" s="404">
        <v>365</v>
      </c>
      <c r="L280" s="404">
        <v>3725324</v>
      </c>
      <c r="M280" s="404">
        <v>24855620</v>
      </c>
      <c r="N280" s="404">
        <v>14390546.323894642</v>
      </c>
    </row>
    <row r="281" spans="2:14" s="154" customFormat="1" hidden="1" outlineLevel="1">
      <c r="B281" s="165" t="s">
        <v>2326</v>
      </c>
      <c r="C281" s="165" t="s">
        <v>3264</v>
      </c>
      <c r="D281" s="165" t="s">
        <v>3272</v>
      </c>
      <c r="E281" s="404">
        <v>10431429.290374691</v>
      </c>
      <c r="F281" s="404">
        <v>10</v>
      </c>
      <c r="G281" s="405">
        <v>45869</v>
      </c>
      <c r="H281" s="404">
        <v>3653</v>
      </c>
      <c r="I281" s="404">
        <v>521571.46451873454</v>
      </c>
      <c r="J281" s="404">
        <v>9909857.8258559555</v>
      </c>
      <c r="K281" s="404">
        <v>365</v>
      </c>
      <c r="L281" s="404">
        <v>990172</v>
      </c>
      <c r="M281" s="404">
        <v>6606496</v>
      </c>
      <c r="N281" s="404">
        <v>3824933.2903746907</v>
      </c>
    </row>
    <row r="282" spans="2:14" s="154" customFormat="1" hidden="1" outlineLevel="1">
      <c r="B282" s="165" t="s">
        <v>2326</v>
      </c>
      <c r="C282" s="165" t="s">
        <v>3264</v>
      </c>
      <c r="D282" s="165" t="s">
        <v>3710</v>
      </c>
      <c r="E282" s="404">
        <v>156495460.67677185</v>
      </c>
      <c r="F282" s="404">
        <v>20</v>
      </c>
      <c r="G282" s="405">
        <v>49521</v>
      </c>
      <c r="H282" s="404">
        <v>7305</v>
      </c>
      <c r="I282" s="404">
        <v>7824773.0338385925</v>
      </c>
      <c r="J282" s="404">
        <v>148670687.64293325</v>
      </c>
      <c r="K282" s="404">
        <v>365</v>
      </c>
      <c r="L282" s="404">
        <v>7428446</v>
      </c>
      <c r="M282" s="404">
        <v>49563107</v>
      </c>
      <c r="N282" s="404">
        <v>106932353.67677185</v>
      </c>
    </row>
    <row r="283" spans="2:14" s="154" customFormat="1" hidden="1" outlineLevel="1">
      <c r="B283" s="165" t="s">
        <v>2326</v>
      </c>
      <c r="C283" s="165" t="s">
        <v>3264</v>
      </c>
      <c r="D283" s="165" t="s">
        <v>3275</v>
      </c>
      <c r="E283" s="404">
        <v>2672362.7230636156</v>
      </c>
      <c r="F283" s="404">
        <v>15</v>
      </c>
      <c r="G283" s="405">
        <v>47695</v>
      </c>
      <c r="H283" s="404">
        <v>5479</v>
      </c>
      <c r="I283" s="404">
        <v>133618.13615318079</v>
      </c>
      <c r="J283" s="404">
        <v>2538744.586910435</v>
      </c>
      <c r="K283" s="404">
        <v>365</v>
      </c>
      <c r="L283" s="404">
        <v>169126</v>
      </c>
      <c r="M283" s="404">
        <v>1128420</v>
      </c>
      <c r="N283" s="404">
        <v>1543942.7230636156</v>
      </c>
    </row>
    <row r="284" spans="2:14" s="154" customFormat="1" hidden="1" outlineLevel="1">
      <c r="B284" s="165" t="s">
        <v>2326</v>
      </c>
      <c r="C284" s="165" t="s">
        <v>3264</v>
      </c>
      <c r="D284" s="165" t="s">
        <v>3048</v>
      </c>
      <c r="E284" s="404">
        <v>2733527.7727952166</v>
      </c>
      <c r="F284" s="404">
        <v>15</v>
      </c>
      <c r="G284" s="405">
        <v>47695</v>
      </c>
      <c r="H284" s="404">
        <v>5479</v>
      </c>
      <c r="I284" s="404">
        <v>136676.38863976084</v>
      </c>
      <c r="J284" s="404">
        <v>2596851.384155456</v>
      </c>
      <c r="K284" s="404">
        <v>365</v>
      </c>
      <c r="L284" s="404">
        <v>172997</v>
      </c>
      <c r="M284" s="404">
        <v>1154248</v>
      </c>
      <c r="N284" s="404">
        <v>1579279.7727952166</v>
      </c>
    </row>
    <row r="285" spans="2:14" s="154" customFormat="1" hidden="1" outlineLevel="1">
      <c r="B285" s="165" t="s">
        <v>2326</v>
      </c>
      <c r="C285" s="165" t="s">
        <v>3264</v>
      </c>
      <c r="D285" s="165" t="s">
        <v>3276</v>
      </c>
      <c r="E285" s="404">
        <v>139496107.28648481</v>
      </c>
      <c r="F285" s="404">
        <v>25</v>
      </c>
      <c r="G285" s="405">
        <v>51348</v>
      </c>
      <c r="H285" s="404">
        <v>9132</v>
      </c>
      <c r="I285" s="404">
        <v>6974805.3643242409</v>
      </c>
      <c r="J285" s="404">
        <v>132521301.92216057</v>
      </c>
      <c r="K285" s="404">
        <v>365</v>
      </c>
      <c r="L285" s="404">
        <v>5296789</v>
      </c>
      <c r="M285" s="404">
        <v>35340543</v>
      </c>
      <c r="N285" s="404">
        <v>104155564.28648481</v>
      </c>
    </row>
    <row r="286" spans="2:14" s="154" customFormat="1" hidden="1" outlineLevel="1">
      <c r="B286" s="165" t="s">
        <v>2326</v>
      </c>
      <c r="C286" s="165" t="s">
        <v>3264</v>
      </c>
      <c r="D286" s="165" t="s">
        <v>3277</v>
      </c>
      <c r="E286" s="404">
        <v>20309842.1029489</v>
      </c>
      <c r="F286" s="404">
        <v>15</v>
      </c>
      <c r="G286" s="405">
        <v>47695</v>
      </c>
      <c r="H286" s="404">
        <v>5479</v>
      </c>
      <c r="I286" s="404">
        <v>1015492.1051474451</v>
      </c>
      <c r="J286" s="404">
        <v>19294349.997801457</v>
      </c>
      <c r="K286" s="404">
        <v>365</v>
      </c>
      <c r="L286" s="404">
        <v>1285351</v>
      </c>
      <c r="M286" s="404">
        <v>8575950</v>
      </c>
      <c r="N286" s="404">
        <v>11733892.1029489</v>
      </c>
    </row>
    <row r="287" spans="2:14" s="154" customFormat="1" hidden="1" outlineLevel="1">
      <c r="B287" s="165" t="s">
        <v>2326</v>
      </c>
      <c r="C287" s="165" t="s">
        <v>3264</v>
      </c>
      <c r="D287" s="165" t="s">
        <v>3278</v>
      </c>
      <c r="E287" s="404">
        <v>20042572.015429709</v>
      </c>
      <c r="F287" s="404">
        <v>15</v>
      </c>
      <c r="G287" s="405">
        <v>47695</v>
      </c>
      <c r="H287" s="404">
        <v>5479</v>
      </c>
      <c r="I287" s="404">
        <v>1002128.6007714855</v>
      </c>
      <c r="J287" s="404">
        <v>19040443.414658222</v>
      </c>
      <c r="K287" s="404">
        <v>365</v>
      </c>
      <c r="L287" s="404">
        <v>1268436</v>
      </c>
      <c r="M287" s="404">
        <v>8463093</v>
      </c>
      <c r="N287" s="404">
        <v>11579479.015429709</v>
      </c>
    </row>
    <row r="288" spans="2:14" s="154" customFormat="1" hidden="1" outlineLevel="1">
      <c r="B288" s="165" t="s">
        <v>2326</v>
      </c>
      <c r="C288" s="165" t="s">
        <v>3264</v>
      </c>
      <c r="D288" s="165" t="s">
        <v>3279</v>
      </c>
      <c r="E288" s="404">
        <v>11464314.582146462</v>
      </c>
      <c r="F288" s="404">
        <v>15</v>
      </c>
      <c r="G288" s="405">
        <v>47695</v>
      </c>
      <c r="H288" s="404">
        <v>5479</v>
      </c>
      <c r="I288" s="404">
        <v>573215.7291073231</v>
      </c>
      <c r="J288" s="404">
        <v>10891098.853039138</v>
      </c>
      <c r="K288" s="404">
        <v>365</v>
      </c>
      <c r="L288" s="404">
        <v>725543</v>
      </c>
      <c r="M288" s="404">
        <v>4840873</v>
      </c>
      <c r="N288" s="404">
        <v>6623441.5821464621</v>
      </c>
    </row>
    <row r="289" spans="2:26" s="154" customFormat="1" hidden="1" outlineLevel="1">
      <c r="B289" s="165" t="s">
        <v>2326</v>
      </c>
      <c r="C289" s="165" t="s">
        <v>3264</v>
      </c>
      <c r="D289" s="165" t="s">
        <v>3280</v>
      </c>
      <c r="E289" s="404">
        <v>17268346.306757025</v>
      </c>
      <c r="F289" s="404">
        <v>20</v>
      </c>
      <c r="G289" s="405">
        <v>49521</v>
      </c>
      <c r="H289" s="404">
        <v>7305</v>
      </c>
      <c r="I289" s="404">
        <v>863417.31533785129</v>
      </c>
      <c r="J289" s="404">
        <v>16404928.991419174</v>
      </c>
      <c r="K289" s="404">
        <v>365</v>
      </c>
      <c r="L289" s="404">
        <v>819685</v>
      </c>
      <c r="M289" s="404">
        <v>5468995</v>
      </c>
      <c r="N289" s="404">
        <v>11799351.306757025</v>
      </c>
    </row>
    <row r="290" spans="2:26" s="154" customFormat="1" hidden="1" outlineLevel="1">
      <c r="B290" s="165" t="s">
        <v>2326</v>
      </c>
      <c r="C290" s="165" t="s">
        <v>3264</v>
      </c>
      <c r="D290" s="165" t="s">
        <v>3272</v>
      </c>
      <c r="E290" s="404">
        <v>26600361.629654985</v>
      </c>
      <c r="F290" s="404">
        <v>10</v>
      </c>
      <c r="G290" s="405">
        <v>45869</v>
      </c>
      <c r="H290" s="404">
        <v>3653</v>
      </c>
      <c r="I290" s="404">
        <v>1330018.0814827494</v>
      </c>
      <c r="J290" s="404">
        <v>25270343.548172235</v>
      </c>
      <c r="K290" s="404">
        <v>365</v>
      </c>
      <c r="L290" s="404">
        <v>2524959</v>
      </c>
      <c r="M290" s="404">
        <v>16846702</v>
      </c>
      <c r="N290" s="404">
        <v>9753659.6296549849</v>
      </c>
    </row>
    <row r="291" spans="2:26" hidden="1" outlineLevel="1">
      <c r="B291" s="165" t="s">
        <v>2326</v>
      </c>
      <c r="C291" s="165" t="s">
        <v>3264</v>
      </c>
      <c r="D291" s="165" t="s">
        <v>3274</v>
      </c>
      <c r="E291" s="404">
        <v>5795418.1401907159</v>
      </c>
      <c r="F291" s="404">
        <v>15</v>
      </c>
      <c r="G291" s="405">
        <v>47695</v>
      </c>
      <c r="H291" s="404">
        <v>5479</v>
      </c>
      <c r="I291" s="404">
        <v>289770.90700953582</v>
      </c>
      <c r="J291" s="404">
        <v>5505647.2331811804</v>
      </c>
      <c r="K291" s="404">
        <v>365</v>
      </c>
      <c r="L291" s="404">
        <v>366775</v>
      </c>
      <c r="M291" s="404">
        <v>2447149</v>
      </c>
      <c r="N291" s="404">
        <v>3348269.1401907159</v>
      </c>
      <c r="O291" s="154"/>
      <c r="P291" s="154"/>
      <c r="Q291" s="154"/>
      <c r="R291" s="154"/>
      <c r="S291" s="154"/>
      <c r="T291" s="154"/>
      <c r="U291" s="154"/>
      <c r="V291" s="154"/>
      <c r="W291" s="154"/>
      <c r="X291" s="154"/>
      <c r="Y291" s="154"/>
      <c r="Z291" s="154"/>
    </row>
    <row r="292" spans="2:26" hidden="1" outlineLevel="1">
      <c r="B292" s="165"/>
      <c r="C292" s="165"/>
      <c r="D292" s="165"/>
      <c r="E292" s="404"/>
      <c r="F292" s="404"/>
      <c r="G292" s="405"/>
      <c r="H292" s="404"/>
      <c r="I292" s="404"/>
      <c r="J292" s="404"/>
      <c r="K292" s="404"/>
      <c r="L292" s="404"/>
      <c r="M292" s="404"/>
      <c r="N292" s="404"/>
      <c r="O292" s="154"/>
      <c r="P292" s="154"/>
      <c r="Q292" s="154"/>
      <c r="R292" s="154"/>
      <c r="S292" s="154"/>
      <c r="T292" s="154"/>
      <c r="U292" s="154"/>
      <c r="V292" s="154"/>
      <c r="W292" s="154"/>
      <c r="X292" s="154"/>
      <c r="Y292" s="154"/>
      <c r="Z292" s="154"/>
    </row>
    <row r="293" spans="2:26" hidden="1" outlineLevel="1">
      <c r="B293" s="165" t="s">
        <v>2326</v>
      </c>
      <c r="C293" s="165" t="s">
        <v>3281</v>
      </c>
      <c r="D293" s="165" t="s">
        <v>3282</v>
      </c>
      <c r="E293" s="404">
        <v>8279211.8531950125</v>
      </c>
      <c r="F293" s="404">
        <v>7</v>
      </c>
      <c r="G293" s="405">
        <v>44773</v>
      </c>
      <c r="H293" s="404">
        <v>2557</v>
      </c>
      <c r="I293" s="404">
        <v>413960.59265975066</v>
      </c>
      <c r="J293" s="404">
        <v>7865251.2605352616</v>
      </c>
      <c r="K293" s="404">
        <v>365</v>
      </c>
      <c r="L293" s="404">
        <v>1122728</v>
      </c>
      <c r="M293" s="404">
        <v>7490919</v>
      </c>
      <c r="N293" s="404">
        <v>788292.85319501255</v>
      </c>
      <c r="O293" s="154"/>
      <c r="P293" s="154"/>
      <c r="Q293" s="154"/>
      <c r="R293" s="154"/>
      <c r="S293" s="154"/>
      <c r="T293" s="154"/>
      <c r="U293" s="154"/>
      <c r="V293" s="154"/>
      <c r="W293" s="154"/>
      <c r="X293" s="154"/>
      <c r="Y293" s="154"/>
      <c r="Z293" s="154"/>
    </row>
    <row r="294" spans="2:26" hidden="1" outlineLevel="1">
      <c r="B294" s="165" t="s">
        <v>2326</v>
      </c>
      <c r="C294" s="165" t="s">
        <v>3281</v>
      </c>
      <c r="D294" s="165" t="s">
        <v>3283</v>
      </c>
      <c r="E294" s="404">
        <v>20698029.316810939</v>
      </c>
      <c r="F294" s="404">
        <v>10</v>
      </c>
      <c r="G294" s="405">
        <v>45869</v>
      </c>
      <c r="H294" s="404">
        <v>3653</v>
      </c>
      <c r="I294" s="404">
        <v>1034901.465840547</v>
      </c>
      <c r="J294" s="404">
        <v>19663127.850970391</v>
      </c>
      <c r="K294" s="404">
        <v>365</v>
      </c>
      <c r="L294" s="404">
        <v>1964698</v>
      </c>
      <c r="M294" s="404">
        <v>13108602</v>
      </c>
      <c r="N294" s="404">
        <v>7589427.3168109395</v>
      </c>
      <c r="O294" s="154"/>
      <c r="P294" s="154"/>
      <c r="Q294" s="154"/>
      <c r="R294" s="154"/>
      <c r="S294" s="154"/>
      <c r="T294" s="154"/>
      <c r="U294" s="154"/>
      <c r="V294" s="154"/>
      <c r="W294" s="154"/>
      <c r="X294" s="154"/>
      <c r="Y294" s="154"/>
      <c r="Z294" s="154"/>
    </row>
    <row r="295" spans="2:26" hidden="1" outlineLevel="1">
      <c r="B295" s="165" t="s">
        <v>2326</v>
      </c>
      <c r="C295" s="165" t="s">
        <v>3281</v>
      </c>
      <c r="D295" s="165" t="s">
        <v>3284</v>
      </c>
      <c r="E295" s="404">
        <v>12418818.461153394</v>
      </c>
      <c r="F295" s="404">
        <v>14</v>
      </c>
      <c r="G295" s="405">
        <v>47330</v>
      </c>
      <c r="H295" s="404">
        <v>5114</v>
      </c>
      <c r="I295" s="404">
        <v>620940.92305766966</v>
      </c>
      <c r="J295" s="404">
        <v>11797877.538095724</v>
      </c>
      <c r="K295" s="404">
        <v>365</v>
      </c>
      <c r="L295" s="404">
        <v>842046</v>
      </c>
      <c r="M295" s="404">
        <v>5618190</v>
      </c>
      <c r="N295" s="404">
        <v>6800628.4611533936</v>
      </c>
      <c r="O295" s="154"/>
      <c r="P295" s="154"/>
      <c r="Q295" s="154"/>
      <c r="R295" s="154"/>
      <c r="S295" s="154"/>
      <c r="T295" s="154"/>
      <c r="U295" s="154"/>
      <c r="V295" s="154"/>
      <c r="W295" s="154"/>
      <c r="X295" s="154"/>
      <c r="Y295" s="154"/>
      <c r="Z295" s="154"/>
    </row>
    <row r="296" spans="2:26" hidden="1" outlineLevel="1">
      <c r="B296" s="165"/>
      <c r="C296" s="165"/>
      <c r="D296" s="165"/>
      <c r="E296" s="404"/>
      <c r="F296" s="404"/>
      <c r="G296" s="405"/>
      <c r="H296" s="404"/>
      <c r="I296" s="404"/>
      <c r="J296" s="404"/>
      <c r="K296" s="404"/>
      <c r="L296" s="404"/>
      <c r="M296" s="404"/>
      <c r="N296" s="404"/>
      <c r="O296" s="154"/>
      <c r="P296" s="154"/>
      <c r="Q296" s="154"/>
      <c r="R296" s="154"/>
      <c r="S296" s="154"/>
      <c r="T296" s="154"/>
      <c r="U296" s="154"/>
      <c r="V296" s="154"/>
      <c r="W296" s="154"/>
      <c r="X296" s="154"/>
      <c r="Y296" s="154"/>
      <c r="Z296" s="154"/>
    </row>
    <row r="297" spans="2:26" hidden="1" outlineLevel="1">
      <c r="B297" s="165" t="s">
        <v>2326</v>
      </c>
      <c r="C297" s="165" t="s">
        <v>3264</v>
      </c>
      <c r="D297" s="165" t="s">
        <v>3711</v>
      </c>
      <c r="E297" s="404">
        <v>1287289.5527869533</v>
      </c>
      <c r="F297" s="404">
        <v>20</v>
      </c>
      <c r="G297" s="405">
        <v>49521</v>
      </c>
      <c r="H297" s="404">
        <v>7305</v>
      </c>
      <c r="I297" s="404">
        <v>64364.477639347664</v>
      </c>
      <c r="J297" s="404">
        <v>1222925.0751476055</v>
      </c>
      <c r="K297" s="404">
        <v>365</v>
      </c>
      <c r="L297" s="404">
        <v>61104</v>
      </c>
      <c r="M297" s="404">
        <v>407691</v>
      </c>
      <c r="N297" s="404">
        <v>879598.55278695328</v>
      </c>
      <c r="O297" s="154"/>
      <c r="P297" s="154"/>
      <c r="Q297" s="154"/>
      <c r="R297" s="154"/>
      <c r="S297" s="154"/>
      <c r="T297" s="154"/>
      <c r="U297" s="154"/>
      <c r="V297" s="154"/>
      <c r="W297" s="154"/>
      <c r="X297" s="154"/>
      <c r="Y297" s="154"/>
      <c r="Z297" s="154"/>
    </row>
    <row r="298" spans="2:26" ht="40.5" hidden="1" outlineLevel="1">
      <c r="B298" s="165" t="s">
        <v>2326</v>
      </c>
      <c r="C298" s="165" t="s">
        <v>3285</v>
      </c>
      <c r="D298" s="165" t="s">
        <v>3712</v>
      </c>
      <c r="E298" s="404">
        <v>19712962.945079096</v>
      </c>
      <c r="F298" s="404">
        <v>30</v>
      </c>
      <c r="G298" s="405">
        <v>53174</v>
      </c>
      <c r="H298" s="404">
        <v>10958</v>
      </c>
      <c r="I298" s="404">
        <v>985648.14725395478</v>
      </c>
      <c r="J298" s="404">
        <v>18727314.797825143</v>
      </c>
      <c r="K298" s="404">
        <v>365</v>
      </c>
      <c r="L298" s="404">
        <v>623788</v>
      </c>
      <c r="M298" s="404">
        <v>4161957</v>
      </c>
      <c r="N298" s="404">
        <v>15551005.945079096</v>
      </c>
      <c r="O298" s="154"/>
      <c r="P298" s="154"/>
      <c r="Q298" s="154"/>
      <c r="R298" s="154"/>
      <c r="S298" s="154"/>
      <c r="T298" s="154"/>
      <c r="U298" s="154"/>
      <c r="V298" s="154"/>
      <c r="W298" s="154"/>
      <c r="X298" s="154"/>
      <c r="Y298" s="154"/>
      <c r="Z298" s="154"/>
    </row>
    <row r="299" spans="2:26" hidden="1" outlineLevel="1">
      <c r="B299" s="165" t="s">
        <v>2326</v>
      </c>
      <c r="C299" s="165" t="s">
        <v>3285</v>
      </c>
      <c r="D299" s="165" t="s">
        <v>3287</v>
      </c>
      <c r="E299" s="404">
        <v>1586460.5065944858</v>
      </c>
      <c r="F299" s="404">
        <v>25</v>
      </c>
      <c r="G299" s="405">
        <v>51348</v>
      </c>
      <c r="H299" s="404">
        <v>9132</v>
      </c>
      <c r="I299" s="404">
        <v>79323.025329724303</v>
      </c>
      <c r="J299" s="404">
        <v>1507137.4812647616</v>
      </c>
      <c r="K299" s="404">
        <v>365</v>
      </c>
      <c r="L299" s="404">
        <v>60239</v>
      </c>
      <c r="M299" s="404">
        <v>401919</v>
      </c>
      <c r="N299" s="404">
        <v>1184541.5065944858</v>
      </c>
      <c r="O299" s="154"/>
      <c r="P299" s="154"/>
      <c r="Q299" s="154"/>
      <c r="R299" s="154"/>
      <c r="S299" s="154"/>
      <c r="T299" s="154"/>
      <c r="U299" s="154"/>
      <c r="V299" s="154"/>
      <c r="W299" s="154"/>
      <c r="X299" s="154"/>
      <c r="Y299" s="154"/>
      <c r="Z299" s="154"/>
    </row>
    <row r="300" spans="2:26" hidden="1" outlineLevel="1">
      <c r="B300" s="165"/>
      <c r="C300" s="165"/>
      <c r="D300" s="165"/>
      <c r="E300" s="404"/>
      <c r="F300" s="404"/>
      <c r="G300" s="405"/>
      <c r="H300" s="404"/>
      <c r="I300" s="404"/>
      <c r="J300" s="404"/>
      <c r="K300" s="404"/>
      <c r="L300" s="404"/>
      <c r="M300" s="404"/>
      <c r="N300" s="404"/>
      <c r="O300" s="157"/>
      <c r="P300" s="157"/>
      <c r="Q300" s="157"/>
      <c r="R300" s="157"/>
      <c r="S300" s="157"/>
      <c r="T300" s="157"/>
      <c r="U300" s="157"/>
      <c r="V300" s="157"/>
      <c r="W300" s="157"/>
      <c r="X300" s="157"/>
      <c r="Y300" s="157"/>
      <c r="Z300" s="157"/>
    </row>
    <row r="301" spans="2:26" hidden="1" outlineLevel="1">
      <c r="B301" s="165"/>
      <c r="C301" s="165"/>
      <c r="D301" s="165"/>
      <c r="E301" s="403"/>
      <c r="F301" s="404"/>
      <c r="G301" s="405"/>
      <c r="H301" s="404"/>
      <c r="I301" s="404"/>
      <c r="J301" s="404"/>
      <c r="K301" s="404"/>
      <c r="L301" s="404"/>
      <c r="M301" s="404"/>
      <c r="N301" s="403"/>
      <c r="O301" s="157"/>
      <c r="P301" s="157"/>
      <c r="Q301" s="157"/>
      <c r="R301" s="157"/>
      <c r="S301" s="157"/>
      <c r="T301" s="157"/>
      <c r="U301" s="157"/>
      <c r="V301" s="157"/>
      <c r="W301" s="157"/>
      <c r="X301" s="157"/>
      <c r="Y301" s="157"/>
      <c r="Z301" s="157"/>
    </row>
    <row r="302" spans="2:26" ht="14.25" hidden="1">
      <c r="B302" s="411" t="s">
        <v>1837</v>
      </c>
      <c r="C302" s="165"/>
      <c r="D302" s="165"/>
      <c r="E302" s="413">
        <f>SUBTOTAL(9,E235:E301)</f>
        <v>2730154090.5655355</v>
      </c>
      <c r="F302" s="165"/>
      <c r="G302" s="165"/>
      <c r="H302" s="413"/>
      <c r="I302" s="413"/>
      <c r="J302" s="413"/>
      <c r="K302" s="165"/>
      <c r="L302" s="413">
        <f t="shared" ref="L302:N302" si="3">SUBTOTAL(9,L235:L301)</f>
        <v>165229796</v>
      </c>
      <c r="M302" s="413">
        <f t="shared" si="3"/>
        <v>1140200863</v>
      </c>
      <c r="N302" s="413">
        <f t="shared" si="3"/>
        <v>1589953227.5655353</v>
      </c>
      <c r="O302" s="157"/>
      <c r="P302" s="157"/>
      <c r="Q302" s="157"/>
      <c r="R302" s="157"/>
      <c r="S302" s="157"/>
      <c r="T302" s="157"/>
      <c r="U302" s="157"/>
      <c r="V302" s="157"/>
      <c r="W302" s="157"/>
      <c r="X302" s="157"/>
      <c r="Y302" s="157"/>
      <c r="Z302" s="157"/>
    </row>
    <row r="303" spans="2:26" hidden="1">
      <c r="B303" s="165"/>
      <c r="C303" s="165"/>
      <c r="D303" s="165"/>
      <c r="E303" s="404"/>
      <c r="F303" s="165"/>
      <c r="G303" s="165"/>
      <c r="H303" s="165"/>
      <c r="I303" s="165"/>
      <c r="J303" s="404"/>
      <c r="K303" s="165"/>
      <c r="L303" s="165"/>
      <c r="M303" s="165"/>
      <c r="N303" s="165"/>
      <c r="O303" s="157"/>
      <c r="P303" s="157"/>
      <c r="Q303" s="157"/>
      <c r="R303" s="157"/>
      <c r="S303" s="157"/>
      <c r="T303" s="157"/>
      <c r="U303" s="157"/>
      <c r="V303" s="157"/>
      <c r="W303" s="157"/>
      <c r="X303" s="157"/>
      <c r="Y303" s="157"/>
      <c r="Z303" s="157"/>
    </row>
    <row r="304" spans="2:26" ht="28.5" hidden="1">
      <c r="B304" s="411" t="str">
        <f>+B305</f>
        <v>Control and Instrumentation  system</v>
      </c>
      <c r="C304" s="165"/>
      <c r="D304" s="165"/>
      <c r="E304" s="404"/>
      <c r="F304" s="165"/>
      <c r="G304" s="165"/>
      <c r="H304" s="165"/>
      <c r="I304" s="165"/>
      <c r="J304" s="404"/>
      <c r="K304" s="165"/>
      <c r="L304" s="165"/>
      <c r="M304" s="165"/>
      <c r="N304" s="165"/>
      <c r="O304" s="157"/>
      <c r="P304" s="157"/>
      <c r="Q304" s="157"/>
      <c r="R304" s="157"/>
      <c r="S304" s="157"/>
      <c r="T304" s="157"/>
      <c r="U304" s="157"/>
      <c r="V304" s="157"/>
      <c r="W304" s="157"/>
      <c r="X304" s="157"/>
      <c r="Y304" s="157"/>
      <c r="Z304" s="157"/>
    </row>
    <row r="305" spans="2:26" ht="27" hidden="1" outlineLevel="1">
      <c r="B305" s="165" t="s">
        <v>2327</v>
      </c>
      <c r="C305" s="165" t="s">
        <v>3288</v>
      </c>
      <c r="D305" s="165" t="s">
        <v>3289</v>
      </c>
      <c r="E305" s="404">
        <v>90172270.239635855</v>
      </c>
      <c r="F305" s="404">
        <v>30</v>
      </c>
      <c r="G305" s="405">
        <v>53174</v>
      </c>
      <c r="H305" s="404">
        <v>10958</v>
      </c>
      <c r="I305" s="404">
        <v>4508613.5119817927</v>
      </c>
      <c r="J305" s="404">
        <v>85663656.72765407</v>
      </c>
      <c r="K305" s="404">
        <v>365</v>
      </c>
      <c r="L305" s="404">
        <v>2853371</v>
      </c>
      <c r="M305" s="404">
        <v>19037914</v>
      </c>
      <c r="N305" s="404">
        <v>71134356.239635855</v>
      </c>
      <c r="O305" s="154"/>
      <c r="P305" s="154"/>
      <c r="Q305" s="154"/>
      <c r="R305" s="154"/>
      <c r="S305" s="154"/>
      <c r="T305" s="154"/>
      <c r="U305" s="154"/>
      <c r="V305" s="154"/>
      <c r="W305" s="154"/>
      <c r="X305" s="154"/>
      <c r="Y305" s="154"/>
      <c r="Z305" s="154"/>
    </row>
    <row r="306" spans="2:26" ht="27" hidden="1" outlineLevel="1">
      <c r="B306" s="165" t="s">
        <v>2327</v>
      </c>
      <c r="C306" s="165" t="s">
        <v>3288</v>
      </c>
      <c r="D306" s="165" t="s">
        <v>3290</v>
      </c>
      <c r="E306" s="404">
        <v>211284052.50523636</v>
      </c>
      <c r="F306" s="404">
        <v>30</v>
      </c>
      <c r="G306" s="405">
        <v>53174</v>
      </c>
      <c r="H306" s="404">
        <v>10958</v>
      </c>
      <c r="I306" s="404">
        <v>10564202.625261819</v>
      </c>
      <c r="J306" s="404">
        <v>200719849.87997454</v>
      </c>
      <c r="K306" s="404">
        <v>365</v>
      </c>
      <c r="L306" s="404">
        <v>6685777</v>
      </c>
      <c r="M306" s="404">
        <v>44608029</v>
      </c>
      <c r="N306" s="404">
        <v>166676023.50523636</v>
      </c>
      <c r="O306" s="154"/>
      <c r="P306" s="154"/>
      <c r="Q306" s="154"/>
      <c r="R306" s="154"/>
      <c r="S306" s="154"/>
      <c r="T306" s="154"/>
      <c r="U306" s="154"/>
      <c r="V306" s="154"/>
      <c r="W306" s="154"/>
      <c r="X306" s="154"/>
      <c r="Y306" s="154"/>
      <c r="Z306" s="154"/>
    </row>
    <row r="307" spans="2:26" ht="27" hidden="1" outlineLevel="1">
      <c r="B307" s="165" t="s">
        <v>2327</v>
      </c>
      <c r="C307" s="165" t="s">
        <v>3291</v>
      </c>
      <c r="D307" s="165" t="s">
        <v>3292</v>
      </c>
      <c r="E307" s="404">
        <v>6917280.7462112913</v>
      </c>
      <c r="F307" s="404">
        <v>15</v>
      </c>
      <c r="G307" s="405">
        <v>47695</v>
      </c>
      <c r="H307" s="404">
        <v>5479</v>
      </c>
      <c r="I307" s="404">
        <v>345864.0373105646</v>
      </c>
      <c r="J307" s="404">
        <v>6571416.7089007264</v>
      </c>
      <c r="K307" s="404">
        <v>365</v>
      </c>
      <c r="L307" s="404">
        <v>437775</v>
      </c>
      <c r="M307" s="404">
        <v>2920869</v>
      </c>
      <c r="N307" s="404">
        <v>3996411.7462112913</v>
      </c>
      <c r="O307" s="154"/>
      <c r="P307" s="154"/>
      <c r="Q307" s="154"/>
      <c r="R307" s="154"/>
      <c r="S307" s="154"/>
      <c r="T307" s="154"/>
      <c r="U307" s="154"/>
      <c r="V307" s="154"/>
      <c r="W307" s="154"/>
      <c r="X307" s="154"/>
      <c r="Y307" s="154"/>
      <c r="Z307" s="154"/>
    </row>
    <row r="308" spans="2:26" ht="27" hidden="1" outlineLevel="1">
      <c r="B308" s="165" t="s">
        <v>2327</v>
      </c>
      <c r="C308" s="165" t="s">
        <v>3291</v>
      </c>
      <c r="D308" s="165" t="s">
        <v>3293</v>
      </c>
      <c r="E308" s="404">
        <v>78594118.222967833</v>
      </c>
      <c r="F308" s="404">
        <v>15</v>
      </c>
      <c r="G308" s="405">
        <v>47695</v>
      </c>
      <c r="H308" s="404">
        <v>5479</v>
      </c>
      <c r="I308" s="404">
        <v>3929705.9111483917</v>
      </c>
      <c r="J308" s="404">
        <v>74664412.311819434</v>
      </c>
      <c r="K308" s="404">
        <v>365</v>
      </c>
      <c r="L308" s="404">
        <v>4973994</v>
      </c>
      <c r="M308" s="404">
        <v>33186878</v>
      </c>
      <c r="N308" s="404">
        <v>45407240.222967833</v>
      </c>
      <c r="O308" s="154"/>
      <c r="P308" s="154"/>
      <c r="Q308" s="154"/>
      <c r="R308" s="154"/>
      <c r="S308" s="154"/>
      <c r="T308" s="154"/>
      <c r="U308" s="154"/>
      <c r="V308" s="154"/>
      <c r="W308" s="154"/>
      <c r="X308" s="154"/>
      <c r="Y308" s="154"/>
      <c r="Z308" s="154"/>
    </row>
    <row r="309" spans="2:26" ht="27" hidden="1" outlineLevel="1">
      <c r="B309" s="165" t="s">
        <v>2327</v>
      </c>
      <c r="C309" s="165" t="s">
        <v>3291</v>
      </c>
      <c r="D309" s="165" t="s">
        <v>3293</v>
      </c>
      <c r="E309" s="404">
        <v>195761034.71357003</v>
      </c>
      <c r="F309" s="404">
        <v>15</v>
      </c>
      <c r="G309" s="405">
        <v>47695</v>
      </c>
      <c r="H309" s="404">
        <v>5479</v>
      </c>
      <c r="I309" s="404">
        <v>9788051.7356785014</v>
      </c>
      <c r="J309" s="404">
        <v>185972982.97789153</v>
      </c>
      <c r="K309" s="404">
        <v>365</v>
      </c>
      <c r="L309" s="404">
        <v>12389147</v>
      </c>
      <c r="M309" s="404">
        <v>82661361</v>
      </c>
      <c r="N309" s="404">
        <v>113099673.71357003</v>
      </c>
      <c r="O309" s="154"/>
      <c r="P309" s="154"/>
      <c r="Q309" s="154"/>
      <c r="R309" s="154"/>
      <c r="S309" s="154"/>
      <c r="T309" s="154"/>
      <c r="U309" s="154"/>
      <c r="V309" s="154"/>
      <c r="W309" s="154"/>
      <c r="X309" s="154"/>
      <c r="Y309" s="154"/>
      <c r="Z309" s="154"/>
    </row>
    <row r="310" spans="2:26" ht="27" hidden="1" outlineLevel="1">
      <c r="B310" s="165" t="s">
        <v>2327</v>
      </c>
      <c r="C310" s="165" t="s">
        <v>3294</v>
      </c>
      <c r="D310" s="165"/>
      <c r="E310" s="404">
        <v>18176498.993720166</v>
      </c>
      <c r="F310" s="404">
        <v>10</v>
      </c>
      <c r="G310" s="405">
        <v>45869</v>
      </c>
      <c r="H310" s="404">
        <v>3653</v>
      </c>
      <c r="I310" s="404">
        <v>908824.94968600839</v>
      </c>
      <c r="J310" s="404">
        <v>17267674.044034157</v>
      </c>
      <c r="K310" s="404">
        <v>365</v>
      </c>
      <c r="L310" s="404">
        <v>1725349</v>
      </c>
      <c r="M310" s="404">
        <v>11511664</v>
      </c>
      <c r="N310" s="404">
        <v>6664834.9937201664</v>
      </c>
      <c r="O310" s="154"/>
      <c r="P310" s="154"/>
      <c r="Q310" s="154"/>
      <c r="R310" s="154"/>
      <c r="S310" s="154"/>
      <c r="T310" s="154"/>
      <c r="U310" s="154"/>
      <c r="V310" s="154"/>
      <c r="W310" s="154"/>
      <c r="X310" s="154"/>
      <c r="Y310" s="154"/>
      <c r="Z310" s="154"/>
    </row>
    <row r="311" spans="2:26" ht="27" hidden="1" outlineLevel="1">
      <c r="B311" s="165" t="s">
        <v>2327</v>
      </c>
      <c r="C311" s="165" t="s">
        <v>3713</v>
      </c>
      <c r="D311" s="165"/>
      <c r="E311" s="404">
        <v>6781896.3979777424</v>
      </c>
      <c r="F311" s="404">
        <v>15</v>
      </c>
      <c r="G311" s="405">
        <v>47695</v>
      </c>
      <c r="H311" s="404">
        <v>5479</v>
      </c>
      <c r="I311" s="404">
        <v>339094.81989888713</v>
      </c>
      <c r="J311" s="404">
        <v>6442801.5780788548</v>
      </c>
      <c r="K311" s="404">
        <v>365</v>
      </c>
      <c r="L311" s="404">
        <v>429207</v>
      </c>
      <c r="M311" s="404">
        <v>2863702</v>
      </c>
      <c r="N311" s="404">
        <v>3918194.3979777424</v>
      </c>
      <c r="O311" s="154"/>
      <c r="P311" s="154"/>
      <c r="Q311" s="154"/>
      <c r="R311" s="154"/>
      <c r="S311" s="154"/>
      <c r="T311" s="154"/>
      <c r="U311" s="154"/>
      <c r="V311" s="154"/>
      <c r="W311" s="154"/>
      <c r="X311" s="154"/>
      <c r="Y311" s="154"/>
      <c r="Z311" s="154"/>
    </row>
    <row r="312" spans="2:26" ht="27" hidden="1" outlineLevel="1">
      <c r="B312" s="165" t="s">
        <v>2327</v>
      </c>
      <c r="C312" s="165" t="s">
        <v>3295</v>
      </c>
      <c r="D312" s="165" t="s">
        <v>3296</v>
      </c>
      <c r="E312" s="404">
        <v>66656961.63739872</v>
      </c>
      <c r="F312" s="404">
        <v>20</v>
      </c>
      <c r="G312" s="405">
        <v>49521</v>
      </c>
      <c r="H312" s="404">
        <v>7305</v>
      </c>
      <c r="I312" s="404">
        <v>3332848.0818699361</v>
      </c>
      <c r="J312" s="404">
        <v>63324113.555528782</v>
      </c>
      <c r="K312" s="404">
        <v>365</v>
      </c>
      <c r="L312" s="404">
        <v>3164039</v>
      </c>
      <c r="M312" s="404">
        <v>21110716</v>
      </c>
      <c r="N312" s="404">
        <v>45546245.63739872</v>
      </c>
      <c r="O312" s="154"/>
      <c r="P312" s="154"/>
      <c r="Q312" s="154"/>
      <c r="R312" s="154"/>
      <c r="S312" s="154"/>
      <c r="T312" s="154"/>
      <c r="U312" s="154"/>
      <c r="V312" s="154"/>
      <c r="W312" s="154"/>
      <c r="X312" s="154"/>
      <c r="Y312" s="154"/>
      <c r="Z312" s="154"/>
    </row>
    <row r="313" spans="2:26" ht="27" hidden="1" outlineLevel="1">
      <c r="B313" s="165" t="s">
        <v>2327</v>
      </c>
      <c r="C313" s="165" t="s">
        <v>3295</v>
      </c>
      <c r="D313" s="165" t="s">
        <v>3297</v>
      </c>
      <c r="E313" s="404">
        <v>72996498.953818589</v>
      </c>
      <c r="F313" s="404">
        <v>20</v>
      </c>
      <c r="G313" s="405">
        <v>49521</v>
      </c>
      <c r="H313" s="404">
        <v>7305</v>
      </c>
      <c r="I313" s="404">
        <v>3649824.9476909298</v>
      </c>
      <c r="J313" s="404">
        <v>69346674.006127656</v>
      </c>
      <c r="K313" s="404">
        <v>365</v>
      </c>
      <c r="L313" s="404">
        <v>3464960</v>
      </c>
      <c r="M313" s="404">
        <v>23118485</v>
      </c>
      <c r="N313" s="404">
        <v>49878013.953818589</v>
      </c>
      <c r="O313" s="154"/>
      <c r="P313" s="154"/>
      <c r="Q313" s="154"/>
      <c r="R313" s="154"/>
      <c r="S313" s="154"/>
      <c r="T313" s="154"/>
      <c r="U313" s="154"/>
      <c r="V313" s="154"/>
      <c r="W313" s="154"/>
      <c r="X313" s="154"/>
      <c r="Y313" s="154"/>
      <c r="Z313" s="154"/>
    </row>
    <row r="314" spans="2:26" ht="27" hidden="1" outlineLevel="1">
      <c r="B314" s="165" t="s">
        <v>2327</v>
      </c>
      <c r="C314" s="165" t="s">
        <v>3295</v>
      </c>
      <c r="D314" s="165" t="s">
        <v>3298</v>
      </c>
      <c r="E314" s="404">
        <v>146009590.72974303</v>
      </c>
      <c r="F314" s="404">
        <v>25</v>
      </c>
      <c r="G314" s="405">
        <v>51348</v>
      </c>
      <c r="H314" s="404">
        <v>9132</v>
      </c>
      <c r="I314" s="404">
        <v>7300479.5364871519</v>
      </c>
      <c r="J314" s="404">
        <v>138709111.19325587</v>
      </c>
      <c r="K314" s="404">
        <v>365</v>
      </c>
      <c r="L314" s="404">
        <v>5544111</v>
      </c>
      <c r="M314" s="404">
        <v>36990745</v>
      </c>
      <c r="N314" s="404">
        <v>109018845.72974303</v>
      </c>
      <c r="O314" s="154"/>
      <c r="P314" s="154"/>
      <c r="Q314" s="154"/>
      <c r="R314" s="154"/>
      <c r="S314" s="154"/>
      <c r="T314" s="154"/>
      <c r="U314" s="154"/>
      <c r="V314" s="154"/>
      <c r="W314" s="154"/>
      <c r="X314" s="154"/>
      <c r="Y314" s="154"/>
      <c r="Z314" s="154"/>
    </row>
    <row r="315" spans="2:26" ht="27" hidden="1" outlineLevel="1">
      <c r="B315" s="165" t="s">
        <v>2327</v>
      </c>
      <c r="C315" s="165" t="s">
        <v>3295</v>
      </c>
      <c r="D315" s="165" t="s">
        <v>3299</v>
      </c>
      <c r="E315" s="404">
        <v>931222.12341102853</v>
      </c>
      <c r="F315" s="404">
        <v>15</v>
      </c>
      <c r="G315" s="405">
        <v>47695</v>
      </c>
      <c r="H315" s="404">
        <v>5479</v>
      </c>
      <c r="I315" s="404">
        <v>46561.106170551429</v>
      </c>
      <c r="J315" s="404">
        <v>884661.01724047714</v>
      </c>
      <c r="K315" s="404">
        <v>365</v>
      </c>
      <c r="L315" s="404">
        <v>58934</v>
      </c>
      <c r="M315" s="404">
        <v>393213</v>
      </c>
      <c r="N315" s="404">
        <v>538009.12341102853</v>
      </c>
      <c r="O315" s="154"/>
      <c r="P315" s="154"/>
      <c r="Q315" s="154"/>
      <c r="R315" s="154"/>
      <c r="S315" s="154"/>
      <c r="T315" s="154"/>
      <c r="U315" s="154"/>
      <c r="V315" s="154"/>
      <c r="W315" s="154"/>
      <c r="X315" s="154"/>
      <c r="Y315" s="154"/>
      <c r="Z315" s="154"/>
    </row>
    <row r="316" spans="2:26" ht="27" hidden="1" outlineLevel="1">
      <c r="B316" s="165" t="s">
        <v>2327</v>
      </c>
      <c r="C316" s="165" t="s">
        <v>3295</v>
      </c>
      <c r="D316" s="165" t="s">
        <v>3300</v>
      </c>
      <c r="E316" s="404">
        <v>2341178.9680312201</v>
      </c>
      <c r="F316" s="404">
        <v>5</v>
      </c>
      <c r="G316" s="405">
        <v>44043</v>
      </c>
      <c r="H316" s="404">
        <v>1827</v>
      </c>
      <c r="I316" s="404">
        <v>117058.94840156101</v>
      </c>
      <c r="J316" s="404">
        <v>2224120.0196296591</v>
      </c>
      <c r="K316" s="404">
        <v>0</v>
      </c>
      <c r="L316" s="404">
        <v>0</v>
      </c>
      <c r="M316" s="404">
        <v>2341179</v>
      </c>
      <c r="N316" s="403">
        <v>-3.1968779861927032E-2</v>
      </c>
      <c r="O316" s="154"/>
      <c r="P316" s="154"/>
      <c r="Q316" s="154"/>
      <c r="R316" s="154"/>
      <c r="S316" s="154"/>
      <c r="T316" s="154"/>
      <c r="U316" s="154"/>
      <c r="V316" s="154"/>
      <c r="W316" s="154"/>
      <c r="X316" s="154"/>
      <c r="Y316" s="154"/>
      <c r="Z316" s="154"/>
    </row>
    <row r="317" spans="2:26" ht="27" hidden="1" outlineLevel="1">
      <c r="B317" s="165" t="s">
        <v>2327</v>
      </c>
      <c r="C317" s="165" t="s">
        <v>3295</v>
      </c>
      <c r="D317" s="165" t="s">
        <v>3301</v>
      </c>
      <c r="E317" s="404">
        <v>8927823.910734728</v>
      </c>
      <c r="F317" s="404">
        <v>20</v>
      </c>
      <c r="G317" s="405">
        <v>49521</v>
      </c>
      <c r="H317" s="404">
        <v>7305</v>
      </c>
      <c r="I317" s="404">
        <v>446391.1955367364</v>
      </c>
      <c r="J317" s="404">
        <v>8481432.7151979916</v>
      </c>
      <c r="K317" s="404">
        <v>365</v>
      </c>
      <c r="L317" s="404">
        <v>423781</v>
      </c>
      <c r="M317" s="404">
        <v>2827500</v>
      </c>
      <c r="N317" s="404">
        <v>6100323.910734728</v>
      </c>
      <c r="O317" s="154"/>
      <c r="P317" s="154"/>
      <c r="Q317" s="154"/>
      <c r="R317" s="154"/>
      <c r="S317" s="154"/>
      <c r="T317" s="154"/>
      <c r="U317" s="154"/>
      <c r="V317" s="154"/>
      <c r="W317" s="154"/>
      <c r="X317" s="154"/>
      <c r="Y317" s="154"/>
      <c r="Z317" s="154"/>
    </row>
    <row r="318" spans="2:26" ht="27" hidden="1" outlineLevel="1">
      <c r="B318" s="165" t="s">
        <v>2327</v>
      </c>
      <c r="C318" s="165" t="s">
        <v>3295</v>
      </c>
      <c r="D318" s="165" t="s">
        <v>3297</v>
      </c>
      <c r="E318" s="404">
        <v>142999844.26436177</v>
      </c>
      <c r="F318" s="404">
        <v>25</v>
      </c>
      <c r="G318" s="405">
        <v>51348</v>
      </c>
      <c r="H318" s="404">
        <v>9132</v>
      </c>
      <c r="I318" s="404">
        <v>7149992.2132180892</v>
      </c>
      <c r="J318" s="404">
        <v>135849852.05114368</v>
      </c>
      <c r="K318" s="404">
        <v>365</v>
      </c>
      <c r="L318" s="404">
        <v>5429829</v>
      </c>
      <c r="M318" s="404">
        <v>36228245</v>
      </c>
      <c r="N318" s="404">
        <v>106771599.26436177</v>
      </c>
      <c r="O318" s="154"/>
      <c r="P318" s="154"/>
      <c r="Q318" s="154"/>
      <c r="R318" s="154"/>
      <c r="S318" s="154"/>
      <c r="T318" s="154"/>
      <c r="U318" s="154"/>
      <c r="V318" s="154"/>
      <c r="W318" s="154"/>
      <c r="X318" s="154"/>
      <c r="Y318" s="154"/>
      <c r="Z318" s="154"/>
    </row>
    <row r="319" spans="2:26" ht="27" hidden="1" outlineLevel="1">
      <c r="B319" s="165" t="s">
        <v>2327</v>
      </c>
      <c r="C319" s="165" t="s">
        <v>3295</v>
      </c>
      <c r="D319" s="165" t="s">
        <v>399</v>
      </c>
      <c r="E319" s="404">
        <v>151690813.98312324</v>
      </c>
      <c r="F319" s="404">
        <v>25</v>
      </c>
      <c r="G319" s="405">
        <v>51348</v>
      </c>
      <c r="H319" s="404">
        <v>9132</v>
      </c>
      <c r="I319" s="404">
        <v>7584540.6991561623</v>
      </c>
      <c r="J319" s="404">
        <v>144106273.28396708</v>
      </c>
      <c r="K319" s="404">
        <v>365</v>
      </c>
      <c r="L319" s="404">
        <v>5759832</v>
      </c>
      <c r="M319" s="404">
        <v>38430052</v>
      </c>
      <c r="N319" s="404">
        <v>113260761.98312324</v>
      </c>
      <c r="O319" s="154"/>
      <c r="P319" s="154"/>
      <c r="Q319" s="154"/>
      <c r="R319" s="154"/>
      <c r="S319" s="154"/>
      <c r="T319" s="154"/>
      <c r="U319" s="154"/>
      <c r="V319" s="154"/>
      <c r="W319" s="154"/>
      <c r="X319" s="154"/>
      <c r="Y319" s="154"/>
      <c r="Z319" s="154"/>
    </row>
    <row r="320" spans="2:26" ht="27" hidden="1" outlineLevel="1">
      <c r="B320" s="165" t="s">
        <v>2327</v>
      </c>
      <c r="C320" s="165" t="s">
        <v>3295</v>
      </c>
      <c r="D320" s="165" t="s">
        <v>3302</v>
      </c>
      <c r="E320" s="404">
        <v>8207275.513176498</v>
      </c>
      <c r="F320" s="404">
        <v>10</v>
      </c>
      <c r="G320" s="405">
        <v>45869</v>
      </c>
      <c r="H320" s="404">
        <v>3653</v>
      </c>
      <c r="I320" s="404">
        <v>410363.77565882495</v>
      </c>
      <c r="J320" s="404">
        <v>7796911.7375176735</v>
      </c>
      <c r="K320" s="404">
        <v>365</v>
      </c>
      <c r="L320" s="404">
        <v>779051</v>
      </c>
      <c r="M320" s="404">
        <v>5197889</v>
      </c>
      <c r="N320" s="404">
        <v>3009386.513176498</v>
      </c>
      <c r="O320" s="154"/>
      <c r="P320" s="154"/>
      <c r="Q320" s="154"/>
      <c r="R320" s="154"/>
      <c r="S320" s="154"/>
      <c r="T320" s="154"/>
      <c r="U320" s="154"/>
      <c r="V320" s="154"/>
      <c r="W320" s="154"/>
      <c r="X320" s="154"/>
      <c r="Y320" s="154"/>
      <c r="Z320" s="154"/>
    </row>
    <row r="321" spans="2:26" ht="27" hidden="1" outlineLevel="1">
      <c r="B321" s="165" t="s">
        <v>2327</v>
      </c>
      <c r="C321" s="165" t="s">
        <v>3295</v>
      </c>
      <c r="D321" s="165" t="s">
        <v>3303</v>
      </c>
      <c r="E321" s="404">
        <v>9594349.1033202913</v>
      </c>
      <c r="F321" s="404">
        <v>15</v>
      </c>
      <c r="G321" s="405">
        <v>47695</v>
      </c>
      <c r="H321" s="404">
        <v>5479</v>
      </c>
      <c r="I321" s="404">
        <v>479717.45516601461</v>
      </c>
      <c r="J321" s="404">
        <v>9114631.6481542774</v>
      </c>
      <c r="K321" s="404">
        <v>365</v>
      </c>
      <c r="L321" s="404">
        <v>607198</v>
      </c>
      <c r="M321" s="404">
        <v>4051273</v>
      </c>
      <c r="N321" s="404">
        <v>5543076.1033202913</v>
      </c>
      <c r="O321" s="154"/>
      <c r="P321" s="154"/>
      <c r="Q321" s="154"/>
      <c r="R321" s="154"/>
      <c r="S321" s="154"/>
      <c r="T321" s="154"/>
      <c r="U321" s="154"/>
      <c r="V321" s="154"/>
      <c r="W321" s="154"/>
      <c r="X321" s="154"/>
      <c r="Y321" s="154"/>
      <c r="Z321" s="154"/>
    </row>
    <row r="322" spans="2:26" ht="27" hidden="1" outlineLevel="1">
      <c r="B322" s="165" t="s">
        <v>2327</v>
      </c>
      <c r="C322" s="165" t="s">
        <v>3295</v>
      </c>
      <c r="D322" s="165" t="s">
        <v>399</v>
      </c>
      <c r="E322" s="404">
        <v>156427295.39221057</v>
      </c>
      <c r="F322" s="404">
        <v>20</v>
      </c>
      <c r="G322" s="405">
        <v>49521</v>
      </c>
      <c r="H322" s="404">
        <v>7305</v>
      </c>
      <c r="I322" s="404">
        <v>7821364.7696105288</v>
      </c>
      <c r="J322" s="404">
        <v>148605930.62260005</v>
      </c>
      <c r="K322" s="404">
        <v>365</v>
      </c>
      <c r="L322" s="404">
        <v>7425211</v>
      </c>
      <c r="M322" s="404">
        <v>49541590</v>
      </c>
      <c r="N322" s="404">
        <v>106885705.39221057</v>
      </c>
      <c r="O322" s="154"/>
      <c r="P322" s="154"/>
      <c r="Q322" s="154"/>
      <c r="R322" s="154"/>
      <c r="S322" s="154"/>
      <c r="T322" s="154"/>
      <c r="U322" s="154"/>
      <c r="V322" s="154"/>
      <c r="W322" s="154"/>
      <c r="X322" s="154"/>
      <c r="Y322" s="154"/>
      <c r="Z322" s="154"/>
    </row>
    <row r="323" spans="2:26" ht="27" hidden="1" outlineLevel="1">
      <c r="B323" s="165" t="s">
        <v>2327</v>
      </c>
      <c r="C323" s="165" t="s">
        <v>3295</v>
      </c>
      <c r="D323" s="165" t="s">
        <v>399</v>
      </c>
      <c r="E323" s="404">
        <v>167134365.93854651</v>
      </c>
      <c r="F323" s="404">
        <v>20</v>
      </c>
      <c r="G323" s="405">
        <v>49521</v>
      </c>
      <c r="H323" s="404">
        <v>7305</v>
      </c>
      <c r="I323" s="404">
        <v>8356718.2969273254</v>
      </c>
      <c r="J323" s="404">
        <v>158777647.64161918</v>
      </c>
      <c r="K323" s="404">
        <v>365</v>
      </c>
      <c r="L323" s="404">
        <v>7933449</v>
      </c>
      <c r="M323" s="404">
        <v>52932593</v>
      </c>
      <c r="N323" s="404">
        <v>114201772.93854651</v>
      </c>
      <c r="O323" s="154"/>
      <c r="P323" s="154"/>
      <c r="Q323" s="154"/>
      <c r="R323" s="154"/>
      <c r="S323" s="154"/>
      <c r="T323" s="154"/>
      <c r="U323" s="154"/>
      <c r="V323" s="154"/>
      <c r="W323" s="154"/>
      <c r="X323" s="154"/>
      <c r="Y323" s="154"/>
      <c r="Z323" s="154"/>
    </row>
    <row r="324" spans="2:26" ht="27" hidden="1" outlineLevel="1">
      <c r="B324" s="165" t="s">
        <v>2327</v>
      </c>
      <c r="C324" s="165" t="s">
        <v>3295</v>
      </c>
      <c r="D324" s="165" t="s">
        <v>3714</v>
      </c>
      <c r="E324" s="404">
        <v>27271109.213110294</v>
      </c>
      <c r="F324" s="404">
        <v>20</v>
      </c>
      <c r="G324" s="405">
        <v>49521</v>
      </c>
      <c r="H324" s="404">
        <v>7305</v>
      </c>
      <c r="I324" s="404">
        <v>1363555.4606555148</v>
      </c>
      <c r="J324" s="404">
        <v>25907553.75245478</v>
      </c>
      <c r="K324" s="404">
        <v>365</v>
      </c>
      <c r="L324" s="404">
        <v>1294491</v>
      </c>
      <c r="M324" s="404">
        <v>8636946</v>
      </c>
      <c r="N324" s="404">
        <v>18634163.213110294</v>
      </c>
      <c r="O324" s="154"/>
      <c r="P324" s="154"/>
      <c r="Q324" s="154"/>
      <c r="R324" s="154"/>
      <c r="S324" s="154"/>
      <c r="T324" s="154"/>
      <c r="U324" s="154"/>
      <c r="V324" s="154"/>
      <c r="W324" s="154"/>
      <c r="X324" s="154"/>
      <c r="Y324" s="154"/>
      <c r="Z324" s="154"/>
    </row>
    <row r="325" spans="2:26" ht="27" hidden="1" outlineLevel="1">
      <c r="B325" s="165" t="s">
        <v>2327</v>
      </c>
      <c r="C325" s="165" t="s">
        <v>3295</v>
      </c>
      <c r="D325" s="165" t="s">
        <v>3305</v>
      </c>
      <c r="E325" s="404">
        <v>27597021.155829187</v>
      </c>
      <c r="F325" s="404">
        <v>20</v>
      </c>
      <c r="G325" s="405">
        <v>49521</v>
      </c>
      <c r="H325" s="404">
        <v>7305</v>
      </c>
      <c r="I325" s="404">
        <v>1379851.0577914594</v>
      </c>
      <c r="J325" s="404">
        <v>26217170.098037727</v>
      </c>
      <c r="K325" s="404">
        <v>365</v>
      </c>
      <c r="L325" s="404">
        <v>1309961</v>
      </c>
      <c r="M325" s="404">
        <v>8740163</v>
      </c>
      <c r="N325" s="404">
        <v>18856858.155829187</v>
      </c>
      <c r="O325" s="154"/>
      <c r="P325" s="154"/>
      <c r="Q325" s="154"/>
      <c r="R325" s="154"/>
      <c r="S325" s="154"/>
      <c r="T325" s="154"/>
      <c r="U325" s="154"/>
      <c r="V325" s="154"/>
      <c r="W325" s="154"/>
      <c r="X325" s="154"/>
      <c r="Y325" s="154"/>
      <c r="Z325" s="154"/>
    </row>
    <row r="326" spans="2:26" ht="27" hidden="1" outlineLevel="1">
      <c r="B326" s="165" t="s">
        <v>2327</v>
      </c>
      <c r="C326" s="165" t="s">
        <v>3306</v>
      </c>
      <c r="D326" s="165" t="s">
        <v>3307</v>
      </c>
      <c r="E326" s="404">
        <v>6159910.0161734726</v>
      </c>
      <c r="F326" s="404">
        <v>10</v>
      </c>
      <c r="G326" s="405">
        <v>45869</v>
      </c>
      <c r="H326" s="404">
        <v>3653</v>
      </c>
      <c r="I326" s="404">
        <v>307995.50080867362</v>
      </c>
      <c r="J326" s="404">
        <v>5851914.5153647987</v>
      </c>
      <c r="K326" s="404">
        <v>365</v>
      </c>
      <c r="L326" s="404">
        <v>584711</v>
      </c>
      <c r="M326" s="404">
        <v>3901238</v>
      </c>
      <c r="N326" s="404">
        <v>2258672.0161734726</v>
      </c>
      <c r="O326" s="154"/>
      <c r="P326" s="154"/>
      <c r="Q326" s="154"/>
      <c r="R326" s="154"/>
      <c r="S326" s="154"/>
      <c r="T326" s="154"/>
      <c r="U326" s="154"/>
      <c r="V326" s="154"/>
      <c r="W326" s="154"/>
      <c r="X326" s="154"/>
      <c r="Y326" s="154"/>
      <c r="Z326" s="154"/>
    </row>
    <row r="327" spans="2:26" ht="27" hidden="1" outlineLevel="1">
      <c r="B327" s="165" t="s">
        <v>2327</v>
      </c>
      <c r="C327" s="165" t="s">
        <v>3306</v>
      </c>
      <c r="D327" s="165" t="s">
        <v>3308</v>
      </c>
      <c r="E327" s="404">
        <v>37485034.131485231</v>
      </c>
      <c r="F327" s="404">
        <v>10</v>
      </c>
      <c r="G327" s="405">
        <v>45869</v>
      </c>
      <c r="H327" s="404">
        <v>3653</v>
      </c>
      <c r="I327" s="404">
        <v>1874251.7065742617</v>
      </c>
      <c r="J327" s="404">
        <v>35610782.42491097</v>
      </c>
      <c r="K327" s="404">
        <v>365</v>
      </c>
      <c r="L327" s="404">
        <v>3558154</v>
      </c>
      <c r="M327" s="404">
        <v>23740282</v>
      </c>
      <c r="N327" s="404">
        <v>13744752.131485231</v>
      </c>
      <c r="O327" s="154"/>
      <c r="P327" s="154"/>
      <c r="Q327" s="154"/>
      <c r="R327" s="154"/>
      <c r="S327" s="154"/>
      <c r="T327" s="154"/>
      <c r="U327" s="154"/>
      <c r="V327" s="154"/>
      <c r="W327" s="154"/>
      <c r="X327" s="154"/>
      <c r="Y327" s="154"/>
      <c r="Z327" s="154"/>
    </row>
    <row r="328" spans="2:26" ht="27" hidden="1" outlineLevel="1">
      <c r="B328" s="165" t="s">
        <v>2327</v>
      </c>
      <c r="C328" s="165" t="s">
        <v>3306</v>
      </c>
      <c r="D328" s="165" t="s">
        <v>3309</v>
      </c>
      <c r="E328" s="404">
        <v>1139807.8395525888</v>
      </c>
      <c r="F328" s="404">
        <v>10</v>
      </c>
      <c r="G328" s="405">
        <v>45869</v>
      </c>
      <c r="H328" s="404">
        <v>3653</v>
      </c>
      <c r="I328" s="404">
        <v>56990.391977629442</v>
      </c>
      <c r="J328" s="404">
        <v>1082817.4475749594</v>
      </c>
      <c r="K328" s="404">
        <v>365</v>
      </c>
      <c r="L328" s="404">
        <v>108193</v>
      </c>
      <c r="M328" s="404">
        <v>721872</v>
      </c>
      <c r="N328" s="404">
        <v>417935.83955258876</v>
      </c>
      <c r="O328" s="154"/>
      <c r="P328" s="154"/>
      <c r="Q328" s="154"/>
      <c r="R328" s="154"/>
      <c r="S328" s="154"/>
      <c r="T328" s="154"/>
      <c r="U328" s="154"/>
      <c r="V328" s="154"/>
      <c r="W328" s="154"/>
      <c r="X328" s="154"/>
      <c r="Y328" s="154"/>
      <c r="Z328" s="154"/>
    </row>
    <row r="329" spans="2:26" ht="27" hidden="1" outlineLevel="1">
      <c r="B329" s="165" t="s">
        <v>2327</v>
      </c>
      <c r="C329" s="165" t="s">
        <v>3306</v>
      </c>
      <c r="D329" s="165" t="s">
        <v>3310</v>
      </c>
      <c r="E329" s="404">
        <v>64405904.38812241</v>
      </c>
      <c r="F329" s="404">
        <v>10</v>
      </c>
      <c r="G329" s="405">
        <v>45869</v>
      </c>
      <c r="H329" s="404">
        <v>3653</v>
      </c>
      <c r="I329" s="404">
        <v>3220295.2194061205</v>
      </c>
      <c r="J329" s="404">
        <v>61185609.168716289</v>
      </c>
      <c r="K329" s="404">
        <v>365</v>
      </c>
      <c r="L329" s="404">
        <v>6113536</v>
      </c>
      <c r="M329" s="404">
        <v>40789993</v>
      </c>
      <c r="N329" s="404">
        <v>23615911.38812241</v>
      </c>
      <c r="O329" s="154"/>
      <c r="P329" s="154"/>
      <c r="Q329" s="154"/>
      <c r="R329" s="154"/>
      <c r="S329" s="154"/>
      <c r="T329" s="154"/>
      <c r="U329" s="154"/>
      <c r="V329" s="154"/>
      <c r="W329" s="154"/>
      <c r="X329" s="154"/>
      <c r="Y329" s="154"/>
      <c r="Z329" s="154"/>
    </row>
    <row r="330" spans="2:26" ht="27" hidden="1" outlineLevel="1">
      <c r="B330" s="165" t="s">
        <v>2327</v>
      </c>
      <c r="C330" s="165" t="s">
        <v>3306</v>
      </c>
      <c r="D330" s="165" t="s">
        <v>3311</v>
      </c>
      <c r="E330" s="404">
        <v>15444789.04865391</v>
      </c>
      <c r="F330" s="404">
        <v>10</v>
      </c>
      <c r="G330" s="405">
        <v>45869</v>
      </c>
      <c r="H330" s="404">
        <v>3653</v>
      </c>
      <c r="I330" s="404">
        <v>772239.45243269554</v>
      </c>
      <c r="J330" s="404">
        <v>14672549.596221214</v>
      </c>
      <c r="K330" s="404">
        <v>365</v>
      </c>
      <c r="L330" s="404">
        <v>1466050</v>
      </c>
      <c r="M330" s="404">
        <v>9781601</v>
      </c>
      <c r="N330" s="404">
        <v>5663188.0486539099</v>
      </c>
      <c r="O330" s="154"/>
      <c r="P330" s="154"/>
      <c r="Q330" s="154"/>
      <c r="R330" s="154"/>
      <c r="S330" s="154"/>
      <c r="T330" s="154"/>
      <c r="U330" s="154"/>
      <c r="V330" s="154"/>
      <c r="W330" s="154"/>
      <c r="X330" s="154"/>
      <c r="Y330" s="154"/>
      <c r="Z330" s="154"/>
    </row>
    <row r="331" spans="2:26" ht="27" hidden="1" outlineLevel="1">
      <c r="B331" s="165" t="s">
        <v>2327</v>
      </c>
      <c r="C331" s="165" t="s">
        <v>3306</v>
      </c>
      <c r="D331" s="165" t="s">
        <v>3312</v>
      </c>
      <c r="E331" s="404">
        <v>18352610.142926872</v>
      </c>
      <c r="F331" s="404">
        <v>10</v>
      </c>
      <c r="G331" s="405">
        <v>45869</v>
      </c>
      <c r="H331" s="404">
        <v>3653</v>
      </c>
      <c r="I331" s="404">
        <v>917630.50714634359</v>
      </c>
      <c r="J331" s="404">
        <v>17434979.635780528</v>
      </c>
      <c r="K331" s="404">
        <v>365</v>
      </c>
      <c r="L331" s="404">
        <v>1742066</v>
      </c>
      <c r="M331" s="404">
        <v>11623201</v>
      </c>
      <c r="N331" s="404">
        <v>6729409.1429268718</v>
      </c>
      <c r="O331" s="154"/>
      <c r="P331" s="154"/>
      <c r="Q331" s="154"/>
      <c r="R331" s="154"/>
      <c r="S331" s="154"/>
      <c r="T331" s="154"/>
      <c r="U331" s="154"/>
      <c r="V331" s="154"/>
      <c r="W331" s="154"/>
      <c r="X331" s="154"/>
      <c r="Y331" s="154"/>
      <c r="Z331" s="154"/>
    </row>
    <row r="332" spans="2:26" ht="27" hidden="1" outlineLevel="1">
      <c r="B332" s="165" t="s">
        <v>2327</v>
      </c>
      <c r="C332" s="165" t="s">
        <v>3306</v>
      </c>
      <c r="D332" s="165" t="s">
        <v>3313</v>
      </c>
      <c r="E332" s="404">
        <v>92811849.194377229</v>
      </c>
      <c r="F332" s="404">
        <v>15</v>
      </c>
      <c r="G332" s="405">
        <v>47695</v>
      </c>
      <c r="H332" s="404">
        <v>5479</v>
      </c>
      <c r="I332" s="404">
        <v>4640592.4597188616</v>
      </c>
      <c r="J332" s="404">
        <v>88171256.73465836</v>
      </c>
      <c r="K332" s="404">
        <v>365</v>
      </c>
      <c r="L332" s="404">
        <v>5873792</v>
      </c>
      <c r="M332" s="404">
        <v>39190402</v>
      </c>
      <c r="N332" s="404">
        <v>53621447.194377229</v>
      </c>
      <c r="O332" s="154"/>
      <c r="P332" s="154"/>
      <c r="Q332" s="154"/>
      <c r="R332" s="154"/>
      <c r="S332" s="154"/>
      <c r="T332" s="154"/>
      <c r="U332" s="154"/>
      <c r="V332" s="154"/>
      <c r="W332" s="154"/>
      <c r="X332" s="154"/>
      <c r="Y332" s="154"/>
      <c r="Z332" s="154"/>
    </row>
    <row r="333" spans="2:26" ht="27" hidden="1" outlineLevel="1">
      <c r="B333" s="165" t="s">
        <v>2327</v>
      </c>
      <c r="C333" s="165" t="s">
        <v>3306</v>
      </c>
      <c r="D333" s="165" t="s">
        <v>3314</v>
      </c>
      <c r="E333" s="404">
        <v>15663955.556134269</v>
      </c>
      <c r="F333" s="404">
        <v>10</v>
      </c>
      <c r="G333" s="405">
        <v>45869</v>
      </c>
      <c r="H333" s="404">
        <v>3653</v>
      </c>
      <c r="I333" s="404">
        <v>783197.77780671348</v>
      </c>
      <c r="J333" s="404">
        <v>14880757.778327554</v>
      </c>
      <c r="K333" s="404">
        <v>365</v>
      </c>
      <c r="L333" s="404">
        <v>1486854</v>
      </c>
      <c r="M333" s="404">
        <v>9920406</v>
      </c>
      <c r="N333" s="404">
        <v>5743549.5561342686</v>
      </c>
      <c r="O333" s="154"/>
      <c r="P333" s="154"/>
      <c r="Q333" s="154"/>
      <c r="R333" s="154"/>
      <c r="S333" s="154"/>
      <c r="T333" s="154"/>
      <c r="U333" s="154"/>
      <c r="V333" s="154"/>
      <c r="W333" s="154"/>
      <c r="X333" s="154"/>
      <c r="Y333" s="154"/>
      <c r="Z333" s="154"/>
    </row>
    <row r="334" spans="2:26" ht="27" hidden="1" outlineLevel="1">
      <c r="B334" s="165" t="s">
        <v>2327</v>
      </c>
      <c r="C334" s="165" t="s">
        <v>3306</v>
      </c>
      <c r="D334" s="165" t="s">
        <v>3715</v>
      </c>
      <c r="E334" s="404">
        <v>246676365.5914658</v>
      </c>
      <c r="F334" s="404">
        <v>20</v>
      </c>
      <c r="G334" s="405">
        <v>49521</v>
      </c>
      <c r="H334" s="404">
        <v>7305</v>
      </c>
      <c r="I334" s="404">
        <v>12333818.279573292</v>
      </c>
      <c r="J334" s="404">
        <v>234342547.31189251</v>
      </c>
      <c r="K334" s="404">
        <v>365</v>
      </c>
      <c r="L334" s="404">
        <v>11709107</v>
      </c>
      <c r="M334" s="404">
        <v>78124081</v>
      </c>
      <c r="N334" s="404">
        <v>168552284.5914658</v>
      </c>
      <c r="O334" s="154"/>
      <c r="P334" s="154"/>
      <c r="Q334" s="154"/>
      <c r="R334" s="154"/>
      <c r="S334" s="154"/>
      <c r="T334" s="154"/>
      <c r="U334" s="154"/>
      <c r="V334" s="154"/>
      <c r="W334" s="154"/>
      <c r="X334" s="154"/>
      <c r="Y334" s="154"/>
      <c r="Z334" s="154"/>
    </row>
    <row r="335" spans="2:26" ht="27" hidden="1" outlineLevel="1">
      <c r="B335" s="165" t="s">
        <v>2327</v>
      </c>
      <c r="C335" s="165" t="s">
        <v>3306</v>
      </c>
      <c r="D335" s="165" t="s">
        <v>3716</v>
      </c>
      <c r="E335" s="404">
        <v>22171556.151263982</v>
      </c>
      <c r="F335" s="404">
        <v>10</v>
      </c>
      <c r="G335" s="405">
        <v>45869</v>
      </c>
      <c r="H335" s="404">
        <v>3653</v>
      </c>
      <c r="I335" s="404">
        <v>1108577.8075631992</v>
      </c>
      <c r="J335" s="404">
        <v>21062978.343700781</v>
      </c>
      <c r="K335" s="404">
        <v>365</v>
      </c>
      <c r="L335" s="404">
        <v>2104568</v>
      </c>
      <c r="M335" s="404">
        <v>14041843</v>
      </c>
      <c r="N335" s="404">
        <v>8129713.1512639821</v>
      </c>
      <c r="O335" s="154"/>
      <c r="P335" s="154"/>
      <c r="Q335" s="154"/>
      <c r="R335" s="154"/>
      <c r="S335" s="154"/>
      <c r="T335" s="154"/>
      <c r="U335" s="154"/>
      <c r="V335" s="154"/>
      <c r="W335" s="154"/>
      <c r="X335" s="154"/>
      <c r="Y335" s="154"/>
      <c r="Z335" s="154"/>
    </row>
    <row r="336" spans="2:26" ht="27" hidden="1" outlineLevel="1">
      <c r="B336" s="165" t="s">
        <v>2327</v>
      </c>
      <c r="C336" s="165" t="s">
        <v>3306</v>
      </c>
      <c r="D336" s="165" t="s">
        <v>3317</v>
      </c>
      <c r="E336" s="404">
        <v>204080898.64521033</v>
      </c>
      <c r="F336" s="404">
        <v>10</v>
      </c>
      <c r="G336" s="405">
        <v>45869</v>
      </c>
      <c r="H336" s="404">
        <v>3653</v>
      </c>
      <c r="I336" s="404">
        <v>10204044.932260517</v>
      </c>
      <c r="J336" s="404">
        <v>193876853.71294981</v>
      </c>
      <c r="K336" s="404">
        <v>365</v>
      </c>
      <c r="L336" s="404">
        <v>19371763</v>
      </c>
      <c r="M336" s="404">
        <v>129249924</v>
      </c>
      <c r="N336" s="404">
        <v>74830974.645210326</v>
      </c>
      <c r="O336" s="154"/>
      <c r="P336" s="154"/>
      <c r="Q336" s="154"/>
      <c r="R336" s="154"/>
      <c r="S336" s="154"/>
      <c r="T336" s="154"/>
      <c r="U336" s="154"/>
      <c r="V336" s="154"/>
      <c r="W336" s="154"/>
      <c r="X336" s="154"/>
      <c r="Y336" s="154"/>
      <c r="Z336" s="154"/>
    </row>
    <row r="337" spans="2:26" hidden="1" outlineLevel="1">
      <c r="B337" s="165"/>
      <c r="C337" s="165"/>
      <c r="D337" s="165"/>
      <c r="E337" s="404"/>
      <c r="F337" s="404"/>
      <c r="G337" s="405"/>
      <c r="H337" s="404"/>
      <c r="I337" s="404"/>
      <c r="J337" s="404"/>
      <c r="K337" s="404"/>
      <c r="L337" s="404"/>
      <c r="M337" s="404"/>
      <c r="N337" s="404"/>
      <c r="O337" s="154"/>
      <c r="P337" s="154"/>
      <c r="Q337" s="154"/>
      <c r="R337" s="154"/>
      <c r="S337" s="154"/>
      <c r="T337" s="154"/>
      <c r="U337" s="154"/>
      <c r="V337" s="154"/>
      <c r="W337" s="154"/>
      <c r="X337" s="154"/>
      <c r="Y337" s="154"/>
      <c r="Z337" s="154"/>
    </row>
    <row r="338" spans="2:26" ht="27" hidden="1" outlineLevel="1">
      <c r="B338" s="165" t="s">
        <v>2327</v>
      </c>
      <c r="C338" s="165" t="s">
        <v>2302</v>
      </c>
      <c r="D338" s="165" t="s">
        <v>3717</v>
      </c>
      <c r="E338" s="404">
        <v>1036669.9466346804</v>
      </c>
      <c r="F338" s="404">
        <v>7</v>
      </c>
      <c r="G338" s="405">
        <v>44773</v>
      </c>
      <c r="H338" s="404">
        <v>2557</v>
      </c>
      <c r="I338" s="404">
        <v>51833.497331734019</v>
      </c>
      <c r="J338" s="404">
        <v>984836.44930294633</v>
      </c>
      <c r="K338" s="404">
        <v>365</v>
      </c>
      <c r="L338" s="404">
        <v>140581</v>
      </c>
      <c r="M338" s="404">
        <v>937967</v>
      </c>
      <c r="N338" s="404">
        <v>98702.946634680382</v>
      </c>
      <c r="O338" s="154"/>
      <c r="P338" s="154"/>
      <c r="Q338" s="154"/>
      <c r="R338" s="154"/>
      <c r="S338" s="154"/>
      <c r="T338" s="154"/>
      <c r="U338" s="154"/>
      <c r="V338" s="154"/>
      <c r="W338" s="154"/>
      <c r="X338" s="154"/>
      <c r="Y338" s="154"/>
      <c r="Z338" s="154"/>
    </row>
    <row r="339" spans="2:26" ht="27" hidden="1" outlineLevel="1">
      <c r="B339" s="165" t="s">
        <v>2327</v>
      </c>
      <c r="C339" s="165" t="s">
        <v>2302</v>
      </c>
      <c r="D339" s="165" t="s">
        <v>3718</v>
      </c>
      <c r="E339" s="404">
        <v>2418896.7726006513</v>
      </c>
      <c r="F339" s="404">
        <v>15</v>
      </c>
      <c r="G339" s="405">
        <v>47695</v>
      </c>
      <c r="H339" s="404">
        <v>5479</v>
      </c>
      <c r="I339" s="404">
        <v>120944.83863003257</v>
      </c>
      <c r="J339" s="404">
        <v>2297951.9339706185</v>
      </c>
      <c r="K339" s="404">
        <v>365</v>
      </c>
      <c r="L339" s="404">
        <v>153085</v>
      </c>
      <c r="M339" s="404">
        <v>1021395</v>
      </c>
      <c r="N339" s="404">
        <v>1397501.7726006513</v>
      </c>
      <c r="O339" s="154"/>
      <c r="P339" s="154"/>
      <c r="Q339" s="154"/>
      <c r="R339" s="154"/>
      <c r="S339" s="154"/>
      <c r="T339" s="154"/>
      <c r="U339" s="154"/>
      <c r="V339" s="154"/>
      <c r="W339" s="154"/>
      <c r="X339" s="154"/>
      <c r="Y339" s="154"/>
      <c r="Z339" s="154"/>
    </row>
    <row r="340" spans="2:26" hidden="1" outlineLevel="1">
      <c r="B340" s="165"/>
      <c r="C340" s="165"/>
      <c r="D340" s="165"/>
      <c r="E340" s="404"/>
      <c r="F340" s="404"/>
      <c r="G340" s="405"/>
      <c r="H340" s="404"/>
      <c r="I340" s="404"/>
      <c r="J340" s="404"/>
      <c r="K340" s="404"/>
      <c r="L340" s="404"/>
      <c r="M340" s="404"/>
      <c r="N340" s="404"/>
      <c r="O340" s="157"/>
      <c r="P340" s="157"/>
      <c r="Q340" s="157"/>
      <c r="R340" s="157"/>
      <c r="S340" s="157"/>
      <c r="T340" s="157"/>
      <c r="U340" s="157"/>
      <c r="V340" s="157"/>
      <c r="W340" s="157"/>
      <c r="X340" s="157"/>
      <c r="Y340" s="157"/>
      <c r="Z340" s="157"/>
    </row>
    <row r="341" spans="2:26" hidden="1" outlineLevel="1">
      <c r="B341" s="165"/>
      <c r="C341" s="165"/>
      <c r="D341" s="165"/>
      <c r="E341" s="403"/>
      <c r="F341" s="404"/>
      <c r="G341" s="405"/>
      <c r="H341" s="404"/>
      <c r="I341" s="404"/>
      <c r="J341" s="404"/>
      <c r="K341" s="404"/>
      <c r="L341" s="404"/>
      <c r="M341" s="404"/>
      <c r="N341" s="403"/>
      <c r="O341" s="157"/>
      <c r="P341" s="157"/>
      <c r="Q341" s="157"/>
      <c r="R341" s="157"/>
      <c r="S341" s="157"/>
      <c r="T341" s="157"/>
      <c r="U341" s="157"/>
      <c r="V341" s="157"/>
      <c r="W341" s="157"/>
      <c r="X341" s="157"/>
      <c r="Y341" s="157"/>
      <c r="Z341" s="157"/>
    </row>
    <row r="342" spans="2:26" ht="14.25" hidden="1">
      <c r="B342" s="411" t="s">
        <v>1837</v>
      </c>
      <c r="C342" s="165"/>
      <c r="D342" s="165"/>
      <c r="E342" s="413">
        <f>SUBTOTAL(9,E304:E341)</f>
        <v>2324320750.1307359</v>
      </c>
      <c r="F342" s="165"/>
      <c r="G342" s="405"/>
      <c r="H342" s="413"/>
      <c r="I342" s="413"/>
      <c r="J342" s="413"/>
      <c r="K342" s="404"/>
      <c r="L342" s="413">
        <f t="shared" ref="L342:N342" si="4">SUBTOTAL(9,L304:L341)</f>
        <v>127101927</v>
      </c>
      <c r="M342" s="413">
        <f t="shared" si="4"/>
        <v>850375211</v>
      </c>
      <c r="N342" s="413">
        <f t="shared" si="4"/>
        <v>1473945539.1307361</v>
      </c>
      <c r="O342" s="157"/>
      <c r="P342" s="157"/>
      <c r="Q342" s="157"/>
      <c r="R342" s="157"/>
      <c r="S342" s="157"/>
      <c r="T342" s="157"/>
      <c r="U342" s="157"/>
      <c r="V342" s="157"/>
      <c r="W342" s="157"/>
      <c r="X342" s="157"/>
      <c r="Y342" s="157"/>
      <c r="Z342" s="157"/>
    </row>
    <row r="343" spans="2:26" hidden="1">
      <c r="B343" s="165"/>
      <c r="C343" s="165"/>
      <c r="D343" s="165"/>
      <c r="E343" s="404"/>
      <c r="F343" s="165"/>
      <c r="G343" s="405"/>
      <c r="H343" s="404"/>
      <c r="I343" s="404"/>
      <c r="J343" s="404"/>
      <c r="K343" s="404"/>
      <c r="L343" s="404"/>
      <c r="M343" s="404"/>
      <c r="N343" s="404"/>
      <c r="O343" s="157"/>
      <c r="P343" s="157"/>
      <c r="Q343" s="157"/>
      <c r="R343" s="157"/>
      <c r="S343" s="157"/>
      <c r="T343" s="157"/>
      <c r="U343" s="157"/>
      <c r="V343" s="157"/>
      <c r="W343" s="157"/>
      <c r="X343" s="157"/>
      <c r="Y343" s="157"/>
      <c r="Z343" s="157"/>
    </row>
    <row r="344" spans="2:26" ht="14.25" hidden="1">
      <c r="B344" s="411" t="str">
        <f>+B345</f>
        <v>Electrical Equipment</v>
      </c>
      <c r="C344" s="165"/>
      <c r="D344" s="165"/>
      <c r="E344" s="404"/>
      <c r="F344" s="165"/>
      <c r="G344" s="405"/>
      <c r="H344" s="404"/>
      <c r="I344" s="404"/>
      <c r="J344" s="404"/>
      <c r="K344" s="404"/>
      <c r="L344" s="404"/>
      <c r="M344" s="404"/>
      <c r="N344" s="404"/>
      <c r="O344" s="157"/>
      <c r="P344" s="157"/>
      <c r="Q344" s="157"/>
      <c r="R344" s="157"/>
      <c r="S344" s="157"/>
      <c r="T344" s="157"/>
      <c r="U344" s="157"/>
      <c r="V344" s="157"/>
      <c r="W344" s="157"/>
      <c r="X344" s="157"/>
      <c r="Y344" s="157"/>
      <c r="Z344" s="157"/>
    </row>
    <row r="345" spans="2:26" hidden="1" outlineLevel="1">
      <c r="B345" s="165" t="s">
        <v>2328</v>
      </c>
      <c r="C345" s="165" t="s">
        <v>3319</v>
      </c>
      <c r="D345" s="165" t="s">
        <v>3320</v>
      </c>
      <c r="E345" s="404">
        <v>99083590.380456597</v>
      </c>
      <c r="F345" s="165">
        <v>20</v>
      </c>
      <c r="G345" s="405">
        <v>49521</v>
      </c>
      <c r="H345" s="404">
        <v>7305</v>
      </c>
      <c r="I345" s="404">
        <v>4954179.5190228298</v>
      </c>
      <c r="J345" s="404">
        <v>94129410.861433774</v>
      </c>
      <c r="K345" s="404">
        <v>365</v>
      </c>
      <c r="L345" s="404">
        <v>4703249</v>
      </c>
      <c r="M345" s="404">
        <v>31379995</v>
      </c>
      <c r="N345" s="404">
        <v>67703595.380456597</v>
      </c>
      <c r="O345" s="154"/>
      <c r="P345" s="154"/>
      <c r="Q345" s="154"/>
      <c r="R345" s="154"/>
      <c r="S345" s="154"/>
      <c r="T345" s="154"/>
      <c r="U345" s="154"/>
      <c r="V345" s="154"/>
      <c r="W345" s="154"/>
      <c r="X345" s="154"/>
      <c r="Y345" s="154"/>
      <c r="Z345" s="154"/>
    </row>
    <row r="346" spans="2:26" hidden="1" outlineLevel="1">
      <c r="B346" s="165" t="s">
        <v>2328</v>
      </c>
      <c r="C346" s="165" t="s">
        <v>3319</v>
      </c>
      <c r="D346" s="165" t="s">
        <v>3321</v>
      </c>
      <c r="E346" s="404">
        <v>2672697.7230636156</v>
      </c>
      <c r="F346" s="165">
        <v>20</v>
      </c>
      <c r="G346" s="405">
        <v>49521</v>
      </c>
      <c r="H346" s="404">
        <v>7305</v>
      </c>
      <c r="I346" s="404">
        <v>133634.88615318079</v>
      </c>
      <c r="J346" s="404">
        <v>2539062.836910435</v>
      </c>
      <c r="K346" s="404">
        <v>365</v>
      </c>
      <c r="L346" s="404">
        <v>126866</v>
      </c>
      <c r="M346" s="404">
        <v>846448</v>
      </c>
      <c r="N346" s="404">
        <v>1826249.7230636156</v>
      </c>
      <c r="O346" s="154"/>
      <c r="P346" s="154"/>
      <c r="Q346" s="154"/>
      <c r="R346" s="154"/>
      <c r="S346" s="154"/>
      <c r="T346" s="154"/>
      <c r="U346" s="154"/>
      <c r="V346" s="154"/>
      <c r="W346" s="154"/>
      <c r="X346" s="154"/>
      <c r="Y346" s="154"/>
      <c r="Z346" s="154"/>
    </row>
    <row r="347" spans="2:26" ht="27" hidden="1" outlineLevel="1">
      <c r="B347" s="165" t="s">
        <v>2328</v>
      </c>
      <c r="C347" s="165" t="s">
        <v>3319</v>
      </c>
      <c r="D347" s="165" t="s">
        <v>3322</v>
      </c>
      <c r="E347" s="404">
        <v>31765955.149454817</v>
      </c>
      <c r="F347" s="165">
        <v>20</v>
      </c>
      <c r="G347" s="405">
        <v>49521</v>
      </c>
      <c r="H347" s="404">
        <v>7305</v>
      </c>
      <c r="I347" s="404">
        <v>1588297.757472741</v>
      </c>
      <c r="J347" s="404">
        <v>30177657.391982075</v>
      </c>
      <c r="K347" s="404">
        <v>365</v>
      </c>
      <c r="L347" s="404">
        <v>1507850</v>
      </c>
      <c r="M347" s="404">
        <v>10060349</v>
      </c>
      <c r="N347" s="404">
        <v>21705606.149454817</v>
      </c>
      <c r="O347" s="154"/>
      <c r="P347" s="154"/>
      <c r="Q347" s="154"/>
      <c r="R347" s="154"/>
      <c r="S347" s="154"/>
      <c r="T347" s="154"/>
      <c r="U347" s="154"/>
      <c r="V347" s="154"/>
      <c r="W347" s="154"/>
      <c r="X347" s="154"/>
      <c r="Y347" s="154"/>
      <c r="Z347" s="154"/>
    </row>
    <row r="348" spans="2:26" ht="27" hidden="1" outlineLevel="1">
      <c r="B348" s="165" t="s">
        <v>2328</v>
      </c>
      <c r="C348" s="165" t="s">
        <v>3319</v>
      </c>
      <c r="D348" s="165" t="s">
        <v>3323</v>
      </c>
      <c r="E348" s="404">
        <v>6639130.6376176216</v>
      </c>
      <c r="F348" s="165">
        <v>15</v>
      </c>
      <c r="G348" s="405">
        <v>47695</v>
      </c>
      <c r="H348" s="404">
        <v>5479</v>
      </c>
      <c r="I348" s="404">
        <v>331956.53188088111</v>
      </c>
      <c r="J348" s="404">
        <v>6307174.1057367409</v>
      </c>
      <c r="K348" s="404">
        <v>365</v>
      </c>
      <c r="L348" s="404">
        <v>420171</v>
      </c>
      <c r="M348" s="404">
        <v>2803374</v>
      </c>
      <c r="N348" s="404">
        <v>3835756.6376176216</v>
      </c>
      <c r="O348" s="154"/>
      <c r="P348" s="154"/>
      <c r="Q348" s="154"/>
      <c r="R348" s="154"/>
      <c r="S348" s="154"/>
      <c r="T348" s="154"/>
      <c r="U348" s="154"/>
      <c r="V348" s="154"/>
      <c r="W348" s="154"/>
      <c r="X348" s="154"/>
      <c r="Y348" s="154"/>
      <c r="Z348" s="154"/>
    </row>
    <row r="349" spans="2:26" hidden="1" outlineLevel="1">
      <c r="B349" s="165" t="s">
        <v>2328</v>
      </c>
      <c r="C349" s="165" t="s">
        <v>3319</v>
      </c>
      <c r="D349" s="165" t="s">
        <v>3324</v>
      </c>
      <c r="E349" s="404">
        <v>30624391.578147173</v>
      </c>
      <c r="F349" s="165">
        <v>10</v>
      </c>
      <c r="G349" s="405">
        <v>45869</v>
      </c>
      <c r="H349" s="404">
        <v>3653</v>
      </c>
      <c r="I349" s="404">
        <v>1531219.5789073587</v>
      </c>
      <c r="J349" s="404">
        <v>29093171.999239814</v>
      </c>
      <c r="K349" s="404">
        <v>365</v>
      </c>
      <c r="L349" s="404">
        <v>2906928</v>
      </c>
      <c r="M349" s="404">
        <v>19394972</v>
      </c>
      <c r="N349" s="404">
        <v>11229419.578147173</v>
      </c>
      <c r="O349" s="154"/>
      <c r="P349" s="154"/>
      <c r="Q349" s="154"/>
      <c r="R349" s="154"/>
      <c r="S349" s="154"/>
      <c r="T349" s="154"/>
      <c r="U349" s="154"/>
      <c r="V349" s="154"/>
      <c r="W349" s="154"/>
      <c r="X349" s="154"/>
      <c r="Y349" s="154"/>
      <c r="Z349" s="154"/>
    </row>
    <row r="350" spans="2:26" hidden="1" outlineLevel="1">
      <c r="B350" s="165" t="s">
        <v>2328</v>
      </c>
      <c r="C350" s="165" t="s">
        <v>3319</v>
      </c>
      <c r="D350" s="165" t="s">
        <v>3325</v>
      </c>
      <c r="E350" s="404">
        <v>13363390.344440648</v>
      </c>
      <c r="F350" s="165">
        <v>15</v>
      </c>
      <c r="G350" s="405">
        <v>47695</v>
      </c>
      <c r="H350" s="404">
        <v>5479</v>
      </c>
      <c r="I350" s="404">
        <v>668169.51722203242</v>
      </c>
      <c r="J350" s="404">
        <v>12695220.827218616</v>
      </c>
      <c r="K350" s="404">
        <v>365</v>
      </c>
      <c r="L350" s="404">
        <v>845730</v>
      </c>
      <c r="M350" s="404">
        <v>5642696</v>
      </c>
      <c r="N350" s="404">
        <v>7720694.3444406483</v>
      </c>
      <c r="O350" s="154"/>
      <c r="P350" s="154"/>
      <c r="Q350" s="154"/>
      <c r="R350" s="154"/>
      <c r="S350" s="154"/>
      <c r="T350" s="154"/>
      <c r="U350" s="154"/>
      <c r="V350" s="154"/>
      <c r="W350" s="154"/>
      <c r="X350" s="154"/>
      <c r="Y350" s="154"/>
      <c r="Z350" s="154"/>
    </row>
    <row r="351" spans="2:26" ht="27" hidden="1" outlineLevel="1">
      <c r="B351" s="165" t="s">
        <v>2328</v>
      </c>
      <c r="C351" s="165" t="s">
        <v>3319</v>
      </c>
      <c r="D351" s="165" t="s">
        <v>3326</v>
      </c>
      <c r="E351" s="404">
        <v>106788.4483469518</v>
      </c>
      <c r="F351" s="165">
        <v>10</v>
      </c>
      <c r="G351" s="405">
        <v>45869</v>
      </c>
      <c r="H351" s="404">
        <v>3653</v>
      </c>
      <c r="I351" s="404">
        <v>5339.4224173475905</v>
      </c>
      <c r="J351" s="404">
        <v>101449.02592960421</v>
      </c>
      <c r="K351" s="404">
        <v>365</v>
      </c>
      <c r="L351" s="404">
        <v>10137</v>
      </c>
      <c r="M351" s="404">
        <v>67633</v>
      </c>
      <c r="N351" s="404">
        <v>39155.448346951802</v>
      </c>
      <c r="O351" s="154"/>
      <c r="P351" s="154"/>
      <c r="Q351" s="154"/>
      <c r="R351" s="154"/>
      <c r="S351" s="154"/>
      <c r="T351" s="154"/>
      <c r="U351" s="154"/>
      <c r="V351" s="154"/>
      <c r="W351" s="154"/>
      <c r="X351" s="154"/>
      <c r="Y351" s="154"/>
      <c r="Z351" s="154"/>
    </row>
    <row r="352" spans="2:26" hidden="1" outlineLevel="1">
      <c r="B352" s="165" t="s">
        <v>2328</v>
      </c>
      <c r="C352" s="165" t="s">
        <v>3319</v>
      </c>
      <c r="D352" s="165" t="s">
        <v>3327</v>
      </c>
      <c r="E352" s="404">
        <v>9036351.3536571711</v>
      </c>
      <c r="F352" s="165">
        <v>15</v>
      </c>
      <c r="G352" s="405">
        <v>47695</v>
      </c>
      <c r="H352" s="404">
        <v>5479</v>
      </c>
      <c r="I352" s="404">
        <v>451817.56768285856</v>
      </c>
      <c r="J352" s="404">
        <v>8584533.7859743126</v>
      </c>
      <c r="K352" s="404">
        <v>365</v>
      </c>
      <c r="L352" s="404">
        <v>571884</v>
      </c>
      <c r="M352" s="404">
        <v>3815600</v>
      </c>
      <c r="N352" s="404">
        <v>5220751.3536571711</v>
      </c>
      <c r="O352" s="154"/>
      <c r="P352" s="154"/>
      <c r="Q352" s="154"/>
      <c r="R352" s="154"/>
      <c r="S352" s="154"/>
      <c r="T352" s="154"/>
      <c r="U352" s="154"/>
      <c r="V352" s="154"/>
      <c r="W352" s="154"/>
      <c r="X352" s="154"/>
      <c r="Y352" s="154"/>
      <c r="Z352" s="154"/>
    </row>
    <row r="353" spans="2:26" hidden="1" outlineLevel="1">
      <c r="B353" s="165" t="s">
        <v>2328</v>
      </c>
      <c r="C353" s="165" t="s">
        <v>3328</v>
      </c>
      <c r="D353" s="165" t="s">
        <v>3329</v>
      </c>
      <c r="E353" s="404">
        <v>203741732.60958767</v>
      </c>
      <c r="F353" s="404">
        <v>30</v>
      </c>
      <c r="G353" s="405">
        <v>53174</v>
      </c>
      <c r="H353" s="404">
        <v>10958</v>
      </c>
      <c r="I353" s="404">
        <v>10187086.630479384</v>
      </c>
      <c r="J353" s="404">
        <v>193554645.97910827</v>
      </c>
      <c r="K353" s="404">
        <v>365</v>
      </c>
      <c r="L353" s="404">
        <v>6447111</v>
      </c>
      <c r="M353" s="404">
        <v>43015012</v>
      </c>
      <c r="N353" s="404">
        <v>160726720.60958767</v>
      </c>
      <c r="O353" s="154"/>
      <c r="P353" s="154"/>
      <c r="Q353" s="154"/>
      <c r="R353" s="154"/>
      <c r="S353" s="154"/>
      <c r="T353" s="154"/>
      <c r="U353" s="154"/>
      <c r="V353" s="154"/>
      <c r="W353" s="154"/>
      <c r="X353" s="154"/>
      <c r="Y353" s="154"/>
      <c r="Z353" s="154"/>
    </row>
    <row r="354" spans="2:26" hidden="1" outlineLevel="1">
      <c r="B354" s="165" t="s">
        <v>2328</v>
      </c>
      <c r="C354" s="165" t="s">
        <v>3719</v>
      </c>
      <c r="D354" s="165" t="s">
        <v>3331</v>
      </c>
      <c r="E354" s="404">
        <v>200271443.09907717</v>
      </c>
      <c r="F354" s="165">
        <v>30</v>
      </c>
      <c r="G354" s="405">
        <v>53174</v>
      </c>
      <c r="H354" s="404">
        <v>10958</v>
      </c>
      <c r="I354" s="404">
        <v>10013572.154953858</v>
      </c>
      <c r="J354" s="404">
        <v>190257870.9441233</v>
      </c>
      <c r="K354" s="404">
        <v>365</v>
      </c>
      <c r="L354" s="404">
        <v>6337299</v>
      </c>
      <c r="M354" s="404">
        <v>42282348</v>
      </c>
      <c r="N354" s="404">
        <v>157989095.09907717</v>
      </c>
      <c r="O354" s="154"/>
      <c r="P354" s="154"/>
      <c r="Q354" s="154"/>
      <c r="R354" s="154"/>
      <c r="S354" s="154"/>
      <c r="T354" s="154"/>
      <c r="U354" s="154"/>
      <c r="V354" s="154"/>
      <c r="W354" s="154"/>
      <c r="X354" s="154"/>
      <c r="Y354" s="154"/>
      <c r="Z354" s="154"/>
    </row>
    <row r="355" spans="2:26" hidden="1" outlineLevel="1">
      <c r="B355" s="165" t="s">
        <v>2328</v>
      </c>
      <c r="C355" s="165" t="s">
        <v>3719</v>
      </c>
      <c r="D355" s="165" t="s">
        <v>3332</v>
      </c>
      <c r="E355" s="404">
        <v>29580505.224813171</v>
      </c>
      <c r="F355" s="165">
        <v>30</v>
      </c>
      <c r="G355" s="405">
        <v>53174</v>
      </c>
      <c r="H355" s="404">
        <v>10958</v>
      </c>
      <c r="I355" s="404">
        <v>1479025.2612406586</v>
      </c>
      <c r="J355" s="404">
        <v>28101479.963572513</v>
      </c>
      <c r="K355" s="404">
        <v>365</v>
      </c>
      <c r="L355" s="404">
        <v>936032</v>
      </c>
      <c r="M355" s="404">
        <v>6245190</v>
      </c>
      <c r="N355" s="404">
        <v>23335315.224813171</v>
      </c>
      <c r="O355" s="154"/>
      <c r="P355" s="154"/>
      <c r="Q355" s="154"/>
      <c r="R355" s="154"/>
      <c r="S355" s="154"/>
      <c r="T355" s="154"/>
      <c r="U355" s="154"/>
      <c r="V355" s="154"/>
      <c r="W355" s="154"/>
      <c r="X355" s="154"/>
      <c r="Y355" s="154"/>
      <c r="Z355" s="154"/>
    </row>
    <row r="356" spans="2:26" hidden="1" outlineLevel="1">
      <c r="B356" s="165" t="s">
        <v>2328</v>
      </c>
      <c r="C356" s="165" t="s">
        <v>3719</v>
      </c>
      <c r="D356" s="165" t="s">
        <v>3720</v>
      </c>
      <c r="E356" s="404">
        <v>452575952.2200225</v>
      </c>
      <c r="F356" s="165">
        <v>30</v>
      </c>
      <c r="G356" s="405">
        <v>53174</v>
      </c>
      <c r="H356" s="404">
        <v>10958</v>
      </c>
      <c r="I356" s="404">
        <v>22628797.611001126</v>
      </c>
      <c r="J356" s="404">
        <v>429947154.60902137</v>
      </c>
      <c r="K356" s="404">
        <v>365</v>
      </c>
      <c r="L356" s="404">
        <v>14321109</v>
      </c>
      <c r="M356" s="404">
        <v>95550187</v>
      </c>
      <c r="N356" s="404">
        <v>357025765.2200225</v>
      </c>
      <c r="O356" s="154"/>
      <c r="P356" s="154"/>
      <c r="Q356" s="154"/>
      <c r="R356" s="154"/>
      <c r="S356" s="154"/>
      <c r="T356" s="154"/>
      <c r="U356" s="154"/>
      <c r="V356" s="154"/>
      <c r="W356" s="154"/>
      <c r="X356" s="154"/>
      <c r="Y356" s="154"/>
      <c r="Z356" s="154"/>
    </row>
    <row r="357" spans="2:26" hidden="1" outlineLevel="1">
      <c r="B357" s="165" t="s">
        <v>2328</v>
      </c>
      <c r="C357" s="165" t="s">
        <v>3719</v>
      </c>
      <c r="D357" s="165" t="s">
        <v>3334</v>
      </c>
      <c r="E357" s="404">
        <v>1754049.9713178268</v>
      </c>
      <c r="F357" s="165">
        <v>30</v>
      </c>
      <c r="G357" s="405">
        <v>53174</v>
      </c>
      <c r="H357" s="404">
        <v>10958</v>
      </c>
      <c r="I357" s="404">
        <v>87702.49856589135</v>
      </c>
      <c r="J357" s="404">
        <v>1666347.4727519355</v>
      </c>
      <c r="K357" s="404">
        <v>365</v>
      </c>
      <c r="L357" s="404">
        <v>55504</v>
      </c>
      <c r="M357" s="404">
        <v>370322</v>
      </c>
      <c r="N357" s="404">
        <v>1383727.9713178268</v>
      </c>
      <c r="O357" s="154"/>
      <c r="P357" s="154"/>
      <c r="Q357" s="154"/>
      <c r="R357" s="154"/>
      <c r="S357" s="154"/>
      <c r="T357" s="154"/>
      <c r="U357" s="154"/>
      <c r="V357" s="154"/>
      <c r="W357" s="154"/>
      <c r="X357" s="154"/>
      <c r="Y357" s="154"/>
      <c r="Z357" s="154"/>
    </row>
    <row r="358" spans="2:26" hidden="1" outlineLevel="1">
      <c r="B358" s="165" t="s">
        <v>2328</v>
      </c>
      <c r="C358" s="165" t="s">
        <v>3719</v>
      </c>
      <c r="D358" s="165" t="s">
        <v>3335</v>
      </c>
      <c r="E358" s="404">
        <v>1621532.0337168155</v>
      </c>
      <c r="F358" s="165">
        <v>30</v>
      </c>
      <c r="G358" s="405">
        <v>53174</v>
      </c>
      <c r="H358" s="404">
        <v>10958</v>
      </c>
      <c r="I358" s="404">
        <v>81076.601685840782</v>
      </c>
      <c r="J358" s="404">
        <v>1540455.4320309747</v>
      </c>
      <c r="K358" s="404">
        <v>365</v>
      </c>
      <c r="L358" s="404">
        <v>51311</v>
      </c>
      <c r="M358" s="404">
        <v>342347</v>
      </c>
      <c r="N358" s="404">
        <v>1279185.0337168155</v>
      </c>
      <c r="O358" s="154"/>
      <c r="P358" s="154"/>
      <c r="Q358" s="154"/>
      <c r="R358" s="154"/>
      <c r="S358" s="154"/>
      <c r="T358" s="154"/>
      <c r="U358" s="154"/>
      <c r="V358" s="154"/>
      <c r="W358" s="154"/>
      <c r="X358" s="154"/>
      <c r="Y358" s="154"/>
      <c r="Z358" s="154"/>
    </row>
    <row r="359" spans="2:26" hidden="1" outlineLevel="1">
      <c r="B359" s="165" t="s">
        <v>2328</v>
      </c>
      <c r="C359" s="165" t="s">
        <v>3719</v>
      </c>
      <c r="D359" s="165" t="s">
        <v>3334</v>
      </c>
      <c r="E359" s="404">
        <v>22541419.036742471</v>
      </c>
      <c r="F359" s="165">
        <v>30</v>
      </c>
      <c r="G359" s="405">
        <v>53174</v>
      </c>
      <c r="H359" s="404">
        <v>10958</v>
      </c>
      <c r="I359" s="404">
        <v>1127070.9518371236</v>
      </c>
      <c r="J359" s="404">
        <v>21414348.084905349</v>
      </c>
      <c r="K359" s="404">
        <v>365</v>
      </c>
      <c r="L359" s="404">
        <v>713290</v>
      </c>
      <c r="M359" s="404">
        <v>4759059</v>
      </c>
      <c r="N359" s="404">
        <v>17782360.036742471</v>
      </c>
      <c r="O359" s="154"/>
      <c r="P359" s="154"/>
      <c r="Q359" s="154"/>
      <c r="R359" s="154"/>
      <c r="S359" s="154"/>
      <c r="T359" s="154"/>
      <c r="U359" s="154"/>
      <c r="V359" s="154"/>
      <c r="W359" s="154"/>
      <c r="X359" s="154"/>
      <c r="Y359" s="154"/>
      <c r="Z359" s="154"/>
    </row>
    <row r="360" spans="2:26" hidden="1" outlineLevel="1">
      <c r="B360" s="165" t="s">
        <v>2328</v>
      </c>
      <c r="C360" s="165" t="s">
        <v>3719</v>
      </c>
      <c r="D360" s="165" t="s">
        <v>3336</v>
      </c>
      <c r="E360" s="404">
        <v>1798329.3604547752</v>
      </c>
      <c r="F360" s="165">
        <v>30</v>
      </c>
      <c r="G360" s="405">
        <v>53174</v>
      </c>
      <c r="H360" s="404">
        <v>10958</v>
      </c>
      <c r="I360" s="404">
        <v>89916.468022738758</v>
      </c>
      <c r="J360" s="404">
        <v>1708412.8924320363</v>
      </c>
      <c r="K360" s="404">
        <v>365</v>
      </c>
      <c r="L360" s="404">
        <v>56906</v>
      </c>
      <c r="M360" s="404">
        <v>379675</v>
      </c>
      <c r="N360" s="404">
        <v>1418654.3604547752</v>
      </c>
      <c r="O360" s="154"/>
      <c r="P360" s="154"/>
      <c r="Q360" s="154"/>
      <c r="R360" s="154"/>
      <c r="S360" s="154"/>
      <c r="T360" s="154"/>
      <c r="U360" s="154"/>
      <c r="V360" s="154"/>
      <c r="W360" s="154"/>
      <c r="X360" s="154"/>
      <c r="Y360" s="154"/>
      <c r="Z360" s="154"/>
    </row>
    <row r="361" spans="2:26" hidden="1" outlineLevel="1">
      <c r="B361" s="165" t="s">
        <v>2328</v>
      </c>
      <c r="C361" s="165" t="s">
        <v>3719</v>
      </c>
      <c r="D361" s="165" t="s">
        <v>3721</v>
      </c>
      <c r="E361" s="404">
        <v>169996.1381350033</v>
      </c>
      <c r="F361" s="165">
        <v>30</v>
      </c>
      <c r="G361" s="405">
        <v>53174</v>
      </c>
      <c r="H361" s="404">
        <v>10958</v>
      </c>
      <c r="I361" s="404">
        <v>8499.8069067501656</v>
      </c>
      <c r="J361" s="404">
        <v>161496.33122825314</v>
      </c>
      <c r="K361" s="404">
        <v>365</v>
      </c>
      <c r="L361" s="404">
        <v>5379</v>
      </c>
      <c r="M361" s="404">
        <v>35889</v>
      </c>
      <c r="N361" s="404">
        <v>134107.1381350033</v>
      </c>
      <c r="O361" s="154"/>
      <c r="P361" s="154"/>
      <c r="Q361" s="154"/>
      <c r="R361" s="154"/>
      <c r="S361" s="154"/>
      <c r="T361" s="154"/>
      <c r="U361" s="154"/>
      <c r="V361" s="154"/>
      <c r="W361" s="154"/>
      <c r="X361" s="154"/>
      <c r="Y361" s="154"/>
      <c r="Z361" s="154"/>
    </row>
    <row r="362" spans="2:26" hidden="1" outlineLevel="1">
      <c r="B362" s="165" t="s">
        <v>2328</v>
      </c>
      <c r="C362" s="165" t="s">
        <v>3337</v>
      </c>
      <c r="D362" s="165" t="s">
        <v>3338</v>
      </c>
      <c r="E362" s="404">
        <v>15228578.353012733</v>
      </c>
      <c r="F362" s="165">
        <v>15</v>
      </c>
      <c r="G362" s="405">
        <v>47695</v>
      </c>
      <c r="H362" s="404">
        <v>5479</v>
      </c>
      <c r="I362" s="404">
        <v>761428.91765063675</v>
      </c>
      <c r="J362" s="404">
        <v>14467149.435362097</v>
      </c>
      <c r="K362" s="404">
        <v>365</v>
      </c>
      <c r="L362" s="404">
        <v>963773</v>
      </c>
      <c r="M362" s="404">
        <v>6430276</v>
      </c>
      <c r="N362" s="404">
        <v>8798302.3530127332</v>
      </c>
      <c r="O362" s="154"/>
      <c r="P362" s="154"/>
      <c r="Q362" s="154"/>
      <c r="R362" s="154"/>
      <c r="S362" s="154"/>
      <c r="T362" s="154"/>
      <c r="U362" s="154"/>
      <c r="V362" s="154"/>
      <c r="W362" s="154"/>
      <c r="X362" s="154"/>
      <c r="Y362" s="154"/>
      <c r="Z362" s="154"/>
    </row>
    <row r="363" spans="2:26" ht="27" hidden="1" outlineLevel="1">
      <c r="B363" s="165" t="s">
        <v>2328</v>
      </c>
      <c r="C363" s="165" t="s">
        <v>3337</v>
      </c>
      <c r="D363" s="165" t="s">
        <v>3339</v>
      </c>
      <c r="E363" s="404">
        <v>25102638.877021275</v>
      </c>
      <c r="F363" s="165">
        <v>15</v>
      </c>
      <c r="G363" s="405">
        <v>47695</v>
      </c>
      <c r="H363" s="404">
        <v>5479</v>
      </c>
      <c r="I363" s="404">
        <v>1255131.9438510637</v>
      </c>
      <c r="J363" s="404">
        <v>23847506.933170211</v>
      </c>
      <c r="K363" s="404">
        <v>365</v>
      </c>
      <c r="L363" s="404">
        <v>1588673</v>
      </c>
      <c r="M363" s="404">
        <v>10599599</v>
      </c>
      <c r="N363" s="404">
        <v>14503039.877021275</v>
      </c>
      <c r="O363" s="154"/>
      <c r="P363" s="154"/>
      <c r="Q363" s="154"/>
      <c r="R363" s="154"/>
      <c r="S363" s="154"/>
      <c r="T363" s="154"/>
      <c r="U363" s="154"/>
      <c r="V363" s="154"/>
      <c r="W363" s="154"/>
      <c r="X363" s="154"/>
      <c r="Y363" s="154"/>
      <c r="Z363" s="154"/>
    </row>
    <row r="364" spans="2:26" hidden="1" outlineLevel="1">
      <c r="B364" s="165" t="s">
        <v>2328</v>
      </c>
      <c r="C364" s="165" t="s">
        <v>3337</v>
      </c>
      <c r="D364" s="165" t="s">
        <v>3340</v>
      </c>
      <c r="E364" s="404">
        <v>123556094.62324868</v>
      </c>
      <c r="F364" s="165">
        <v>30</v>
      </c>
      <c r="G364" s="405">
        <v>53174</v>
      </c>
      <c r="H364" s="404">
        <v>10958</v>
      </c>
      <c r="I364" s="404">
        <v>6177804.7311624344</v>
      </c>
      <c r="J364" s="404">
        <v>117378289.89208625</v>
      </c>
      <c r="K364" s="404">
        <v>365</v>
      </c>
      <c r="L364" s="404">
        <v>3909753</v>
      </c>
      <c r="M364" s="404">
        <v>26085804</v>
      </c>
      <c r="N364" s="404">
        <v>97470290.623248681</v>
      </c>
      <c r="O364" s="154"/>
      <c r="P364" s="154"/>
      <c r="Q364" s="154"/>
      <c r="R364" s="154"/>
      <c r="S364" s="154"/>
      <c r="T364" s="154"/>
      <c r="U364" s="154"/>
      <c r="V364" s="154"/>
      <c r="W364" s="154"/>
      <c r="X364" s="154"/>
      <c r="Y364" s="154"/>
      <c r="Z364" s="154"/>
    </row>
    <row r="365" spans="2:26" hidden="1" outlineLevel="1">
      <c r="B365" s="165" t="s">
        <v>2328</v>
      </c>
      <c r="C365" s="165" t="s">
        <v>3337</v>
      </c>
      <c r="D365" s="165" t="s">
        <v>3341</v>
      </c>
      <c r="E365" s="404">
        <v>426474273.52436888</v>
      </c>
      <c r="F365" s="165">
        <v>30</v>
      </c>
      <c r="G365" s="405">
        <v>53174</v>
      </c>
      <c r="H365" s="404">
        <v>10958</v>
      </c>
      <c r="I365" s="404">
        <v>21323713.676218446</v>
      </c>
      <c r="J365" s="404">
        <v>405150559.84815043</v>
      </c>
      <c r="K365" s="404">
        <v>365</v>
      </c>
      <c r="L365" s="404">
        <v>13495159</v>
      </c>
      <c r="M365" s="404">
        <v>90039463</v>
      </c>
      <c r="N365" s="404">
        <v>336434810.52436888</v>
      </c>
      <c r="O365" s="154"/>
      <c r="P365" s="154"/>
      <c r="Q365" s="154"/>
      <c r="R365" s="154"/>
      <c r="S365" s="154"/>
      <c r="T365" s="154"/>
      <c r="U365" s="154"/>
      <c r="V365" s="154"/>
      <c r="W365" s="154"/>
      <c r="X365" s="154"/>
      <c r="Y365" s="154"/>
      <c r="Z365" s="154"/>
    </row>
    <row r="366" spans="2:26" hidden="1" outlineLevel="1">
      <c r="B366" s="165" t="s">
        <v>2328</v>
      </c>
      <c r="C366" s="165" t="s">
        <v>3337</v>
      </c>
      <c r="D366" s="165" t="s">
        <v>3342</v>
      </c>
      <c r="E366" s="404">
        <v>268490605.56787223</v>
      </c>
      <c r="F366" s="165">
        <v>30</v>
      </c>
      <c r="G366" s="405">
        <v>53174</v>
      </c>
      <c r="H366" s="404">
        <v>10958</v>
      </c>
      <c r="I366" s="404">
        <v>13424530.278393611</v>
      </c>
      <c r="J366" s="404">
        <v>255066075.2894786</v>
      </c>
      <c r="K366" s="404">
        <v>365</v>
      </c>
      <c r="L366" s="404">
        <v>8495995</v>
      </c>
      <c r="M366" s="404">
        <v>56685130</v>
      </c>
      <c r="N366" s="404">
        <v>211805475.56787223</v>
      </c>
      <c r="O366" s="154"/>
      <c r="P366" s="154"/>
      <c r="Q366" s="154"/>
      <c r="R366" s="154"/>
      <c r="S366" s="154"/>
      <c r="T366" s="154"/>
      <c r="U366" s="154"/>
      <c r="V366" s="154"/>
      <c r="W366" s="154"/>
      <c r="X366" s="154"/>
      <c r="Y366" s="154"/>
      <c r="Z366" s="154"/>
    </row>
    <row r="367" spans="2:26" hidden="1" outlineLevel="1">
      <c r="B367" s="165" t="s">
        <v>2328</v>
      </c>
      <c r="C367" s="165" t="s">
        <v>3337</v>
      </c>
      <c r="D367" s="165" t="s">
        <v>3343</v>
      </c>
      <c r="E367" s="404">
        <v>80425981.28435573</v>
      </c>
      <c r="F367" s="165">
        <v>30</v>
      </c>
      <c r="G367" s="405">
        <v>53174</v>
      </c>
      <c r="H367" s="404">
        <v>10958</v>
      </c>
      <c r="I367" s="404">
        <v>4021299.0642177868</v>
      </c>
      <c r="J367" s="404">
        <v>76404682.220137939</v>
      </c>
      <c r="K367" s="404">
        <v>365</v>
      </c>
      <c r="L367" s="404">
        <v>2544963</v>
      </c>
      <c r="M367" s="404">
        <v>16979949</v>
      </c>
      <c r="N367" s="404">
        <v>63446032.28435573</v>
      </c>
      <c r="O367" s="154"/>
      <c r="P367" s="154"/>
      <c r="Q367" s="154"/>
      <c r="R367" s="154"/>
      <c r="S367" s="154"/>
      <c r="T367" s="154"/>
      <c r="U367" s="154"/>
      <c r="V367" s="154"/>
      <c r="W367" s="154"/>
      <c r="X367" s="154"/>
      <c r="Y367" s="154"/>
      <c r="Z367" s="154"/>
    </row>
    <row r="368" spans="2:26" hidden="1" outlineLevel="1">
      <c r="B368" s="165" t="s">
        <v>2328</v>
      </c>
      <c r="C368" s="165" t="s">
        <v>3337</v>
      </c>
      <c r="D368" s="165" t="s">
        <v>3344</v>
      </c>
      <c r="E368" s="404">
        <v>198834525.46584556</v>
      </c>
      <c r="F368" s="165">
        <v>30</v>
      </c>
      <c r="G368" s="405">
        <v>53174</v>
      </c>
      <c r="H368" s="404">
        <v>10958</v>
      </c>
      <c r="I368" s="404">
        <v>9941726.2732922789</v>
      </c>
      <c r="J368" s="404">
        <v>188892799.19255328</v>
      </c>
      <c r="K368" s="404">
        <v>365</v>
      </c>
      <c r="L368" s="404">
        <v>6291830</v>
      </c>
      <c r="M368" s="404">
        <v>41978979</v>
      </c>
      <c r="N368" s="404">
        <v>156855546.46584556</v>
      </c>
      <c r="O368" s="154"/>
      <c r="P368" s="154"/>
      <c r="Q368" s="154"/>
      <c r="R368" s="154"/>
      <c r="S368" s="154"/>
      <c r="T368" s="154"/>
      <c r="U368" s="154"/>
      <c r="V368" s="154"/>
      <c r="W368" s="154"/>
      <c r="X368" s="154"/>
      <c r="Y368" s="154"/>
      <c r="Z368" s="154"/>
    </row>
    <row r="369" spans="2:26" hidden="1" outlineLevel="1">
      <c r="B369" s="165" t="s">
        <v>2328</v>
      </c>
      <c r="C369" s="165" t="s">
        <v>3337</v>
      </c>
      <c r="D369" s="165" t="s">
        <v>3345</v>
      </c>
      <c r="E369" s="404">
        <v>54647817.828876652</v>
      </c>
      <c r="F369" s="165">
        <v>30</v>
      </c>
      <c r="G369" s="405">
        <v>53174</v>
      </c>
      <c r="H369" s="404">
        <v>10958</v>
      </c>
      <c r="I369" s="404">
        <v>2732390.8914438328</v>
      </c>
      <c r="J369" s="404">
        <v>51915426.937432818</v>
      </c>
      <c r="K369" s="404">
        <v>365</v>
      </c>
      <c r="L369" s="404">
        <v>1729251</v>
      </c>
      <c r="M369" s="404">
        <v>11537532</v>
      </c>
      <c r="N369" s="404">
        <v>43110285.828876652</v>
      </c>
      <c r="O369" s="154"/>
      <c r="P369" s="154"/>
      <c r="Q369" s="154"/>
      <c r="R369" s="154"/>
      <c r="S369" s="154"/>
      <c r="T369" s="154"/>
      <c r="U369" s="154"/>
      <c r="V369" s="154"/>
      <c r="W369" s="154"/>
      <c r="X369" s="154"/>
      <c r="Y369" s="154"/>
      <c r="Z369" s="154"/>
    </row>
    <row r="370" spans="2:26" hidden="1" outlineLevel="1">
      <c r="B370" s="165" t="s">
        <v>2328</v>
      </c>
      <c r="C370" s="165" t="s">
        <v>3337</v>
      </c>
      <c r="D370" s="165" t="s">
        <v>3346</v>
      </c>
      <c r="E370" s="404">
        <v>311903432.86447495</v>
      </c>
      <c r="F370" s="165">
        <v>30</v>
      </c>
      <c r="G370" s="405">
        <v>53174</v>
      </c>
      <c r="H370" s="404">
        <v>10958</v>
      </c>
      <c r="I370" s="404">
        <v>15595171.643223748</v>
      </c>
      <c r="J370" s="404">
        <v>296308261.22125119</v>
      </c>
      <c r="K370" s="404">
        <v>365</v>
      </c>
      <c r="L370" s="404">
        <v>9869731</v>
      </c>
      <c r="M370" s="404">
        <v>65850672</v>
      </c>
      <c r="N370" s="404">
        <v>246052760.86447495</v>
      </c>
      <c r="O370" s="154"/>
      <c r="P370" s="154"/>
      <c r="Q370" s="154"/>
      <c r="R370" s="154"/>
      <c r="S370" s="154"/>
      <c r="T370" s="154"/>
      <c r="U370" s="154"/>
      <c r="V370" s="154"/>
      <c r="W370" s="154"/>
      <c r="X370" s="154"/>
      <c r="Y370" s="154"/>
      <c r="Z370" s="154"/>
    </row>
    <row r="371" spans="2:26" hidden="1" outlineLevel="1">
      <c r="B371" s="165" t="s">
        <v>2328</v>
      </c>
      <c r="C371" s="165" t="s">
        <v>3337</v>
      </c>
      <c r="D371" s="165" t="s">
        <v>3346</v>
      </c>
      <c r="E371" s="404">
        <v>275364684.77729094</v>
      </c>
      <c r="F371" s="165">
        <v>30</v>
      </c>
      <c r="G371" s="405">
        <v>53174</v>
      </c>
      <c r="H371" s="404">
        <v>10958</v>
      </c>
      <c r="I371" s="404">
        <v>13768234.238864549</v>
      </c>
      <c r="J371" s="404">
        <v>261596450.5384264</v>
      </c>
      <c r="K371" s="404">
        <v>365</v>
      </c>
      <c r="L371" s="404">
        <v>8713516</v>
      </c>
      <c r="M371" s="404">
        <v>58136424</v>
      </c>
      <c r="N371" s="404">
        <v>217228260.77729094</v>
      </c>
      <c r="O371" s="154"/>
      <c r="P371" s="154"/>
      <c r="Q371" s="154"/>
      <c r="R371" s="154"/>
      <c r="S371" s="154"/>
      <c r="T371" s="154"/>
      <c r="U371" s="154"/>
      <c r="V371" s="154"/>
      <c r="W371" s="154"/>
      <c r="X371" s="154"/>
      <c r="Y371" s="154"/>
      <c r="Z371" s="154"/>
    </row>
    <row r="372" spans="2:26" hidden="1" outlineLevel="1">
      <c r="B372" s="165" t="s">
        <v>2328</v>
      </c>
      <c r="C372" s="165" t="s">
        <v>3348</v>
      </c>
      <c r="D372" s="165" t="s">
        <v>3349</v>
      </c>
      <c r="E372" s="404">
        <v>227830972.45608202</v>
      </c>
      <c r="F372" s="165">
        <v>30</v>
      </c>
      <c r="G372" s="405">
        <v>53174</v>
      </c>
      <c r="H372" s="404">
        <v>10958</v>
      </c>
      <c r="I372" s="404">
        <v>11391548.622804102</v>
      </c>
      <c r="J372" s="404">
        <v>216439423.83327791</v>
      </c>
      <c r="K372" s="404">
        <v>365</v>
      </c>
      <c r="L372" s="404">
        <v>7209380</v>
      </c>
      <c r="M372" s="404">
        <v>48100857</v>
      </c>
      <c r="N372" s="404">
        <v>179730115.45608202</v>
      </c>
      <c r="O372" s="154"/>
      <c r="P372" s="154"/>
      <c r="Q372" s="154"/>
      <c r="R372" s="154"/>
      <c r="S372" s="154"/>
      <c r="T372" s="154"/>
      <c r="U372" s="154"/>
      <c r="V372" s="154"/>
      <c r="W372" s="154"/>
      <c r="X372" s="154"/>
      <c r="Y372" s="154"/>
      <c r="Z372" s="154"/>
    </row>
    <row r="373" spans="2:26" hidden="1" outlineLevel="1">
      <c r="B373" s="165" t="s">
        <v>2328</v>
      </c>
      <c r="C373" s="165" t="s">
        <v>3348</v>
      </c>
      <c r="D373" s="165" t="s">
        <v>3350</v>
      </c>
      <c r="E373" s="404">
        <v>206117648.43928191</v>
      </c>
      <c r="F373" s="165">
        <v>30</v>
      </c>
      <c r="G373" s="405">
        <v>53174</v>
      </c>
      <c r="H373" s="404">
        <v>10958</v>
      </c>
      <c r="I373" s="404">
        <v>10305882.421964096</v>
      </c>
      <c r="J373" s="404">
        <v>195811766.0173178</v>
      </c>
      <c r="K373" s="404">
        <v>365</v>
      </c>
      <c r="L373" s="404">
        <v>6522294</v>
      </c>
      <c r="M373" s="404">
        <v>43516630</v>
      </c>
      <c r="N373" s="404">
        <v>162601018.43928191</v>
      </c>
      <c r="O373" s="154"/>
      <c r="P373" s="154"/>
      <c r="Q373" s="154"/>
      <c r="R373" s="154"/>
      <c r="S373" s="154"/>
      <c r="T373" s="154"/>
      <c r="U373" s="154"/>
      <c r="V373" s="154"/>
      <c r="W373" s="154"/>
      <c r="X373" s="154"/>
      <c r="Y373" s="154"/>
      <c r="Z373" s="154"/>
    </row>
    <row r="374" spans="2:26" ht="27" hidden="1" outlineLevel="1">
      <c r="B374" s="165" t="s">
        <v>2328</v>
      </c>
      <c r="C374" s="165" t="s">
        <v>3351</v>
      </c>
      <c r="D374" s="165" t="s">
        <v>3352</v>
      </c>
      <c r="E374" s="404">
        <v>25514278.71316918</v>
      </c>
      <c r="F374" s="165">
        <v>30</v>
      </c>
      <c r="G374" s="405">
        <v>53174</v>
      </c>
      <c r="H374" s="404">
        <v>10958</v>
      </c>
      <c r="I374" s="404">
        <v>1275713.9356584591</v>
      </c>
      <c r="J374" s="404">
        <v>24238564.777510721</v>
      </c>
      <c r="K374" s="404">
        <v>365</v>
      </c>
      <c r="L374" s="404">
        <v>807362</v>
      </c>
      <c r="M374" s="404">
        <v>5386705</v>
      </c>
      <c r="N374" s="404">
        <v>20127573.71316918</v>
      </c>
      <c r="O374" s="154"/>
      <c r="P374" s="154"/>
      <c r="Q374" s="154"/>
      <c r="R374" s="154"/>
      <c r="S374" s="154"/>
      <c r="T374" s="154"/>
      <c r="U374" s="154"/>
      <c r="V374" s="154"/>
      <c r="W374" s="154"/>
      <c r="X374" s="154"/>
      <c r="Y374" s="154"/>
      <c r="Z374" s="154"/>
    </row>
    <row r="375" spans="2:26" hidden="1" outlineLevel="1">
      <c r="B375" s="165" t="s">
        <v>2328</v>
      </c>
      <c r="C375" s="165" t="s">
        <v>3351</v>
      </c>
      <c r="D375" s="165" t="s">
        <v>3722</v>
      </c>
      <c r="E375" s="404">
        <v>2213894.4793354836</v>
      </c>
      <c r="F375" s="165">
        <v>30</v>
      </c>
      <c r="G375" s="405">
        <v>53174</v>
      </c>
      <c r="H375" s="404">
        <v>10958</v>
      </c>
      <c r="I375" s="404">
        <v>110694.72396677418</v>
      </c>
      <c r="J375" s="404">
        <v>2103199.7553687096</v>
      </c>
      <c r="K375" s="404">
        <v>365</v>
      </c>
      <c r="L375" s="404">
        <v>70055</v>
      </c>
      <c r="M375" s="404">
        <v>467406</v>
      </c>
      <c r="N375" s="404">
        <v>1746488.4793354836</v>
      </c>
      <c r="O375" s="154"/>
      <c r="P375" s="154"/>
      <c r="Q375" s="154"/>
      <c r="R375" s="154"/>
      <c r="S375" s="154"/>
      <c r="T375" s="154"/>
      <c r="U375" s="154"/>
      <c r="V375" s="154"/>
      <c r="W375" s="154"/>
      <c r="X375" s="154"/>
      <c r="Y375" s="154"/>
      <c r="Z375" s="154"/>
    </row>
    <row r="376" spans="2:26" hidden="1" outlineLevel="1">
      <c r="B376" s="165" t="s">
        <v>2328</v>
      </c>
      <c r="C376" s="165" t="s">
        <v>3351</v>
      </c>
      <c r="D376" s="165" t="s">
        <v>3355</v>
      </c>
      <c r="E376" s="404">
        <v>1670563974.8290594</v>
      </c>
      <c r="F376" s="165">
        <v>30</v>
      </c>
      <c r="G376" s="405">
        <v>53174</v>
      </c>
      <c r="H376" s="404">
        <v>10958</v>
      </c>
      <c r="I376" s="404">
        <v>83528198.741452977</v>
      </c>
      <c r="J376" s="404">
        <v>1587035776.0876064</v>
      </c>
      <c r="K376" s="404">
        <v>365</v>
      </c>
      <c r="L376" s="404">
        <v>52862571</v>
      </c>
      <c r="M376" s="404">
        <v>352698143</v>
      </c>
      <c r="N376" s="404">
        <v>1317865831.8290594</v>
      </c>
      <c r="O376" s="154"/>
      <c r="P376" s="154"/>
      <c r="Q376" s="154"/>
      <c r="R376" s="154"/>
      <c r="S376" s="154"/>
      <c r="T376" s="154"/>
      <c r="U376" s="154"/>
      <c r="V376" s="154"/>
      <c r="W376" s="154"/>
      <c r="X376" s="154"/>
      <c r="Y376" s="154"/>
      <c r="Z376" s="154"/>
    </row>
    <row r="377" spans="2:26" hidden="1" outlineLevel="1">
      <c r="B377" s="165" t="s">
        <v>2328</v>
      </c>
      <c r="C377" s="165" t="s">
        <v>3351</v>
      </c>
      <c r="D377" s="165" t="s">
        <v>3723</v>
      </c>
      <c r="E377" s="404">
        <v>6188172.6136658685</v>
      </c>
      <c r="F377" s="165">
        <v>30</v>
      </c>
      <c r="G377" s="405">
        <v>53174</v>
      </c>
      <c r="H377" s="404">
        <v>10958</v>
      </c>
      <c r="I377" s="404">
        <v>309408.63068329345</v>
      </c>
      <c r="J377" s="404">
        <v>5878763.982982575</v>
      </c>
      <c r="K377" s="404">
        <v>365</v>
      </c>
      <c r="L377" s="404">
        <v>195816</v>
      </c>
      <c r="M377" s="404">
        <v>1306480</v>
      </c>
      <c r="N377" s="404">
        <v>4881692.6136658685</v>
      </c>
      <c r="O377" s="154"/>
      <c r="P377" s="154"/>
      <c r="Q377" s="154"/>
      <c r="R377" s="154"/>
      <c r="S377" s="154"/>
      <c r="T377" s="154"/>
      <c r="U377" s="154"/>
      <c r="V377" s="154"/>
      <c r="W377" s="154"/>
      <c r="X377" s="154"/>
      <c r="Y377" s="154"/>
      <c r="Z377" s="154"/>
    </row>
    <row r="378" spans="2:26" hidden="1" outlineLevel="1">
      <c r="B378" s="165" t="s">
        <v>2328</v>
      </c>
      <c r="C378" s="165" t="s">
        <v>3351</v>
      </c>
      <c r="D378" s="165" t="s">
        <v>3724</v>
      </c>
      <c r="E378" s="404">
        <v>20759190.720012363</v>
      </c>
      <c r="F378" s="165">
        <v>15</v>
      </c>
      <c r="G378" s="405">
        <v>47695</v>
      </c>
      <c r="H378" s="404">
        <v>5479</v>
      </c>
      <c r="I378" s="404">
        <v>1037959.5360006182</v>
      </c>
      <c r="J378" s="404">
        <v>19721231.184011746</v>
      </c>
      <c r="K378" s="404">
        <v>365</v>
      </c>
      <c r="L378" s="404">
        <v>1313789</v>
      </c>
      <c r="M378" s="404">
        <v>8765577</v>
      </c>
      <c r="N378" s="404">
        <v>11993613.720012363</v>
      </c>
      <c r="O378" s="154"/>
      <c r="P378" s="154"/>
      <c r="Q378" s="154"/>
      <c r="R378" s="154"/>
      <c r="S378" s="154"/>
      <c r="T378" s="154"/>
      <c r="U378" s="154"/>
      <c r="V378" s="154"/>
      <c r="W378" s="154"/>
      <c r="X378" s="154"/>
      <c r="Y378" s="154"/>
      <c r="Z378" s="154"/>
    </row>
    <row r="379" spans="2:26" ht="27" hidden="1" outlineLevel="1">
      <c r="B379" s="165" t="s">
        <v>2328</v>
      </c>
      <c r="C379" s="165" t="s">
        <v>3351</v>
      </c>
      <c r="D379" s="165" t="s">
        <v>3353</v>
      </c>
      <c r="E379" s="404">
        <v>13705717.202958621</v>
      </c>
      <c r="F379" s="165">
        <v>15</v>
      </c>
      <c r="G379" s="405">
        <v>47695</v>
      </c>
      <c r="H379" s="404">
        <v>5479</v>
      </c>
      <c r="I379" s="404">
        <v>685285.86014793115</v>
      </c>
      <c r="J379" s="404">
        <v>13020431.34281069</v>
      </c>
      <c r="K379" s="404">
        <v>365</v>
      </c>
      <c r="L379" s="404">
        <v>867395</v>
      </c>
      <c r="M379" s="404">
        <v>5787244</v>
      </c>
      <c r="N379" s="404">
        <v>7918473.2029586211</v>
      </c>
      <c r="O379" s="154"/>
      <c r="P379" s="154"/>
      <c r="Q379" s="154"/>
      <c r="R379" s="154"/>
      <c r="S379" s="154"/>
      <c r="T379" s="154"/>
      <c r="U379" s="154"/>
      <c r="V379" s="154"/>
      <c r="W379" s="154"/>
      <c r="X379" s="154"/>
      <c r="Y379" s="154"/>
      <c r="Z379" s="154"/>
    </row>
    <row r="380" spans="2:26" hidden="1" outlineLevel="1">
      <c r="B380" s="165" t="s">
        <v>2328</v>
      </c>
      <c r="C380" s="165" t="s">
        <v>3351</v>
      </c>
      <c r="D380" s="165" t="s">
        <v>3725</v>
      </c>
      <c r="E380" s="404">
        <v>452151825.97123402</v>
      </c>
      <c r="F380" s="165">
        <v>50</v>
      </c>
      <c r="G380" s="405">
        <v>60479</v>
      </c>
      <c r="H380" s="404">
        <v>18263</v>
      </c>
      <c r="I380" s="404">
        <v>22607591.298561703</v>
      </c>
      <c r="J380" s="404">
        <v>429544234.67267233</v>
      </c>
      <c r="K380" s="404">
        <v>365</v>
      </c>
      <c r="L380" s="404">
        <v>8584770</v>
      </c>
      <c r="M380" s="404">
        <v>57277433</v>
      </c>
      <c r="N380" s="404">
        <v>394874392.97123402</v>
      </c>
      <c r="O380" s="154"/>
      <c r="P380" s="154"/>
      <c r="Q380" s="154"/>
      <c r="R380" s="154"/>
      <c r="S380" s="154"/>
      <c r="T380" s="154"/>
      <c r="U380" s="154"/>
      <c r="V380" s="154"/>
      <c r="W380" s="154"/>
      <c r="X380" s="154"/>
      <c r="Y380" s="154"/>
      <c r="Z380" s="154"/>
    </row>
    <row r="381" spans="2:26" hidden="1" outlineLevel="1">
      <c r="B381" s="165" t="s">
        <v>2328</v>
      </c>
      <c r="C381" s="165" t="s">
        <v>3351</v>
      </c>
      <c r="D381" s="165" t="s">
        <v>3726</v>
      </c>
      <c r="E381" s="404">
        <v>226075912.98561701</v>
      </c>
      <c r="F381" s="165">
        <v>50</v>
      </c>
      <c r="G381" s="405">
        <v>60479</v>
      </c>
      <c r="H381" s="404">
        <v>18263</v>
      </c>
      <c r="I381" s="404">
        <v>11303795.649280852</v>
      </c>
      <c r="J381" s="404">
        <v>214772117.33633617</v>
      </c>
      <c r="K381" s="404">
        <v>365</v>
      </c>
      <c r="L381" s="404">
        <v>4292385</v>
      </c>
      <c r="M381" s="404">
        <v>28638717</v>
      </c>
      <c r="N381" s="404">
        <v>197437195.98561701</v>
      </c>
      <c r="O381" s="154"/>
      <c r="P381" s="154"/>
      <c r="Q381" s="154"/>
      <c r="R381" s="154"/>
      <c r="S381" s="154"/>
      <c r="T381" s="154"/>
      <c r="U381" s="154"/>
      <c r="V381" s="154"/>
      <c r="W381" s="154"/>
      <c r="X381" s="154"/>
      <c r="Y381" s="154"/>
      <c r="Z381" s="154"/>
    </row>
    <row r="382" spans="2:26" hidden="1" outlineLevel="1">
      <c r="B382" s="165" t="s">
        <v>2328</v>
      </c>
      <c r="C382" s="165" t="s">
        <v>3351</v>
      </c>
      <c r="D382" s="165" t="s">
        <v>3727</v>
      </c>
      <c r="E382" s="404">
        <v>75358635.995205641</v>
      </c>
      <c r="F382" s="165">
        <v>50</v>
      </c>
      <c r="G382" s="405">
        <v>60479</v>
      </c>
      <c r="H382" s="404">
        <v>18263</v>
      </c>
      <c r="I382" s="404">
        <v>3767931.799760282</v>
      </c>
      <c r="J382" s="404">
        <v>71590704.195445359</v>
      </c>
      <c r="K382" s="404">
        <v>365</v>
      </c>
      <c r="L382" s="404">
        <v>1430795</v>
      </c>
      <c r="M382" s="404">
        <v>9546239</v>
      </c>
      <c r="N382" s="404">
        <v>65812396.995205641</v>
      </c>
      <c r="O382" s="154"/>
      <c r="P382" s="154"/>
      <c r="Q382" s="154"/>
      <c r="R382" s="154"/>
      <c r="S382" s="154"/>
      <c r="T382" s="154"/>
      <c r="U382" s="154"/>
      <c r="V382" s="154"/>
      <c r="W382" s="154"/>
      <c r="X382" s="154"/>
      <c r="Y382" s="154"/>
      <c r="Z382" s="154"/>
    </row>
    <row r="383" spans="2:26" hidden="1" outlineLevel="1">
      <c r="B383" s="165"/>
      <c r="C383" s="165"/>
      <c r="D383" s="165"/>
      <c r="E383" s="404"/>
      <c r="F383" s="165"/>
      <c r="G383" s="165"/>
      <c r="H383" s="165"/>
      <c r="I383" s="165"/>
      <c r="J383" s="404"/>
      <c r="K383" s="165"/>
      <c r="L383" s="165"/>
      <c r="M383" s="165"/>
      <c r="N383" s="165"/>
      <c r="O383" s="154"/>
      <c r="P383" s="154"/>
      <c r="Q383" s="154"/>
      <c r="R383" s="154"/>
      <c r="S383" s="154"/>
      <c r="T383" s="154"/>
      <c r="U383" s="154"/>
      <c r="V383" s="154"/>
      <c r="W383" s="154"/>
      <c r="X383" s="154"/>
      <c r="Y383" s="154"/>
      <c r="Z383" s="154"/>
    </row>
    <row r="384" spans="2:26" hidden="1" outlineLevel="1">
      <c r="B384" s="165" t="s">
        <v>2328</v>
      </c>
      <c r="C384" s="165" t="s">
        <v>3351</v>
      </c>
      <c r="D384" s="165" t="s">
        <v>3728</v>
      </c>
      <c r="E384" s="404">
        <v>1219536.5917271278</v>
      </c>
      <c r="F384" s="404">
        <v>30</v>
      </c>
      <c r="G384" s="405">
        <v>53174</v>
      </c>
      <c r="H384" s="404">
        <v>10958</v>
      </c>
      <c r="I384" s="404">
        <v>60976.829586356391</v>
      </c>
      <c r="J384" s="404">
        <v>1158559.7621407714</v>
      </c>
      <c r="K384" s="404">
        <v>365</v>
      </c>
      <c r="L384" s="404">
        <v>38590</v>
      </c>
      <c r="M384" s="404">
        <v>257472</v>
      </c>
      <c r="N384" s="404">
        <v>962064.59172712779</v>
      </c>
      <c r="O384" s="154"/>
      <c r="P384" s="154"/>
      <c r="Q384" s="154"/>
      <c r="R384" s="154"/>
      <c r="S384" s="154"/>
      <c r="T384" s="154"/>
      <c r="U384" s="154"/>
      <c r="V384" s="154"/>
      <c r="W384" s="154"/>
      <c r="X384" s="154"/>
      <c r="Y384" s="154"/>
      <c r="Z384" s="154"/>
    </row>
    <row r="385" spans="2:26" ht="27" hidden="1" outlineLevel="1">
      <c r="B385" s="165" t="s">
        <v>2328</v>
      </c>
      <c r="C385" s="165" t="s">
        <v>3351</v>
      </c>
      <c r="D385" s="165" t="s">
        <v>3729</v>
      </c>
      <c r="E385" s="404">
        <v>1972065.0430753336</v>
      </c>
      <c r="F385" s="404">
        <v>30</v>
      </c>
      <c r="G385" s="405">
        <v>53174</v>
      </c>
      <c r="H385" s="404">
        <v>10958</v>
      </c>
      <c r="I385" s="404">
        <v>98603.252153766691</v>
      </c>
      <c r="J385" s="404">
        <v>1873461.790921567</v>
      </c>
      <c r="K385" s="404">
        <v>365</v>
      </c>
      <c r="L385" s="404">
        <v>62403</v>
      </c>
      <c r="M385" s="404">
        <v>416352</v>
      </c>
      <c r="N385" s="404">
        <v>1555713.0430753336</v>
      </c>
      <c r="O385" s="154"/>
      <c r="P385" s="154"/>
      <c r="Q385" s="154"/>
      <c r="R385" s="154"/>
      <c r="S385" s="154"/>
      <c r="T385" s="154"/>
      <c r="U385" s="154"/>
      <c r="V385" s="154"/>
      <c r="W385" s="154"/>
      <c r="X385" s="154"/>
      <c r="Y385" s="154"/>
      <c r="Z385" s="154"/>
    </row>
    <row r="386" spans="2:26" hidden="1" outlineLevel="1">
      <c r="B386" s="165" t="s">
        <v>2328</v>
      </c>
      <c r="C386" s="165" t="s">
        <v>3362</v>
      </c>
      <c r="D386" s="165" t="s">
        <v>3363</v>
      </c>
      <c r="E386" s="404">
        <v>28680994.4459907</v>
      </c>
      <c r="F386" s="165">
        <v>15</v>
      </c>
      <c r="G386" s="405">
        <v>47695</v>
      </c>
      <c r="H386" s="404">
        <v>5479</v>
      </c>
      <c r="I386" s="404">
        <v>1434049.7222995351</v>
      </c>
      <c r="J386" s="404">
        <v>27246944.723691165</v>
      </c>
      <c r="K386" s="404">
        <v>365</v>
      </c>
      <c r="L386" s="404">
        <v>1815137</v>
      </c>
      <c r="M386" s="404">
        <v>12110562</v>
      </c>
      <c r="N386" s="404">
        <v>16570432.4459907</v>
      </c>
      <c r="O386" s="154"/>
      <c r="P386" s="154"/>
      <c r="Q386" s="154"/>
      <c r="R386" s="154"/>
      <c r="S386" s="154"/>
      <c r="T386" s="154"/>
      <c r="U386" s="154"/>
      <c r="V386" s="154"/>
      <c r="W386" s="154"/>
      <c r="X386" s="154"/>
      <c r="Y386" s="154"/>
      <c r="Z386" s="154"/>
    </row>
    <row r="387" spans="2:26" hidden="1" outlineLevel="1">
      <c r="B387" s="165"/>
      <c r="C387" s="165"/>
      <c r="D387" s="165"/>
      <c r="E387" s="404"/>
      <c r="F387" s="165"/>
      <c r="G387" s="405"/>
      <c r="H387" s="404"/>
      <c r="I387" s="404"/>
      <c r="J387" s="404"/>
      <c r="K387" s="404"/>
      <c r="L387" s="404"/>
      <c r="M387" s="404"/>
      <c r="N387" s="404"/>
      <c r="O387" s="154"/>
      <c r="P387" s="154"/>
      <c r="Q387" s="154"/>
      <c r="R387" s="154"/>
      <c r="S387" s="154"/>
      <c r="T387" s="154"/>
      <c r="U387" s="154"/>
      <c r="V387" s="154"/>
      <c r="W387" s="154"/>
      <c r="X387" s="154"/>
      <c r="Y387" s="154"/>
      <c r="Z387" s="154"/>
    </row>
    <row r="388" spans="2:26" hidden="1" outlineLevel="1">
      <c r="B388" s="165" t="s">
        <v>2328</v>
      </c>
      <c r="C388" s="165" t="s">
        <v>3730</v>
      </c>
      <c r="D388" s="165" t="s">
        <v>3731</v>
      </c>
      <c r="E388" s="404">
        <v>10736527.083816463</v>
      </c>
      <c r="F388" s="404">
        <v>30</v>
      </c>
      <c r="G388" s="405">
        <v>53174</v>
      </c>
      <c r="H388" s="404">
        <v>10958</v>
      </c>
      <c r="I388" s="404">
        <v>536826.35419082316</v>
      </c>
      <c r="J388" s="404">
        <v>10199700.72962564</v>
      </c>
      <c r="K388" s="404">
        <v>365</v>
      </c>
      <c r="L388" s="404">
        <v>339742</v>
      </c>
      <c r="M388" s="404">
        <v>2266753</v>
      </c>
      <c r="N388" s="404">
        <v>8469774.0838164631</v>
      </c>
      <c r="O388" s="154"/>
      <c r="P388" s="154"/>
      <c r="Q388" s="154"/>
      <c r="R388" s="154"/>
      <c r="S388" s="154"/>
      <c r="T388" s="154"/>
      <c r="U388" s="154"/>
      <c r="V388" s="154"/>
      <c r="W388" s="154"/>
      <c r="X388" s="154"/>
      <c r="Y388" s="154"/>
      <c r="Z388" s="154"/>
    </row>
    <row r="389" spans="2:26" hidden="1" outlineLevel="1">
      <c r="B389" s="165" t="s">
        <v>2328</v>
      </c>
      <c r="C389" s="165" t="s">
        <v>3730</v>
      </c>
      <c r="D389" s="165" t="s">
        <v>3732</v>
      </c>
      <c r="E389" s="404">
        <v>25051898.242188867</v>
      </c>
      <c r="F389" s="404">
        <v>3</v>
      </c>
      <c r="G389" s="405">
        <v>43312</v>
      </c>
      <c r="H389" s="404">
        <v>1096</v>
      </c>
      <c r="I389" s="404">
        <v>1252594.9121094435</v>
      </c>
      <c r="J389" s="404">
        <v>23799303.330079425</v>
      </c>
      <c r="K389" s="404">
        <v>0</v>
      </c>
      <c r="L389" s="404">
        <v>0</v>
      </c>
      <c r="M389" s="404">
        <v>25051898</v>
      </c>
      <c r="N389" s="404">
        <v>0.24218886718153954</v>
      </c>
      <c r="O389" s="154"/>
      <c r="P389" s="154"/>
      <c r="Q389" s="154"/>
      <c r="R389" s="154"/>
      <c r="S389" s="154"/>
      <c r="T389" s="154"/>
      <c r="U389" s="154"/>
      <c r="V389" s="154"/>
      <c r="W389" s="154"/>
      <c r="X389" s="154"/>
      <c r="Y389" s="154"/>
      <c r="Z389" s="154"/>
    </row>
    <row r="390" spans="2:26" hidden="1" outlineLevel="1">
      <c r="B390" s="165"/>
      <c r="C390" s="165"/>
      <c r="D390" s="165"/>
      <c r="E390" s="404"/>
      <c r="F390" s="404"/>
      <c r="G390" s="405"/>
      <c r="H390" s="404"/>
      <c r="I390" s="404"/>
      <c r="J390" s="404"/>
      <c r="K390" s="404"/>
      <c r="L390" s="404"/>
      <c r="M390" s="404"/>
      <c r="N390" s="404"/>
      <c r="O390" s="157"/>
      <c r="P390" s="157"/>
      <c r="Q390" s="157"/>
      <c r="R390" s="157"/>
      <c r="S390" s="157"/>
      <c r="T390" s="157"/>
      <c r="U390" s="157"/>
      <c r="V390" s="157"/>
      <c r="W390" s="157"/>
      <c r="X390" s="157"/>
      <c r="Y390" s="157"/>
      <c r="Z390" s="157"/>
    </row>
    <row r="391" spans="2:26" hidden="1" outlineLevel="1">
      <c r="B391" s="165"/>
      <c r="C391" s="165"/>
      <c r="D391" s="165"/>
      <c r="E391" s="403"/>
      <c r="F391" s="404"/>
      <c r="G391" s="405"/>
      <c r="H391" s="404"/>
      <c r="I391" s="404"/>
      <c r="J391" s="404"/>
      <c r="K391" s="404"/>
      <c r="L391" s="404"/>
      <c r="M391" s="404"/>
      <c r="N391" s="403"/>
      <c r="O391" s="157"/>
      <c r="P391" s="157"/>
      <c r="Q391" s="157"/>
      <c r="R391" s="157"/>
      <c r="S391" s="157"/>
      <c r="T391" s="157"/>
      <c r="U391" s="157"/>
      <c r="V391" s="157"/>
      <c r="W391" s="157"/>
      <c r="X391" s="157"/>
      <c r="Y391" s="157"/>
      <c r="Z391" s="157"/>
    </row>
    <row r="392" spans="2:26" ht="14.25" hidden="1">
      <c r="B392" s="411" t="s">
        <v>1837</v>
      </c>
      <c r="C392" s="165"/>
      <c r="D392" s="165"/>
      <c r="E392" s="413">
        <f>SUBTOTAL(9,E344:E391)</f>
        <v>5881517134.2878389</v>
      </c>
      <c r="F392" s="165"/>
      <c r="G392" s="165"/>
      <c r="H392" s="413"/>
      <c r="I392" s="413"/>
      <c r="J392" s="413"/>
      <c r="K392" s="165"/>
      <c r="L392" s="413">
        <f t="shared" ref="L392:N392" si="5">SUBTOTAL(9,L344:L391)</f>
        <v>184031884</v>
      </c>
      <c r="M392" s="413">
        <f t="shared" si="5"/>
        <v>1252909392</v>
      </c>
      <c r="N392" s="413">
        <f t="shared" si="5"/>
        <v>4628607742.2878389</v>
      </c>
      <c r="O392" s="157"/>
      <c r="P392" s="157"/>
      <c r="Q392" s="157"/>
      <c r="R392" s="157"/>
      <c r="S392" s="157"/>
      <c r="T392" s="157"/>
      <c r="U392" s="157"/>
      <c r="V392" s="157"/>
      <c r="W392" s="157"/>
      <c r="X392" s="157"/>
      <c r="Y392" s="157"/>
      <c r="Z392" s="157"/>
    </row>
    <row r="393" spans="2:26" hidden="1">
      <c r="B393" s="165"/>
      <c r="C393" s="165"/>
      <c r="D393" s="165"/>
      <c r="E393" s="404"/>
      <c r="F393" s="165"/>
      <c r="G393" s="165"/>
      <c r="H393" s="165"/>
      <c r="I393" s="165"/>
      <c r="J393" s="404"/>
      <c r="K393" s="165"/>
      <c r="L393" s="165"/>
      <c r="M393" s="165"/>
      <c r="N393" s="165"/>
      <c r="O393" s="157"/>
      <c r="P393" s="157"/>
      <c r="Q393" s="157"/>
      <c r="R393" s="157"/>
      <c r="S393" s="157"/>
      <c r="T393" s="157"/>
      <c r="U393" s="157"/>
      <c r="V393" s="157"/>
      <c r="W393" s="157"/>
      <c r="X393" s="157"/>
      <c r="Y393" s="157"/>
      <c r="Z393" s="157"/>
    </row>
    <row r="394" spans="2:26" ht="14.25" hidden="1">
      <c r="B394" s="411" t="str">
        <f>+B395</f>
        <v>Fuel Oil System</v>
      </c>
      <c r="C394" s="165"/>
      <c r="D394" s="165"/>
      <c r="E394" s="404"/>
      <c r="F394" s="165"/>
      <c r="G394" s="165"/>
      <c r="H394" s="165"/>
      <c r="I394" s="165"/>
      <c r="J394" s="404"/>
      <c r="K394" s="165"/>
      <c r="L394" s="165"/>
      <c r="M394" s="165"/>
      <c r="N394" s="165"/>
      <c r="O394" s="157"/>
      <c r="P394" s="157"/>
      <c r="Q394" s="157"/>
      <c r="R394" s="157"/>
      <c r="S394" s="157"/>
      <c r="T394" s="157"/>
      <c r="U394" s="157"/>
      <c r="V394" s="157"/>
      <c r="W394" s="157"/>
      <c r="X394" s="157"/>
      <c r="Y394" s="157"/>
      <c r="Z394" s="157"/>
    </row>
    <row r="395" spans="2:26" hidden="1" outlineLevel="1">
      <c r="B395" s="165" t="s">
        <v>2329</v>
      </c>
      <c r="C395" s="165" t="s">
        <v>2329</v>
      </c>
      <c r="D395" s="165" t="s">
        <v>3369</v>
      </c>
      <c r="E395" s="404">
        <v>13067352.897383051</v>
      </c>
      <c r="F395" s="404">
        <v>20</v>
      </c>
      <c r="G395" s="405">
        <v>49521</v>
      </c>
      <c r="H395" s="404">
        <v>7305</v>
      </c>
      <c r="I395" s="404">
        <v>653367.64486915257</v>
      </c>
      <c r="J395" s="404">
        <v>12413985.252513899</v>
      </c>
      <c r="K395" s="404">
        <v>365</v>
      </c>
      <c r="L395" s="404">
        <v>620274</v>
      </c>
      <c r="M395" s="404">
        <v>4138525</v>
      </c>
      <c r="N395" s="404">
        <v>8928827.897383051</v>
      </c>
      <c r="O395" s="154"/>
      <c r="P395" s="154"/>
      <c r="Q395" s="154"/>
      <c r="R395" s="154"/>
      <c r="S395" s="154"/>
      <c r="T395" s="154"/>
      <c r="U395" s="154"/>
      <c r="V395" s="154"/>
      <c r="W395" s="154"/>
      <c r="X395" s="154"/>
      <c r="Y395" s="154"/>
      <c r="Z395" s="154"/>
    </row>
    <row r="396" spans="2:26" hidden="1" outlineLevel="1">
      <c r="B396" s="165" t="s">
        <v>2329</v>
      </c>
      <c r="C396" s="165" t="s">
        <v>2329</v>
      </c>
      <c r="D396" s="165" t="s">
        <v>2329</v>
      </c>
      <c r="E396" s="404">
        <v>24409992.565102816</v>
      </c>
      <c r="F396" s="404">
        <v>20</v>
      </c>
      <c r="G396" s="405">
        <v>49521</v>
      </c>
      <c r="H396" s="404">
        <v>7305</v>
      </c>
      <c r="I396" s="404">
        <v>1220499.6282551407</v>
      </c>
      <c r="J396" s="404">
        <v>23189492.936847676</v>
      </c>
      <c r="K396" s="404">
        <v>365</v>
      </c>
      <c r="L396" s="404">
        <v>1158681</v>
      </c>
      <c r="M396" s="404">
        <v>7730824</v>
      </c>
      <c r="N396" s="404">
        <v>16679168.565102816</v>
      </c>
      <c r="O396" s="154"/>
      <c r="P396" s="154"/>
      <c r="Q396" s="154"/>
      <c r="R396" s="154"/>
      <c r="S396" s="154"/>
      <c r="T396" s="154"/>
      <c r="U396" s="154"/>
      <c r="V396" s="154"/>
      <c r="W396" s="154"/>
      <c r="X396" s="154"/>
      <c r="Y396" s="154"/>
      <c r="Z396" s="154"/>
    </row>
    <row r="397" spans="2:26" hidden="1" outlineLevel="1">
      <c r="B397" s="165" t="s">
        <v>2329</v>
      </c>
      <c r="C397" s="165" t="s">
        <v>2329</v>
      </c>
      <c r="D397" s="165" t="s">
        <v>3370</v>
      </c>
      <c r="E397" s="404">
        <v>60538087.446666181</v>
      </c>
      <c r="F397" s="404">
        <v>25</v>
      </c>
      <c r="G397" s="405">
        <v>51348</v>
      </c>
      <c r="H397" s="404">
        <v>9132</v>
      </c>
      <c r="I397" s="404">
        <v>3026904.3723333091</v>
      </c>
      <c r="J397" s="404">
        <v>57511183.074332871</v>
      </c>
      <c r="K397" s="404">
        <v>365</v>
      </c>
      <c r="L397" s="404">
        <v>2298684</v>
      </c>
      <c r="M397" s="404">
        <v>15337027</v>
      </c>
      <c r="N397" s="404">
        <v>45201060.446666181</v>
      </c>
      <c r="O397" s="154"/>
      <c r="P397" s="154"/>
      <c r="Q397" s="154"/>
      <c r="R397" s="154"/>
      <c r="S397" s="154"/>
      <c r="T397" s="154"/>
      <c r="U397" s="154"/>
      <c r="V397" s="154"/>
      <c r="W397" s="154"/>
      <c r="X397" s="154"/>
      <c r="Y397" s="154"/>
      <c r="Z397" s="154"/>
    </row>
    <row r="398" spans="2:26" ht="27" hidden="1" outlineLevel="1">
      <c r="B398" s="165" t="s">
        <v>2329</v>
      </c>
      <c r="C398" s="165" t="s">
        <v>3733</v>
      </c>
      <c r="D398" s="165"/>
      <c r="E398" s="404">
        <v>8478.195356160084</v>
      </c>
      <c r="F398" s="165">
        <v>20</v>
      </c>
      <c r="G398" s="405">
        <v>49521</v>
      </c>
      <c r="H398" s="404">
        <v>7305</v>
      </c>
      <c r="I398" s="404">
        <v>423.90976780800423</v>
      </c>
      <c r="J398" s="404">
        <v>8054.2855883520797</v>
      </c>
      <c r="K398" s="404">
        <v>365</v>
      </c>
      <c r="L398" s="404">
        <v>402</v>
      </c>
      <c r="M398" s="404">
        <v>2683</v>
      </c>
      <c r="N398" s="404">
        <v>5795.195356160084</v>
      </c>
      <c r="O398" s="154"/>
      <c r="P398" s="154"/>
      <c r="Q398" s="154"/>
      <c r="R398" s="154"/>
      <c r="S398" s="154"/>
      <c r="T398" s="154"/>
      <c r="U398" s="154"/>
      <c r="V398" s="154"/>
      <c r="W398" s="154"/>
      <c r="X398" s="154"/>
      <c r="Y398" s="154"/>
      <c r="Z398" s="154"/>
    </row>
    <row r="399" spans="2:26" hidden="1" outlineLevel="1">
      <c r="B399" s="165"/>
      <c r="C399" s="165"/>
      <c r="D399" s="165"/>
      <c r="E399" s="404"/>
      <c r="F399" s="165"/>
      <c r="G399" s="405"/>
      <c r="H399" s="404"/>
      <c r="I399" s="404"/>
      <c r="J399" s="404"/>
      <c r="K399" s="404"/>
      <c r="L399" s="404"/>
      <c r="M399" s="404"/>
      <c r="N399" s="404"/>
      <c r="O399" s="157"/>
      <c r="P399" s="157"/>
      <c r="Q399" s="157"/>
      <c r="R399" s="157"/>
      <c r="S399" s="157"/>
      <c r="T399" s="157"/>
      <c r="U399" s="157"/>
      <c r="V399" s="157"/>
      <c r="W399" s="157"/>
      <c r="X399" s="157"/>
      <c r="Y399" s="157"/>
      <c r="Z399" s="157"/>
    </row>
    <row r="400" spans="2:26" hidden="1" outlineLevel="1">
      <c r="B400" s="165"/>
      <c r="C400" s="165"/>
      <c r="D400" s="165"/>
      <c r="E400" s="403"/>
      <c r="F400" s="165"/>
      <c r="G400" s="165"/>
      <c r="H400" s="165"/>
      <c r="I400" s="165"/>
      <c r="J400" s="404"/>
      <c r="K400" s="165"/>
      <c r="L400" s="165"/>
      <c r="M400" s="404"/>
      <c r="N400" s="403"/>
      <c r="O400" s="157"/>
      <c r="P400" s="157"/>
      <c r="Q400" s="157"/>
      <c r="R400" s="157"/>
      <c r="S400" s="157"/>
      <c r="T400" s="157"/>
      <c r="U400" s="157"/>
      <c r="V400" s="157"/>
      <c r="W400" s="157"/>
      <c r="X400" s="157"/>
      <c r="Y400" s="157"/>
      <c r="Z400" s="157"/>
    </row>
    <row r="401" spans="2:26" ht="14.25" hidden="1">
      <c r="B401" s="411" t="s">
        <v>1837</v>
      </c>
      <c r="C401" s="165"/>
      <c r="D401" s="165"/>
      <c r="E401" s="413">
        <f>SUBTOTAL(9,E395:E400)</f>
        <v>98023911.104508206</v>
      </c>
      <c r="F401" s="165"/>
      <c r="G401" s="165"/>
      <c r="H401" s="413"/>
      <c r="I401" s="413"/>
      <c r="J401" s="413"/>
      <c r="K401" s="165"/>
      <c r="L401" s="413">
        <f t="shared" ref="L401:N401" si="6">SUBTOTAL(9,L395:L400)</f>
        <v>4078041</v>
      </c>
      <c r="M401" s="413">
        <f t="shared" si="6"/>
        <v>27209059</v>
      </c>
      <c r="N401" s="413">
        <f t="shared" si="6"/>
        <v>70814852.104508206</v>
      </c>
      <c r="O401" s="157"/>
      <c r="P401" s="157"/>
      <c r="Q401" s="157"/>
      <c r="R401" s="157"/>
      <c r="S401" s="157"/>
      <c r="T401" s="157"/>
      <c r="U401" s="157"/>
      <c r="V401" s="157"/>
      <c r="W401" s="157"/>
      <c r="X401" s="157"/>
      <c r="Y401" s="157"/>
      <c r="Z401" s="157"/>
    </row>
    <row r="402" spans="2:26" hidden="1">
      <c r="B402" s="165"/>
      <c r="C402" s="165"/>
      <c r="D402" s="165"/>
      <c r="E402" s="403">
        <f>98573873.1045082-5100-18777+281532-807617-E401</f>
        <v>0</v>
      </c>
      <c r="F402" s="165"/>
      <c r="G402" s="165"/>
      <c r="H402" s="165"/>
      <c r="I402" s="165"/>
      <c r="J402" s="404"/>
      <c r="K402" s="165"/>
      <c r="L402" s="165"/>
      <c r="M402" s="165"/>
      <c r="N402" s="165"/>
      <c r="O402" s="157"/>
      <c r="P402" s="157"/>
      <c r="Q402" s="157"/>
      <c r="R402" s="157"/>
      <c r="S402" s="157"/>
      <c r="T402" s="157"/>
      <c r="U402" s="157"/>
      <c r="V402" s="157"/>
      <c r="W402" s="157"/>
      <c r="X402" s="157"/>
      <c r="Y402" s="157"/>
      <c r="Z402" s="157"/>
    </row>
    <row r="403" spans="2:26" ht="14.25" hidden="1">
      <c r="B403" s="411" t="str">
        <f>+B404</f>
        <v>Miscellaneous Equipment</v>
      </c>
      <c r="C403" s="165"/>
      <c r="D403" s="165"/>
      <c r="E403" s="404"/>
      <c r="F403" s="165"/>
      <c r="G403" s="165"/>
      <c r="H403" s="165"/>
      <c r="I403" s="165"/>
      <c r="J403" s="404"/>
      <c r="K403" s="165"/>
      <c r="L403" s="165"/>
      <c r="M403" s="165"/>
      <c r="N403" s="165"/>
      <c r="O403" s="157"/>
      <c r="P403" s="157"/>
      <c r="Q403" s="157"/>
      <c r="R403" s="157"/>
      <c r="S403" s="157"/>
      <c r="T403" s="157"/>
      <c r="U403" s="157"/>
      <c r="V403" s="157"/>
      <c r="W403" s="157"/>
      <c r="X403" s="157"/>
      <c r="Y403" s="157"/>
      <c r="Z403" s="157"/>
    </row>
    <row r="404" spans="2:26" ht="27" hidden="1" outlineLevel="1">
      <c r="B404" s="165" t="s">
        <v>2330</v>
      </c>
      <c r="C404" s="165" t="s">
        <v>3734</v>
      </c>
      <c r="D404" s="165" t="s">
        <v>3735</v>
      </c>
      <c r="E404" s="404">
        <v>16480058.151379405</v>
      </c>
      <c r="F404" s="165">
        <v>30</v>
      </c>
      <c r="G404" s="405">
        <v>53174</v>
      </c>
      <c r="H404" s="404">
        <v>10958</v>
      </c>
      <c r="I404" s="404">
        <v>824002.90756897023</v>
      </c>
      <c r="J404" s="404">
        <v>15656055.243810434</v>
      </c>
      <c r="K404" s="404">
        <v>365</v>
      </c>
      <c r="L404" s="404">
        <v>521488</v>
      </c>
      <c r="M404" s="404">
        <v>3479338</v>
      </c>
      <c r="N404" s="404">
        <v>13000720.151379405</v>
      </c>
      <c r="O404" s="154"/>
      <c r="P404" s="154"/>
      <c r="Q404" s="154"/>
      <c r="R404" s="154"/>
      <c r="S404" s="154"/>
      <c r="T404" s="154"/>
      <c r="U404" s="154"/>
      <c r="V404" s="154"/>
      <c r="W404" s="154"/>
      <c r="X404" s="154"/>
      <c r="Y404" s="154"/>
      <c r="Z404" s="154"/>
    </row>
    <row r="405" spans="2:26" ht="27" hidden="1" outlineLevel="1">
      <c r="B405" s="165" t="s">
        <v>2330</v>
      </c>
      <c r="C405" s="165" t="s">
        <v>3734</v>
      </c>
      <c r="D405" s="165" t="s">
        <v>3736</v>
      </c>
      <c r="E405" s="404">
        <v>8240027.8596350141</v>
      </c>
      <c r="F405" s="165">
        <v>25</v>
      </c>
      <c r="G405" s="405">
        <v>51348</v>
      </c>
      <c r="H405" s="404">
        <v>9132</v>
      </c>
      <c r="I405" s="404">
        <v>412001.39298175072</v>
      </c>
      <c r="J405" s="404">
        <v>7828026.4666532632</v>
      </c>
      <c r="K405" s="404">
        <v>365</v>
      </c>
      <c r="L405" s="404">
        <v>312881</v>
      </c>
      <c r="M405" s="404">
        <v>2087524</v>
      </c>
      <c r="N405" s="404">
        <v>6152503.8596350141</v>
      </c>
      <c r="O405" s="154"/>
      <c r="P405" s="154"/>
      <c r="Q405" s="154"/>
      <c r="R405" s="154"/>
      <c r="S405" s="154"/>
      <c r="T405" s="154"/>
      <c r="U405" s="154"/>
      <c r="V405" s="154"/>
      <c r="W405" s="154"/>
      <c r="X405" s="154"/>
      <c r="Y405" s="154"/>
      <c r="Z405" s="154"/>
    </row>
    <row r="406" spans="2:26" ht="27" hidden="1" outlineLevel="1">
      <c r="B406" s="165" t="s">
        <v>2330</v>
      </c>
      <c r="C406" s="165" t="s">
        <v>3734</v>
      </c>
      <c r="D406" s="165" t="s">
        <v>3737</v>
      </c>
      <c r="E406" s="404">
        <v>16480059.912260316</v>
      </c>
      <c r="F406" s="165">
        <v>25</v>
      </c>
      <c r="G406" s="405">
        <v>51348</v>
      </c>
      <c r="H406" s="404">
        <v>9132</v>
      </c>
      <c r="I406" s="404">
        <v>824002.99561301584</v>
      </c>
      <c r="J406" s="404">
        <v>15656056.9166473</v>
      </c>
      <c r="K406" s="404">
        <v>365</v>
      </c>
      <c r="L406" s="404">
        <v>625762</v>
      </c>
      <c r="M406" s="404">
        <v>4175050</v>
      </c>
      <c r="N406" s="404">
        <v>12305009.912260316</v>
      </c>
      <c r="O406" s="154"/>
      <c r="P406" s="154"/>
      <c r="Q406" s="154"/>
      <c r="R406" s="154"/>
      <c r="S406" s="154"/>
      <c r="T406" s="154"/>
      <c r="U406" s="154"/>
      <c r="V406" s="154"/>
      <c r="W406" s="154"/>
      <c r="X406" s="154"/>
      <c r="Y406" s="154"/>
      <c r="Z406" s="154"/>
    </row>
    <row r="407" spans="2:26" hidden="1" outlineLevel="1">
      <c r="B407" s="165"/>
      <c r="C407" s="165"/>
      <c r="D407" s="165"/>
      <c r="E407" s="404"/>
      <c r="F407" s="165"/>
      <c r="G407" s="405"/>
      <c r="H407" s="404"/>
      <c r="I407" s="404"/>
      <c r="J407" s="404"/>
      <c r="K407" s="404"/>
      <c r="L407" s="404"/>
      <c r="M407" s="404"/>
      <c r="N407" s="404"/>
      <c r="O407" s="154"/>
      <c r="P407" s="154"/>
      <c r="Q407" s="154"/>
      <c r="R407" s="154"/>
      <c r="S407" s="154"/>
      <c r="T407" s="154"/>
      <c r="U407" s="154"/>
      <c r="V407" s="154"/>
      <c r="W407" s="154"/>
      <c r="X407" s="154"/>
      <c r="Y407" s="154"/>
      <c r="Z407" s="154"/>
    </row>
    <row r="408" spans="2:26" ht="27" hidden="1" outlineLevel="1">
      <c r="B408" s="165" t="s">
        <v>2330</v>
      </c>
      <c r="C408" s="165" t="s">
        <v>3734</v>
      </c>
      <c r="D408" s="165" t="s">
        <v>3738</v>
      </c>
      <c r="E408" s="404">
        <v>16475102.980319425</v>
      </c>
      <c r="F408" s="165">
        <v>30</v>
      </c>
      <c r="G408" s="405">
        <v>53174</v>
      </c>
      <c r="H408" s="404">
        <v>10958</v>
      </c>
      <c r="I408" s="404">
        <v>823755.14901597134</v>
      </c>
      <c r="J408" s="404">
        <v>15651347.831303455</v>
      </c>
      <c r="K408" s="404">
        <v>365</v>
      </c>
      <c r="L408" s="404">
        <v>521331</v>
      </c>
      <c r="M408" s="404">
        <v>3478291</v>
      </c>
      <c r="N408" s="404">
        <v>12996811.980319425</v>
      </c>
      <c r="O408" s="154"/>
      <c r="P408" s="154"/>
      <c r="Q408" s="154"/>
      <c r="R408" s="154"/>
      <c r="S408" s="154"/>
      <c r="T408" s="154"/>
      <c r="U408" s="154"/>
      <c r="V408" s="154"/>
      <c r="W408" s="154"/>
      <c r="X408" s="154"/>
      <c r="Y408" s="154"/>
      <c r="Z408" s="154"/>
    </row>
    <row r="409" spans="2:26" ht="27" hidden="1" outlineLevel="1">
      <c r="B409" s="165" t="s">
        <v>2330</v>
      </c>
      <c r="C409" s="165" t="s">
        <v>3734</v>
      </c>
      <c r="D409" s="165" t="s">
        <v>3739</v>
      </c>
      <c r="E409" s="404">
        <v>8237551.4901597127</v>
      </c>
      <c r="F409" s="165">
        <v>25</v>
      </c>
      <c r="G409" s="405">
        <v>51348</v>
      </c>
      <c r="H409" s="404">
        <v>9132</v>
      </c>
      <c r="I409" s="404">
        <v>411877.57450798567</v>
      </c>
      <c r="J409" s="404">
        <v>7825673.9156517275</v>
      </c>
      <c r="K409" s="404">
        <v>365</v>
      </c>
      <c r="L409" s="404">
        <v>312787</v>
      </c>
      <c r="M409" s="404">
        <v>2086897</v>
      </c>
      <c r="N409" s="404">
        <v>6150654.4901597127</v>
      </c>
      <c r="O409" s="154"/>
      <c r="P409" s="154"/>
      <c r="Q409" s="154"/>
      <c r="R409" s="154"/>
      <c r="S409" s="154"/>
      <c r="T409" s="154"/>
      <c r="U409" s="154"/>
      <c r="V409" s="154"/>
      <c r="W409" s="154"/>
      <c r="X409" s="154"/>
      <c r="Y409" s="154"/>
      <c r="Z409" s="154"/>
    </row>
    <row r="410" spans="2:26" ht="27" hidden="1" outlineLevel="1">
      <c r="B410" s="165" t="s">
        <v>2330</v>
      </c>
      <c r="C410" s="165" t="s">
        <v>3734</v>
      </c>
      <c r="D410" s="165" t="s">
        <v>3740</v>
      </c>
      <c r="E410" s="404">
        <v>16475102.980319425</v>
      </c>
      <c r="F410" s="165">
        <v>25</v>
      </c>
      <c r="G410" s="405">
        <v>51348</v>
      </c>
      <c r="H410" s="404">
        <v>9132</v>
      </c>
      <c r="I410" s="404">
        <v>823755.14901597134</v>
      </c>
      <c r="J410" s="404">
        <v>15651347.831303455</v>
      </c>
      <c r="K410" s="404">
        <v>365</v>
      </c>
      <c r="L410" s="404">
        <v>625574</v>
      </c>
      <c r="M410" s="404">
        <v>4173795</v>
      </c>
      <c r="N410" s="404">
        <v>12301307.980319425</v>
      </c>
      <c r="O410" s="154"/>
      <c r="P410" s="154"/>
      <c r="Q410" s="154"/>
      <c r="R410" s="154"/>
      <c r="S410" s="154"/>
      <c r="T410" s="154"/>
      <c r="U410" s="154"/>
      <c r="V410" s="154"/>
      <c r="W410" s="154"/>
      <c r="X410" s="154"/>
      <c r="Y410" s="154"/>
      <c r="Z410" s="154"/>
    </row>
    <row r="411" spans="2:26" hidden="1" outlineLevel="1">
      <c r="B411" s="165"/>
      <c r="C411" s="165"/>
      <c r="D411" s="165"/>
      <c r="E411" s="404"/>
      <c r="F411" s="165"/>
      <c r="G411" s="405"/>
      <c r="H411" s="404"/>
      <c r="I411" s="404"/>
      <c r="J411" s="404"/>
      <c r="K411" s="404"/>
      <c r="L411" s="404"/>
      <c r="M411" s="404"/>
      <c r="N411" s="404"/>
      <c r="O411" s="154"/>
      <c r="P411" s="154"/>
      <c r="Q411" s="154"/>
      <c r="R411" s="154"/>
      <c r="S411" s="154"/>
      <c r="T411" s="154"/>
      <c r="U411" s="154"/>
      <c r="V411" s="154"/>
      <c r="W411" s="154"/>
      <c r="X411" s="154"/>
      <c r="Y411" s="154"/>
      <c r="Z411" s="154"/>
    </row>
    <row r="412" spans="2:26" ht="27" hidden="1" outlineLevel="1">
      <c r="B412" s="165" t="s">
        <v>2330</v>
      </c>
      <c r="C412" s="165" t="s">
        <v>3734</v>
      </c>
      <c r="D412" s="165" t="s">
        <v>3741</v>
      </c>
      <c r="E412" s="404">
        <v>16475102.980319425</v>
      </c>
      <c r="F412" s="165">
        <v>30</v>
      </c>
      <c r="G412" s="405">
        <v>53174</v>
      </c>
      <c r="H412" s="404">
        <v>10958</v>
      </c>
      <c r="I412" s="404">
        <v>823755.14901597134</v>
      </c>
      <c r="J412" s="404">
        <v>15651347.831303455</v>
      </c>
      <c r="K412" s="404">
        <v>365</v>
      </c>
      <c r="L412" s="404">
        <v>521331</v>
      </c>
      <c r="M412" s="404">
        <v>3478291</v>
      </c>
      <c r="N412" s="404">
        <v>12996811.980319425</v>
      </c>
      <c r="O412" s="154"/>
      <c r="P412" s="154"/>
      <c r="Q412" s="154"/>
      <c r="R412" s="154"/>
      <c r="S412" s="154"/>
      <c r="T412" s="154"/>
      <c r="U412" s="154"/>
      <c r="V412" s="154"/>
      <c r="W412" s="154"/>
      <c r="X412" s="154"/>
      <c r="Y412" s="154"/>
      <c r="Z412" s="154"/>
    </row>
    <row r="413" spans="2:26" ht="27" hidden="1" outlineLevel="1">
      <c r="B413" s="165" t="s">
        <v>2330</v>
      </c>
      <c r="C413" s="165" t="s">
        <v>3734</v>
      </c>
      <c r="D413" s="165" t="s">
        <v>3742</v>
      </c>
      <c r="E413" s="404">
        <v>8237551.4901597127</v>
      </c>
      <c r="F413" s="165">
        <v>25</v>
      </c>
      <c r="G413" s="405">
        <v>51348</v>
      </c>
      <c r="H413" s="404">
        <v>9132</v>
      </c>
      <c r="I413" s="404">
        <v>411877.57450798567</v>
      </c>
      <c r="J413" s="404">
        <v>7825673.9156517275</v>
      </c>
      <c r="K413" s="404">
        <v>365</v>
      </c>
      <c r="L413" s="404">
        <v>312787</v>
      </c>
      <c r="M413" s="404">
        <v>2086897</v>
      </c>
      <c r="N413" s="404">
        <v>6150654.4901597127</v>
      </c>
      <c r="O413" s="154"/>
      <c r="P413" s="154"/>
      <c r="Q413" s="154"/>
      <c r="R413" s="154"/>
      <c r="S413" s="154"/>
      <c r="T413" s="154"/>
      <c r="U413" s="154"/>
      <c r="V413" s="154"/>
      <c r="W413" s="154"/>
      <c r="X413" s="154"/>
      <c r="Y413" s="154"/>
      <c r="Z413" s="154"/>
    </row>
    <row r="414" spans="2:26" ht="27" hidden="1" outlineLevel="1">
      <c r="B414" s="165" t="s">
        <v>2330</v>
      </c>
      <c r="C414" s="165" t="s">
        <v>3734</v>
      </c>
      <c r="D414" s="165" t="s">
        <v>3743</v>
      </c>
      <c r="E414" s="404">
        <v>16475099.458426977</v>
      </c>
      <c r="F414" s="165">
        <v>25</v>
      </c>
      <c r="G414" s="405">
        <v>51348</v>
      </c>
      <c r="H414" s="404">
        <v>9132</v>
      </c>
      <c r="I414" s="404">
        <v>823754.97292134888</v>
      </c>
      <c r="J414" s="404">
        <v>15651344.485505627</v>
      </c>
      <c r="K414" s="404">
        <v>365</v>
      </c>
      <c r="L414" s="404">
        <v>625574</v>
      </c>
      <c r="M414" s="404">
        <v>4173795</v>
      </c>
      <c r="N414" s="404">
        <v>12301304.458426977</v>
      </c>
      <c r="O414" s="154"/>
      <c r="P414" s="154"/>
      <c r="Q414" s="154"/>
      <c r="R414" s="154"/>
      <c r="S414" s="154"/>
      <c r="T414" s="154"/>
      <c r="U414" s="154"/>
      <c r="V414" s="154"/>
      <c r="W414" s="154"/>
      <c r="X414" s="154"/>
      <c r="Y414" s="154"/>
      <c r="Z414" s="154"/>
    </row>
    <row r="415" spans="2:26" hidden="1" outlineLevel="1">
      <c r="B415" s="165"/>
      <c r="C415" s="165"/>
      <c r="D415" s="165"/>
      <c r="E415" s="404"/>
      <c r="F415" s="405"/>
      <c r="G415" s="405"/>
      <c r="H415" s="404"/>
      <c r="I415" s="404"/>
      <c r="J415" s="404"/>
      <c r="K415" s="404"/>
      <c r="L415" s="404"/>
      <c r="M415" s="404"/>
      <c r="N415" s="404"/>
      <c r="O415" s="154"/>
      <c r="P415" s="154"/>
      <c r="Q415" s="154"/>
      <c r="R415" s="154"/>
      <c r="S415" s="154"/>
      <c r="T415" s="154"/>
      <c r="U415" s="154"/>
      <c r="V415" s="154"/>
      <c r="W415" s="154"/>
      <c r="X415" s="154"/>
      <c r="Y415" s="154"/>
      <c r="Z415" s="154"/>
    </row>
    <row r="416" spans="2:26" hidden="1" outlineLevel="1">
      <c r="B416" s="165" t="s">
        <v>2330</v>
      </c>
      <c r="C416" s="165" t="s">
        <v>3734</v>
      </c>
      <c r="D416" s="165" t="s">
        <v>3381</v>
      </c>
      <c r="E416" s="404">
        <v>24487483.132811055</v>
      </c>
      <c r="F416" s="165">
        <v>25</v>
      </c>
      <c r="G416" s="405">
        <v>51348</v>
      </c>
      <c r="H416" s="404">
        <v>9132</v>
      </c>
      <c r="I416" s="404">
        <v>1224374.1566405527</v>
      </c>
      <c r="J416" s="404">
        <v>23263108.976170503</v>
      </c>
      <c r="K416" s="404">
        <v>365</v>
      </c>
      <c r="L416" s="404">
        <v>929811</v>
      </c>
      <c r="M416" s="404">
        <v>6203648</v>
      </c>
      <c r="N416" s="404">
        <v>18283835.132811055</v>
      </c>
      <c r="O416" s="154"/>
      <c r="P416" s="154"/>
      <c r="Q416" s="154"/>
      <c r="R416" s="154"/>
      <c r="S416" s="154"/>
      <c r="T416" s="154"/>
      <c r="U416" s="154"/>
      <c r="V416" s="154"/>
      <c r="W416" s="154"/>
      <c r="X416" s="154"/>
      <c r="Y416" s="154"/>
      <c r="Z416" s="154"/>
    </row>
    <row r="417" spans="2:26" hidden="1" outlineLevel="1">
      <c r="B417" s="165" t="s">
        <v>2330</v>
      </c>
      <c r="C417" s="165" t="s">
        <v>3734</v>
      </c>
      <c r="D417" s="165" t="s">
        <v>3382</v>
      </c>
      <c r="E417" s="404">
        <v>19179841.745482702</v>
      </c>
      <c r="F417" s="165">
        <v>25</v>
      </c>
      <c r="G417" s="405">
        <v>51348</v>
      </c>
      <c r="H417" s="404">
        <v>9132</v>
      </c>
      <c r="I417" s="404">
        <v>958992.08727413509</v>
      </c>
      <c r="J417" s="404">
        <v>18220849.658208568</v>
      </c>
      <c r="K417" s="404">
        <v>365</v>
      </c>
      <c r="L417" s="404">
        <v>728275</v>
      </c>
      <c r="M417" s="404">
        <v>4859011</v>
      </c>
      <c r="N417" s="404">
        <v>14320830.745482702</v>
      </c>
      <c r="O417" s="154"/>
      <c r="P417" s="154"/>
      <c r="Q417" s="154"/>
      <c r="R417" s="154"/>
      <c r="S417" s="154"/>
      <c r="T417" s="154"/>
      <c r="U417" s="154"/>
      <c r="V417" s="154"/>
      <c r="W417" s="154"/>
      <c r="X417" s="154"/>
      <c r="Y417" s="154"/>
      <c r="Z417" s="154"/>
    </row>
    <row r="418" spans="2:26" hidden="1" outlineLevel="1">
      <c r="B418" s="165" t="s">
        <v>2330</v>
      </c>
      <c r="C418" s="165" t="s">
        <v>3734</v>
      </c>
      <c r="D418" s="165" t="s">
        <v>3383</v>
      </c>
      <c r="E418" s="404">
        <v>32228029.893995624</v>
      </c>
      <c r="F418" s="165">
        <v>25</v>
      </c>
      <c r="G418" s="405">
        <v>51348</v>
      </c>
      <c r="H418" s="404">
        <v>9132</v>
      </c>
      <c r="I418" s="404">
        <v>1611401.4946997813</v>
      </c>
      <c r="J418" s="404">
        <v>30616628.399295844</v>
      </c>
      <c r="K418" s="404">
        <v>365</v>
      </c>
      <c r="L418" s="404">
        <v>1223726</v>
      </c>
      <c r="M418" s="404">
        <v>8164632</v>
      </c>
      <c r="N418" s="404">
        <v>24063397.893995624</v>
      </c>
      <c r="O418" s="154"/>
      <c r="P418" s="154"/>
      <c r="Q418" s="154"/>
      <c r="R418" s="154"/>
      <c r="S418" s="154"/>
      <c r="T418" s="154"/>
      <c r="U418" s="154"/>
      <c r="V418" s="154"/>
      <c r="W418" s="154"/>
      <c r="X418" s="154"/>
      <c r="Y418" s="154"/>
      <c r="Z418" s="154"/>
    </row>
    <row r="419" spans="2:26" hidden="1" outlineLevel="1">
      <c r="B419" s="165"/>
      <c r="C419" s="165"/>
      <c r="D419" s="165"/>
      <c r="E419" s="404"/>
      <c r="F419" s="165"/>
      <c r="G419" s="405"/>
      <c r="H419" s="404"/>
      <c r="I419" s="404"/>
      <c r="J419" s="404"/>
      <c r="K419" s="404"/>
      <c r="L419" s="404"/>
      <c r="M419" s="404"/>
      <c r="N419" s="404"/>
      <c r="O419" s="154"/>
      <c r="P419" s="154"/>
      <c r="Q419" s="154"/>
      <c r="R419" s="154"/>
      <c r="S419" s="154"/>
      <c r="T419" s="154"/>
      <c r="U419" s="154"/>
      <c r="V419" s="154"/>
      <c r="W419" s="154"/>
      <c r="X419" s="154"/>
      <c r="Y419" s="154"/>
      <c r="Z419" s="154"/>
    </row>
    <row r="420" spans="2:26" ht="27" hidden="1" outlineLevel="1">
      <c r="B420" s="165" t="s">
        <v>2330</v>
      </c>
      <c r="C420" s="165" t="s">
        <v>3734</v>
      </c>
      <c r="D420" s="165" t="s">
        <v>3384</v>
      </c>
      <c r="E420" s="404">
        <v>20714936.613531683</v>
      </c>
      <c r="F420" s="165">
        <v>25</v>
      </c>
      <c r="G420" s="405">
        <v>51348</v>
      </c>
      <c r="H420" s="404">
        <v>9132</v>
      </c>
      <c r="I420" s="404">
        <v>1035746.8306765842</v>
      </c>
      <c r="J420" s="404">
        <v>19679189.782855097</v>
      </c>
      <c r="K420" s="404">
        <v>365</v>
      </c>
      <c r="L420" s="404">
        <v>786564</v>
      </c>
      <c r="M420" s="404">
        <v>5247911</v>
      </c>
      <c r="N420" s="404">
        <v>15467025.613531683</v>
      </c>
      <c r="O420" s="154"/>
      <c r="P420" s="154"/>
      <c r="Q420" s="154"/>
      <c r="R420" s="154"/>
      <c r="S420" s="154"/>
      <c r="T420" s="154"/>
      <c r="U420" s="154"/>
      <c r="V420" s="154"/>
      <c r="W420" s="154"/>
      <c r="X420" s="154"/>
      <c r="Y420" s="154"/>
      <c r="Z420" s="154"/>
    </row>
    <row r="421" spans="2:26" ht="27" hidden="1" outlineLevel="1">
      <c r="B421" s="165" t="s">
        <v>2330</v>
      </c>
      <c r="C421" s="165" t="s">
        <v>3734</v>
      </c>
      <c r="D421" s="165" t="s">
        <v>3385</v>
      </c>
      <c r="E421" s="404">
        <v>8877827.9654878862</v>
      </c>
      <c r="F421" s="165">
        <v>25</v>
      </c>
      <c r="G421" s="405">
        <v>51348</v>
      </c>
      <c r="H421" s="404">
        <v>9132</v>
      </c>
      <c r="I421" s="404">
        <v>443891.39827439433</v>
      </c>
      <c r="J421" s="404">
        <v>8433936.5672134925</v>
      </c>
      <c r="K421" s="404">
        <v>365</v>
      </c>
      <c r="L421" s="404">
        <v>337099</v>
      </c>
      <c r="M421" s="404">
        <v>2249105</v>
      </c>
      <c r="N421" s="404">
        <v>6628722.9654878862</v>
      </c>
      <c r="O421" s="154"/>
      <c r="P421" s="154"/>
      <c r="Q421" s="154"/>
      <c r="R421" s="154"/>
      <c r="S421" s="154"/>
      <c r="T421" s="154"/>
      <c r="U421" s="154"/>
      <c r="V421" s="154"/>
      <c r="W421" s="154"/>
      <c r="X421" s="154"/>
      <c r="Y421" s="154"/>
      <c r="Z421" s="154"/>
    </row>
    <row r="422" spans="2:26" hidden="1" outlineLevel="1">
      <c r="B422" s="165"/>
      <c r="C422" s="165"/>
      <c r="D422" s="165"/>
      <c r="E422" s="404"/>
      <c r="F422" s="165"/>
      <c r="G422" s="405"/>
      <c r="H422" s="404"/>
      <c r="I422" s="404"/>
      <c r="J422" s="404"/>
      <c r="K422" s="404"/>
      <c r="L422" s="404"/>
      <c r="M422" s="404"/>
      <c r="N422" s="404"/>
      <c r="O422" s="154"/>
      <c r="P422" s="154"/>
      <c r="Q422" s="154"/>
      <c r="R422" s="154"/>
      <c r="S422" s="154"/>
      <c r="T422" s="154"/>
      <c r="U422" s="154"/>
      <c r="V422" s="154"/>
      <c r="W422" s="154"/>
      <c r="X422" s="154"/>
      <c r="Y422" s="154"/>
      <c r="Z422" s="154"/>
    </row>
    <row r="423" spans="2:26" hidden="1" outlineLevel="1">
      <c r="B423" s="165" t="s">
        <v>2330</v>
      </c>
      <c r="C423" s="165" t="s">
        <v>3734</v>
      </c>
      <c r="D423" s="165" t="s">
        <v>3744</v>
      </c>
      <c r="E423" s="404">
        <v>66384356.472732261</v>
      </c>
      <c r="F423" s="165">
        <v>25</v>
      </c>
      <c r="G423" s="405">
        <v>51348</v>
      </c>
      <c r="H423" s="404">
        <v>9132</v>
      </c>
      <c r="I423" s="404">
        <v>3319217.8236366133</v>
      </c>
      <c r="J423" s="404">
        <v>63065138.649095647</v>
      </c>
      <c r="K423" s="404">
        <v>365</v>
      </c>
      <c r="L423" s="404">
        <v>2520672</v>
      </c>
      <c r="M423" s="404">
        <v>16817783</v>
      </c>
      <c r="N423" s="404">
        <v>49566573.472732261</v>
      </c>
      <c r="O423" s="154"/>
      <c r="P423" s="154"/>
      <c r="Q423" s="154"/>
      <c r="R423" s="154"/>
      <c r="S423" s="154"/>
      <c r="T423" s="154"/>
      <c r="U423" s="154"/>
      <c r="V423" s="154"/>
      <c r="W423" s="154"/>
      <c r="X423" s="154"/>
      <c r="Y423" s="154"/>
      <c r="Z423" s="154"/>
    </row>
    <row r="424" spans="2:26" hidden="1" outlineLevel="1">
      <c r="B424" s="165" t="s">
        <v>2330</v>
      </c>
      <c r="C424" s="165" t="s">
        <v>3386</v>
      </c>
      <c r="D424" s="165" t="s">
        <v>3387</v>
      </c>
      <c r="E424" s="404">
        <v>450933015.15182912</v>
      </c>
      <c r="F424" s="165">
        <v>30</v>
      </c>
      <c r="G424" s="405">
        <v>53174</v>
      </c>
      <c r="H424" s="404">
        <v>10958</v>
      </c>
      <c r="I424" s="404">
        <v>22546650.757591456</v>
      </c>
      <c r="J424" s="404">
        <v>428386364.39423764</v>
      </c>
      <c r="K424" s="404">
        <v>365</v>
      </c>
      <c r="L424" s="404">
        <v>14269121</v>
      </c>
      <c r="M424" s="404">
        <v>95202777</v>
      </c>
      <c r="N424" s="404">
        <v>355730238.15182912</v>
      </c>
      <c r="O424" s="154"/>
      <c r="P424" s="154"/>
      <c r="Q424" s="154"/>
      <c r="R424" s="154"/>
      <c r="S424" s="154"/>
      <c r="T424" s="154"/>
      <c r="U424" s="154"/>
      <c r="V424" s="154"/>
      <c r="W424" s="154"/>
      <c r="X424" s="154"/>
      <c r="Y424" s="154"/>
      <c r="Z424" s="154"/>
    </row>
    <row r="425" spans="2:26" ht="27" hidden="1" outlineLevel="1">
      <c r="B425" s="165" t="s">
        <v>2330</v>
      </c>
      <c r="C425" s="165" t="s">
        <v>3386</v>
      </c>
      <c r="D425" s="165" t="s">
        <v>3388</v>
      </c>
      <c r="E425" s="404">
        <v>103881082.22048086</v>
      </c>
      <c r="F425" s="165">
        <v>30</v>
      </c>
      <c r="G425" s="405">
        <v>53174</v>
      </c>
      <c r="H425" s="404">
        <v>10958</v>
      </c>
      <c r="I425" s="404">
        <v>5194054.1110240435</v>
      </c>
      <c r="J425" s="404">
        <v>98687028.109456822</v>
      </c>
      <c r="K425" s="404">
        <v>365</v>
      </c>
      <c r="L425" s="404">
        <v>3287166</v>
      </c>
      <c r="M425" s="404">
        <v>21931788</v>
      </c>
      <c r="N425" s="404">
        <v>81949294.220480859</v>
      </c>
      <c r="O425" s="154"/>
      <c r="P425" s="154"/>
      <c r="Q425" s="154"/>
      <c r="R425" s="154"/>
      <c r="S425" s="154"/>
      <c r="T425" s="154"/>
      <c r="U425" s="154"/>
      <c r="V425" s="154"/>
      <c r="W425" s="154"/>
      <c r="X425" s="154"/>
      <c r="Y425" s="154"/>
      <c r="Z425" s="154"/>
    </row>
    <row r="426" spans="2:26" ht="27" hidden="1" outlineLevel="1">
      <c r="B426" s="165" t="s">
        <v>2330</v>
      </c>
      <c r="C426" s="165" t="s">
        <v>3389</v>
      </c>
      <c r="D426" s="165" t="s">
        <v>3390</v>
      </c>
      <c r="E426" s="404">
        <v>1324715159.2460175</v>
      </c>
      <c r="F426" s="165">
        <v>30</v>
      </c>
      <c r="G426" s="405">
        <v>53174</v>
      </c>
      <c r="H426" s="404">
        <v>10958</v>
      </c>
      <c r="I426" s="404">
        <v>66235757.962300874</v>
      </c>
      <c r="J426" s="404">
        <v>1258479401.2837167</v>
      </c>
      <c r="K426" s="404">
        <v>365</v>
      </c>
      <c r="L426" s="404">
        <v>41918688</v>
      </c>
      <c r="M426" s="404">
        <v>279679144</v>
      </c>
      <c r="N426" s="404">
        <v>1045036015.2460175</v>
      </c>
      <c r="O426" s="154"/>
      <c r="P426" s="154"/>
      <c r="Q426" s="154"/>
      <c r="R426" s="154"/>
      <c r="S426" s="154"/>
      <c r="T426" s="154"/>
      <c r="U426" s="154"/>
      <c r="V426" s="154"/>
      <c r="W426" s="154"/>
      <c r="X426" s="154"/>
      <c r="Y426" s="154"/>
      <c r="Z426" s="154"/>
    </row>
    <row r="427" spans="2:26" hidden="1" outlineLevel="1">
      <c r="B427" s="165"/>
      <c r="C427" s="165"/>
      <c r="D427" s="165"/>
      <c r="E427" s="404"/>
      <c r="F427" s="165"/>
      <c r="G427" s="405"/>
      <c r="H427" s="404"/>
      <c r="I427" s="404"/>
      <c r="J427" s="404"/>
      <c r="K427" s="404"/>
      <c r="L427" s="404"/>
      <c r="M427" s="404"/>
      <c r="N427" s="404"/>
      <c r="O427" s="154"/>
      <c r="P427" s="154"/>
      <c r="Q427" s="154"/>
      <c r="R427" s="154"/>
      <c r="S427" s="154"/>
      <c r="T427" s="154"/>
      <c r="U427" s="154"/>
      <c r="V427" s="154"/>
      <c r="W427" s="154"/>
      <c r="X427" s="154"/>
      <c r="Y427" s="154"/>
      <c r="Z427" s="154"/>
    </row>
    <row r="428" spans="2:26" ht="27" hidden="1" outlineLevel="1">
      <c r="B428" s="165" t="s">
        <v>2330</v>
      </c>
      <c r="C428" s="165" t="s">
        <v>3399</v>
      </c>
      <c r="D428" s="165" t="s">
        <v>3400</v>
      </c>
      <c r="E428" s="404">
        <v>11415725.892637858</v>
      </c>
      <c r="F428" s="404">
        <v>5</v>
      </c>
      <c r="G428" s="405">
        <v>44043</v>
      </c>
      <c r="H428" s="404">
        <v>1827</v>
      </c>
      <c r="I428" s="404">
        <v>570786.29463189293</v>
      </c>
      <c r="J428" s="404">
        <v>10844939.598005965</v>
      </c>
      <c r="K428" s="404">
        <v>0</v>
      </c>
      <c r="L428" s="404">
        <v>0</v>
      </c>
      <c r="M428" s="404">
        <v>11415726</v>
      </c>
      <c r="N428" s="403">
        <v>-0.10736214183270931</v>
      </c>
      <c r="O428" s="154"/>
      <c r="P428" s="154"/>
      <c r="Q428" s="154"/>
      <c r="R428" s="154"/>
      <c r="S428" s="154"/>
      <c r="T428" s="154"/>
      <c r="U428" s="154"/>
      <c r="V428" s="154"/>
      <c r="W428" s="154"/>
      <c r="X428" s="154"/>
      <c r="Y428" s="154"/>
      <c r="Z428" s="154"/>
    </row>
    <row r="429" spans="2:26" ht="27" hidden="1" outlineLevel="1">
      <c r="B429" s="165" t="s">
        <v>2330</v>
      </c>
      <c r="C429" s="165" t="s">
        <v>3399</v>
      </c>
      <c r="D429" s="165" t="s">
        <v>3401</v>
      </c>
      <c r="E429" s="404">
        <v>34247181.597712316</v>
      </c>
      <c r="F429" s="404">
        <v>20</v>
      </c>
      <c r="G429" s="405">
        <v>49521</v>
      </c>
      <c r="H429" s="404">
        <v>7305</v>
      </c>
      <c r="I429" s="404">
        <v>1712359.079885616</v>
      </c>
      <c r="J429" s="404">
        <v>32534822.517826699</v>
      </c>
      <c r="K429" s="404">
        <v>365</v>
      </c>
      <c r="L429" s="404">
        <v>1625628</v>
      </c>
      <c r="M429" s="404">
        <v>10846098</v>
      </c>
      <c r="N429" s="404">
        <v>23401083.597712316</v>
      </c>
      <c r="O429" s="154"/>
      <c r="P429" s="154"/>
      <c r="Q429" s="154"/>
      <c r="R429" s="154"/>
      <c r="S429" s="154"/>
      <c r="T429" s="154"/>
      <c r="U429" s="154"/>
      <c r="V429" s="154"/>
      <c r="W429" s="154"/>
      <c r="X429" s="154"/>
      <c r="Y429" s="154"/>
      <c r="Z429" s="154"/>
    </row>
    <row r="430" spans="2:26" hidden="1" outlineLevel="1">
      <c r="B430" s="165"/>
      <c r="C430" s="165"/>
      <c r="D430" s="165"/>
      <c r="E430" s="404"/>
      <c r="F430" s="165"/>
      <c r="G430" s="405"/>
      <c r="H430" s="404"/>
      <c r="I430" s="404"/>
      <c r="J430" s="404"/>
      <c r="K430" s="404"/>
      <c r="L430" s="404"/>
      <c r="M430" s="404"/>
      <c r="N430" s="404"/>
      <c r="O430" s="154"/>
      <c r="P430" s="154"/>
      <c r="Q430" s="154"/>
      <c r="R430" s="154"/>
      <c r="S430" s="154"/>
      <c r="T430" s="154"/>
      <c r="U430" s="154"/>
      <c r="V430" s="154"/>
      <c r="W430" s="154"/>
      <c r="X430" s="154"/>
      <c r="Y430" s="154"/>
      <c r="Z430" s="154"/>
    </row>
    <row r="431" spans="2:26" ht="27" hidden="1" outlineLevel="1">
      <c r="B431" s="165" t="s">
        <v>2330</v>
      </c>
      <c r="C431" s="165" t="s">
        <v>3402</v>
      </c>
      <c r="D431" s="165" t="s">
        <v>3745</v>
      </c>
      <c r="E431" s="404">
        <v>5215825.3894375917</v>
      </c>
      <c r="F431" s="165">
        <v>15</v>
      </c>
      <c r="G431" s="405">
        <v>47695</v>
      </c>
      <c r="H431" s="404">
        <v>5479</v>
      </c>
      <c r="I431" s="404">
        <v>260791.26947187958</v>
      </c>
      <c r="J431" s="404">
        <v>4955034.1199657116</v>
      </c>
      <c r="K431" s="404">
        <v>365</v>
      </c>
      <c r="L431" s="404">
        <v>330094</v>
      </c>
      <c r="M431" s="404">
        <v>2202370</v>
      </c>
      <c r="N431" s="404">
        <v>3013455.3894375917</v>
      </c>
      <c r="O431" s="154"/>
      <c r="P431" s="154"/>
      <c r="Q431" s="154"/>
      <c r="R431" s="154"/>
      <c r="S431" s="154"/>
      <c r="T431" s="154"/>
      <c r="U431" s="154"/>
      <c r="V431" s="154"/>
      <c r="W431" s="154"/>
      <c r="X431" s="154"/>
      <c r="Y431" s="154"/>
      <c r="Z431" s="154"/>
    </row>
    <row r="432" spans="2:26" ht="27" hidden="1" outlineLevel="1">
      <c r="B432" s="165" t="s">
        <v>2330</v>
      </c>
      <c r="C432" s="165" t="s">
        <v>3402</v>
      </c>
      <c r="D432" s="165" t="s">
        <v>3745</v>
      </c>
      <c r="E432" s="404">
        <v>20863305.480616648</v>
      </c>
      <c r="F432" s="165">
        <v>20</v>
      </c>
      <c r="G432" s="405">
        <v>49521</v>
      </c>
      <c r="H432" s="404">
        <v>7305</v>
      </c>
      <c r="I432" s="404">
        <v>1043165.2740308325</v>
      </c>
      <c r="J432" s="404">
        <v>19820140.206585817</v>
      </c>
      <c r="K432" s="404">
        <v>365</v>
      </c>
      <c r="L432" s="404">
        <v>990329</v>
      </c>
      <c r="M432" s="404">
        <v>6607419</v>
      </c>
      <c r="N432" s="404">
        <v>14255886.480616648</v>
      </c>
      <c r="O432" s="154"/>
      <c r="P432" s="154"/>
      <c r="Q432" s="154"/>
      <c r="R432" s="154"/>
      <c r="S432" s="154"/>
      <c r="T432" s="154"/>
      <c r="U432" s="154"/>
      <c r="V432" s="154"/>
      <c r="W432" s="154"/>
      <c r="X432" s="154"/>
      <c r="Y432" s="154"/>
      <c r="Z432" s="154"/>
    </row>
    <row r="433" spans="2:26" hidden="1" outlineLevel="1">
      <c r="B433" s="165"/>
      <c r="C433" s="165"/>
      <c r="D433" s="165"/>
      <c r="E433" s="404"/>
      <c r="F433" s="165"/>
      <c r="G433" s="405"/>
      <c r="H433" s="404"/>
      <c r="I433" s="404"/>
      <c r="J433" s="404"/>
      <c r="K433" s="404"/>
      <c r="L433" s="404"/>
      <c r="M433" s="404"/>
      <c r="N433" s="404"/>
      <c r="O433" s="154"/>
      <c r="P433" s="154"/>
      <c r="Q433" s="154"/>
      <c r="R433" s="154"/>
      <c r="S433" s="154"/>
      <c r="T433" s="154"/>
      <c r="U433" s="154"/>
      <c r="V433" s="154"/>
      <c r="W433" s="154"/>
      <c r="X433" s="154"/>
      <c r="Y433" s="154"/>
      <c r="Z433" s="154"/>
    </row>
    <row r="434" spans="2:26" hidden="1" outlineLevel="1">
      <c r="B434" s="165" t="s">
        <v>2330</v>
      </c>
      <c r="C434" s="165" t="s">
        <v>3402</v>
      </c>
      <c r="D434" s="165" t="s">
        <v>3405</v>
      </c>
      <c r="E434" s="404">
        <v>14915111.032710148</v>
      </c>
      <c r="F434" s="165">
        <v>15</v>
      </c>
      <c r="G434" s="405">
        <v>47695</v>
      </c>
      <c r="H434" s="404">
        <v>5479</v>
      </c>
      <c r="I434" s="404">
        <v>745755.55163550749</v>
      </c>
      <c r="J434" s="404">
        <v>14169355.481074641</v>
      </c>
      <c r="K434" s="404">
        <v>365</v>
      </c>
      <c r="L434" s="404">
        <v>943934</v>
      </c>
      <c r="M434" s="404">
        <v>6297875</v>
      </c>
      <c r="N434" s="404">
        <v>8617236.032710148</v>
      </c>
      <c r="O434" s="154"/>
      <c r="P434" s="154"/>
      <c r="Q434" s="154"/>
      <c r="R434" s="154"/>
      <c r="S434" s="154"/>
      <c r="T434" s="154"/>
      <c r="U434" s="154"/>
      <c r="V434" s="154"/>
      <c r="W434" s="154"/>
      <c r="X434" s="154"/>
      <c r="Y434" s="154"/>
      <c r="Z434" s="154"/>
    </row>
    <row r="435" spans="2:26" hidden="1" outlineLevel="1">
      <c r="B435" s="165"/>
      <c r="C435" s="165"/>
      <c r="D435" s="165"/>
      <c r="E435" s="404"/>
      <c r="F435" s="165"/>
      <c r="G435" s="405"/>
      <c r="H435" s="404"/>
      <c r="I435" s="404"/>
      <c r="J435" s="404"/>
      <c r="K435" s="404"/>
      <c r="L435" s="404"/>
      <c r="M435" s="404"/>
      <c r="N435" s="404"/>
      <c r="O435" s="154"/>
      <c r="P435" s="154"/>
      <c r="Q435" s="154"/>
      <c r="R435" s="154"/>
      <c r="S435" s="154"/>
      <c r="T435" s="154"/>
      <c r="U435" s="154"/>
      <c r="V435" s="154"/>
      <c r="W435" s="154"/>
      <c r="X435" s="154"/>
      <c r="Y435" s="154"/>
      <c r="Z435" s="154"/>
    </row>
    <row r="436" spans="2:26" ht="40.5" hidden="1" outlineLevel="1">
      <c r="B436" s="165" t="s">
        <v>2330</v>
      </c>
      <c r="C436" s="165" t="s">
        <v>3402</v>
      </c>
      <c r="D436" s="165" t="s">
        <v>3746</v>
      </c>
      <c r="E436" s="404">
        <v>21411882.506771471</v>
      </c>
      <c r="F436" s="165">
        <v>15</v>
      </c>
      <c r="G436" s="405">
        <v>47695</v>
      </c>
      <c r="H436" s="404">
        <v>5479</v>
      </c>
      <c r="I436" s="404">
        <v>1070594.1253385737</v>
      </c>
      <c r="J436" s="404">
        <v>20341288.381432898</v>
      </c>
      <c r="K436" s="404">
        <v>365</v>
      </c>
      <c r="L436" s="404">
        <v>1355096</v>
      </c>
      <c r="M436" s="404">
        <v>9041124</v>
      </c>
      <c r="N436" s="404">
        <v>12370758.506771471</v>
      </c>
      <c r="O436" s="154"/>
      <c r="P436" s="154"/>
      <c r="Q436" s="154"/>
      <c r="R436" s="154"/>
      <c r="S436" s="154"/>
      <c r="T436" s="154"/>
      <c r="U436" s="154"/>
      <c r="V436" s="154"/>
      <c r="W436" s="154"/>
      <c r="X436" s="154"/>
      <c r="Y436" s="154"/>
      <c r="Z436" s="154"/>
    </row>
    <row r="437" spans="2:26" ht="40.5" hidden="1" outlineLevel="1">
      <c r="B437" s="165" t="s">
        <v>2330</v>
      </c>
      <c r="C437" s="165" t="s">
        <v>3402</v>
      </c>
      <c r="D437" s="165" t="s">
        <v>3747</v>
      </c>
      <c r="E437" s="404">
        <v>14274589.150192467</v>
      </c>
      <c r="F437" s="165">
        <v>20</v>
      </c>
      <c r="G437" s="405">
        <v>49521</v>
      </c>
      <c r="H437" s="404">
        <v>7305</v>
      </c>
      <c r="I437" s="404">
        <v>713729.45750962337</v>
      </c>
      <c r="J437" s="404">
        <v>13560859.692682844</v>
      </c>
      <c r="K437" s="404">
        <v>365</v>
      </c>
      <c r="L437" s="404">
        <v>677579</v>
      </c>
      <c r="M437" s="404">
        <v>4520769</v>
      </c>
      <c r="N437" s="404">
        <v>9753820.1501924675</v>
      </c>
      <c r="O437" s="154"/>
      <c r="P437" s="154"/>
      <c r="Q437" s="154"/>
      <c r="R437" s="154"/>
      <c r="S437" s="154"/>
      <c r="T437" s="154"/>
      <c r="U437" s="154"/>
      <c r="V437" s="154"/>
      <c r="W437" s="154"/>
      <c r="X437" s="154"/>
      <c r="Y437" s="154"/>
      <c r="Z437" s="154"/>
    </row>
    <row r="438" spans="2:26" hidden="1" outlineLevel="1">
      <c r="B438" s="165"/>
      <c r="C438" s="165"/>
      <c r="D438" s="165"/>
      <c r="E438" s="404"/>
      <c r="F438" s="165"/>
      <c r="G438" s="405"/>
      <c r="H438" s="404"/>
      <c r="I438" s="404"/>
      <c r="J438" s="404"/>
      <c r="K438" s="404"/>
      <c r="L438" s="404"/>
      <c r="M438" s="404"/>
      <c r="N438" s="404"/>
      <c r="O438" s="154"/>
      <c r="P438" s="154"/>
      <c r="Q438" s="154"/>
      <c r="R438" s="154"/>
      <c r="S438" s="154"/>
      <c r="T438" s="154"/>
      <c r="U438" s="154"/>
      <c r="V438" s="154"/>
      <c r="W438" s="154"/>
      <c r="X438" s="154"/>
      <c r="Y438" s="154"/>
      <c r="Z438" s="154"/>
    </row>
    <row r="439" spans="2:26" ht="27" hidden="1" outlineLevel="1">
      <c r="B439" s="165" t="s">
        <v>2330</v>
      </c>
      <c r="C439" s="165" t="s">
        <v>3402</v>
      </c>
      <c r="D439" s="165" t="s">
        <v>3408</v>
      </c>
      <c r="E439" s="404">
        <v>11902655.120419975</v>
      </c>
      <c r="F439" s="404">
        <v>15</v>
      </c>
      <c r="G439" s="405">
        <v>47695</v>
      </c>
      <c r="H439" s="404">
        <v>5479</v>
      </c>
      <c r="I439" s="404">
        <v>595132.75602099882</v>
      </c>
      <c r="J439" s="404">
        <v>11307522.364398977</v>
      </c>
      <c r="K439" s="404">
        <v>365</v>
      </c>
      <c r="L439" s="404">
        <v>753284</v>
      </c>
      <c r="M439" s="404">
        <v>5025869</v>
      </c>
      <c r="N439" s="404">
        <v>6876786.1204199754</v>
      </c>
      <c r="O439" s="154"/>
      <c r="P439" s="154"/>
      <c r="Q439" s="154"/>
      <c r="R439" s="154"/>
      <c r="S439" s="154"/>
      <c r="T439" s="154"/>
      <c r="U439" s="154"/>
      <c r="V439" s="154"/>
      <c r="W439" s="154"/>
      <c r="X439" s="154"/>
      <c r="Y439" s="154"/>
      <c r="Z439" s="154"/>
    </row>
    <row r="440" spans="2:26" ht="27" hidden="1" outlineLevel="1">
      <c r="B440" s="165" t="s">
        <v>2330</v>
      </c>
      <c r="C440" s="165" t="s">
        <v>3402</v>
      </c>
      <c r="D440" s="165" t="s">
        <v>3409</v>
      </c>
      <c r="E440" s="404">
        <v>17853983.963558201</v>
      </c>
      <c r="F440" s="404">
        <v>20</v>
      </c>
      <c r="G440" s="405">
        <v>49521</v>
      </c>
      <c r="H440" s="404">
        <v>7305</v>
      </c>
      <c r="I440" s="404">
        <v>892699.19817791006</v>
      </c>
      <c r="J440" s="404">
        <v>16961284.765380289</v>
      </c>
      <c r="K440" s="404">
        <v>365</v>
      </c>
      <c r="L440" s="404">
        <v>847484</v>
      </c>
      <c r="M440" s="404">
        <v>5654366</v>
      </c>
      <c r="N440" s="404">
        <v>12199617.963558201</v>
      </c>
      <c r="O440" s="154"/>
      <c r="P440" s="154"/>
      <c r="Q440" s="154"/>
      <c r="R440" s="154"/>
      <c r="S440" s="154"/>
      <c r="T440" s="154"/>
      <c r="U440" s="154"/>
      <c r="V440" s="154"/>
      <c r="W440" s="154"/>
      <c r="X440" s="154"/>
      <c r="Y440" s="154"/>
      <c r="Z440" s="154"/>
    </row>
    <row r="441" spans="2:26" hidden="1" outlineLevel="1">
      <c r="B441" s="165"/>
      <c r="C441" s="165"/>
      <c r="D441" s="165"/>
      <c r="E441" s="404"/>
      <c r="F441" s="165"/>
      <c r="G441" s="405"/>
      <c r="H441" s="404"/>
      <c r="I441" s="404"/>
      <c r="J441" s="404"/>
      <c r="K441" s="404"/>
      <c r="L441" s="404"/>
      <c r="M441" s="404"/>
      <c r="N441" s="404"/>
      <c r="O441" s="154"/>
      <c r="P441" s="154"/>
      <c r="Q441" s="154"/>
      <c r="R441" s="154"/>
      <c r="S441" s="154"/>
      <c r="T441" s="154"/>
      <c r="U441" s="154"/>
      <c r="V441" s="154"/>
      <c r="W441" s="154"/>
      <c r="X441" s="154"/>
      <c r="Y441" s="154"/>
      <c r="Z441" s="154"/>
    </row>
    <row r="442" spans="2:26" ht="27" hidden="1" outlineLevel="1">
      <c r="B442" s="165" t="s">
        <v>2330</v>
      </c>
      <c r="C442" s="165" t="s">
        <v>3402</v>
      </c>
      <c r="D442" s="165" t="s">
        <v>3412</v>
      </c>
      <c r="E442" s="404">
        <v>5228812.0702800229</v>
      </c>
      <c r="F442" s="404">
        <v>15</v>
      </c>
      <c r="G442" s="405">
        <v>47695</v>
      </c>
      <c r="H442" s="404">
        <v>5479</v>
      </c>
      <c r="I442" s="404">
        <v>261440.60351400115</v>
      </c>
      <c r="J442" s="404">
        <v>4967371.4667660221</v>
      </c>
      <c r="K442" s="404">
        <v>365</v>
      </c>
      <c r="L442" s="404">
        <v>330916</v>
      </c>
      <c r="M442" s="404">
        <v>2207854</v>
      </c>
      <c r="N442" s="404">
        <v>3020958.0702800229</v>
      </c>
      <c r="O442" s="154"/>
      <c r="P442" s="154"/>
      <c r="Q442" s="154"/>
      <c r="R442" s="154"/>
      <c r="S442" s="154"/>
      <c r="T442" s="154"/>
      <c r="U442" s="154"/>
      <c r="V442" s="154"/>
      <c r="W442" s="154"/>
      <c r="X442" s="154"/>
      <c r="Y442" s="154"/>
      <c r="Z442" s="154"/>
    </row>
    <row r="443" spans="2:26" ht="27" hidden="1" outlineLevel="1">
      <c r="B443" s="165" t="s">
        <v>2330</v>
      </c>
      <c r="C443" s="165" t="s">
        <v>3402</v>
      </c>
      <c r="D443" s="165" t="s">
        <v>3413</v>
      </c>
      <c r="E443" s="404">
        <v>7843218.005298133</v>
      </c>
      <c r="F443" s="404">
        <v>20</v>
      </c>
      <c r="G443" s="405">
        <v>49521</v>
      </c>
      <c r="H443" s="404">
        <v>7305</v>
      </c>
      <c r="I443" s="404">
        <v>392160.9002649067</v>
      </c>
      <c r="J443" s="404">
        <v>7451057.1050332263</v>
      </c>
      <c r="K443" s="404">
        <v>365</v>
      </c>
      <c r="L443" s="404">
        <v>372298</v>
      </c>
      <c r="M443" s="404">
        <v>2483951</v>
      </c>
      <c r="N443" s="404">
        <v>5359267.005298133</v>
      </c>
      <c r="O443" s="154"/>
      <c r="P443" s="154"/>
      <c r="Q443" s="154"/>
      <c r="R443" s="154"/>
      <c r="S443" s="154"/>
      <c r="T443" s="154"/>
      <c r="U443" s="154"/>
      <c r="V443" s="154"/>
      <c r="W443" s="154"/>
      <c r="X443" s="154"/>
      <c r="Y443" s="154"/>
      <c r="Z443" s="154"/>
    </row>
    <row r="444" spans="2:26" hidden="1" outlineLevel="1">
      <c r="B444" s="165"/>
      <c r="C444" s="165"/>
      <c r="D444" s="165"/>
      <c r="E444" s="404"/>
      <c r="F444" s="165"/>
      <c r="G444" s="405"/>
      <c r="H444" s="404"/>
      <c r="I444" s="404"/>
      <c r="J444" s="404"/>
      <c r="K444" s="404"/>
      <c r="L444" s="404"/>
      <c r="M444" s="404"/>
      <c r="N444" s="404"/>
      <c r="O444" s="154"/>
      <c r="P444" s="154"/>
      <c r="Q444" s="154"/>
      <c r="R444" s="154"/>
      <c r="S444" s="154"/>
      <c r="T444" s="154"/>
      <c r="U444" s="154"/>
      <c r="V444" s="154"/>
      <c r="W444" s="154"/>
      <c r="X444" s="154"/>
      <c r="Y444" s="154"/>
      <c r="Z444" s="154"/>
    </row>
    <row r="445" spans="2:26" ht="27" hidden="1" outlineLevel="1">
      <c r="B445" s="165" t="s">
        <v>2330</v>
      </c>
      <c r="C445" s="165" t="s">
        <v>3402</v>
      </c>
      <c r="D445" s="165" t="s">
        <v>3748</v>
      </c>
      <c r="E445" s="404">
        <v>11665747.23989046</v>
      </c>
      <c r="F445" s="165">
        <v>15</v>
      </c>
      <c r="G445" s="405">
        <v>47695</v>
      </c>
      <c r="H445" s="404">
        <v>5479</v>
      </c>
      <c r="I445" s="404">
        <v>583287.36199452297</v>
      </c>
      <c r="J445" s="404">
        <v>11082459.877895936</v>
      </c>
      <c r="K445" s="404">
        <v>365</v>
      </c>
      <c r="L445" s="404">
        <v>738291</v>
      </c>
      <c r="M445" s="404">
        <v>4925837</v>
      </c>
      <c r="N445" s="404">
        <v>6739910.2398904599</v>
      </c>
      <c r="O445" s="154"/>
      <c r="P445" s="154"/>
      <c r="Q445" s="154"/>
      <c r="R445" s="154"/>
      <c r="S445" s="154"/>
      <c r="T445" s="154"/>
      <c r="U445" s="154"/>
      <c r="V445" s="154"/>
      <c r="W445" s="154"/>
      <c r="X445" s="154"/>
      <c r="Y445" s="154"/>
      <c r="Z445" s="154"/>
    </row>
    <row r="446" spans="2:26" ht="27" hidden="1" outlineLevel="1">
      <c r="B446" s="165" t="s">
        <v>2330</v>
      </c>
      <c r="C446" s="165" t="s">
        <v>3402</v>
      </c>
      <c r="D446" s="165" t="s">
        <v>3749</v>
      </c>
      <c r="E446" s="404">
        <v>7777165.2266749069</v>
      </c>
      <c r="F446" s="165">
        <v>20</v>
      </c>
      <c r="G446" s="405">
        <v>49521</v>
      </c>
      <c r="H446" s="404">
        <v>7305</v>
      </c>
      <c r="I446" s="404">
        <v>388858.26133374538</v>
      </c>
      <c r="J446" s="404">
        <v>7388306.9653411619</v>
      </c>
      <c r="K446" s="404">
        <v>365</v>
      </c>
      <c r="L446" s="404">
        <v>369162</v>
      </c>
      <c r="M446" s="404">
        <v>2463029</v>
      </c>
      <c r="N446" s="404">
        <v>5314136.2266749069</v>
      </c>
      <c r="O446" s="154"/>
      <c r="P446" s="154"/>
      <c r="Q446" s="154"/>
      <c r="R446" s="154"/>
      <c r="S446" s="154"/>
      <c r="T446" s="154"/>
      <c r="U446" s="154"/>
      <c r="V446" s="154"/>
      <c r="W446" s="154"/>
      <c r="X446" s="154"/>
      <c r="Y446" s="154"/>
      <c r="Z446" s="154"/>
    </row>
    <row r="447" spans="2:26" hidden="1" outlineLevel="1">
      <c r="B447" s="165"/>
      <c r="C447" s="165"/>
      <c r="D447" s="165"/>
      <c r="E447" s="404"/>
      <c r="F447" s="165"/>
      <c r="G447" s="405"/>
      <c r="H447" s="404"/>
      <c r="I447" s="404"/>
      <c r="J447" s="404"/>
      <c r="K447" s="404"/>
      <c r="L447" s="404"/>
      <c r="M447" s="404"/>
      <c r="N447" s="404"/>
      <c r="O447" s="154"/>
      <c r="P447" s="154"/>
      <c r="Q447" s="154"/>
      <c r="R447" s="154"/>
      <c r="S447" s="154"/>
      <c r="T447" s="154"/>
      <c r="U447" s="154"/>
      <c r="V447" s="154"/>
      <c r="W447" s="154"/>
      <c r="X447" s="154"/>
      <c r="Y447" s="154"/>
      <c r="Z447" s="154"/>
    </row>
    <row r="448" spans="2:26" hidden="1" outlineLevel="1">
      <c r="B448" s="165" t="s">
        <v>2330</v>
      </c>
      <c r="C448" s="165" t="s">
        <v>3402</v>
      </c>
      <c r="D448" s="165" t="s">
        <v>3750</v>
      </c>
      <c r="E448" s="404">
        <v>10219065.874005383</v>
      </c>
      <c r="F448" s="165">
        <v>15</v>
      </c>
      <c r="G448" s="405">
        <v>47695</v>
      </c>
      <c r="H448" s="404">
        <v>5479</v>
      </c>
      <c r="I448" s="404">
        <v>510953.29370026919</v>
      </c>
      <c r="J448" s="404">
        <v>9708112.5803051144</v>
      </c>
      <c r="K448" s="404">
        <v>365</v>
      </c>
      <c r="L448" s="404">
        <v>646735</v>
      </c>
      <c r="M448" s="404">
        <v>4314980</v>
      </c>
      <c r="N448" s="404">
        <v>5904085.8740053829</v>
      </c>
      <c r="O448" s="154"/>
      <c r="P448" s="154"/>
      <c r="Q448" s="154"/>
      <c r="R448" s="154"/>
      <c r="S448" s="154"/>
      <c r="T448" s="154"/>
      <c r="U448" s="154"/>
      <c r="V448" s="154"/>
      <c r="W448" s="154"/>
      <c r="X448" s="154"/>
      <c r="Y448" s="154"/>
      <c r="Z448" s="154"/>
    </row>
    <row r="449" spans="2:26" hidden="1" outlineLevel="1">
      <c r="B449" s="165" t="s">
        <v>2330</v>
      </c>
      <c r="C449" s="165" t="s">
        <v>3402</v>
      </c>
      <c r="D449" s="165" t="s">
        <v>3751</v>
      </c>
      <c r="E449" s="404">
        <v>6812709.2622745968</v>
      </c>
      <c r="F449" s="165">
        <v>20</v>
      </c>
      <c r="G449" s="405">
        <v>49521</v>
      </c>
      <c r="H449" s="404">
        <v>7305</v>
      </c>
      <c r="I449" s="404">
        <v>340635.46311372984</v>
      </c>
      <c r="J449" s="404">
        <v>6472073.799160867</v>
      </c>
      <c r="K449" s="404">
        <v>365</v>
      </c>
      <c r="L449" s="404">
        <v>323382</v>
      </c>
      <c r="M449" s="404">
        <v>2157587</v>
      </c>
      <c r="N449" s="404">
        <v>4655122.2622745968</v>
      </c>
      <c r="O449" s="154"/>
      <c r="P449" s="154"/>
      <c r="Q449" s="154"/>
      <c r="R449" s="154"/>
      <c r="S449" s="154"/>
      <c r="T449" s="154"/>
      <c r="U449" s="154"/>
      <c r="V449" s="154"/>
      <c r="W449" s="154"/>
      <c r="X449" s="154"/>
      <c r="Y449" s="154"/>
      <c r="Z449" s="154"/>
    </row>
    <row r="450" spans="2:26" hidden="1" outlineLevel="1">
      <c r="B450" s="165"/>
      <c r="C450" s="165"/>
      <c r="D450" s="165"/>
      <c r="E450" s="404"/>
      <c r="F450" s="165"/>
      <c r="G450" s="405"/>
      <c r="H450" s="404"/>
      <c r="I450" s="404"/>
      <c r="J450" s="404"/>
      <c r="K450" s="404"/>
      <c r="L450" s="404"/>
      <c r="M450" s="404"/>
      <c r="N450" s="404"/>
      <c r="O450" s="154"/>
      <c r="P450" s="154"/>
      <c r="Q450" s="154"/>
      <c r="R450" s="154"/>
      <c r="S450" s="154"/>
      <c r="T450" s="154"/>
      <c r="U450" s="154"/>
      <c r="V450" s="154"/>
      <c r="W450" s="154"/>
      <c r="X450" s="154"/>
      <c r="Y450" s="154"/>
      <c r="Z450" s="154"/>
    </row>
    <row r="451" spans="2:26" ht="27" hidden="1" outlineLevel="1">
      <c r="B451" s="165" t="s">
        <v>2330</v>
      </c>
      <c r="C451" s="165" t="s">
        <v>3402</v>
      </c>
      <c r="D451" s="165" t="s">
        <v>3752</v>
      </c>
      <c r="E451" s="404">
        <v>9897753.6547517385</v>
      </c>
      <c r="F451" s="165">
        <v>15</v>
      </c>
      <c r="G451" s="405">
        <v>47695</v>
      </c>
      <c r="H451" s="404">
        <v>5479</v>
      </c>
      <c r="I451" s="404">
        <v>494887.68273758696</v>
      </c>
      <c r="J451" s="404">
        <v>9402865.9720141515</v>
      </c>
      <c r="K451" s="404">
        <v>365</v>
      </c>
      <c r="L451" s="404">
        <v>626400</v>
      </c>
      <c r="M451" s="404">
        <v>4179306</v>
      </c>
      <c r="N451" s="404">
        <v>5718447.6547517385</v>
      </c>
      <c r="O451" s="154"/>
      <c r="P451" s="154"/>
      <c r="Q451" s="154"/>
      <c r="R451" s="154"/>
      <c r="S451" s="154"/>
      <c r="T451" s="154"/>
      <c r="U451" s="154"/>
      <c r="V451" s="154"/>
      <c r="W451" s="154"/>
      <c r="X451" s="154"/>
      <c r="Y451" s="154"/>
      <c r="Z451" s="154"/>
    </row>
    <row r="452" spans="2:26" ht="27" hidden="1" outlineLevel="1">
      <c r="B452" s="165" t="s">
        <v>2330</v>
      </c>
      <c r="C452" s="165" t="s">
        <v>3402</v>
      </c>
      <c r="D452" s="165" t="s">
        <v>3417</v>
      </c>
      <c r="E452" s="404">
        <v>6598505.0405735103</v>
      </c>
      <c r="F452" s="165">
        <v>20</v>
      </c>
      <c r="G452" s="405">
        <v>49521</v>
      </c>
      <c r="H452" s="404">
        <v>7305</v>
      </c>
      <c r="I452" s="404">
        <v>329925.25202867552</v>
      </c>
      <c r="J452" s="404">
        <v>6268579.7885448346</v>
      </c>
      <c r="K452" s="404">
        <v>365</v>
      </c>
      <c r="L452" s="404">
        <v>313214</v>
      </c>
      <c r="M452" s="404">
        <v>2089747</v>
      </c>
      <c r="N452" s="404">
        <v>4508758.0405735103</v>
      </c>
      <c r="O452" s="154"/>
      <c r="P452" s="154"/>
      <c r="Q452" s="154"/>
      <c r="R452" s="154"/>
      <c r="S452" s="154"/>
      <c r="T452" s="154"/>
      <c r="U452" s="154"/>
      <c r="V452" s="154"/>
      <c r="W452" s="154"/>
      <c r="X452" s="154"/>
      <c r="Y452" s="154"/>
      <c r="Z452" s="154"/>
    </row>
    <row r="453" spans="2:26" hidden="1" outlineLevel="1">
      <c r="B453" s="165"/>
      <c r="C453" s="165"/>
      <c r="D453" s="165"/>
      <c r="E453" s="404"/>
      <c r="F453" s="165"/>
      <c r="G453" s="405"/>
      <c r="H453" s="404"/>
      <c r="I453" s="404"/>
      <c r="J453" s="404"/>
      <c r="K453" s="404"/>
      <c r="L453" s="404"/>
      <c r="M453" s="404"/>
      <c r="N453" s="404"/>
      <c r="O453" s="154"/>
      <c r="P453" s="154"/>
      <c r="Q453" s="154"/>
      <c r="R453" s="154"/>
      <c r="S453" s="154"/>
      <c r="T453" s="154"/>
      <c r="U453" s="154"/>
      <c r="V453" s="154"/>
      <c r="W453" s="154"/>
      <c r="X453" s="154"/>
      <c r="Y453" s="154"/>
      <c r="Z453" s="154"/>
    </row>
    <row r="454" spans="2:26" ht="27" hidden="1" outlineLevel="1">
      <c r="B454" s="165" t="s">
        <v>2330</v>
      </c>
      <c r="C454" s="165" t="s">
        <v>3402</v>
      </c>
      <c r="D454" s="165" t="s">
        <v>3752</v>
      </c>
      <c r="E454" s="404">
        <v>30617954.377045326</v>
      </c>
      <c r="F454" s="165">
        <v>15</v>
      </c>
      <c r="G454" s="405">
        <v>47695</v>
      </c>
      <c r="H454" s="404">
        <v>5479</v>
      </c>
      <c r="I454" s="404">
        <v>1530897.7188522664</v>
      </c>
      <c r="J454" s="404">
        <v>29087056.658193059</v>
      </c>
      <c r="K454" s="404">
        <v>365</v>
      </c>
      <c r="L454" s="404">
        <v>1937721</v>
      </c>
      <c r="M454" s="404">
        <v>12928367</v>
      </c>
      <c r="N454" s="404">
        <v>17689587.377045326</v>
      </c>
      <c r="O454" s="154"/>
      <c r="P454" s="154"/>
      <c r="Q454" s="154"/>
      <c r="R454" s="154"/>
      <c r="S454" s="154"/>
      <c r="T454" s="154"/>
      <c r="U454" s="154"/>
      <c r="V454" s="154"/>
      <c r="W454" s="154"/>
      <c r="X454" s="154"/>
      <c r="Y454" s="154"/>
      <c r="Z454" s="154"/>
    </row>
    <row r="455" spans="2:26" ht="27" hidden="1" outlineLevel="1">
      <c r="B455" s="165" t="s">
        <v>2330</v>
      </c>
      <c r="C455" s="165" t="s">
        <v>3402</v>
      </c>
      <c r="D455" s="165" t="s">
        <v>3417</v>
      </c>
      <c r="E455" s="404">
        <v>20411971.639324557</v>
      </c>
      <c r="F455" s="165">
        <v>20</v>
      </c>
      <c r="G455" s="405">
        <v>49521</v>
      </c>
      <c r="H455" s="404">
        <v>7305</v>
      </c>
      <c r="I455" s="404">
        <v>1020598.5819662279</v>
      </c>
      <c r="J455" s="404">
        <v>19391373.057358328</v>
      </c>
      <c r="K455" s="404">
        <v>365</v>
      </c>
      <c r="L455" s="404">
        <v>968905</v>
      </c>
      <c r="M455" s="404">
        <v>6464480</v>
      </c>
      <c r="N455" s="404">
        <v>13947491.639324557</v>
      </c>
      <c r="O455" s="154"/>
      <c r="P455" s="154"/>
      <c r="Q455" s="154"/>
      <c r="R455" s="154"/>
      <c r="S455" s="154"/>
      <c r="T455" s="154"/>
      <c r="U455" s="154"/>
      <c r="V455" s="154"/>
      <c r="W455" s="154"/>
      <c r="X455" s="154"/>
      <c r="Y455" s="154"/>
      <c r="Z455" s="154"/>
    </row>
    <row r="456" spans="2:26" hidden="1" outlineLevel="1">
      <c r="B456" s="165"/>
      <c r="C456" s="165"/>
      <c r="D456" s="165"/>
      <c r="E456" s="404"/>
      <c r="F456" s="165"/>
      <c r="G456" s="405"/>
      <c r="H456" s="404"/>
      <c r="I456" s="404"/>
      <c r="J456" s="404"/>
      <c r="K456" s="404"/>
      <c r="L456" s="404"/>
      <c r="M456" s="404"/>
      <c r="N456" s="404"/>
      <c r="O456" s="154"/>
      <c r="P456" s="154"/>
      <c r="Q456" s="154"/>
      <c r="R456" s="154"/>
      <c r="S456" s="154"/>
      <c r="T456" s="154"/>
      <c r="U456" s="154"/>
      <c r="V456" s="154"/>
      <c r="W456" s="154"/>
      <c r="X456" s="154"/>
      <c r="Y456" s="154"/>
      <c r="Z456" s="154"/>
    </row>
    <row r="457" spans="2:26" ht="27" hidden="1" outlineLevel="1">
      <c r="B457" s="165" t="s">
        <v>2330</v>
      </c>
      <c r="C457" s="165" t="s">
        <v>3419</v>
      </c>
      <c r="D457" s="165" t="s">
        <v>3420</v>
      </c>
      <c r="E457" s="404">
        <v>29265264.724855196</v>
      </c>
      <c r="F457" s="165">
        <v>10</v>
      </c>
      <c r="G457" s="405">
        <v>45869</v>
      </c>
      <c r="H457" s="404">
        <v>3653</v>
      </c>
      <c r="I457" s="404">
        <v>1463263.23624276</v>
      </c>
      <c r="J457" s="404">
        <v>27802001.488612436</v>
      </c>
      <c r="K457" s="404">
        <v>365</v>
      </c>
      <c r="L457" s="404">
        <v>2777917</v>
      </c>
      <c r="M457" s="404">
        <v>18534107</v>
      </c>
      <c r="N457" s="404">
        <v>10731157.724855196</v>
      </c>
      <c r="O457" s="154"/>
      <c r="P457" s="154"/>
      <c r="Q457" s="154"/>
      <c r="R457" s="154"/>
      <c r="S457" s="154"/>
      <c r="T457" s="154"/>
      <c r="U457" s="154"/>
      <c r="V457" s="154"/>
      <c r="W457" s="154"/>
      <c r="X457" s="154"/>
      <c r="Y457" s="154"/>
      <c r="Z457" s="154"/>
    </row>
    <row r="458" spans="2:26" hidden="1" outlineLevel="1">
      <c r="B458" s="165" t="s">
        <v>2330</v>
      </c>
      <c r="C458" s="165" t="s">
        <v>3419</v>
      </c>
      <c r="D458" s="165" t="s">
        <v>3421</v>
      </c>
      <c r="E458" s="404">
        <v>29265264.724855196</v>
      </c>
      <c r="F458" s="165">
        <v>10</v>
      </c>
      <c r="G458" s="405">
        <v>45869</v>
      </c>
      <c r="H458" s="404">
        <v>3653</v>
      </c>
      <c r="I458" s="404">
        <v>1463263.23624276</v>
      </c>
      <c r="J458" s="404">
        <v>27802001.488612436</v>
      </c>
      <c r="K458" s="404">
        <v>365</v>
      </c>
      <c r="L458" s="404">
        <v>2777917</v>
      </c>
      <c r="M458" s="404">
        <v>18534107</v>
      </c>
      <c r="N458" s="404">
        <v>10731157.724855196</v>
      </c>
      <c r="O458" s="154"/>
      <c r="P458" s="154"/>
      <c r="Q458" s="154"/>
      <c r="R458" s="154"/>
      <c r="S458" s="154"/>
      <c r="T458" s="154"/>
      <c r="U458" s="154"/>
      <c r="V458" s="154"/>
      <c r="W458" s="154"/>
      <c r="X458" s="154"/>
      <c r="Y458" s="154"/>
      <c r="Z458" s="154"/>
    </row>
    <row r="459" spans="2:26" ht="27" hidden="1" outlineLevel="1">
      <c r="B459" s="165" t="s">
        <v>2330</v>
      </c>
      <c r="C459" s="165" t="s">
        <v>3419</v>
      </c>
      <c r="D459" s="165" t="s">
        <v>3422</v>
      </c>
      <c r="E459" s="404">
        <v>41253641.456194632</v>
      </c>
      <c r="F459" s="165">
        <v>10</v>
      </c>
      <c r="G459" s="405">
        <v>45869</v>
      </c>
      <c r="H459" s="404">
        <v>3653</v>
      </c>
      <c r="I459" s="404">
        <v>2062682.0728097316</v>
      </c>
      <c r="J459" s="404">
        <v>39190959.383384898</v>
      </c>
      <c r="K459" s="404">
        <v>365</v>
      </c>
      <c r="L459" s="404">
        <v>3915877</v>
      </c>
      <c r="M459" s="404">
        <v>26126513</v>
      </c>
      <c r="N459" s="404">
        <v>15127128.456194632</v>
      </c>
      <c r="O459" s="154"/>
      <c r="P459" s="154"/>
      <c r="Q459" s="154"/>
      <c r="R459" s="154"/>
      <c r="S459" s="154"/>
      <c r="T459" s="154"/>
      <c r="U459" s="154"/>
      <c r="V459" s="154"/>
      <c r="W459" s="154"/>
      <c r="X459" s="154"/>
      <c r="Y459" s="154"/>
      <c r="Z459" s="154"/>
    </row>
    <row r="460" spans="2:26" hidden="1" outlineLevel="1">
      <c r="B460" s="165" t="s">
        <v>2330</v>
      </c>
      <c r="C460" s="165" t="s">
        <v>3419</v>
      </c>
      <c r="D460" s="165" t="s">
        <v>3423</v>
      </c>
      <c r="E460" s="404">
        <v>10140105.374453792</v>
      </c>
      <c r="F460" s="165">
        <v>25</v>
      </c>
      <c r="G460" s="405">
        <v>51348</v>
      </c>
      <c r="H460" s="404">
        <v>9132</v>
      </c>
      <c r="I460" s="404">
        <v>507005.26872268965</v>
      </c>
      <c r="J460" s="404">
        <v>9633100.1057311036</v>
      </c>
      <c r="K460" s="404">
        <v>365</v>
      </c>
      <c r="L460" s="404">
        <v>385029</v>
      </c>
      <c r="M460" s="404">
        <v>2568892</v>
      </c>
      <c r="N460" s="404">
        <v>7571213.3744537923</v>
      </c>
      <c r="O460" s="154"/>
      <c r="P460" s="154"/>
      <c r="Q460" s="154"/>
      <c r="R460" s="154"/>
      <c r="S460" s="154"/>
      <c r="T460" s="154"/>
      <c r="U460" s="154"/>
      <c r="V460" s="154"/>
      <c r="W460" s="154"/>
      <c r="X460" s="154"/>
      <c r="Y460" s="154"/>
      <c r="Z460" s="154"/>
    </row>
    <row r="461" spans="2:26" hidden="1" outlineLevel="1">
      <c r="B461" s="165" t="s">
        <v>2330</v>
      </c>
      <c r="C461" s="165" t="s">
        <v>3419</v>
      </c>
      <c r="D461" s="165" t="s">
        <v>3424</v>
      </c>
      <c r="E461" s="404">
        <v>40026820.591056928</v>
      </c>
      <c r="F461" s="165">
        <v>15</v>
      </c>
      <c r="G461" s="405">
        <v>47695</v>
      </c>
      <c r="H461" s="404">
        <v>5479</v>
      </c>
      <c r="I461" s="404">
        <v>2001341.0295528464</v>
      </c>
      <c r="J461" s="404">
        <v>38025479.561504081</v>
      </c>
      <c r="K461" s="404">
        <v>365</v>
      </c>
      <c r="L461" s="404">
        <v>2533181</v>
      </c>
      <c r="M461" s="404">
        <v>16901242</v>
      </c>
      <c r="N461" s="404">
        <v>23125578.591056928</v>
      </c>
      <c r="O461" s="154"/>
      <c r="P461" s="154"/>
      <c r="Q461" s="154"/>
      <c r="R461" s="154"/>
      <c r="S461" s="154"/>
      <c r="T461" s="154"/>
      <c r="U461" s="154"/>
      <c r="V461" s="154"/>
      <c r="W461" s="154"/>
      <c r="X461" s="154"/>
      <c r="Y461" s="154"/>
      <c r="Z461" s="154"/>
    </row>
    <row r="462" spans="2:26" hidden="1" outlineLevel="1">
      <c r="B462" s="165"/>
      <c r="C462" s="165"/>
      <c r="D462" s="165"/>
      <c r="E462" s="404"/>
      <c r="F462" s="165"/>
      <c r="G462" s="405"/>
      <c r="H462" s="404"/>
      <c r="I462" s="404"/>
      <c r="J462" s="404"/>
      <c r="K462" s="404"/>
      <c r="L462" s="404"/>
      <c r="M462" s="404"/>
      <c r="N462" s="404"/>
      <c r="O462" s="154"/>
      <c r="P462" s="154"/>
      <c r="Q462" s="154"/>
      <c r="R462" s="154"/>
      <c r="S462" s="154"/>
      <c r="T462" s="154"/>
      <c r="U462" s="154"/>
      <c r="V462" s="154"/>
      <c r="W462" s="154"/>
      <c r="X462" s="154"/>
      <c r="Y462" s="154"/>
      <c r="Z462" s="154"/>
    </row>
    <row r="463" spans="2:26" hidden="1" outlineLevel="1">
      <c r="B463" s="165" t="s">
        <v>2330</v>
      </c>
      <c r="C463" s="165" t="s">
        <v>3425</v>
      </c>
      <c r="D463" s="165"/>
      <c r="E463" s="404">
        <v>42945188.027913645</v>
      </c>
      <c r="F463" s="165">
        <v>25</v>
      </c>
      <c r="G463" s="405">
        <v>51348</v>
      </c>
      <c r="H463" s="404">
        <v>9132</v>
      </c>
      <c r="I463" s="404">
        <v>2147259.4013956822</v>
      </c>
      <c r="J463" s="404">
        <v>40797928.626517966</v>
      </c>
      <c r="K463" s="404">
        <v>365</v>
      </c>
      <c r="L463" s="404">
        <v>1630666</v>
      </c>
      <c r="M463" s="404">
        <v>10879713</v>
      </c>
      <c r="N463" s="404">
        <v>32065475.027913645</v>
      </c>
      <c r="O463" s="154"/>
      <c r="P463" s="154"/>
      <c r="Q463" s="154"/>
      <c r="R463" s="154"/>
      <c r="S463" s="154"/>
      <c r="T463" s="154"/>
      <c r="U463" s="154"/>
      <c r="V463" s="154"/>
      <c r="W463" s="154"/>
      <c r="X463" s="154"/>
      <c r="Y463" s="154"/>
      <c r="Z463" s="154"/>
    </row>
    <row r="464" spans="2:26" hidden="1" outlineLevel="1">
      <c r="B464" s="165" t="s">
        <v>2330</v>
      </c>
      <c r="C464" s="165" t="s">
        <v>3845</v>
      </c>
      <c r="D464" s="165"/>
      <c r="E464" s="404">
        <v>102141540.27358083</v>
      </c>
      <c r="F464" s="165">
        <v>15</v>
      </c>
      <c r="G464" s="405">
        <v>47695</v>
      </c>
      <c r="H464" s="404">
        <v>5479</v>
      </c>
      <c r="I464" s="404">
        <v>5107077.0136790425</v>
      </c>
      <c r="J464" s="404">
        <v>97034463.259901792</v>
      </c>
      <c r="K464" s="404">
        <v>365</v>
      </c>
      <c r="L464" s="404">
        <v>6464241</v>
      </c>
      <c r="M464" s="404">
        <v>43129056</v>
      </c>
      <c r="N464" s="404">
        <v>59012484.273580834</v>
      </c>
      <c r="O464" s="154"/>
      <c r="P464" s="154"/>
      <c r="Q464" s="154"/>
      <c r="R464" s="154"/>
      <c r="S464" s="154"/>
      <c r="T464" s="154"/>
      <c r="U464" s="154"/>
      <c r="V464" s="154"/>
      <c r="W464" s="154"/>
      <c r="X464" s="154"/>
      <c r="Y464" s="154"/>
      <c r="Z464" s="154"/>
    </row>
    <row r="465" spans="2:26" hidden="1" outlineLevel="1">
      <c r="B465" s="165" t="s">
        <v>2330</v>
      </c>
      <c r="C465" s="165" t="s">
        <v>2330</v>
      </c>
      <c r="D465" s="165" t="s">
        <v>3654</v>
      </c>
      <c r="E465" s="404">
        <v>21702781.549731333</v>
      </c>
      <c r="F465" s="165">
        <v>10</v>
      </c>
      <c r="G465" s="405">
        <v>45869</v>
      </c>
      <c r="H465" s="404">
        <v>3653</v>
      </c>
      <c r="I465" s="404">
        <v>1085139.0774865667</v>
      </c>
      <c r="J465" s="404">
        <v>20617642.472244766</v>
      </c>
      <c r="K465" s="404">
        <v>365</v>
      </c>
      <c r="L465" s="404">
        <v>2060071</v>
      </c>
      <c r="M465" s="404">
        <v>13744679</v>
      </c>
      <c r="N465" s="404">
        <v>7958102.5497313328</v>
      </c>
      <c r="O465" s="154"/>
      <c r="P465" s="154"/>
      <c r="Q465" s="154"/>
      <c r="R465" s="154"/>
      <c r="S465" s="154"/>
      <c r="T465" s="154"/>
      <c r="U465" s="154"/>
      <c r="V465" s="154"/>
      <c r="W465" s="154"/>
      <c r="X465" s="154"/>
      <c r="Y465" s="154"/>
      <c r="Z465" s="154"/>
    </row>
    <row r="466" spans="2:26" hidden="1" outlineLevel="1">
      <c r="B466" s="165"/>
      <c r="C466" s="165"/>
      <c r="D466" s="165"/>
      <c r="E466" s="404"/>
      <c r="F466" s="165"/>
      <c r="G466" s="405"/>
      <c r="H466" s="404"/>
      <c r="I466" s="404"/>
      <c r="J466" s="404"/>
      <c r="K466" s="404"/>
      <c r="L466" s="404"/>
      <c r="M466" s="404"/>
      <c r="N466" s="404"/>
      <c r="O466" s="157"/>
      <c r="P466" s="157"/>
      <c r="Q466" s="157"/>
      <c r="R466" s="157"/>
      <c r="S466" s="157"/>
      <c r="T466" s="157"/>
      <c r="U466" s="157"/>
      <c r="V466" s="157"/>
      <c r="W466" s="157"/>
      <c r="X466" s="157"/>
      <c r="Y466" s="157"/>
      <c r="Z466" s="157"/>
    </row>
    <row r="467" spans="2:26" hidden="1" outlineLevel="1">
      <c r="B467" s="165"/>
      <c r="C467" s="165"/>
      <c r="D467" s="165"/>
      <c r="E467" s="403"/>
      <c r="F467" s="165"/>
      <c r="G467" s="405"/>
      <c r="H467" s="404"/>
      <c r="I467" s="404"/>
      <c r="J467" s="404"/>
      <c r="K467" s="404"/>
      <c r="L467" s="404"/>
      <c r="M467" s="404"/>
      <c r="N467" s="403"/>
      <c r="O467" s="157"/>
      <c r="P467" s="157"/>
      <c r="Q467" s="157"/>
      <c r="R467" s="157"/>
      <c r="S467" s="157"/>
      <c r="T467" s="157"/>
      <c r="U467" s="157"/>
      <c r="V467" s="157"/>
      <c r="W467" s="157"/>
      <c r="X467" s="157"/>
      <c r="Y467" s="157"/>
      <c r="Z467" s="157"/>
    </row>
    <row r="468" spans="2:26" hidden="1" outlineLevel="1">
      <c r="B468" s="165"/>
      <c r="C468" s="165"/>
      <c r="D468" s="165"/>
      <c r="E468" s="403"/>
      <c r="F468" s="165"/>
      <c r="G468" s="405"/>
      <c r="H468" s="404"/>
      <c r="I468" s="404"/>
      <c r="J468" s="404"/>
      <c r="K468" s="404"/>
      <c r="L468" s="404"/>
      <c r="M468" s="404"/>
      <c r="N468" s="403"/>
      <c r="O468" s="157"/>
      <c r="P468" s="157"/>
      <c r="Q468" s="157"/>
      <c r="R468" s="157"/>
      <c r="S468" s="157"/>
      <c r="T468" s="157"/>
      <c r="U468" s="157"/>
      <c r="V468" s="157"/>
      <c r="W468" s="157"/>
      <c r="X468" s="157"/>
      <c r="Y468" s="157"/>
      <c r="Z468" s="157"/>
    </row>
    <row r="469" spans="2:26" ht="14.25" hidden="1">
      <c r="B469" s="411" t="s">
        <v>1837</v>
      </c>
      <c r="C469" s="165"/>
      <c r="D469" s="165"/>
      <c r="E469" s="413">
        <f>SUBTOTAL(9,E403:E468)</f>
        <v>2760891158.9921656</v>
      </c>
      <c r="F469" s="165"/>
      <c r="G469" s="165"/>
      <c r="H469" s="413"/>
      <c r="I469" s="413"/>
      <c r="J469" s="413"/>
      <c r="K469" s="165"/>
      <c r="L469" s="413">
        <f t="shared" ref="L469:N469" si="7">SUBTOTAL(9,L403:L468)</f>
        <v>107075988</v>
      </c>
      <c r="M469" s="413">
        <f t="shared" si="7"/>
        <v>725820740</v>
      </c>
      <c r="N469" s="413">
        <f t="shared" si="7"/>
        <v>2035070418.9921649</v>
      </c>
      <c r="O469" s="157"/>
      <c r="P469" s="157"/>
      <c r="Q469" s="157"/>
      <c r="R469" s="157"/>
      <c r="S469" s="157"/>
      <c r="T469" s="157"/>
      <c r="U469" s="157"/>
      <c r="V469" s="157"/>
      <c r="W469" s="157"/>
      <c r="X469" s="157"/>
      <c r="Y469" s="157"/>
      <c r="Z469" s="157"/>
    </row>
    <row r="470" spans="2:26" hidden="1">
      <c r="B470" s="165"/>
      <c r="C470" s="165"/>
      <c r="D470" s="165"/>
      <c r="E470" s="404"/>
      <c r="F470" s="165"/>
      <c r="G470" s="165"/>
      <c r="H470" s="165"/>
      <c r="I470" s="165"/>
      <c r="J470" s="404"/>
      <c r="K470" s="165"/>
      <c r="L470" s="165"/>
      <c r="M470" s="165"/>
      <c r="N470" s="165"/>
      <c r="O470" s="157"/>
      <c r="P470" s="157"/>
      <c r="Q470" s="157"/>
      <c r="R470" s="157"/>
      <c r="S470" s="157"/>
      <c r="T470" s="157"/>
      <c r="U470" s="157"/>
      <c r="V470" s="157"/>
      <c r="W470" s="157"/>
      <c r="X470" s="157"/>
      <c r="Y470" s="157"/>
      <c r="Z470" s="157"/>
    </row>
    <row r="471" spans="2:26" ht="14.25" hidden="1">
      <c r="B471" s="411" t="str">
        <f>+B473</f>
        <v>Turbine and Generator</v>
      </c>
      <c r="C471" s="165"/>
      <c r="D471" s="165"/>
      <c r="E471" s="404"/>
      <c r="F471" s="165"/>
      <c r="G471" s="165"/>
      <c r="H471" s="165"/>
      <c r="I471" s="165"/>
      <c r="J471" s="404"/>
      <c r="K471" s="165"/>
      <c r="L471" s="165"/>
      <c r="M471" s="165"/>
      <c r="N471" s="165"/>
      <c r="O471" s="157"/>
      <c r="P471" s="157"/>
      <c r="Q471" s="157"/>
      <c r="R471" s="157"/>
      <c r="S471" s="157"/>
      <c r="T471" s="157"/>
      <c r="U471" s="157"/>
      <c r="V471" s="157"/>
      <c r="W471" s="157"/>
      <c r="X471" s="157"/>
      <c r="Y471" s="157"/>
      <c r="Z471" s="157"/>
    </row>
    <row r="472" spans="2:26" hidden="1" outlineLevel="1">
      <c r="B472" s="165"/>
      <c r="C472" s="165"/>
      <c r="D472" s="165"/>
      <c r="E472" s="404"/>
      <c r="F472" s="165"/>
      <c r="G472" s="405"/>
      <c r="H472" s="404"/>
      <c r="I472" s="404"/>
      <c r="J472" s="404"/>
      <c r="K472" s="404"/>
      <c r="L472" s="404"/>
      <c r="M472" s="404"/>
      <c r="N472" s="404"/>
      <c r="O472" s="157"/>
      <c r="P472" s="157"/>
      <c r="Q472" s="157"/>
      <c r="R472" s="157"/>
      <c r="S472" s="157"/>
      <c r="T472" s="157"/>
      <c r="U472" s="157"/>
      <c r="V472" s="157"/>
      <c r="W472" s="157"/>
      <c r="X472" s="157"/>
      <c r="Y472" s="157"/>
      <c r="Z472" s="157"/>
    </row>
    <row r="473" spans="2:26" ht="27" hidden="1" outlineLevel="1">
      <c r="B473" s="165" t="s">
        <v>2332</v>
      </c>
      <c r="C473" s="165" t="s">
        <v>3440</v>
      </c>
      <c r="D473" s="165" t="s">
        <v>3753</v>
      </c>
      <c r="E473" s="404">
        <v>61386276.832651563</v>
      </c>
      <c r="F473" s="165">
        <v>30</v>
      </c>
      <c r="G473" s="405">
        <v>53174</v>
      </c>
      <c r="H473" s="404">
        <v>10958</v>
      </c>
      <c r="I473" s="404">
        <v>3069313.8416325785</v>
      </c>
      <c r="J473" s="404">
        <v>58316962.991018981</v>
      </c>
      <c r="K473" s="404">
        <v>365</v>
      </c>
      <c r="L473" s="404">
        <v>1942480</v>
      </c>
      <c r="M473" s="404">
        <v>12960328</v>
      </c>
      <c r="N473" s="404">
        <v>48425948.832651563</v>
      </c>
      <c r="O473" s="154"/>
      <c r="P473" s="154"/>
      <c r="Q473" s="154"/>
      <c r="R473" s="154"/>
      <c r="S473" s="154"/>
      <c r="T473" s="154"/>
      <c r="U473" s="154"/>
      <c r="V473" s="154"/>
      <c r="W473" s="154"/>
      <c r="X473" s="154"/>
      <c r="Y473" s="154"/>
      <c r="Z473" s="154"/>
    </row>
    <row r="474" spans="2:26" ht="27" hidden="1" outlineLevel="1">
      <c r="B474" s="165" t="s">
        <v>2332</v>
      </c>
      <c r="C474" s="165" t="s">
        <v>3440</v>
      </c>
      <c r="D474" s="165" t="s">
        <v>3754</v>
      </c>
      <c r="E474" s="404">
        <v>26308406.183611821</v>
      </c>
      <c r="F474" s="165">
        <v>25</v>
      </c>
      <c r="G474" s="405">
        <v>51348</v>
      </c>
      <c r="H474" s="404">
        <v>9132</v>
      </c>
      <c r="I474" s="404">
        <v>1315420.3091805913</v>
      </c>
      <c r="J474" s="404">
        <v>24992985.87443123</v>
      </c>
      <c r="K474" s="404">
        <v>365</v>
      </c>
      <c r="L474" s="404">
        <v>998953</v>
      </c>
      <c r="M474" s="404">
        <v>6665067</v>
      </c>
      <c r="N474" s="404">
        <v>19643339.183611821</v>
      </c>
      <c r="O474" s="154"/>
      <c r="P474" s="154"/>
      <c r="Q474" s="154"/>
      <c r="R474" s="154"/>
      <c r="S474" s="154"/>
      <c r="T474" s="154"/>
      <c r="U474" s="154"/>
      <c r="V474" s="154"/>
      <c r="W474" s="154"/>
      <c r="X474" s="154"/>
      <c r="Y474" s="154"/>
      <c r="Z474" s="154"/>
    </row>
    <row r="475" spans="2:26" hidden="1" outlineLevel="1">
      <c r="B475" s="165"/>
      <c r="C475" s="165"/>
      <c r="D475" s="165"/>
      <c r="E475" s="404"/>
      <c r="F475" s="165"/>
      <c r="G475" s="405"/>
      <c r="H475" s="404"/>
      <c r="I475" s="404"/>
      <c r="J475" s="404"/>
      <c r="K475" s="404"/>
      <c r="L475" s="404"/>
      <c r="M475" s="404"/>
      <c r="N475" s="404"/>
      <c r="O475" s="154"/>
      <c r="P475" s="154"/>
      <c r="Q475" s="154"/>
      <c r="R475" s="154"/>
      <c r="S475" s="154"/>
      <c r="T475" s="154"/>
      <c r="U475" s="154"/>
      <c r="V475" s="154"/>
      <c r="W475" s="154"/>
      <c r="X475" s="154"/>
      <c r="Y475" s="154"/>
      <c r="Z475" s="154"/>
    </row>
    <row r="476" spans="2:26" hidden="1" outlineLevel="1">
      <c r="B476" s="165" t="s">
        <v>2332</v>
      </c>
      <c r="C476" s="165" t="s">
        <v>3441</v>
      </c>
      <c r="D476" s="165" t="s">
        <v>3049</v>
      </c>
      <c r="E476" s="404">
        <v>38962846.382192492</v>
      </c>
      <c r="F476" s="165">
        <v>15</v>
      </c>
      <c r="G476" s="405">
        <v>47695</v>
      </c>
      <c r="H476" s="404">
        <v>5479</v>
      </c>
      <c r="I476" s="404">
        <v>1948142.3191096247</v>
      </c>
      <c r="J476" s="404">
        <v>37014704.063082866</v>
      </c>
      <c r="K476" s="404">
        <v>365</v>
      </c>
      <c r="L476" s="404">
        <v>2465845</v>
      </c>
      <c r="M476" s="404">
        <v>16452248</v>
      </c>
      <c r="N476" s="404">
        <v>22510598.382192492</v>
      </c>
      <c r="O476" s="154"/>
      <c r="P476" s="154"/>
      <c r="Q476" s="154"/>
      <c r="R476" s="154"/>
      <c r="S476" s="154"/>
      <c r="T476" s="154"/>
      <c r="U476" s="154"/>
      <c r="V476" s="154"/>
      <c r="W476" s="154"/>
      <c r="X476" s="154"/>
      <c r="Y476" s="154"/>
      <c r="Z476" s="154"/>
    </row>
    <row r="477" spans="2:26" hidden="1" outlineLevel="1">
      <c r="B477" s="165" t="s">
        <v>2332</v>
      </c>
      <c r="C477" s="165" t="s">
        <v>3441</v>
      </c>
      <c r="D477" s="165" t="s">
        <v>3449</v>
      </c>
      <c r="E477" s="404">
        <v>23098875.749617711</v>
      </c>
      <c r="F477" s="165">
        <v>10</v>
      </c>
      <c r="G477" s="405">
        <v>45869</v>
      </c>
      <c r="H477" s="404">
        <v>3653</v>
      </c>
      <c r="I477" s="404">
        <v>1154943.7874808856</v>
      </c>
      <c r="J477" s="404">
        <v>21943931.962136824</v>
      </c>
      <c r="K477" s="404">
        <v>365</v>
      </c>
      <c r="L477" s="404">
        <v>2192591</v>
      </c>
      <c r="M477" s="404">
        <v>14629083</v>
      </c>
      <c r="N477" s="404">
        <v>8469792.7496177107</v>
      </c>
      <c r="O477" s="154"/>
      <c r="P477" s="154"/>
      <c r="Q477" s="154"/>
      <c r="R477" s="154"/>
      <c r="S477" s="154"/>
      <c r="T477" s="154"/>
      <c r="U477" s="154"/>
      <c r="V477" s="154"/>
      <c r="W477" s="154"/>
      <c r="X477" s="154"/>
      <c r="Y477" s="154"/>
      <c r="Z477" s="154"/>
    </row>
    <row r="478" spans="2:26" hidden="1" outlineLevel="1">
      <c r="B478" s="165" t="s">
        <v>2332</v>
      </c>
      <c r="C478" s="165" t="s">
        <v>3441</v>
      </c>
      <c r="D478" s="165" t="s">
        <v>3047</v>
      </c>
      <c r="E478" s="404">
        <v>12328948.843939256</v>
      </c>
      <c r="F478" s="165">
        <v>25</v>
      </c>
      <c r="G478" s="405">
        <v>51348</v>
      </c>
      <c r="H478" s="404">
        <v>9132</v>
      </c>
      <c r="I478" s="404">
        <v>616447.44219696277</v>
      </c>
      <c r="J478" s="404">
        <v>11712501.401742293</v>
      </c>
      <c r="K478" s="404">
        <v>365</v>
      </c>
      <c r="L478" s="404">
        <v>468141</v>
      </c>
      <c r="M478" s="404">
        <v>3123462</v>
      </c>
      <c r="N478" s="404">
        <v>9205486.8439392559</v>
      </c>
      <c r="O478" s="154"/>
      <c r="P478" s="154"/>
      <c r="Q478" s="154"/>
      <c r="R478" s="154"/>
      <c r="S478" s="154"/>
      <c r="T478" s="154"/>
      <c r="U478" s="154"/>
      <c r="V478" s="154"/>
      <c r="W478" s="154"/>
      <c r="X478" s="154"/>
      <c r="Y478" s="154"/>
      <c r="Z478" s="154"/>
    </row>
    <row r="479" spans="2:26" hidden="1" outlineLevel="1">
      <c r="B479" s="165" t="s">
        <v>2332</v>
      </c>
      <c r="C479" s="165" t="s">
        <v>3441</v>
      </c>
      <c r="D479" s="165" t="s">
        <v>3450</v>
      </c>
      <c r="E479" s="404">
        <v>8854463.8155294396</v>
      </c>
      <c r="F479" s="165">
        <v>10</v>
      </c>
      <c r="G479" s="405">
        <v>45869</v>
      </c>
      <c r="H479" s="404">
        <v>3653</v>
      </c>
      <c r="I479" s="404">
        <v>442723.19077647198</v>
      </c>
      <c r="J479" s="404">
        <v>8411740.6247529685</v>
      </c>
      <c r="K479" s="404">
        <v>365</v>
      </c>
      <c r="L479" s="404">
        <v>840483</v>
      </c>
      <c r="M479" s="404">
        <v>5607747</v>
      </c>
      <c r="N479" s="404">
        <v>3246716.8155294396</v>
      </c>
      <c r="O479" s="154"/>
      <c r="P479" s="154"/>
      <c r="Q479" s="154"/>
      <c r="R479" s="154"/>
      <c r="S479" s="154"/>
      <c r="T479" s="154"/>
      <c r="U479" s="154"/>
      <c r="V479" s="154"/>
      <c r="W479" s="154"/>
      <c r="X479" s="154"/>
      <c r="Y479" s="154"/>
      <c r="Z479" s="154"/>
    </row>
    <row r="480" spans="2:26" hidden="1" outlineLevel="1">
      <c r="B480" s="165" t="s">
        <v>2332</v>
      </c>
      <c r="C480" s="165" t="s">
        <v>3441</v>
      </c>
      <c r="D480" s="165" t="s">
        <v>3266</v>
      </c>
      <c r="E480" s="404">
        <v>73358995.193880931</v>
      </c>
      <c r="F480" s="165">
        <v>30</v>
      </c>
      <c r="G480" s="405">
        <v>53174</v>
      </c>
      <c r="H480" s="404">
        <v>10958</v>
      </c>
      <c r="I480" s="404">
        <v>3667949.7596940468</v>
      </c>
      <c r="J480" s="404">
        <v>69691045.434186891</v>
      </c>
      <c r="K480" s="404">
        <v>365</v>
      </c>
      <c r="L480" s="404">
        <v>2321339</v>
      </c>
      <c r="M480" s="404">
        <v>15488096</v>
      </c>
      <c r="N480" s="404">
        <v>57870899.193880931</v>
      </c>
      <c r="O480" s="154"/>
      <c r="P480" s="154"/>
      <c r="Q480" s="154"/>
      <c r="R480" s="154"/>
      <c r="S480" s="154"/>
      <c r="T480" s="154"/>
      <c r="U480" s="154"/>
      <c r="V480" s="154"/>
      <c r="W480" s="154"/>
      <c r="X480" s="154"/>
      <c r="Y480" s="154"/>
      <c r="Z480" s="154"/>
    </row>
    <row r="481" spans="2:26" hidden="1" outlineLevel="1">
      <c r="B481" s="165" t="s">
        <v>2332</v>
      </c>
      <c r="C481" s="165" t="s">
        <v>3441</v>
      </c>
      <c r="D481" s="165" t="s">
        <v>3444</v>
      </c>
      <c r="E481" s="404">
        <v>78655217.156382829</v>
      </c>
      <c r="F481" s="165">
        <v>20</v>
      </c>
      <c r="G481" s="405">
        <v>49521</v>
      </c>
      <c r="H481" s="404">
        <v>7305</v>
      </c>
      <c r="I481" s="404">
        <v>3932760.8578191418</v>
      </c>
      <c r="J481" s="404">
        <v>74722456.298563689</v>
      </c>
      <c r="K481" s="404">
        <v>365</v>
      </c>
      <c r="L481" s="404">
        <v>3733566</v>
      </c>
      <c r="M481" s="404">
        <v>24910549</v>
      </c>
      <c r="N481" s="404">
        <v>53744668.156382829</v>
      </c>
      <c r="O481" s="154"/>
      <c r="P481" s="154"/>
      <c r="Q481" s="154"/>
      <c r="R481" s="154"/>
      <c r="S481" s="154"/>
      <c r="T481" s="154"/>
      <c r="U481" s="154"/>
      <c r="V481" s="154"/>
      <c r="W481" s="154"/>
      <c r="X481" s="154"/>
      <c r="Y481" s="154"/>
      <c r="Z481" s="154"/>
    </row>
    <row r="482" spans="2:26" hidden="1" outlineLevel="1">
      <c r="B482" s="165" t="s">
        <v>2332</v>
      </c>
      <c r="C482" s="165" t="s">
        <v>3441</v>
      </c>
      <c r="D482" s="165" t="s">
        <v>3445</v>
      </c>
      <c r="E482" s="404">
        <v>45238029.762276441</v>
      </c>
      <c r="F482" s="165">
        <v>25</v>
      </c>
      <c r="G482" s="405">
        <v>51348</v>
      </c>
      <c r="H482" s="404">
        <v>9132</v>
      </c>
      <c r="I482" s="404">
        <v>2261901.4881138219</v>
      </c>
      <c r="J482" s="404">
        <v>42976128.27416262</v>
      </c>
      <c r="K482" s="404">
        <v>365</v>
      </c>
      <c r="L482" s="404">
        <v>1717727</v>
      </c>
      <c r="M482" s="404">
        <v>11460766</v>
      </c>
      <c r="N482" s="404">
        <v>33777263.762276441</v>
      </c>
      <c r="O482" s="154"/>
      <c r="P482" s="154"/>
      <c r="Q482" s="154"/>
      <c r="R482" s="154"/>
      <c r="S482" s="154"/>
      <c r="T482" s="154"/>
      <c r="U482" s="154"/>
      <c r="V482" s="154"/>
      <c r="W482" s="154"/>
      <c r="X482" s="154"/>
      <c r="Y482" s="154"/>
      <c r="Z482" s="154"/>
    </row>
    <row r="483" spans="2:26" hidden="1" outlineLevel="1">
      <c r="B483" s="165" t="s">
        <v>2332</v>
      </c>
      <c r="C483" s="165" t="s">
        <v>3441</v>
      </c>
      <c r="D483" s="165" t="s">
        <v>3446</v>
      </c>
      <c r="E483" s="404">
        <v>50546971.806694299</v>
      </c>
      <c r="F483" s="165">
        <v>25</v>
      </c>
      <c r="G483" s="405">
        <v>51348</v>
      </c>
      <c r="H483" s="404">
        <v>9132</v>
      </c>
      <c r="I483" s="404">
        <v>2527348.5903347153</v>
      </c>
      <c r="J483" s="404">
        <v>48019623.216359586</v>
      </c>
      <c r="K483" s="404">
        <v>365</v>
      </c>
      <c r="L483" s="404">
        <v>1919313</v>
      </c>
      <c r="M483" s="404">
        <v>12805757</v>
      </c>
      <c r="N483" s="404">
        <v>37741214.806694299</v>
      </c>
      <c r="O483" s="154"/>
      <c r="P483" s="154"/>
      <c r="Q483" s="154"/>
      <c r="R483" s="154"/>
      <c r="S483" s="154"/>
      <c r="T483" s="154"/>
      <c r="U483" s="154"/>
      <c r="V483" s="154"/>
      <c r="W483" s="154"/>
      <c r="X483" s="154"/>
      <c r="Y483" s="154"/>
      <c r="Z483" s="154"/>
    </row>
    <row r="484" spans="2:26" hidden="1" outlineLevel="1">
      <c r="B484" s="165" t="s">
        <v>2332</v>
      </c>
      <c r="C484" s="165" t="s">
        <v>3441</v>
      </c>
      <c r="D484" s="165" t="s">
        <v>3447</v>
      </c>
      <c r="E484" s="404">
        <v>37168573.776506595</v>
      </c>
      <c r="F484" s="165">
        <v>25</v>
      </c>
      <c r="G484" s="405">
        <v>51348</v>
      </c>
      <c r="H484" s="404">
        <v>9132</v>
      </c>
      <c r="I484" s="404">
        <v>1858428.6888253298</v>
      </c>
      <c r="J484" s="404">
        <v>35310145.087681264</v>
      </c>
      <c r="K484" s="404">
        <v>365</v>
      </c>
      <c r="L484" s="404">
        <v>1411323</v>
      </c>
      <c r="M484" s="404">
        <v>9416422</v>
      </c>
      <c r="N484" s="404">
        <v>27752151.776506595</v>
      </c>
      <c r="O484" s="154"/>
      <c r="P484" s="154"/>
      <c r="Q484" s="154"/>
      <c r="R484" s="154"/>
      <c r="S484" s="154"/>
      <c r="T484" s="154"/>
      <c r="U484" s="154"/>
      <c r="V484" s="154"/>
      <c r="W484" s="154"/>
      <c r="X484" s="154"/>
      <c r="Y484" s="154"/>
      <c r="Z484" s="154"/>
    </row>
    <row r="485" spans="2:26" hidden="1" outlineLevel="1">
      <c r="B485" s="165" t="s">
        <v>2332</v>
      </c>
      <c r="C485" s="165" t="s">
        <v>3441</v>
      </c>
      <c r="D485" s="165" t="s">
        <v>3755</v>
      </c>
      <c r="E485" s="404">
        <v>157122675.31616151</v>
      </c>
      <c r="F485" s="165">
        <v>25</v>
      </c>
      <c r="G485" s="405">
        <v>51348</v>
      </c>
      <c r="H485" s="404">
        <v>9132</v>
      </c>
      <c r="I485" s="404">
        <v>7856133.7658080757</v>
      </c>
      <c r="J485" s="404">
        <v>149266541.55035344</v>
      </c>
      <c r="K485" s="404">
        <v>365</v>
      </c>
      <c r="L485" s="404">
        <v>5966085</v>
      </c>
      <c r="M485" s="404">
        <v>39806033</v>
      </c>
      <c r="N485" s="404">
        <v>117316642.31616151</v>
      </c>
      <c r="O485" s="154"/>
      <c r="P485" s="154"/>
      <c r="Q485" s="154"/>
      <c r="R485" s="154"/>
      <c r="S485" s="154"/>
      <c r="T485" s="154"/>
      <c r="U485" s="154"/>
      <c r="V485" s="154"/>
      <c r="W485" s="154"/>
      <c r="X485" s="154"/>
      <c r="Y485" s="154"/>
      <c r="Z485" s="154"/>
    </row>
    <row r="486" spans="2:26" hidden="1" outlineLevel="1">
      <c r="B486" s="165" t="s">
        <v>2332</v>
      </c>
      <c r="C486" s="165" t="s">
        <v>3441</v>
      </c>
      <c r="D486" s="165" t="s">
        <v>3443</v>
      </c>
      <c r="E486" s="404">
        <v>78078699.032841548</v>
      </c>
      <c r="F486" s="165">
        <v>30</v>
      </c>
      <c r="G486" s="405">
        <v>53174</v>
      </c>
      <c r="H486" s="404">
        <v>10958</v>
      </c>
      <c r="I486" s="404">
        <v>3903934.9516420774</v>
      </c>
      <c r="J486" s="404">
        <v>74174764.081199467</v>
      </c>
      <c r="K486" s="404">
        <v>365</v>
      </c>
      <c r="L486" s="404">
        <v>2470687</v>
      </c>
      <c r="M486" s="404">
        <v>16484554</v>
      </c>
      <c r="N486" s="404">
        <v>61594145.032841548</v>
      </c>
      <c r="O486" s="154"/>
      <c r="P486" s="154"/>
      <c r="Q486" s="154"/>
      <c r="R486" s="154"/>
      <c r="S486" s="154"/>
      <c r="T486" s="154"/>
      <c r="U486" s="154"/>
      <c r="V486" s="154"/>
      <c r="W486" s="154"/>
      <c r="X486" s="154"/>
      <c r="Y486" s="154"/>
      <c r="Z486" s="154"/>
    </row>
    <row r="487" spans="2:26" ht="27" hidden="1" outlineLevel="1">
      <c r="B487" s="165" t="s">
        <v>2332</v>
      </c>
      <c r="C487" s="165" t="s">
        <v>3441</v>
      </c>
      <c r="D487" s="165" t="s">
        <v>3756</v>
      </c>
      <c r="E487" s="404">
        <v>29474338.317556437</v>
      </c>
      <c r="F487" s="165">
        <v>25</v>
      </c>
      <c r="G487" s="405">
        <v>51348</v>
      </c>
      <c r="H487" s="404">
        <v>9132</v>
      </c>
      <c r="I487" s="404">
        <v>1473716.9158778219</v>
      </c>
      <c r="J487" s="404">
        <v>28000621.401678614</v>
      </c>
      <c r="K487" s="404">
        <v>365</v>
      </c>
      <c r="L487" s="404">
        <v>1119166</v>
      </c>
      <c r="M487" s="404">
        <v>7467136</v>
      </c>
      <c r="N487" s="404">
        <v>22007202.317556437</v>
      </c>
      <c r="O487" s="154"/>
      <c r="P487" s="154"/>
      <c r="Q487" s="154"/>
      <c r="R487" s="154"/>
      <c r="S487" s="154"/>
      <c r="T487" s="154"/>
      <c r="U487" s="154"/>
      <c r="V487" s="154"/>
      <c r="W487" s="154"/>
      <c r="X487" s="154"/>
      <c r="Y487" s="154"/>
      <c r="Z487" s="154"/>
    </row>
    <row r="488" spans="2:26" ht="27" hidden="1" outlineLevel="1">
      <c r="B488" s="165" t="s">
        <v>2332</v>
      </c>
      <c r="C488" s="165" t="s">
        <v>3757</v>
      </c>
      <c r="D488" s="165"/>
      <c r="E488" s="404">
        <v>1139800.6445541726</v>
      </c>
      <c r="F488" s="165">
        <v>25</v>
      </c>
      <c r="G488" s="405">
        <v>51348</v>
      </c>
      <c r="H488" s="404">
        <v>9132</v>
      </c>
      <c r="I488" s="404">
        <v>56990.032227708638</v>
      </c>
      <c r="J488" s="404">
        <v>1082810.6123264639</v>
      </c>
      <c r="K488" s="404">
        <v>365</v>
      </c>
      <c r="L488" s="404">
        <v>43279</v>
      </c>
      <c r="M488" s="404">
        <v>288760</v>
      </c>
      <c r="N488" s="404">
        <v>851040.64455417264</v>
      </c>
      <c r="O488" s="154"/>
      <c r="P488" s="154"/>
      <c r="Q488" s="154"/>
      <c r="R488" s="154"/>
      <c r="S488" s="154"/>
      <c r="T488" s="154"/>
      <c r="U488" s="154"/>
      <c r="V488" s="154"/>
      <c r="W488" s="154"/>
      <c r="X488" s="154"/>
      <c r="Y488" s="154"/>
      <c r="Z488" s="154"/>
    </row>
    <row r="489" spans="2:26" hidden="1" outlineLevel="1">
      <c r="B489" s="165" t="s">
        <v>2332</v>
      </c>
      <c r="C489" s="165" t="s">
        <v>3451</v>
      </c>
      <c r="D489" s="165" t="s">
        <v>3452</v>
      </c>
      <c r="E489" s="404">
        <v>106624339.13073818</v>
      </c>
      <c r="F489" s="165">
        <v>30</v>
      </c>
      <c r="G489" s="405">
        <v>53174</v>
      </c>
      <c r="H489" s="404">
        <v>10958</v>
      </c>
      <c r="I489" s="404">
        <v>5331216.9565369096</v>
      </c>
      <c r="J489" s="404">
        <v>101293122.17420128</v>
      </c>
      <c r="K489" s="404">
        <v>365</v>
      </c>
      <c r="L489" s="404">
        <v>3373972</v>
      </c>
      <c r="M489" s="404">
        <v>22511320</v>
      </c>
      <c r="N489" s="404">
        <v>84113019.130738184</v>
      </c>
      <c r="O489" s="154"/>
      <c r="P489" s="154"/>
      <c r="Q489" s="154"/>
      <c r="R489" s="154"/>
      <c r="S489" s="154"/>
      <c r="T489" s="154"/>
      <c r="U489" s="154"/>
      <c r="V489" s="154"/>
      <c r="W489" s="154"/>
      <c r="X489" s="154"/>
      <c r="Y489" s="154"/>
      <c r="Z489" s="154"/>
    </row>
    <row r="490" spans="2:26" ht="27" hidden="1" outlineLevel="1">
      <c r="B490" s="165" t="s">
        <v>2332</v>
      </c>
      <c r="C490" s="165" t="s">
        <v>3453</v>
      </c>
      <c r="D490" s="165" t="s">
        <v>3758</v>
      </c>
      <c r="E490" s="404">
        <v>27212250.605580952</v>
      </c>
      <c r="F490" s="165">
        <v>30</v>
      </c>
      <c r="G490" s="405">
        <v>53174</v>
      </c>
      <c r="H490" s="404">
        <v>10958</v>
      </c>
      <c r="I490" s="404">
        <v>1360612.5302790478</v>
      </c>
      <c r="J490" s="404">
        <v>25851638.075301904</v>
      </c>
      <c r="K490" s="404">
        <v>365</v>
      </c>
      <c r="L490" s="404">
        <v>861092</v>
      </c>
      <c r="M490" s="404">
        <v>5745251</v>
      </c>
      <c r="N490" s="404">
        <v>21466999.605580952</v>
      </c>
      <c r="O490" s="154"/>
      <c r="P490" s="154"/>
      <c r="Q490" s="154"/>
      <c r="R490" s="154"/>
      <c r="S490" s="154"/>
      <c r="T490" s="154"/>
      <c r="U490" s="154"/>
      <c r="V490" s="154"/>
      <c r="W490" s="154"/>
      <c r="X490" s="154"/>
      <c r="Y490" s="154"/>
      <c r="Z490" s="154"/>
    </row>
    <row r="491" spans="2:26" hidden="1" outlineLevel="1">
      <c r="B491" s="165" t="s">
        <v>2332</v>
      </c>
      <c r="C491" s="165" t="s">
        <v>3453</v>
      </c>
      <c r="D491" s="165" t="s">
        <v>3455</v>
      </c>
      <c r="E491" s="404">
        <v>768705795.76614726</v>
      </c>
      <c r="F491" s="165">
        <v>30</v>
      </c>
      <c r="G491" s="405">
        <v>53174</v>
      </c>
      <c r="H491" s="404">
        <v>10958</v>
      </c>
      <c r="I491" s="404">
        <v>38435289.788307361</v>
      </c>
      <c r="J491" s="404">
        <v>730270505.97783995</v>
      </c>
      <c r="K491" s="404">
        <v>365</v>
      </c>
      <c r="L491" s="404">
        <v>24324579</v>
      </c>
      <c r="M491" s="404">
        <v>162294873</v>
      </c>
      <c r="N491" s="404">
        <v>606410922.76614726</v>
      </c>
      <c r="O491" s="154"/>
      <c r="P491" s="154"/>
      <c r="Q491" s="154"/>
      <c r="R491" s="154"/>
      <c r="S491" s="154"/>
      <c r="T491" s="154"/>
      <c r="U491" s="154"/>
      <c r="V491" s="154"/>
      <c r="W491" s="154"/>
      <c r="X491" s="154"/>
      <c r="Y491" s="154"/>
      <c r="Z491" s="154"/>
    </row>
    <row r="492" spans="2:26" hidden="1" outlineLevel="1">
      <c r="B492" s="165" t="s">
        <v>2332</v>
      </c>
      <c r="C492" s="165" t="s">
        <v>3453</v>
      </c>
      <c r="D492" s="165" t="s">
        <v>3456</v>
      </c>
      <c r="E492" s="404">
        <v>768705795.76614726</v>
      </c>
      <c r="F492" s="165">
        <v>30</v>
      </c>
      <c r="G492" s="405">
        <v>53174</v>
      </c>
      <c r="H492" s="404">
        <v>10958</v>
      </c>
      <c r="I492" s="404">
        <v>38435289.788307361</v>
      </c>
      <c r="J492" s="404">
        <v>730270505.97783995</v>
      </c>
      <c r="K492" s="404">
        <v>365</v>
      </c>
      <c r="L492" s="404">
        <v>24324579</v>
      </c>
      <c r="M492" s="404">
        <v>162294873</v>
      </c>
      <c r="N492" s="404">
        <v>606410922.76614726</v>
      </c>
      <c r="O492" s="154"/>
      <c r="P492" s="154"/>
      <c r="Q492" s="154"/>
      <c r="R492" s="154"/>
      <c r="S492" s="154"/>
      <c r="T492" s="154"/>
      <c r="U492" s="154"/>
      <c r="V492" s="154"/>
      <c r="W492" s="154"/>
      <c r="X492" s="154"/>
      <c r="Y492" s="154"/>
      <c r="Z492" s="154"/>
    </row>
    <row r="493" spans="2:26" hidden="1" outlineLevel="1">
      <c r="B493" s="165" t="s">
        <v>2332</v>
      </c>
      <c r="C493" s="165" t="s">
        <v>3453</v>
      </c>
      <c r="D493" s="165" t="s">
        <v>3457</v>
      </c>
      <c r="E493" s="404">
        <v>129798913.82953705</v>
      </c>
      <c r="F493" s="165">
        <v>30</v>
      </c>
      <c r="G493" s="405">
        <v>53174</v>
      </c>
      <c r="H493" s="404">
        <v>10958</v>
      </c>
      <c r="I493" s="404">
        <v>6489945.6914768526</v>
      </c>
      <c r="J493" s="404">
        <v>123308968.1380602</v>
      </c>
      <c r="K493" s="404">
        <v>365</v>
      </c>
      <c r="L493" s="404">
        <v>4107298</v>
      </c>
      <c r="M493" s="404">
        <v>27404109</v>
      </c>
      <c r="N493" s="404">
        <v>102394804.82953705</v>
      </c>
      <c r="O493" s="154"/>
      <c r="P493" s="154"/>
      <c r="Q493" s="154"/>
      <c r="R493" s="154"/>
      <c r="S493" s="154"/>
      <c r="T493" s="154"/>
      <c r="U493" s="154"/>
      <c r="V493" s="154"/>
      <c r="W493" s="154"/>
      <c r="X493" s="154"/>
      <c r="Y493" s="154"/>
      <c r="Z493" s="154"/>
    </row>
    <row r="494" spans="2:26" hidden="1" outlineLevel="1">
      <c r="B494" s="165" t="s">
        <v>2332</v>
      </c>
      <c r="C494" s="165" t="s">
        <v>3453</v>
      </c>
      <c r="D494" s="165" t="s">
        <v>3033</v>
      </c>
      <c r="E494" s="404">
        <v>134255830.27301234</v>
      </c>
      <c r="F494" s="165">
        <v>30</v>
      </c>
      <c r="G494" s="405">
        <v>53174</v>
      </c>
      <c r="H494" s="404">
        <v>10958</v>
      </c>
      <c r="I494" s="404">
        <v>6712791.5136506176</v>
      </c>
      <c r="J494" s="404">
        <v>127543038.75936173</v>
      </c>
      <c r="K494" s="404">
        <v>365</v>
      </c>
      <c r="L494" s="404">
        <v>4248331</v>
      </c>
      <c r="M494" s="404">
        <v>28345088</v>
      </c>
      <c r="N494" s="404">
        <v>105910742.27301234</v>
      </c>
      <c r="O494" s="154"/>
      <c r="P494" s="154"/>
      <c r="Q494" s="154"/>
      <c r="R494" s="154"/>
      <c r="S494" s="154"/>
      <c r="T494" s="154"/>
      <c r="U494" s="154"/>
      <c r="V494" s="154"/>
      <c r="W494" s="154"/>
      <c r="X494" s="154"/>
      <c r="Y494" s="154"/>
      <c r="Z494" s="154"/>
    </row>
    <row r="495" spans="2:26" hidden="1" outlineLevel="1">
      <c r="B495" s="165" t="s">
        <v>2332</v>
      </c>
      <c r="C495" s="165" t="s">
        <v>3453</v>
      </c>
      <c r="D495" s="165" t="s">
        <v>3458</v>
      </c>
      <c r="E495" s="404">
        <v>110472390.13904347</v>
      </c>
      <c r="F495" s="404">
        <v>10</v>
      </c>
      <c r="G495" s="405">
        <v>45869</v>
      </c>
      <c r="H495" s="404">
        <v>3653</v>
      </c>
      <c r="I495" s="404">
        <v>5523619.506952174</v>
      </c>
      <c r="J495" s="404">
        <v>104948770.63209128</v>
      </c>
      <c r="K495" s="404">
        <v>365</v>
      </c>
      <c r="L495" s="404">
        <v>10486258</v>
      </c>
      <c r="M495" s="404">
        <v>69964867</v>
      </c>
      <c r="N495" s="404">
        <v>40507523.139043465</v>
      </c>
      <c r="O495" s="154"/>
      <c r="P495" s="154"/>
      <c r="Q495" s="154"/>
      <c r="R495" s="154"/>
      <c r="S495" s="154"/>
      <c r="T495" s="154"/>
      <c r="U495" s="154"/>
      <c r="V495" s="154"/>
      <c r="W495" s="154"/>
      <c r="X495" s="154"/>
      <c r="Y495" s="154"/>
      <c r="Z495" s="154"/>
    </row>
    <row r="496" spans="2:26" hidden="1" outlineLevel="1">
      <c r="B496" s="165" t="s">
        <v>2332</v>
      </c>
      <c r="C496" s="165" t="s">
        <v>3453</v>
      </c>
      <c r="D496" s="165" t="s">
        <v>3459</v>
      </c>
      <c r="E496" s="404">
        <v>13956966.435531598</v>
      </c>
      <c r="F496" s="165">
        <v>10</v>
      </c>
      <c r="G496" s="405">
        <v>45869</v>
      </c>
      <c r="H496" s="404">
        <v>3653</v>
      </c>
      <c r="I496" s="404">
        <v>697848.32177657995</v>
      </c>
      <c r="J496" s="404">
        <v>13259118.113755018</v>
      </c>
      <c r="K496" s="404">
        <v>365</v>
      </c>
      <c r="L496" s="404">
        <v>1324823</v>
      </c>
      <c r="M496" s="404">
        <v>8839289</v>
      </c>
      <c r="N496" s="404">
        <v>5117677.4355315976</v>
      </c>
      <c r="O496" s="154"/>
      <c r="P496" s="154"/>
      <c r="Q496" s="154"/>
      <c r="R496" s="154"/>
      <c r="S496" s="154"/>
      <c r="T496" s="154"/>
      <c r="U496" s="154"/>
      <c r="V496" s="154"/>
      <c r="W496" s="154"/>
      <c r="X496" s="154"/>
      <c r="Y496" s="154"/>
      <c r="Z496" s="154"/>
    </row>
    <row r="497" spans="2:26" hidden="1" outlineLevel="1">
      <c r="B497" s="165" t="s">
        <v>2332</v>
      </c>
      <c r="C497" s="165" t="s">
        <v>3453</v>
      </c>
      <c r="D497" s="165" t="s">
        <v>3460</v>
      </c>
      <c r="E497" s="404">
        <v>13835066.811061708</v>
      </c>
      <c r="F497" s="165">
        <v>10</v>
      </c>
      <c r="G497" s="405">
        <v>45869</v>
      </c>
      <c r="H497" s="404">
        <v>3653</v>
      </c>
      <c r="I497" s="404">
        <v>691753.34055308544</v>
      </c>
      <c r="J497" s="404">
        <v>13143313.470508622</v>
      </c>
      <c r="K497" s="404">
        <v>365</v>
      </c>
      <c r="L497" s="404">
        <v>1313252</v>
      </c>
      <c r="M497" s="404">
        <v>8762087</v>
      </c>
      <c r="N497" s="404">
        <v>5072979.8110617083</v>
      </c>
      <c r="O497" s="154"/>
      <c r="P497" s="154"/>
      <c r="Q497" s="154"/>
      <c r="R497" s="154"/>
      <c r="S497" s="154"/>
      <c r="T497" s="154"/>
      <c r="U497" s="154"/>
      <c r="V497" s="154"/>
      <c r="W497" s="154"/>
      <c r="X497" s="154"/>
      <c r="Y497" s="154"/>
      <c r="Z497" s="154"/>
    </row>
    <row r="498" spans="2:26" hidden="1" outlineLevel="1">
      <c r="B498" s="165" t="s">
        <v>2332</v>
      </c>
      <c r="C498" s="165" t="s">
        <v>3453</v>
      </c>
      <c r="D498" s="165" t="s">
        <v>3461</v>
      </c>
      <c r="E498" s="404">
        <v>4980600.6277993498</v>
      </c>
      <c r="F498" s="404">
        <v>5</v>
      </c>
      <c r="G498" s="405">
        <v>44043</v>
      </c>
      <c r="H498" s="404">
        <v>1827</v>
      </c>
      <c r="I498" s="404">
        <v>249030.03138996751</v>
      </c>
      <c r="J498" s="404">
        <v>4731570.5964093823</v>
      </c>
      <c r="K498" s="404">
        <v>0</v>
      </c>
      <c r="L498" s="404">
        <v>0</v>
      </c>
      <c r="M498" s="404">
        <v>4980601</v>
      </c>
      <c r="N498" s="403">
        <v>-0.37220065016299486</v>
      </c>
      <c r="O498" s="154"/>
      <c r="P498" s="154"/>
      <c r="Q498" s="154"/>
      <c r="R498" s="154"/>
      <c r="S498" s="154"/>
      <c r="T498" s="154"/>
      <c r="U498" s="154"/>
      <c r="V498" s="154"/>
      <c r="W498" s="154"/>
      <c r="X498" s="154"/>
      <c r="Y498" s="154"/>
      <c r="Z498" s="154"/>
    </row>
    <row r="499" spans="2:26" ht="27" hidden="1" outlineLevel="1">
      <c r="B499" s="165" t="s">
        <v>2332</v>
      </c>
      <c r="C499" s="165" t="s">
        <v>3453</v>
      </c>
      <c r="D499" s="165" t="s">
        <v>3462</v>
      </c>
      <c r="E499" s="404">
        <v>3320399.1914126077</v>
      </c>
      <c r="F499" s="404">
        <v>5</v>
      </c>
      <c r="G499" s="405">
        <v>44043</v>
      </c>
      <c r="H499" s="404">
        <v>1827</v>
      </c>
      <c r="I499" s="404">
        <v>166019.9595706304</v>
      </c>
      <c r="J499" s="404">
        <v>3154379.2318419772</v>
      </c>
      <c r="K499" s="404">
        <v>0</v>
      </c>
      <c r="L499" s="404">
        <v>0</v>
      </c>
      <c r="M499" s="404">
        <v>3320399</v>
      </c>
      <c r="N499" s="404">
        <v>0.19141260767355561</v>
      </c>
      <c r="O499" s="154"/>
      <c r="P499" s="154"/>
      <c r="Q499" s="154"/>
      <c r="R499" s="154"/>
      <c r="S499" s="154"/>
      <c r="T499" s="154"/>
      <c r="U499" s="154"/>
      <c r="V499" s="154"/>
      <c r="W499" s="154"/>
      <c r="X499" s="154"/>
      <c r="Y499" s="154"/>
      <c r="Z499" s="154"/>
    </row>
    <row r="500" spans="2:26" ht="27" hidden="1" outlineLevel="1">
      <c r="B500" s="165" t="s">
        <v>2332</v>
      </c>
      <c r="C500" s="165" t="s">
        <v>3453</v>
      </c>
      <c r="D500" s="165" t="s">
        <v>3463</v>
      </c>
      <c r="E500" s="404">
        <v>8212672.9086741209</v>
      </c>
      <c r="F500" s="404">
        <v>10</v>
      </c>
      <c r="G500" s="405">
        <v>45869</v>
      </c>
      <c r="H500" s="404">
        <v>3653</v>
      </c>
      <c r="I500" s="404">
        <v>410633.64543370606</v>
      </c>
      <c r="J500" s="404">
        <v>7802039.2632404147</v>
      </c>
      <c r="K500" s="404">
        <v>365</v>
      </c>
      <c r="L500" s="404">
        <v>779563</v>
      </c>
      <c r="M500" s="404">
        <v>5201286</v>
      </c>
      <c r="N500" s="404">
        <v>3011386.9086741209</v>
      </c>
      <c r="O500" s="154"/>
      <c r="P500" s="154"/>
      <c r="Q500" s="154"/>
      <c r="R500" s="154"/>
      <c r="S500" s="154"/>
      <c r="T500" s="154"/>
      <c r="U500" s="154"/>
      <c r="V500" s="154"/>
      <c r="W500" s="154"/>
      <c r="X500" s="154"/>
      <c r="Y500" s="154"/>
      <c r="Z500" s="154"/>
    </row>
    <row r="501" spans="2:26" hidden="1" outlineLevel="1">
      <c r="B501" s="165" t="s">
        <v>2332</v>
      </c>
      <c r="C501" s="165" t="s">
        <v>3453</v>
      </c>
      <c r="D501" s="165" t="s">
        <v>3464</v>
      </c>
      <c r="E501" s="404">
        <v>52019761.515319392</v>
      </c>
      <c r="F501" s="165">
        <v>15</v>
      </c>
      <c r="G501" s="405">
        <v>47695</v>
      </c>
      <c r="H501" s="404">
        <v>5479</v>
      </c>
      <c r="I501" s="404">
        <v>2600988.0757659697</v>
      </c>
      <c r="J501" s="404">
        <v>49418773.439553425</v>
      </c>
      <c r="K501" s="404">
        <v>365</v>
      </c>
      <c r="L501" s="404">
        <v>3292180</v>
      </c>
      <c r="M501" s="404">
        <v>21965598</v>
      </c>
      <c r="N501" s="404">
        <v>30054163.515319392</v>
      </c>
      <c r="O501" s="154"/>
      <c r="P501" s="154"/>
      <c r="Q501" s="154"/>
      <c r="R501" s="154"/>
      <c r="S501" s="154"/>
      <c r="T501" s="154"/>
      <c r="U501" s="154"/>
      <c r="V501" s="154"/>
      <c r="W501" s="154"/>
      <c r="X501" s="154"/>
      <c r="Y501" s="154"/>
      <c r="Z501" s="154"/>
    </row>
    <row r="502" spans="2:26" hidden="1" outlineLevel="1">
      <c r="B502" s="165" t="s">
        <v>2332</v>
      </c>
      <c r="C502" s="165" t="s">
        <v>3453</v>
      </c>
      <c r="D502" s="165" t="s">
        <v>3465</v>
      </c>
      <c r="E502" s="404">
        <v>16222923.88682304</v>
      </c>
      <c r="F502" s="165">
        <v>10</v>
      </c>
      <c r="G502" s="405">
        <v>45869</v>
      </c>
      <c r="H502" s="404">
        <v>3653</v>
      </c>
      <c r="I502" s="404">
        <v>811146.19434115198</v>
      </c>
      <c r="J502" s="404">
        <v>15411777.692481887</v>
      </c>
      <c r="K502" s="404">
        <v>365</v>
      </c>
      <c r="L502" s="404">
        <v>1539912</v>
      </c>
      <c r="M502" s="404">
        <v>10274374</v>
      </c>
      <c r="N502" s="404">
        <v>5948549.8868230395</v>
      </c>
      <c r="O502" s="154"/>
      <c r="P502" s="154"/>
      <c r="Q502" s="154"/>
      <c r="R502" s="154"/>
      <c r="S502" s="154"/>
      <c r="T502" s="154"/>
      <c r="U502" s="154"/>
      <c r="V502" s="154"/>
      <c r="W502" s="154"/>
      <c r="X502" s="154"/>
      <c r="Y502" s="154"/>
      <c r="Z502" s="154"/>
    </row>
    <row r="503" spans="2:26" hidden="1" outlineLevel="1">
      <c r="B503" s="165" t="s">
        <v>2332</v>
      </c>
      <c r="C503" s="165" t="s">
        <v>3453</v>
      </c>
      <c r="D503" s="165" t="s">
        <v>3466</v>
      </c>
      <c r="E503" s="404">
        <v>27670133.735593669</v>
      </c>
      <c r="F503" s="165">
        <v>25</v>
      </c>
      <c r="G503" s="405">
        <v>51348</v>
      </c>
      <c r="H503" s="404">
        <v>9132</v>
      </c>
      <c r="I503" s="404">
        <v>1383506.6867796835</v>
      </c>
      <c r="J503" s="404">
        <v>26286627.048813984</v>
      </c>
      <c r="K503" s="404">
        <v>365</v>
      </c>
      <c r="L503" s="404">
        <v>1050659</v>
      </c>
      <c r="M503" s="404">
        <v>7010053</v>
      </c>
      <c r="N503" s="404">
        <v>20660080.735593669</v>
      </c>
      <c r="O503" s="154"/>
      <c r="P503" s="154"/>
      <c r="Q503" s="154"/>
      <c r="R503" s="154"/>
      <c r="S503" s="154"/>
      <c r="T503" s="154"/>
      <c r="U503" s="154"/>
      <c r="V503" s="154"/>
      <c r="W503" s="154"/>
      <c r="X503" s="154"/>
      <c r="Y503" s="154"/>
      <c r="Z503" s="154"/>
    </row>
    <row r="504" spans="2:26" ht="27" hidden="1" outlineLevel="1">
      <c r="B504" s="165" t="s">
        <v>2332</v>
      </c>
      <c r="C504" s="165" t="s">
        <v>3453</v>
      </c>
      <c r="D504" s="165" t="s">
        <v>3467</v>
      </c>
      <c r="E504" s="404">
        <v>27670133.735593669</v>
      </c>
      <c r="F504" s="165">
        <v>20</v>
      </c>
      <c r="G504" s="405">
        <v>49521</v>
      </c>
      <c r="H504" s="404">
        <v>7305</v>
      </c>
      <c r="I504" s="404">
        <v>1383506.6867796835</v>
      </c>
      <c r="J504" s="404">
        <v>26286627.048813984</v>
      </c>
      <c r="K504" s="404">
        <v>365</v>
      </c>
      <c r="L504" s="404">
        <v>1313432</v>
      </c>
      <c r="M504" s="404">
        <v>8763287</v>
      </c>
      <c r="N504" s="404">
        <v>18906846.735593669</v>
      </c>
      <c r="O504" s="154"/>
      <c r="P504" s="154"/>
      <c r="Q504" s="154"/>
      <c r="R504" s="154"/>
      <c r="S504" s="154"/>
      <c r="T504" s="154"/>
      <c r="U504" s="154"/>
      <c r="V504" s="154"/>
      <c r="W504" s="154"/>
      <c r="X504" s="154"/>
      <c r="Y504" s="154"/>
      <c r="Z504" s="154"/>
    </row>
    <row r="505" spans="2:26" hidden="1" outlineLevel="1">
      <c r="B505" s="165" t="s">
        <v>2332</v>
      </c>
      <c r="C505" s="165" t="s">
        <v>3453</v>
      </c>
      <c r="D505" s="165" t="s">
        <v>3468</v>
      </c>
      <c r="E505" s="404">
        <v>42888664.940757714</v>
      </c>
      <c r="F505" s="165">
        <v>25</v>
      </c>
      <c r="G505" s="405">
        <v>51348</v>
      </c>
      <c r="H505" s="404">
        <v>9132</v>
      </c>
      <c r="I505" s="404">
        <v>2144433.2470378857</v>
      </c>
      <c r="J505" s="404">
        <v>40744231.693719827</v>
      </c>
      <c r="K505" s="404">
        <v>365</v>
      </c>
      <c r="L505" s="404">
        <v>1628520</v>
      </c>
      <c r="M505" s="404">
        <v>10865572</v>
      </c>
      <c r="N505" s="404">
        <v>32023092.940757714</v>
      </c>
      <c r="O505" s="154"/>
      <c r="P505" s="154"/>
      <c r="Q505" s="154"/>
      <c r="R505" s="154"/>
      <c r="S505" s="154"/>
      <c r="T505" s="154"/>
      <c r="U505" s="154"/>
      <c r="V505" s="154"/>
      <c r="W505" s="154"/>
      <c r="X505" s="154"/>
      <c r="Y505" s="154"/>
      <c r="Z505" s="154"/>
    </row>
    <row r="506" spans="2:26" hidden="1" outlineLevel="1">
      <c r="B506" s="165" t="s">
        <v>2332</v>
      </c>
      <c r="C506" s="165" t="s">
        <v>3453</v>
      </c>
      <c r="D506" s="165" t="s">
        <v>3469</v>
      </c>
      <c r="E506" s="404">
        <v>118533325.67641979</v>
      </c>
      <c r="F506" s="404">
        <v>30</v>
      </c>
      <c r="G506" s="405">
        <v>53174</v>
      </c>
      <c r="H506" s="404">
        <v>10958</v>
      </c>
      <c r="I506" s="404">
        <v>5926666.2838209905</v>
      </c>
      <c r="J506" s="404">
        <v>112606659.39259881</v>
      </c>
      <c r="K506" s="404">
        <v>365</v>
      </c>
      <c r="L506" s="404">
        <v>3750815</v>
      </c>
      <c r="M506" s="404">
        <v>25025635</v>
      </c>
      <c r="N506" s="404">
        <v>93507690.676419795</v>
      </c>
      <c r="O506" s="154"/>
      <c r="P506" s="154"/>
      <c r="Q506" s="154"/>
      <c r="R506" s="154"/>
      <c r="S506" s="154"/>
      <c r="T506" s="154"/>
      <c r="U506" s="154"/>
      <c r="V506" s="154"/>
      <c r="W506" s="154"/>
      <c r="X506" s="154"/>
      <c r="Y506" s="154"/>
      <c r="Z506" s="154"/>
    </row>
    <row r="507" spans="2:26" hidden="1" outlineLevel="1">
      <c r="B507" s="165" t="s">
        <v>2332</v>
      </c>
      <c r="C507" s="165" t="s">
        <v>3453</v>
      </c>
      <c r="D507" s="165" t="s">
        <v>3470</v>
      </c>
      <c r="E507" s="404">
        <v>26152360.800581705</v>
      </c>
      <c r="F507" s="404">
        <v>20</v>
      </c>
      <c r="G507" s="405">
        <v>49521</v>
      </c>
      <c r="H507" s="404">
        <v>7305</v>
      </c>
      <c r="I507" s="404">
        <v>1307618.0400290852</v>
      </c>
      <c r="J507" s="404">
        <v>24844742.760552619</v>
      </c>
      <c r="K507" s="404">
        <v>365</v>
      </c>
      <c r="L507" s="404">
        <v>1241387</v>
      </c>
      <c r="M507" s="404">
        <v>8282599</v>
      </c>
      <c r="N507" s="404">
        <v>17869761.800581705</v>
      </c>
      <c r="O507" s="154"/>
      <c r="P507" s="154"/>
      <c r="Q507" s="154"/>
      <c r="R507" s="154"/>
      <c r="S507" s="154"/>
      <c r="T507" s="154"/>
      <c r="U507" s="154"/>
      <c r="V507" s="154"/>
      <c r="W507" s="154"/>
      <c r="X507" s="154"/>
      <c r="Y507" s="154"/>
      <c r="Z507" s="154"/>
    </row>
    <row r="508" spans="2:26" hidden="1" outlineLevel="1">
      <c r="B508" s="165" t="s">
        <v>2332</v>
      </c>
      <c r="C508" s="165" t="s">
        <v>3453</v>
      </c>
      <c r="D508" s="165" t="s">
        <v>3759</v>
      </c>
      <c r="E508" s="404">
        <v>10647765.654574068</v>
      </c>
      <c r="F508" s="165">
        <v>20</v>
      </c>
      <c r="G508" s="405">
        <v>49521</v>
      </c>
      <c r="H508" s="404">
        <v>7305</v>
      </c>
      <c r="I508" s="404">
        <v>532388.28272870346</v>
      </c>
      <c r="J508" s="404">
        <v>10115377.371845365</v>
      </c>
      <c r="K508" s="404">
        <v>365</v>
      </c>
      <c r="L508" s="404">
        <v>505423</v>
      </c>
      <c r="M508" s="404">
        <v>3372208</v>
      </c>
      <c r="N508" s="404">
        <v>7275557.6545740683</v>
      </c>
      <c r="O508" s="154"/>
      <c r="P508" s="154"/>
      <c r="Q508" s="154"/>
      <c r="R508" s="154"/>
      <c r="S508" s="154"/>
      <c r="T508" s="154"/>
      <c r="U508" s="154"/>
      <c r="V508" s="154"/>
      <c r="W508" s="154"/>
      <c r="X508" s="154"/>
      <c r="Y508" s="154"/>
      <c r="Z508" s="154"/>
    </row>
    <row r="509" spans="2:26" hidden="1" outlineLevel="1">
      <c r="B509" s="165" t="s">
        <v>2332</v>
      </c>
      <c r="C509" s="165" t="s">
        <v>3453</v>
      </c>
      <c r="D509" s="165" t="s">
        <v>3529</v>
      </c>
      <c r="E509" s="404">
        <v>48310399.069991492</v>
      </c>
      <c r="F509" s="165">
        <v>25</v>
      </c>
      <c r="G509" s="405">
        <v>51348</v>
      </c>
      <c r="H509" s="404">
        <v>9132</v>
      </c>
      <c r="I509" s="404">
        <v>2415519.9534995747</v>
      </c>
      <c r="J509" s="404">
        <v>45894879.116491914</v>
      </c>
      <c r="K509" s="404">
        <v>365</v>
      </c>
      <c r="L509" s="404">
        <v>1834388</v>
      </c>
      <c r="M509" s="404">
        <v>12239134</v>
      </c>
      <c r="N509" s="404">
        <v>36071265.069991492</v>
      </c>
      <c r="O509" s="154"/>
      <c r="P509" s="154"/>
      <c r="Q509" s="154"/>
      <c r="R509" s="154"/>
      <c r="S509" s="154"/>
      <c r="T509" s="154"/>
      <c r="U509" s="154"/>
      <c r="V509" s="154"/>
      <c r="W509" s="154"/>
      <c r="X509" s="154"/>
      <c r="Y509" s="154"/>
      <c r="Z509" s="154"/>
    </row>
    <row r="510" spans="2:26" hidden="1" outlineLevel="1">
      <c r="B510" s="165" t="s">
        <v>2332</v>
      </c>
      <c r="C510" s="165" t="s">
        <v>3453</v>
      </c>
      <c r="D510" s="165" t="s">
        <v>3530</v>
      </c>
      <c r="E510" s="404">
        <v>63886589.423484884</v>
      </c>
      <c r="F510" s="165">
        <v>25</v>
      </c>
      <c r="G510" s="405">
        <v>51348</v>
      </c>
      <c r="H510" s="404">
        <v>9132</v>
      </c>
      <c r="I510" s="404">
        <v>3194329.4711742443</v>
      </c>
      <c r="J510" s="404">
        <v>60692259.952310637</v>
      </c>
      <c r="K510" s="404">
        <v>365</v>
      </c>
      <c r="L510" s="404">
        <v>2425829</v>
      </c>
      <c r="M510" s="404">
        <v>16185260</v>
      </c>
      <c r="N510" s="404">
        <v>47701329.423484884</v>
      </c>
      <c r="O510" s="154"/>
      <c r="P510" s="154"/>
      <c r="Q510" s="154"/>
      <c r="R510" s="154"/>
      <c r="S510" s="154"/>
      <c r="T510" s="154"/>
      <c r="U510" s="154"/>
      <c r="V510" s="154"/>
      <c r="W510" s="154"/>
      <c r="X510" s="154"/>
      <c r="Y510" s="154"/>
      <c r="Z510" s="154"/>
    </row>
    <row r="511" spans="2:26" hidden="1" outlineLevel="1">
      <c r="B511" s="165" t="s">
        <v>2332</v>
      </c>
      <c r="C511" s="165" t="s">
        <v>3453</v>
      </c>
      <c r="D511" s="165" t="s">
        <v>3541</v>
      </c>
      <c r="E511" s="404">
        <v>103226887.67087826</v>
      </c>
      <c r="F511" s="165">
        <v>15</v>
      </c>
      <c r="G511" s="405">
        <v>47695</v>
      </c>
      <c r="H511" s="404">
        <v>5479</v>
      </c>
      <c r="I511" s="404">
        <v>5161344.3835439133</v>
      </c>
      <c r="J511" s="404">
        <v>98065543.287334353</v>
      </c>
      <c r="K511" s="404">
        <v>365</v>
      </c>
      <c r="L511" s="404">
        <v>6532930</v>
      </c>
      <c r="M511" s="404">
        <v>43588053</v>
      </c>
      <c r="N511" s="404">
        <v>59638834.670878261</v>
      </c>
      <c r="O511" s="154"/>
      <c r="P511" s="154"/>
      <c r="Q511" s="154"/>
      <c r="R511" s="154"/>
      <c r="S511" s="154"/>
      <c r="T511" s="154"/>
      <c r="U511" s="154"/>
      <c r="V511" s="154"/>
      <c r="W511" s="154"/>
      <c r="X511" s="154"/>
      <c r="Y511" s="154"/>
      <c r="Z511" s="154"/>
    </row>
    <row r="512" spans="2:26" ht="27" hidden="1" outlineLevel="1">
      <c r="B512" s="165" t="s">
        <v>2332</v>
      </c>
      <c r="C512" s="165" t="s">
        <v>3453</v>
      </c>
      <c r="D512" s="165" t="s">
        <v>3550</v>
      </c>
      <c r="E512" s="404">
        <v>34222769.841432817</v>
      </c>
      <c r="F512" s="165">
        <v>15</v>
      </c>
      <c r="G512" s="405">
        <v>47695</v>
      </c>
      <c r="H512" s="404">
        <v>5479</v>
      </c>
      <c r="I512" s="404">
        <v>1711138.4920716409</v>
      </c>
      <c r="J512" s="404">
        <v>32511631.349361178</v>
      </c>
      <c r="K512" s="404">
        <v>365</v>
      </c>
      <c r="L512" s="404">
        <v>2165860</v>
      </c>
      <c r="M512" s="404">
        <v>14450732</v>
      </c>
      <c r="N512" s="404">
        <v>19772037.841432817</v>
      </c>
      <c r="O512" s="154"/>
      <c r="P512" s="154"/>
      <c r="Q512" s="154"/>
      <c r="R512" s="154"/>
      <c r="S512" s="154"/>
      <c r="T512" s="154"/>
      <c r="U512" s="154"/>
      <c r="V512" s="154"/>
      <c r="W512" s="154"/>
      <c r="X512" s="154"/>
      <c r="Y512" s="154"/>
      <c r="Z512" s="154"/>
    </row>
    <row r="513" spans="2:26" hidden="1" outlineLevel="1">
      <c r="B513" s="165" t="s">
        <v>2332</v>
      </c>
      <c r="C513" s="165" t="s">
        <v>3453</v>
      </c>
      <c r="D513" s="165" t="s">
        <v>3510</v>
      </c>
      <c r="E513" s="404">
        <v>80243260.210767299</v>
      </c>
      <c r="F513" s="165">
        <v>25</v>
      </c>
      <c r="G513" s="405">
        <v>51348</v>
      </c>
      <c r="H513" s="404">
        <v>9132</v>
      </c>
      <c r="I513" s="404">
        <v>4012163.0105383652</v>
      </c>
      <c r="J513" s="404">
        <v>76231097.20022893</v>
      </c>
      <c r="K513" s="404">
        <v>365</v>
      </c>
      <c r="L513" s="404">
        <v>3046907</v>
      </c>
      <c r="M513" s="404">
        <v>20329123</v>
      </c>
      <c r="N513" s="404">
        <v>59914137.210767299</v>
      </c>
      <c r="O513" s="154"/>
      <c r="P513" s="154"/>
      <c r="Q513" s="154"/>
      <c r="R513" s="154"/>
      <c r="S513" s="154"/>
      <c r="T513" s="154"/>
      <c r="U513" s="154"/>
      <c r="V513" s="154"/>
      <c r="W513" s="154"/>
      <c r="X513" s="154"/>
      <c r="Y513" s="154"/>
      <c r="Z513" s="154"/>
    </row>
    <row r="514" spans="2:26" hidden="1" outlineLevel="1">
      <c r="B514" s="165" t="s">
        <v>2332</v>
      </c>
      <c r="C514" s="165" t="s">
        <v>3453</v>
      </c>
      <c r="D514" s="165" t="s">
        <v>3511</v>
      </c>
      <c r="E514" s="404">
        <v>49806199.686969012</v>
      </c>
      <c r="F514" s="165">
        <v>25</v>
      </c>
      <c r="G514" s="405">
        <v>51348</v>
      </c>
      <c r="H514" s="404">
        <v>9132</v>
      </c>
      <c r="I514" s="404">
        <v>2490309.9843484508</v>
      </c>
      <c r="J514" s="404">
        <v>47315889.702620558</v>
      </c>
      <c r="K514" s="404">
        <v>365</v>
      </c>
      <c r="L514" s="404">
        <v>1891185</v>
      </c>
      <c r="M514" s="404">
        <v>12618086</v>
      </c>
      <c r="N514" s="404">
        <v>37188113.686969012</v>
      </c>
      <c r="O514" s="154"/>
      <c r="P514" s="154"/>
      <c r="Q514" s="154"/>
      <c r="R514" s="154"/>
      <c r="S514" s="154"/>
      <c r="T514" s="154"/>
      <c r="U514" s="154"/>
      <c r="V514" s="154"/>
      <c r="W514" s="154"/>
      <c r="X514" s="154"/>
      <c r="Y514" s="154"/>
      <c r="Z514" s="154"/>
    </row>
    <row r="515" spans="2:26" hidden="1" outlineLevel="1">
      <c r="B515" s="165" t="s">
        <v>2332</v>
      </c>
      <c r="C515" s="165" t="s">
        <v>3453</v>
      </c>
      <c r="D515" s="165" t="s">
        <v>3515</v>
      </c>
      <c r="E515" s="404">
        <v>3194329.5933492137</v>
      </c>
      <c r="F515" s="165">
        <v>25</v>
      </c>
      <c r="G515" s="405">
        <v>51348</v>
      </c>
      <c r="H515" s="404">
        <v>9132</v>
      </c>
      <c r="I515" s="404">
        <v>159716.47966746069</v>
      </c>
      <c r="J515" s="404">
        <v>3034613.1136817532</v>
      </c>
      <c r="K515" s="404">
        <v>365</v>
      </c>
      <c r="L515" s="404">
        <v>121291</v>
      </c>
      <c r="M515" s="404">
        <v>809261</v>
      </c>
      <c r="N515" s="404">
        <v>2385068.5933492137</v>
      </c>
      <c r="O515" s="154"/>
      <c r="P515" s="154"/>
      <c r="Q515" s="154"/>
      <c r="R515" s="154"/>
      <c r="S515" s="154"/>
      <c r="T515" s="154"/>
      <c r="U515" s="154"/>
      <c r="V515" s="154"/>
      <c r="W515" s="154"/>
      <c r="X515" s="154"/>
      <c r="Y515" s="154"/>
      <c r="Z515" s="154"/>
    </row>
    <row r="516" spans="2:26" hidden="1" outlineLevel="1">
      <c r="B516" s="165" t="s">
        <v>2332</v>
      </c>
      <c r="C516" s="165" t="s">
        <v>3453</v>
      </c>
      <c r="D516" s="165" t="s">
        <v>3516</v>
      </c>
      <c r="E516" s="404">
        <v>10647765.654574068</v>
      </c>
      <c r="F516" s="165">
        <v>25</v>
      </c>
      <c r="G516" s="405">
        <v>51348</v>
      </c>
      <c r="H516" s="404">
        <v>9132</v>
      </c>
      <c r="I516" s="404">
        <v>532388.28272870346</v>
      </c>
      <c r="J516" s="404">
        <v>10115377.371845365</v>
      </c>
      <c r="K516" s="404">
        <v>365</v>
      </c>
      <c r="L516" s="404">
        <v>404305</v>
      </c>
      <c r="M516" s="404">
        <v>2697545</v>
      </c>
      <c r="N516" s="404">
        <v>7950220.6545740683</v>
      </c>
      <c r="O516" s="154"/>
      <c r="P516" s="154"/>
      <c r="Q516" s="154"/>
      <c r="R516" s="154"/>
      <c r="S516" s="154"/>
      <c r="T516" s="154"/>
      <c r="U516" s="154"/>
      <c r="V516" s="154"/>
      <c r="W516" s="154"/>
      <c r="X516" s="154"/>
      <c r="Y516" s="154"/>
      <c r="Z516" s="154"/>
    </row>
    <row r="517" spans="2:26" hidden="1" outlineLevel="1">
      <c r="B517" s="165" t="s">
        <v>2332</v>
      </c>
      <c r="C517" s="165" t="s">
        <v>3453</v>
      </c>
      <c r="D517" s="165" t="s">
        <v>3517</v>
      </c>
      <c r="E517" s="404">
        <v>5744149.3064889228</v>
      </c>
      <c r="F517" s="165">
        <v>15</v>
      </c>
      <c r="G517" s="405">
        <v>47695</v>
      </c>
      <c r="H517" s="404">
        <v>5479</v>
      </c>
      <c r="I517" s="404">
        <v>287207.46532444615</v>
      </c>
      <c r="J517" s="404">
        <v>5456941.8411644762</v>
      </c>
      <c r="K517" s="404">
        <v>365</v>
      </c>
      <c r="L517" s="404">
        <v>363531</v>
      </c>
      <c r="M517" s="404">
        <v>2425498</v>
      </c>
      <c r="N517" s="404">
        <v>3318651.3064889228</v>
      </c>
      <c r="O517" s="154"/>
      <c r="P517" s="154"/>
      <c r="Q517" s="154"/>
      <c r="R517" s="154"/>
      <c r="S517" s="154"/>
      <c r="T517" s="154"/>
      <c r="U517" s="154"/>
      <c r="V517" s="154"/>
      <c r="W517" s="154"/>
      <c r="X517" s="154"/>
      <c r="Y517" s="154"/>
      <c r="Z517" s="154"/>
    </row>
    <row r="518" spans="2:26" hidden="1" outlineLevel="1">
      <c r="B518" s="165" t="s">
        <v>2332</v>
      </c>
      <c r="C518" s="165" t="s">
        <v>3453</v>
      </c>
      <c r="D518" s="165" t="s">
        <v>3556</v>
      </c>
      <c r="E518" s="404">
        <v>24903097.501572795</v>
      </c>
      <c r="F518" s="165">
        <v>15</v>
      </c>
      <c r="G518" s="405">
        <v>47695</v>
      </c>
      <c r="H518" s="404">
        <v>5479</v>
      </c>
      <c r="I518" s="404">
        <v>1245154.8750786397</v>
      </c>
      <c r="J518" s="404">
        <v>23657942.626494154</v>
      </c>
      <c r="K518" s="404">
        <v>365</v>
      </c>
      <c r="L518" s="404">
        <v>1576045</v>
      </c>
      <c r="M518" s="404">
        <v>10515455</v>
      </c>
      <c r="N518" s="404">
        <v>14387642.501572795</v>
      </c>
      <c r="O518" s="154"/>
      <c r="P518" s="154"/>
      <c r="Q518" s="154"/>
      <c r="R518" s="154"/>
      <c r="S518" s="154"/>
      <c r="T518" s="154"/>
      <c r="U518" s="154"/>
      <c r="V518" s="154"/>
      <c r="W518" s="154"/>
      <c r="X518" s="154"/>
      <c r="Y518" s="154"/>
      <c r="Z518" s="154"/>
    </row>
    <row r="519" spans="2:26" hidden="1" outlineLevel="1">
      <c r="B519" s="165" t="s">
        <v>2332</v>
      </c>
      <c r="C519" s="165" t="s">
        <v>3453</v>
      </c>
      <c r="D519" s="165" t="s">
        <v>3557</v>
      </c>
      <c r="E519" s="404">
        <v>31943296.21297371</v>
      </c>
      <c r="F519" s="165">
        <v>10</v>
      </c>
      <c r="G519" s="405">
        <v>45869</v>
      </c>
      <c r="H519" s="404">
        <v>3653</v>
      </c>
      <c r="I519" s="404">
        <v>1597164.8106486856</v>
      </c>
      <c r="J519" s="404">
        <v>30346131.402325023</v>
      </c>
      <c r="K519" s="404">
        <v>365</v>
      </c>
      <c r="L519" s="404">
        <v>3032121</v>
      </c>
      <c r="M519" s="404">
        <v>20230471</v>
      </c>
      <c r="N519" s="404">
        <v>11712825.21297371</v>
      </c>
      <c r="O519" s="154"/>
      <c r="P519" s="154"/>
      <c r="Q519" s="154"/>
      <c r="R519" s="154"/>
      <c r="S519" s="154"/>
      <c r="T519" s="154"/>
      <c r="U519" s="154"/>
      <c r="V519" s="154"/>
      <c r="W519" s="154"/>
      <c r="X519" s="154"/>
      <c r="Y519" s="154"/>
      <c r="Z519" s="154"/>
    </row>
    <row r="520" spans="2:26" hidden="1" outlineLevel="1">
      <c r="B520" s="165"/>
      <c r="C520" s="165"/>
      <c r="D520" s="165"/>
      <c r="E520" s="404"/>
      <c r="F520" s="405"/>
      <c r="G520" s="405"/>
      <c r="H520" s="404"/>
      <c r="I520" s="404"/>
      <c r="J520" s="404"/>
      <c r="K520" s="404"/>
      <c r="L520" s="404"/>
      <c r="M520" s="404"/>
      <c r="N520" s="404"/>
      <c r="O520" s="154"/>
      <c r="P520" s="154"/>
      <c r="Q520" s="154"/>
      <c r="R520" s="154"/>
      <c r="S520" s="154"/>
      <c r="T520" s="154"/>
      <c r="U520" s="154"/>
      <c r="V520" s="154"/>
      <c r="W520" s="154"/>
      <c r="X520" s="154"/>
      <c r="Y520" s="154"/>
      <c r="Z520" s="154"/>
    </row>
    <row r="521" spans="2:26" hidden="1" outlineLevel="1">
      <c r="B521" s="165" t="s">
        <v>2332</v>
      </c>
      <c r="C521" s="165" t="s">
        <v>3471</v>
      </c>
      <c r="D521" s="165" t="s">
        <v>3472</v>
      </c>
      <c r="E521" s="404">
        <v>68636009.621287823</v>
      </c>
      <c r="F521" s="165">
        <v>25</v>
      </c>
      <c r="G521" s="405">
        <v>51348</v>
      </c>
      <c r="H521" s="404">
        <v>9132</v>
      </c>
      <c r="I521" s="404">
        <v>3431800.4810643913</v>
      </c>
      <c r="J521" s="404">
        <v>65204209.140223429</v>
      </c>
      <c r="K521" s="404">
        <v>365</v>
      </c>
      <c r="L521" s="404">
        <v>2606169</v>
      </c>
      <c r="M521" s="404">
        <v>17388497</v>
      </c>
      <c r="N521" s="404">
        <v>51247512.621287823</v>
      </c>
      <c r="O521" s="154"/>
      <c r="P521" s="154"/>
      <c r="Q521" s="154"/>
      <c r="R521" s="154"/>
      <c r="S521" s="154"/>
      <c r="T521" s="154"/>
      <c r="U521" s="154"/>
      <c r="V521" s="154"/>
      <c r="W521" s="154"/>
      <c r="X521" s="154"/>
      <c r="Y521" s="154"/>
      <c r="Z521" s="154"/>
    </row>
    <row r="522" spans="2:26" hidden="1" outlineLevel="1">
      <c r="B522" s="165" t="s">
        <v>2332</v>
      </c>
      <c r="C522" s="165" t="s">
        <v>3471</v>
      </c>
      <c r="D522" s="165" t="s">
        <v>3760</v>
      </c>
      <c r="E522" s="404">
        <v>102954011.386971</v>
      </c>
      <c r="F522" s="165">
        <v>15</v>
      </c>
      <c r="G522" s="405">
        <v>47695</v>
      </c>
      <c r="H522" s="404">
        <v>5479</v>
      </c>
      <c r="I522" s="404">
        <v>5147700.5693485504</v>
      </c>
      <c r="J522" s="404">
        <v>97806310.817622453</v>
      </c>
      <c r="K522" s="404">
        <v>365</v>
      </c>
      <c r="L522" s="404">
        <v>6515660</v>
      </c>
      <c r="M522" s="404">
        <v>43472828</v>
      </c>
      <c r="N522" s="404">
        <v>59481183.386970997</v>
      </c>
      <c r="O522" s="154"/>
      <c r="P522" s="154"/>
      <c r="Q522" s="154"/>
      <c r="R522" s="154"/>
      <c r="S522" s="154"/>
      <c r="T522" s="154"/>
      <c r="U522" s="154"/>
      <c r="V522" s="154"/>
      <c r="W522" s="154"/>
      <c r="X522" s="154"/>
      <c r="Y522" s="154"/>
      <c r="Z522" s="154"/>
    </row>
    <row r="523" spans="2:26" hidden="1" outlineLevel="1">
      <c r="B523" s="165"/>
      <c r="C523" s="165"/>
      <c r="D523" s="165"/>
      <c r="E523" s="404"/>
      <c r="F523" s="165"/>
      <c r="G523" s="405"/>
      <c r="H523" s="404"/>
      <c r="I523" s="404"/>
      <c r="J523" s="404"/>
      <c r="K523" s="404"/>
      <c r="L523" s="404"/>
      <c r="M523" s="404"/>
      <c r="N523" s="404"/>
      <c r="O523" s="154"/>
      <c r="P523" s="154"/>
      <c r="Q523" s="154"/>
      <c r="R523" s="154"/>
      <c r="S523" s="154"/>
      <c r="T523" s="154"/>
      <c r="U523" s="154"/>
      <c r="V523" s="154"/>
      <c r="W523" s="154"/>
      <c r="X523" s="154"/>
      <c r="Y523" s="154"/>
      <c r="Z523" s="154"/>
    </row>
    <row r="524" spans="2:26" hidden="1" outlineLevel="1">
      <c r="B524" s="165" t="s">
        <v>2332</v>
      </c>
      <c r="C524" s="165" t="s">
        <v>3471</v>
      </c>
      <c r="D524" s="165" t="s">
        <v>3474</v>
      </c>
      <c r="E524" s="404">
        <v>68636009.621287823</v>
      </c>
      <c r="F524" s="165">
        <v>25</v>
      </c>
      <c r="G524" s="405">
        <v>51348</v>
      </c>
      <c r="H524" s="404">
        <v>9132</v>
      </c>
      <c r="I524" s="404">
        <v>3431800.4810643913</v>
      </c>
      <c r="J524" s="404">
        <v>65204209.140223429</v>
      </c>
      <c r="K524" s="404">
        <v>365</v>
      </c>
      <c r="L524" s="404">
        <v>2606169</v>
      </c>
      <c r="M524" s="404">
        <v>17388497</v>
      </c>
      <c r="N524" s="404">
        <v>51247512.621287823</v>
      </c>
      <c r="O524" s="154"/>
      <c r="P524" s="154"/>
      <c r="Q524" s="154"/>
      <c r="R524" s="154"/>
      <c r="S524" s="154"/>
      <c r="T524" s="154"/>
      <c r="U524" s="154"/>
      <c r="V524" s="154"/>
      <c r="W524" s="154"/>
      <c r="X524" s="154"/>
      <c r="Y524" s="154"/>
      <c r="Z524" s="154"/>
    </row>
    <row r="525" spans="2:26" hidden="1" outlineLevel="1">
      <c r="B525" s="165" t="s">
        <v>2332</v>
      </c>
      <c r="C525" s="165" t="s">
        <v>3471</v>
      </c>
      <c r="D525" s="165" t="s">
        <v>3761</v>
      </c>
      <c r="E525" s="404">
        <v>102954011.38684782</v>
      </c>
      <c r="F525" s="165">
        <v>15</v>
      </c>
      <c r="G525" s="405">
        <v>47695</v>
      </c>
      <c r="H525" s="404">
        <v>5479</v>
      </c>
      <c r="I525" s="404">
        <v>5147700.5693423916</v>
      </c>
      <c r="J525" s="404">
        <v>97806310.817505434</v>
      </c>
      <c r="K525" s="404">
        <v>365</v>
      </c>
      <c r="L525" s="404">
        <v>6515660</v>
      </c>
      <c r="M525" s="404">
        <v>43472828</v>
      </c>
      <c r="N525" s="404">
        <v>59481183.386847824</v>
      </c>
      <c r="O525" s="154"/>
      <c r="P525" s="154"/>
      <c r="Q525" s="154"/>
      <c r="R525" s="154"/>
      <c r="S525" s="154"/>
      <c r="T525" s="154"/>
      <c r="U525" s="154"/>
      <c r="V525" s="154"/>
      <c r="W525" s="154"/>
      <c r="X525" s="154"/>
      <c r="Y525" s="154"/>
      <c r="Z525" s="154"/>
    </row>
    <row r="526" spans="2:26" hidden="1" outlineLevel="1">
      <c r="B526" s="165"/>
      <c r="C526" s="165"/>
      <c r="D526" s="165"/>
      <c r="E526" s="404"/>
      <c r="F526" s="165"/>
      <c r="G526" s="405"/>
      <c r="H526" s="404"/>
      <c r="I526" s="404"/>
      <c r="J526" s="404"/>
      <c r="K526" s="404"/>
      <c r="L526" s="404"/>
      <c r="M526" s="404"/>
      <c r="N526" s="404"/>
      <c r="O526" s="154"/>
      <c r="P526" s="154"/>
      <c r="Q526" s="154"/>
      <c r="R526" s="154"/>
      <c r="S526" s="154"/>
      <c r="T526" s="154"/>
      <c r="U526" s="154"/>
      <c r="V526" s="154"/>
      <c r="W526" s="154"/>
      <c r="X526" s="154"/>
      <c r="Y526" s="154"/>
      <c r="Z526" s="154"/>
    </row>
    <row r="527" spans="2:26" hidden="1" outlineLevel="1">
      <c r="B527" s="165" t="s">
        <v>2332</v>
      </c>
      <c r="C527" s="165" t="s">
        <v>3471</v>
      </c>
      <c r="D527" s="165" t="s">
        <v>3762</v>
      </c>
      <c r="E527" s="404">
        <v>68636009.621287823</v>
      </c>
      <c r="F527" s="165">
        <v>25</v>
      </c>
      <c r="G527" s="405">
        <v>51348</v>
      </c>
      <c r="H527" s="404">
        <v>9132</v>
      </c>
      <c r="I527" s="404">
        <v>3431800.4810643913</v>
      </c>
      <c r="J527" s="404">
        <v>65204209.140223429</v>
      </c>
      <c r="K527" s="404">
        <v>365</v>
      </c>
      <c r="L527" s="404">
        <v>2606169</v>
      </c>
      <c r="M527" s="404">
        <v>17388497</v>
      </c>
      <c r="N527" s="404">
        <v>51247512.621287823</v>
      </c>
      <c r="O527" s="154"/>
      <c r="P527" s="154"/>
      <c r="Q527" s="154"/>
      <c r="R527" s="154"/>
      <c r="S527" s="154"/>
      <c r="T527" s="154"/>
      <c r="U527" s="154"/>
      <c r="V527" s="154"/>
      <c r="W527" s="154"/>
      <c r="X527" s="154"/>
      <c r="Y527" s="154"/>
      <c r="Z527" s="154"/>
    </row>
    <row r="528" spans="2:26" hidden="1" outlineLevel="1">
      <c r="B528" s="165" t="s">
        <v>2332</v>
      </c>
      <c r="C528" s="165" t="s">
        <v>3471</v>
      </c>
      <c r="D528" s="165" t="s">
        <v>3477</v>
      </c>
      <c r="E528" s="404">
        <v>102954011.38684782</v>
      </c>
      <c r="F528" s="165">
        <v>15</v>
      </c>
      <c r="G528" s="405">
        <v>47695</v>
      </c>
      <c r="H528" s="404">
        <v>5479</v>
      </c>
      <c r="I528" s="404">
        <v>5147700.5693423916</v>
      </c>
      <c r="J528" s="404">
        <v>97806310.817505434</v>
      </c>
      <c r="K528" s="404">
        <v>365</v>
      </c>
      <c r="L528" s="404">
        <v>6515660</v>
      </c>
      <c r="M528" s="404">
        <v>43472828</v>
      </c>
      <c r="N528" s="404">
        <v>59481183.386847824</v>
      </c>
      <c r="O528" s="154"/>
      <c r="P528" s="154"/>
      <c r="Q528" s="154"/>
      <c r="R528" s="154"/>
      <c r="S528" s="154"/>
      <c r="T528" s="154"/>
      <c r="U528" s="154"/>
      <c r="V528" s="154"/>
      <c r="W528" s="154"/>
      <c r="X528" s="154"/>
      <c r="Y528" s="154"/>
      <c r="Z528" s="154"/>
    </row>
    <row r="529" spans="2:26" hidden="1" outlineLevel="1">
      <c r="B529" s="165"/>
      <c r="C529" s="165"/>
      <c r="D529" s="165"/>
      <c r="E529" s="404"/>
      <c r="F529" s="165"/>
      <c r="G529" s="405"/>
      <c r="H529" s="404"/>
      <c r="I529" s="404"/>
      <c r="J529" s="404"/>
      <c r="K529" s="404"/>
      <c r="L529" s="404"/>
      <c r="M529" s="404"/>
      <c r="N529" s="404"/>
      <c r="O529" s="154"/>
      <c r="P529" s="154"/>
      <c r="Q529" s="154"/>
      <c r="R529" s="154"/>
      <c r="S529" s="154"/>
      <c r="T529" s="154"/>
      <c r="U529" s="154"/>
      <c r="V529" s="154"/>
      <c r="W529" s="154"/>
      <c r="X529" s="154"/>
      <c r="Y529" s="154"/>
      <c r="Z529" s="154"/>
    </row>
    <row r="530" spans="2:26" hidden="1" outlineLevel="1">
      <c r="B530" s="165" t="s">
        <v>2332</v>
      </c>
      <c r="C530" s="165" t="s">
        <v>3471</v>
      </c>
      <c r="D530" s="165" t="s">
        <v>3763</v>
      </c>
      <c r="E530" s="404">
        <v>12627079.065936919</v>
      </c>
      <c r="F530" s="165">
        <v>25</v>
      </c>
      <c r="G530" s="405">
        <v>51348</v>
      </c>
      <c r="H530" s="404">
        <v>9132</v>
      </c>
      <c r="I530" s="404">
        <v>631353.95329684601</v>
      </c>
      <c r="J530" s="404">
        <v>11995725.112640074</v>
      </c>
      <c r="K530" s="404">
        <v>365</v>
      </c>
      <c r="L530" s="404">
        <v>479461</v>
      </c>
      <c r="M530" s="404">
        <v>3198990</v>
      </c>
      <c r="N530" s="404">
        <v>9428089.0659369193</v>
      </c>
      <c r="O530" s="154"/>
      <c r="P530" s="154"/>
      <c r="Q530" s="154"/>
      <c r="R530" s="154"/>
      <c r="S530" s="154"/>
      <c r="T530" s="154"/>
      <c r="U530" s="154"/>
      <c r="V530" s="154"/>
      <c r="W530" s="154"/>
      <c r="X530" s="154"/>
      <c r="Y530" s="154"/>
      <c r="Z530" s="154"/>
    </row>
    <row r="531" spans="2:26" hidden="1" outlineLevel="1">
      <c r="B531" s="165" t="s">
        <v>2332</v>
      </c>
      <c r="C531" s="165" t="s">
        <v>3471</v>
      </c>
      <c r="D531" s="165" t="s">
        <v>3049</v>
      </c>
      <c r="E531" s="404">
        <v>99178188.747883052</v>
      </c>
      <c r="F531" s="165">
        <v>25</v>
      </c>
      <c r="G531" s="405">
        <v>51348</v>
      </c>
      <c r="H531" s="404">
        <v>9132</v>
      </c>
      <c r="I531" s="404">
        <v>4958909.4373941524</v>
      </c>
      <c r="J531" s="404">
        <v>94219279.310488895</v>
      </c>
      <c r="K531" s="404">
        <v>365</v>
      </c>
      <c r="L531" s="404">
        <v>3765882</v>
      </c>
      <c r="M531" s="404">
        <v>25126164</v>
      </c>
      <c r="N531" s="404">
        <v>74052024.747883052</v>
      </c>
      <c r="O531" s="154"/>
      <c r="P531" s="154"/>
      <c r="Q531" s="154"/>
      <c r="R531" s="154"/>
      <c r="S531" s="154"/>
      <c r="T531" s="154"/>
      <c r="U531" s="154"/>
      <c r="V531" s="154"/>
      <c r="W531" s="154"/>
      <c r="X531" s="154"/>
      <c r="Y531" s="154"/>
      <c r="Z531" s="154"/>
    </row>
    <row r="532" spans="2:26" hidden="1" outlineLevel="1">
      <c r="B532" s="165"/>
      <c r="C532" s="165"/>
      <c r="D532" s="165"/>
      <c r="E532" s="404"/>
      <c r="F532" s="165"/>
      <c r="G532" s="405"/>
      <c r="H532" s="404"/>
      <c r="I532" s="404"/>
      <c r="J532" s="404"/>
      <c r="K532" s="404"/>
      <c r="L532" s="404"/>
      <c r="M532" s="404"/>
      <c r="N532" s="404"/>
      <c r="O532" s="154"/>
      <c r="P532" s="154"/>
      <c r="Q532" s="154"/>
      <c r="R532" s="154"/>
      <c r="S532" s="154"/>
      <c r="T532" s="154"/>
      <c r="U532" s="154"/>
      <c r="V532" s="154"/>
      <c r="W532" s="154"/>
      <c r="X532" s="154"/>
      <c r="Y532" s="154"/>
      <c r="Z532" s="154"/>
    </row>
    <row r="533" spans="2:26" hidden="1" outlineLevel="1">
      <c r="B533" s="165" t="s">
        <v>2332</v>
      </c>
      <c r="C533" s="165" t="s">
        <v>3479</v>
      </c>
      <c r="D533" s="165" t="s">
        <v>3764</v>
      </c>
      <c r="E533" s="404">
        <v>17609673.784944266</v>
      </c>
      <c r="F533" s="165">
        <v>25</v>
      </c>
      <c r="G533" s="405">
        <v>51348</v>
      </c>
      <c r="H533" s="404">
        <v>9132</v>
      </c>
      <c r="I533" s="404">
        <v>880483.6892472133</v>
      </c>
      <c r="J533" s="404">
        <v>16729190.095697053</v>
      </c>
      <c r="K533" s="404">
        <v>365</v>
      </c>
      <c r="L533" s="404">
        <v>668655</v>
      </c>
      <c r="M533" s="404">
        <v>4461301</v>
      </c>
      <c r="N533" s="404">
        <v>13148372.784944266</v>
      </c>
      <c r="O533" s="154"/>
      <c r="P533" s="154"/>
      <c r="Q533" s="154"/>
      <c r="R533" s="154"/>
      <c r="S533" s="154"/>
      <c r="T533" s="154"/>
      <c r="U533" s="154"/>
      <c r="V533" s="154"/>
      <c r="W533" s="154"/>
      <c r="X533" s="154"/>
      <c r="Y533" s="154"/>
      <c r="Z533" s="154"/>
    </row>
    <row r="534" spans="2:26" hidden="1" outlineLevel="1">
      <c r="B534" s="165" t="s">
        <v>2332</v>
      </c>
      <c r="C534" s="165" t="s">
        <v>3479</v>
      </c>
      <c r="D534" s="165" t="s">
        <v>3765</v>
      </c>
      <c r="E534" s="404">
        <v>26414513.280335616</v>
      </c>
      <c r="F534" s="165">
        <v>15</v>
      </c>
      <c r="G534" s="405">
        <v>47695</v>
      </c>
      <c r="H534" s="404">
        <v>5479</v>
      </c>
      <c r="I534" s="404">
        <v>1320725.6640167809</v>
      </c>
      <c r="J534" s="404">
        <v>25093787.616318837</v>
      </c>
      <c r="K534" s="404">
        <v>365</v>
      </c>
      <c r="L534" s="404">
        <v>1671698</v>
      </c>
      <c r="M534" s="404">
        <v>11153657</v>
      </c>
      <c r="N534" s="404">
        <v>15260856.280335616</v>
      </c>
      <c r="O534" s="154"/>
      <c r="P534" s="154"/>
      <c r="Q534" s="154"/>
      <c r="R534" s="154"/>
      <c r="S534" s="154"/>
      <c r="T534" s="154"/>
      <c r="U534" s="154"/>
      <c r="V534" s="154"/>
      <c r="W534" s="154"/>
      <c r="X534" s="154"/>
      <c r="Y534" s="154"/>
      <c r="Z534" s="154"/>
    </row>
    <row r="535" spans="2:26" hidden="1" outlineLevel="1">
      <c r="B535" s="165"/>
      <c r="C535" s="165"/>
      <c r="D535" s="165"/>
      <c r="E535" s="404"/>
      <c r="F535" s="165"/>
      <c r="G535" s="405"/>
      <c r="H535" s="404"/>
      <c r="I535" s="404"/>
      <c r="J535" s="404"/>
      <c r="K535" s="404"/>
      <c r="L535" s="404"/>
      <c r="M535" s="404"/>
      <c r="N535" s="404"/>
      <c r="O535" s="154"/>
      <c r="P535" s="154"/>
      <c r="Q535" s="154"/>
      <c r="R535" s="154"/>
      <c r="S535" s="154"/>
      <c r="T535" s="154"/>
      <c r="U535" s="154"/>
      <c r="V535" s="154"/>
      <c r="W535" s="154"/>
      <c r="X535" s="154"/>
      <c r="Y535" s="154"/>
      <c r="Z535" s="154"/>
    </row>
    <row r="536" spans="2:26" hidden="1" outlineLevel="1">
      <c r="B536" s="165" t="s">
        <v>2332</v>
      </c>
      <c r="C536" s="165" t="s">
        <v>3479</v>
      </c>
      <c r="D536" s="165" t="s">
        <v>3766</v>
      </c>
      <c r="E536" s="404">
        <v>18003831.410333797</v>
      </c>
      <c r="F536" s="165">
        <v>25</v>
      </c>
      <c r="G536" s="405">
        <v>51348</v>
      </c>
      <c r="H536" s="404">
        <v>9132</v>
      </c>
      <c r="I536" s="404">
        <v>900191.57051668991</v>
      </c>
      <c r="J536" s="404">
        <v>17103639.839817107</v>
      </c>
      <c r="K536" s="404">
        <v>365</v>
      </c>
      <c r="L536" s="404">
        <v>683621</v>
      </c>
      <c r="M536" s="404">
        <v>4561156</v>
      </c>
      <c r="N536" s="404">
        <v>13442675.410333797</v>
      </c>
      <c r="O536" s="154"/>
      <c r="P536" s="154"/>
      <c r="Q536" s="154"/>
      <c r="R536" s="154"/>
      <c r="S536" s="154"/>
      <c r="T536" s="154"/>
      <c r="U536" s="154"/>
      <c r="V536" s="154"/>
      <c r="W536" s="154"/>
      <c r="X536" s="154"/>
      <c r="Y536" s="154"/>
      <c r="Z536" s="154"/>
    </row>
    <row r="537" spans="2:26" hidden="1" outlineLevel="1">
      <c r="B537" s="165" t="s">
        <v>2332</v>
      </c>
      <c r="C537" s="165" t="s">
        <v>3479</v>
      </c>
      <c r="D537" s="165" t="s">
        <v>3767</v>
      </c>
      <c r="E537" s="404">
        <v>27005748.434474595</v>
      </c>
      <c r="F537" s="165">
        <v>15</v>
      </c>
      <c r="G537" s="405">
        <v>47695</v>
      </c>
      <c r="H537" s="404">
        <v>5479</v>
      </c>
      <c r="I537" s="404">
        <v>1350287.4217237299</v>
      </c>
      <c r="J537" s="404">
        <v>25655461.012750864</v>
      </c>
      <c r="K537" s="404">
        <v>365</v>
      </c>
      <c r="L537" s="404">
        <v>1709115</v>
      </c>
      <c r="M537" s="404">
        <v>11403306</v>
      </c>
      <c r="N537" s="404">
        <v>15602442.434474595</v>
      </c>
      <c r="O537" s="154"/>
      <c r="P537" s="154"/>
      <c r="Q537" s="154"/>
      <c r="R537" s="154"/>
      <c r="S537" s="154"/>
      <c r="T537" s="154"/>
      <c r="U537" s="154"/>
      <c r="V537" s="154"/>
      <c r="W537" s="154"/>
      <c r="X537" s="154"/>
      <c r="Y537" s="154"/>
      <c r="Z537" s="154"/>
    </row>
    <row r="538" spans="2:26" hidden="1" outlineLevel="1">
      <c r="B538" s="165"/>
      <c r="C538" s="165"/>
      <c r="D538" s="165"/>
      <c r="E538" s="404"/>
      <c r="F538" s="165"/>
      <c r="G538" s="405"/>
      <c r="H538" s="404"/>
      <c r="I538" s="404"/>
      <c r="J538" s="404"/>
      <c r="K538" s="404"/>
      <c r="L538" s="404"/>
      <c r="M538" s="404"/>
      <c r="N538" s="404"/>
      <c r="O538" s="154"/>
      <c r="P538" s="154"/>
      <c r="Q538" s="154"/>
      <c r="R538" s="154"/>
      <c r="S538" s="154"/>
      <c r="T538" s="154"/>
      <c r="U538" s="154"/>
      <c r="V538" s="154"/>
      <c r="W538" s="154"/>
      <c r="X538" s="154"/>
      <c r="Y538" s="154"/>
      <c r="Z538" s="154"/>
    </row>
    <row r="539" spans="2:26" hidden="1" outlineLevel="1">
      <c r="B539" s="165" t="s">
        <v>2332</v>
      </c>
      <c r="C539" s="165" t="s">
        <v>3479</v>
      </c>
      <c r="D539" s="165" t="s">
        <v>3768</v>
      </c>
      <c r="E539" s="404">
        <v>16415264.033258766</v>
      </c>
      <c r="F539" s="165">
        <v>25</v>
      </c>
      <c r="G539" s="405">
        <v>51348</v>
      </c>
      <c r="H539" s="404">
        <v>9132</v>
      </c>
      <c r="I539" s="404">
        <v>820763.20166293834</v>
      </c>
      <c r="J539" s="404">
        <v>15594500.831595827</v>
      </c>
      <c r="K539" s="404">
        <v>365</v>
      </c>
      <c r="L539" s="404">
        <v>623302</v>
      </c>
      <c r="M539" s="404">
        <v>4158704</v>
      </c>
      <c r="N539" s="404">
        <v>12256560.033258766</v>
      </c>
      <c r="O539" s="154"/>
      <c r="P539" s="154"/>
      <c r="Q539" s="154"/>
      <c r="R539" s="154"/>
      <c r="S539" s="154"/>
      <c r="T539" s="154"/>
      <c r="U539" s="154"/>
      <c r="V539" s="154"/>
      <c r="W539" s="154"/>
      <c r="X539" s="154"/>
      <c r="Y539" s="154"/>
      <c r="Z539" s="154"/>
    </row>
    <row r="540" spans="2:26" hidden="1" outlineLevel="1">
      <c r="B540" s="165" t="s">
        <v>2332</v>
      </c>
      <c r="C540" s="165" t="s">
        <v>3479</v>
      </c>
      <c r="D540" s="165" t="s">
        <v>3769</v>
      </c>
      <c r="E540" s="404">
        <v>24622897.974395074</v>
      </c>
      <c r="F540" s="165">
        <v>15</v>
      </c>
      <c r="G540" s="405">
        <v>47695</v>
      </c>
      <c r="H540" s="404">
        <v>5479</v>
      </c>
      <c r="I540" s="404">
        <v>1231144.8987197538</v>
      </c>
      <c r="J540" s="404">
        <v>23391753.07567532</v>
      </c>
      <c r="K540" s="404">
        <v>365</v>
      </c>
      <c r="L540" s="404">
        <v>1558312</v>
      </c>
      <c r="M540" s="404">
        <v>10397139</v>
      </c>
      <c r="N540" s="404">
        <v>14225758.974395074</v>
      </c>
      <c r="O540" s="154"/>
      <c r="P540" s="154"/>
      <c r="Q540" s="154"/>
      <c r="R540" s="154"/>
      <c r="S540" s="154"/>
      <c r="T540" s="154"/>
      <c r="U540" s="154"/>
      <c r="V540" s="154"/>
      <c r="W540" s="154"/>
      <c r="X540" s="154"/>
      <c r="Y540" s="154"/>
      <c r="Z540" s="154"/>
    </row>
    <row r="541" spans="2:26" hidden="1" outlineLevel="1">
      <c r="B541" s="165"/>
      <c r="C541" s="165"/>
      <c r="D541" s="165"/>
      <c r="E541" s="404"/>
      <c r="F541" s="165"/>
      <c r="G541" s="405"/>
      <c r="H541" s="404"/>
      <c r="I541" s="404"/>
      <c r="J541" s="404"/>
      <c r="K541" s="404"/>
      <c r="L541" s="404"/>
      <c r="M541" s="404"/>
      <c r="N541" s="404"/>
      <c r="O541" s="154"/>
      <c r="P541" s="154"/>
      <c r="Q541" s="154"/>
      <c r="R541" s="154"/>
      <c r="S541" s="154"/>
      <c r="T541" s="154"/>
      <c r="U541" s="154"/>
      <c r="V541" s="154"/>
      <c r="W541" s="154"/>
      <c r="X541" s="154"/>
      <c r="Y541" s="154"/>
      <c r="Z541" s="154"/>
    </row>
    <row r="542" spans="2:26" hidden="1" outlineLevel="1">
      <c r="B542" s="165" t="s">
        <v>2332</v>
      </c>
      <c r="C542" s="165" t="s">
        <v>3479</v>
      </c>
      <c r="D542" s="165" t="s">
        <v>3770</v>
      </c>
      <c r="E542" s="404">
        <v>16763011.940096106</v>
      </c>
      <c r="F542" s="165">
        <v>25</v>
      </c>
      <c r="G542" s="405">
        <v>51348</v>
      </c>
      <c r="H542" s="404">
        <v>9132</v>
      </c>
      <c r="I542" s="404">
        <v>838150.59700480534</v>
      </c>
      <c r="J542" s="404">
        <v>15924861.343091302</v>
      </c>
      <c r="K542" s="404">
        <v>365</v>
      </c>
      <c r="L542" s="404">
        <v>636506</v>
      </c>
      <c r="M542" s="404">
        <v>4246802</v>
      </c>
      <c r="N542" s="404">
        <v>12516209.940096106</v>
      </c>
      <c r="O542" s="154"/>
      <c r="P542" s="154"/>
      <c r="Q542" s="154"/>
      <c r="R542" s="154"/>
      <c r="S542" s="154"/>
      <c r="T542" s="154"/>
      <c r="U542" s="154"/>
      <c r="V542" s="154"/>
      <c r="W542" s="154"/>
      <c r="X542" s="154"/>
      <c r="Y542" s="154"/>
      <c r="Z542" s="154"/>
    </row>
    <row r="543" spans="2:26" hidden="1" outlineLevel="1">
      <c r="B543" s="165" t="s">
        <v>2332</v>
      </c>
      <c r="C543" s="165" t="s">
        <v>3479</v>
      </c>
      <c r="D543" s="165" t="s">
        <v>3487</v>
      </c>
      <c r="E543" s="404">
        <v>25144519.166150611</v>
      </c>
      <c r="F543" s="165">
        <v>15</v>
      </c>
      <c r="G543" s="405">
        <v>47695</v>
      </c>
      <c r="H543" s="404">
        <v>5479</v>
      </c>
      <c r="I543" s="404">
        <v>1257225.9583075305</v>
      </c>
      <c r="J543" s="404">
        <v>23887293.20784308</v>
      </c>
      <c r="K543" s="404">
        <v>365</v>
      </c>
      <c r="L543" s="404">
        <v>1591324</v>
      </c>
      <c r="M543" s="404">
        <v>10617397</v>
      </c>
      <c r="N543" s="404">
        <v>14527122.166150611</v>
      </c>
      <c r="O543" s="154"/>
      <c r="P543" s="154"/>
      <c r="Q543" s="154"/>
      <c r="R543" s="154"/>
      <c r="S543" s="154"/>
      <c r="T543" s="154"/>
      <c r="U543" s="154"/>
      <c r="V543" s="154"/>
      <c r="W543" s="154"/>
      <c r="X543" s="154"/>
      <c r="Y543" s="154"/>
      <c r="Z543" s="154"/>
    </row>
    <row r="544" spans="2:26" hidden="1" outlineLevel="1">
      <c r="B544" s="165"/>
      <c r="C544" s="165"/>
      <c r="D544" s="165"/>
      <c r="E544" s="404"/>
      <c r="F544" s="165"/>
      <c r="G544" s="405"/>
      <c r="H544" s="404"/>
      <c r="I544" s="404"/>
      <c r="J544" s="404"/>
      <c r="K544" s="404"/>
      <c r="L544" s="404"/>
      <c r="M544" s="404"/>
      <c r="N544" s="404"/>
      <c r="O544" s="154"/>
      <c r="P544" s="154"/>
      <c r="Q544" s="154"/>
      <c r="R544" s="154"/>
      <c r="S544" s="154"/>
      <c r="T544" s="154"/>
      <c r="U544" s="154"/>
      <c r="V544" s="154"/>
      <c r="W544" s="154"/>
      <c r="X544" s="154"/>
      <c r="Y544" s="154"/>
      <c r="Z544" s="154"/>
    </row>
    <row r="545" spans="2:26" hidden="1" outlineLevel="1">
      <c r="B545" s="165" t="s">
        <v>2332</v>
      </c>
      <c r="C545" s="165" t="s">
        <v>3488</v>
      </c>
      <c r="D545" s="165" t="s">
        <v>3495</v>
      </c>
      <c r="E545" s="404">
        <v>1887425.2608650043</v>
      </c>
      <c r="F545" s="165">
        <v>10</v>
      </c>
      <c r="G545" s="405">
        <v>45869</v>
      </c>
      <c r="H545" s="404">
        <v>3653</v>
      </c>
      <c r="I545" s="404">
        <v>94371.263043250219</v>
      </c>
      <c r="J545" s="404">
        <v>1793053.9978217541</v>
      </c>
      <c r="K545" s="404">
        <v>365</v>
      </c>
      <c r="L545" s="404">
        <v>179158</v>
      </c>
      <c r="M545" s="404">
        <v>1195352</v>
      </c>
      <c r="N545" s="404">
        <v>692073.26086500427</v>
      </c>
      <c r="O545" s="154"/>
      <c r="P545" s="154"/>
      <c r="Q545" s="154"/>
      <c r="R545" s="154"/>
      <c r="S545" s="154"/>
      <c r="T545" s="154"/>
      <c r="U545" s="154"/>
      <c r="V545" s="154"/>
      <c r="W545" s="154"/>
      <c r="X545" s="154"/>
      <c r="Y545" s="154"/>
      <c r="Z545" s="154"/>
    </row>
    <row r="546" spans="2:26" ht="27" hidden="1" outlineLevel="1">
      <c r="B546" s="165" t="s">
        <v>2332</v>
      </c>
      <c r="C546" s="165" t="s">
        <v>3488</v>
      </c>
      <c r="D546" s="165" t="s">
        <v>3489</v>
      </c>
      <c r="E546" s="404">
        <v>4943577.6898870021</v>
      </c>
      <c r="F546" s="404">
        <v>15</v>
      </c>
      <c r="G546" s="405">
        <v>47695</v>
      </c>
      <c r="H546" s="404">
        <v>5479</v>
      </c>
      <c r="I546" s="404">
        <v>247178.88449435012</v>
      </c>
      <c r="J546" s="404">
        <v>4696398.8053926518</v>
      </c>
      <c r="K546" s="404">
        <v>365</v>
      </c>
      <c r="L546" s="404">
        <v>312865</v>
      </c>
      <c r="M546" s="404">
        <v>2087451</v>
      </c>
      <c r="N546" s="404">
        <v>2856126.6898870021</v>
      </c>
      <c r="O546" s="154"/>
      <c r="P546" s="154"/>
      <c r="Q546" s="154"/>
      <c r="R546" s="154"/>
      <c r="S546" s="154"/>
      <c r="T546" s="154"/>
      <c r="U546" s="154"/>
      <c r="V546" s="154"/>
      <c r="W546" s="154"/>
      <c r="X546" s="154"/>
      <c r="Y546" s="154"/>
      <c r="Z546" s="154"/>
    </row>
    <row r="547" spans="2:26" ht="27" hidden="1" outlineLevel="1">
      <c r="B547" s="165" t="s">
        <v>2332</v>
      </c>
      <c r="C547" s="165"/>
      <c r="D547" s="165" t="s">
        <v>3490</v>
      </c>
      <c r="E547" s="404">
        <v>32546736.891168259</v>
      </c>
      <c r="F547" s="404">
        <v>15</v>
      </c>
      <c r="G547" s="405">
        <v>47695</v>
      </c>
      <c r="H547" s="404">
        <v>5479</v>
      </c>
      <c r="I547" s="404">
        <v>1627336.8445584131</v>
      </c>
      <c r="J547" s="404">
        <v>30919400.046609845</v>
      </c>
      <c r="K547" s="404">
        <v>365</v>
      </c>
      <c r="L547" s="404">
        <v>2059788</v>
      </c>
      <c r="M547" s="404">
        <v>13743015</v>
      </c>
      <c r="N547" s="404">
        <v>18803721.891168259</v>
      </c>
      <c r="O547" s="154"/>
      <c r="P547" s="154"/>
      <c r="Q547" s="154"/>
      <c r="R547" s="154"/>
      <c r="S547" s="154"/>
      <c r="T547" s="154"/>
      <c r="U547" s="154"/>
      <c r="V547" s="154"/>
      <c r="W547" s="154"/>
      <c r="X547" s="154"/>
      <c r="Y547" s="154"/>
      <c r="Z547" s="154"/>
    </row>
    <row r="548" spans="2:26" hidden="1" outlineLevel="1">
      <c r="B548" s="165" t="s">
        <v>2332</v>
      </c>
      <c r="C548" s="165" t="s">
        <v>3488</v>
      </c>
      <c r="D548" s="165" t="s">
        <v>3491</v>
      </c>
      <c r="E548" s="404">
        <v>223504125.97795072</v>
      </c>
      <c r="F548" s="404">
        <v>30</v>
      </c>
      <c r="G548" s="405">
        <v>53174</v>
      </c>
      <c r="H548" s="404">
        <v>10958</v>
      </c>
      <c r="I548" s="404">
        <v>11175206.298897536</v>
      </c>
      <c r="J548" s="404">
        <v>212328919.67905319</v>
      </c>
      <c r="K548" s="404">
        <v>365</v>
      </c>
      <c r="L548" s="404">
        <v>7072464</v>
      </c>
      <c r="M548" s="404">
        <v>47187852</v>
      </c>
      <c r="N548" s="404">
        <v>176316273.97795072</v>
      </c>
      <c r="O548" s="154"/>
      <c r="P548" s="154"/>
      <c r="Q548" s="154"/>
      <c r="R548" s="154"/>
      <c r="S548" s="154"/>
      <c r="T548" s="154"/>
      <c r="U548" s="154"/>
      <c r="V548" s="154"/>
      <c r="W548" s="154"/>
      <c r="X548" s="154"/>
      <c r="Y548" s="154"/>
      <c r="Z548" s="154"/>
    </row>
    <row r="549" spans="2:26" hidden="1" outlineLevel="1">
      <c r="B549" s="165"/>
      <c r="C549" s="165"/>
      <c r="D549" s="165"/>
      <c r="E549" s="404"/>
      <c r="F549" s="165"/>
      <c r="G549" s="405"/>
      <c r="H549" s="404"/>
      <c r="I549" s="404"/>
      <c r="J549" s="404"/>
      <c r="K549" s="404"/>
      <c r="L549" s="404"/>
      <c r="M549" s="404"/>
      <c r="N549" s="404"/>
      <c r="O549" s="154"/>
      <c r="P549" s="154"/>
      <c r="Q549" s="154"/>
      <c r="R549" s="154"/>
      <c r="S549" s="154"/>
      <c r="T549" s="154"/>
      <c r="U549" s="154"/>
      <c r="V549" s="154"/>
      <c r="W549" s="154"/>
      <c r="X549" s="154"/>
      <c r="Y549" s="154"/>
      <c r="Z549" s="154"/>
    </row>
    <row r="550" spans="2:26" ht="27" hidden="1" outlineLevel="1">
      <c r="B550" s="165" t="s">
        <v>2332</v>
      </c>
      <c r="C550" s="165" t="s">
        <v>3488</v>
      </c>
      <c r="D550" s="165" t="s">
        <v>3771</v>
      </c>
      <c r="E550" s="404">
        <v>812034571.22048223</v>
      </c>
      <c r="F550" s="404">
        <v>30</v>
      </c>
      <c r="G550" s="405">
        <v>53174</v>
      </c>
      <c r="H550" s="404">
        <v>10958</v>
      </c>
      <c r="I550" s="404">
        <v>40601728.561024114</v>
      </c>
      <c r="J550" s="404">
        <v>771432842.65945816</v>
      </c>
      <c r="K550" s="404">
        <v>365</v>
      </c>
      <c r="L550" s="404">
        <v>25695655</v>
      </c>
      <c r="M550" s="404">
        <v>171442765</v>
      </c>
      <c r="N550" s="404">
        <v>640591806.22048223</v>
      </c>
      <c r="O550" s="154"/>
      <c r="P550" s="154"/>
      <c r="Q550" s="154"/>
      <c r="R550" s="154"/>
      <c r="S550" s="154"/>
      <c r="T550" s="154"/>
      <c r="U550" s="154"/>
      <c r="V550" s="154"/>
      <c r="W550" s="154"/>
      <c r="X550" s="154"/>
      <c r="Y550" s="154"/>
      <c r="Z550" s="154"/>
    </row>
    <row r="551" spans="2:26" ht="27" hidden="1" outlineLevel="1">
      <c r="B551" s="165" t="s">
        <v>2332</v>
      </c>
      <c r="C551" s="165" t="s">
        <v>3488</v>
      </c>
      <c r="D551" s="165" t="s">
        <v>3772</v>
      </c>
      <c r="E551" s="404">
        <v>541356379.10254848</v>
      </c>
      <c r="F551" s="404">
        <v>30</v>
      </c>
      <c r="G551" s="405">
        <v>53174</v>
      </c>
      <c r="H551" s="404">
        <v>10958</v>
      </c>
      <c r="I551" s="404">
        <v>27067818.955127425</v>
      </c>
      <c r="J551" s="404">
        <v>514288560.14742106</v>
      </c>
      <c r="K551" s="404">
        <v>365</v>
      </c>
      <c r="L551" s="404">
        <v>17130437</v>
      </c>
      <c r="M551" s="404">
        <v>114295178</v>
      </c>
      <c r="N551" s="404">
        <v>427061201.10254848</v>
      </c>
      <c r="O551" s="154"/>
      <c r="P551" s="154"/>
      <c r="Q551" s="154"/>
      <c r="R551" s="154"/>
      <c r="S551" s="154"/>
      <c r="T551" s="154"/>
      <c r="U551" s="154"/>
      <c r="V551" s="154"/>
      <c r="W551" s="154"/>
      <c r="X551" s="154"/>
      <c r="Y551" s="154"/>
      <c r="Z551" s="154"/>
    </row>
    <row r="552" spans="2:26" hidden="1" outlineLevel="1">
      <c r="B552" s="165"/>
      <c r="C552" s="165"/>
      <c r="D552" s="165"/>
      <c r="E552" s="404"/>
      <c r="F552" s="165"/>
      <c r="G552" s="405"/>
      <c r="H552" s="404"/>
      <c r="I552" s="404"/>
      <c r="J552" s="404"/>
      <c r="K552" s="404"/>
      <c r="L552" s="404"/>
      <c r="M552" s="404"/>
      <c r="N552" s="404"/>
      <c r="O552" s="154"/>
      <c r="P552" s="154"/>
      <c r="Q552" s="154"/>
      <c r="R552" s="154"/>
      <c r="S552" s="154"/>
      <c r="T552" s="154"/>
      <c r="U552" s="154"/>
      <c r="V552" s="154"/>
      <c r="W552" s="154"/>
      <c r="X552" s="154"/>
      <c r="Y552" s="154"/>
      <c r="Z552" s="154"/>
    </row>
    <row r="553" spans="2:26" hidden="1" outlineLevel="1">
      <c r="B553" s="165" t="s">
        <v>2332</v>
      </c>
      <c r="C553" s="165" t="s">
        <v>3488</v>
      </c>
      <c r="D553" s="165" t="s">
        <v>3494</v>
      </c>
      <c r="E553" s="404">
        <v>13281703.853669977</v>
      </c>
      <c r="F553" s="165">
        <v>20</v>
      </c>
      <c r="G553" s="405">
        <v>49521</v>
      </c>
      <c r="H553" s="404">
        <v>7305</v>
      </c>
      <c r="I553" s="404">
        <v>664085.19268349884</v>
      </c>
      <c r="J553" s="404">
        <v>12617618.660986478</v>
      </c>
      <c r="K553" s="404">
        <v>365</v>
      </c>
      <c r="L553" s="404">
        <v>630449</v>
      </c>
      <c r="M553" s="404">
        <v>4206389</v>
      </c>
      <c r="N553" s="404">
        <v>9075314.8536699768</v>
      </c>
      <c r="O553" s="154"/>
      <c r="P553" s="154"/>
      <c r="Q553" s="154"/>
      <c r="R553" s="154"/>
      <c r="S553" s="154"/>
      <c r="T553" s="154"/>
      <c r="U553" s="154"/>
      <c r="V553" s="154"/>
      <c r="W553" s="154"/>
      <c r="X553" s="154"/>
      <c r="Y553" s="154"/>
      <c r="Z553" s="154"/>
    </row>
    <row r="554" spans="2:26" ht="40.5" hidden="1" outlineLevel="1">
      <c r="B554" s="165" t="s">
        <v>2332</v>
      </c>
      <c r="C554" s="165" t="s">
        <v>3496</v>
      </c>
      <c r="D554" s="165" t="s">
        <v>3497</v>
      </c>
      <c r="E554" s="404">
        <v>29613980.330589969</v>
      </c>
      <c r="F554" s="165">
        <v>15</v>
      </c>
      <c r="G554" s="405">
        <v>47695</v>
      </c>
      <c r="H554" s="404">
        <v>5479</v>
      </c>
      <c r="I554" s="404">
        <v>1480699.0165294986</v>
      </c>
      <c r="J554" s="404">
        <v>28133281.314060472</v>
      </c>
      <c r="K554" s="404">
        <v>365</v>
      </c>
      <c r="L554" s="404">
        <v>1874183</v>
      </c>
      <c r="M554" s="404">
        <v>12504648</v>
      </c>
      <c r="N554" s="404">
        <v>17109332.330589969</v>
      </c>
      <c r="O554" s="154"/>
      <c r="P554" s="154"/>
      <c r="Q554" s="154"/>
      <c r="R554" s="154"/>
      <c r="S554" s="154"/>
      <c r="T554" s="154"/>
      <c r="U554" s="154"/>
      <c r="V554" s="154"/>
      <c r="W554" s="154"/>
      <c r="X554" s="154"/>
      <c r="Y554" s="154"/>
      <c r="Z554" s="154"/>
    </row>
    <row r="555" spans="2:26" hidden="1" outlineLevel="1">
      <c r="B555" s="165" t="s">
        <v>2332</v>
      </c>
      <c r="C555" s="165" t="s">
        <v>3496</v>
      </c>
      <c r="D555" s="165" t="s">
        <v>3498</v>
      </c>
      <c r="E555" s="404">
        <v>62751683.21789822</v>
      </c>
      <c r="F555" s="165">
        <v>20</v>
      </c>
      <c r="G555" s="405">
        <v>49521</v>
      </c>
      <c r="H555" s="404">
        <v>7305</v>
      </c>
      <c r="I555" s="404">
        <v>3137584.1608949113</v>
      </c>
      <c r="J555" s="404">
        <v>59614099.057003312</v>
      </c>
      <c r="K555" s="404">
        <v>365</v>
      </c>
      <c r="L555" s="404">
        <v>2978665</v>
      </c>
      <c r="M555" s="404">
        <v>19873809</v>
      </c>
      <c r="N555" s="404">
        <v>42877874.21789822</v>
      </c>
      <c r="O555" s="154"/>
      <c r="P555" s="154"/>
      <c r="Q555" s="154"/>
      <c r="R555" s="154"/>
      <c r="S555" s="154"/>
      <c r="T555" s="154"/>
      <c r="U555" s="154"/>
      <c r="V555" s="154"/>
      <c r="W555" s="154"/>
      <c r="X555" s="154"/>
      <c r="Y555" s="154"/>
      <c r="Z555" s="154"/>
    </row>
    <row r="556" spans="2:26" hidden="1" outlineLevel="1">
      <c r="B556" s="165" t="s">
        <v>2332</v>
      </c>
      <c r="C556" s="165" t="s">
        <v>3496</v>
      </c>
      <c r="D556" s="165" t="s">
        <v>3499</v>
      </c>
      <c r="E556" s="404">
        <v>33424463.974706337</v>
      </c>
      <c r="F556" s="165">
        <v>20</v>
      </c>
      <c r="G556" s="405">
        <v>49521</v>
      </c>
      <c r="H556" s="404">
        <v>7305</v>
      </c>
      <c r="I556" s="404">
        <v>1671223.198735317</v>
      </c>
      <c r="J556" s="404">
        <v>31753240.775971022</v>
      </c>
      <c r="K556" s="404">
        <v>365</v>
      </c>
      <c r="L556" s="404">
        <v>1586575</v>
      </c>
      <c r="M556" s="404">
        <v>10585712</v>
      </c>
      <c r="N556" s="404">
        <v>22838751.974706337</v>
      </c>
      <c r="O556" s="154"/>
      <c r="P556" s="154"/>
      <c r="Q556" s="154"/>
      <c r="R556" s="154"/>
      <c r="S556" s="154"/>
      <c r="T556" s="154"/>
      <c r="U556" s="154"/>
      <c r="V556" s="154"/>
      <c r="W556" s="154"/>
      <c r="X556" s="154"/>
      <c r="Y556" s="154"/>
      <c r="Z556" s="154"/>
    </row>
    <row r="557" spans="2:26" hidden="1" outlineLevel="1">
      <c r="B557" s="165"/>
      <c r="C557" s="165"/>
      <c r="D557" s="165"/>
      <c r="E557" s="404"/>
      <c r="F557" s="165"/>
      <c r="G557" s="405"/>
      <c r="H557" s="404"/>
      <c r="I557" s="404"/>
      <c r="J557" s="404"/>
      <c r="K557" s="404"/>
      <c r="L557" s="404"/>
      <c r="M557" s="404"/>
      <c r="N557" s="404"/>
      <c r="O557" s="154"/>
      <c r="P557" s="154"/>
      <c r="Q557" s="154"/>
      <c r="R557" s="154"/>
      <c r="S557" s="154"/>
      <c r="T557" s="154"/>
      <c r="U557" s="154"/>
      <c r="V557" s="154"/>
      <c r="W557" s="154"/>
      <c r="X557" s="154"/>
      <c r="Y557" s="154"/>
      <c r="Z557" s="154"/>
    </row>
    <row r="558" spans="2:26" ht="27" hidden="1" outlineLevel="1">
      <c r="B558" s="165" t="s">
        <v>2332</v>
      </c>
      <c r="C558" s="165" t="s">
        <v>3496</v>
      </c>
      <c r="D558" s="165" t="s">
        <v>3500</v>
      </c>
      <c r="E558" s="404">
        <v>77324440.335411981</v>
      </c>
      <c r="F558" s="404">
        <v>25</v>
      </c>
      <c r="G558" s="405">
        <v>51348</v>
      </c>
      <c r="H558" s="404">
        <v>9132</v>
      </c>
      <c r="I558" s="404">
        <v>3866222.0167705994</v>
      </c>
      <c r="J558" s="404">
        <v>73458218.318641379</v>
      </c>
      <c r="K558" s="404">
        <v>365</v>
      </c>
      <c r="L558" s="404">
        <v>2936076</v>
      </c>
      <c r="M558" s="404">
        <v>19589654</v>
      </c>
      <c r="N558" s="404">
        <v>57734786.335411981</v>
      </c>
      <c r="O558" s="154"/>
      <c r="P558" s="154"/>
      <c r="Q558" s="154"/>
      <c r="R558" s="154"/>
      <c r="S558" s="154"/>
      <c r="T558" s="154"/>
      <c r="U558" s="154"/>
      <c r="V558" s="154"/>
      <c r="W558" s="154"/>
      <c r="X558" s="154"/>
      <c r="Y558" s="154"/>
      <c r="Z558" s="154"/>
    </row>
    <row r="559" spans="2:26" ht="27" hidden="1" outlineLevel="1">
      <c r="B559" s="165" t="s">
        <v>2332</v>
      </c>
      <c r="C559" s="165" t="s">
        <v>3496</v>
      </c>
      <c r="D559" s="165" t="s">
        <v>3501</v>
      </c>
      <c r="E559" s="404">
        <v>51549628.45072829</v>
      </c>
      <c r="F559" s="404">
        <v>25</v>
      </c>
      <c r="G559" s="405">
        <v>51348</v>
      </c>
      <c r="H559" s="404">
        <v>9132</v>
      </c>
      <c r="I559" s="404">
        <v>2577481.4225364146</v>
      </c>
      <c r="J559" s="404">
        <v>48972147.028191872</v>
      </c>
      <c r="K559" s="404">
        <v>365</v>
      </c>
      <c r="L559" s="404">
        <v>1957384</v>
      </c>
      <c r="M559" s="404">
        <v>13059770</v>
      </c>
      <c r="N559" s="404">
        <v>38489858.45072829</v>
      </c>
      <c r="O559" s="154"/>
      <c r="P559" s="154"/>
      <c r="Q559" s="154"/>
      <c r="R559" s="154"/>
      <c r="S559" s="154"/>
      <c r="T559" s="154"/>
      <c r="U559" s="154"/>
      <c r="V559" s="154"/>
      <c r="W559" s="154"/>
      <c r="X559" s="154"/>
      <c r="Y559" s="154"/>
      <c r="Z559" s="154"/>
    </row>
    <row r="560" spans="2:26" hidden="1" outlineLevel="1">
      <c r="B560" s="165"/>
      <c r="C560" s="165"/>
      <c r="D560" s="165"/>
      <c r="E560" s="404"/>
      <c r="F560" s="165"/>
      <c r="G560" s="405"/>
      <c r="H560" s="404"/>
      <c r="I560" s="404"/>
      <c r="J560" s="404"/>
      <c r="K560" s="404"/>
      <c r="L560" s="404"/>
      <c r="M560" s="404"/>
      <c r="N560" s="404"/>
      <c r="O560" s="154"/>
      <c r="P560" s="154"/>
      <c r="Q560" s="154"/>
      <c r="R560" s="154"/>
      <c r="S560" s="154"/>
      <c r="T560" s="154"/>
      <c r="U560" s="154"/>
      <c r="V560" s="154"/>
      <c r="W560" s="154"/>
      <c r="X560" s="154"/>
      <c r="Y560" s="154"/>
      <c r="Z560" s="154"/>
    </row>
    <row r="561" spans="2:26" ht="27" hidden="1" outlineLevel="1">
      <c r="B561" s="165" t="s">
        <v>2332</v>
      </c>
      <c r="C561" s="165" t="s">
        <v>3496</v>
      </c>
      <c r="D561" s="165" t="s">
        <v>3758</v>
      </c>
      <c r="E561" s="404">
        <v>11017844.959436959</v>
      </c>
      <c r="F561" s="165">
        <v>25</v>
      </c>
      <c r="G561" s="405">
        <v>51348</v>
      </c>
      <c r="H561" s="404">
        <v>9132</v>
      </c>
      <c r="I561" s="404">
        <v>550892.247971848</v>
      </c>
      <c r="J561" s="404">
        <v>10466952.711465111</v>
      </c>
      <c r="K561" s="404">
        <v>365</v>
      </c>
      <c r="L561" s="404">
        <v>418357</v>
      </c>
      <c r="M561" s="404">
        <v>2791300</v>
      </c>
      <c r="N561" s="404">
        <v>8226544.9594369587</v>
      </c>
      <c r="O561" s="154"/>
      <c r="P561" s="154"/>
      <c r="Q561" s="154"/>
      <c r="R561" s="154"/>
      <c r="S561" s="154"/>
      <c r="T561" s="154"/>
      <c r="U561" s="154"/>
      <c r="V561" s="154"/>
      <c r="W561" s="154"/>
      <c r="X561" s="154"/>
      <c r="Y561" s="154"/>
      <c r="Z561" s="154"/>
    </row>
    <row r="562" spans="2:26" ht="27" hidden="1" outlineLevel="1">
      <c r="B562" s="165" t="s">
        <v>2332</v>
      </c>
      <c r="C562" s="165" t="s">
        <v>3496</v>
      </c>
      <c r="D562" s="165" t="s">
        <v>3502</v>
      </c>
      <c r="E562" s="404">
        <v>13235852.636792099</v>
      </c>
      <c r="F562" s="165">
        <v>25</v>
      </c>
      <c r="G562" s="405">
        <v>51348</v>
      </c>
      <c r="H562" s="404">
        <v>9132</v>
      </c>
      <c r="I562" s="404">
        <v>661792.63183960505</v>
      </c>
      <c r="J562" s="404">
        <v>12574060.004952494</v>
      </c>
      <c r="K562" s="404">
        <v>365</v>
      </c>
      <c r="L562" s="404">
        <v>502577</v>
      </c>
      <c r="M562" s="404">
        <v>3353220</v>
      </c>
      <c r="N562" s="404">
        <v>9882632.6367920991</v>
      </c>
      <c r="O562" s="154"/>
      <c r="P562" s="154"/>
      <c r="Q562" s="154"/>
      <c r="R562" s="154"/>
      <c r="S562" s="154"/>
      <c r="T562" s="154"/>
      <c r="U562" s="154"/>
      <c r="V562" s="154"/>
      <c r="W562" s="154"/>
      <c r="X562" s="154"/>
      <c r="Y562" s="154"/>
      <c r="Z562" s="154"/>
    </row>
    <row r="563" spans="2:26" hidden="1" outlineLevel="1">
      <c r="B563" s="165" t="s">
        <v>2332</v>
      </c>
      <c r="C563" s="165" t="s">
        <v>3496</v>
      </c>
      <c r="D563" s="165" t="s">
        <v>3524</v>
      </c>
      <c r="E563" s="404">
        <v>14209926.93542265</v>
      </c>
      <c r="F563" s="404">
        <v>25</v>
      </c>
      <c r="G563" s="405">
        <v>51348</v>
      </c>
      <c r="H563" s="404">
        <v>9132</v>
      </c>
      <c r="I563" s="404">
        <v>710496.34677113255</v>
      </c>
      <c r="J563" s="404">
        <v>13499430.588651517</v>
      </c>
      <c r="K563" s="404">
        <v>365</v>
      </c>
      <c r="L563" s="404">
        <v>539563</v>
      </c>
      <c r="M563" s="404">
        <v>3599994</v>
      </c>
      <c r="N563" s="404">
        <v>10609932.93542265</v>
      </c>
      <c r="O563" s="154"/>
      <c r="P563" s="154"/>
      <c r="Q563" s="154"/>
      <c r="R563" s="154"/>
      <c r="S563" s="154"/>
      <c r="T563" s="154"/>
      <c r="U563" s="154"/>
      <c r="V563" s="154"/>
      <c r="W563" s="154"/>
      <c r="X563" s="154"/>
      <c r="Y563" s="154"/>
      <c r="Z563" s="154"/>
    </row>
    <row r="564" spans="2:26" hidden="1" outlineLevel="1">
      <c r="B564" s="165" t="s">
        <v>2332</v>
      </c>
      <c r="C564" s="165" t="s">
        <v>3496</v>
      </c>
      <c r="D564" s="165" t="s">
        <v>3525</v>
      </c>
      <c r="E564" s="404">
        <v>187981145.66446137</v>
      </c>
      <c r="F564" s="404">
        <v>30</v>
      </c>
      <c r="G564" s="405">
        <v>53174</v>
      </c>
      <c r="H564" s="404">
        <v>10958</v>
      </c>
      <c r="I564" s="404">
        <v>9399057.2832230683</v>
      </c>
      <c r="J564" s="404">
        <v>178582088.38123831</v>
      </c>
      <c r="K564" s="404">
        <v>365</v>
      </c>
      <c r="L564" s="404">
        <v>5948390</v>
      </c>
      <c r="M564" s="404">
        <v>39687972</v>
      </c>
      <c r="N564" s="404">
        <v>148293173.66446137</v>
      </c>
      <c r="O564" s="154"/>
      <c r="P564" s="154"/>
      <c r="Q564" s="154"/>
      <c r="R564" s="154"/>
      <c r="S564" s="154"/>
      <c r="T564" s="154"/>
      <c r="U564" s="154"/>
      <c r="V564" s="154"/>
      <c r="W564" s="154"/>
      <c r="X564" s="154"/>
      <c r="Y564" s="154"/>
      <c r="Z564" s="154"/>
    </row>
    <row r="565" spans="2:26" hidden="1" outlineLevel="1">
      <c r="B565" s="165" t="s">
        <v>2332</v>
      </c>
      <c r="C565" s="165" t="s">
        <v>3496</v>
      </c>
      <c r="D565" s="165" t="s">
        <v>3526</v>
      </c>
      <c r="E565" s="404">
        <v>89276135.095563173</v>
      </c>
      <c r="F565" s="404">
        <v>30</v>
      </c>
      <c r="G565" s="405">
        <v>53174</v>
      </c>
      <c r="H565" s="404">
        <v>10958</v>
      </c>
      <c r="I565" s="404">
        <v>4463806.7547781589</v>
      </c>
      <c r="J565" s="404">
        <v>84812328.340785012</v>
      </c>
      <c r="K565" s="404">
        <v>365</v>
      </c>
      <c r="L565" s="404">
        <v>2825014</v>
      </c>
      <c r="M565" s="404">
        <v>18848641</v>
      </c>
      <c r="N565" s="404">
        <v>70427494.095563173</v>
      </c>
      <c r="O565" s="154"/>
      <c r="P565" s="154"/>
      <c r="Q565" s="154"/>
      <c r="R565" s="154"/>
      <c r="S565" s="154"/>
      <c r="T565" s="154"/>
      <c r="U565" s="154"/>
      <c r="V565" s="154"/>
      <c r="W565" s="154"/>
      <c r="X565" s="154"/>
      <c r="Y565" s="154"/>
      <c r="Z565" s="154"/>
    </row>
    <row r="566" spans="2:26" hidden="1" outlineLevel="1">
      <c r="B566" s="165" t="s">
        <v>2332</v>
      </c>
      <c r="C566" s="165" t="s">
        <v>3496</v>
      </c>
      <c r="D566" s="165" t="s">
        <v>3527</v>
      </c>
      <c r="E566" s="404">
        <v>92666699.878108725</v>
      </c>
      <c r="F566" s="404">
        <v>30</v>
      </c>
      <c r="G566" s="405">
        <v>53174</v>
      </c>
      <c r="H566" s="404">
        <v>10958</v>
      </c>
      <c r="I566" s="404">
        <v>4633334.9939054362</v>
      </c>
      <c r="J566" s="404">
        <v>88033364.884203285</v>
      </c>
      <c r="K566" s="404">
        <v>365</v>
      </c>
      <c r="L566" s="404">
        <v>2932303</v>
      </c>
      <c r="M566" s="404">
        <v>19564481</v>
      </c>
      <c r="N566" s="404">
        <v>73102218.878108725</v>
      </c>
      <c r="O566" s="154"/>
      <c r="P566" s="154"/>
      <c r="Q566" s="154"/>
      <c r="R566" s="154"/>
      <c r="S566" s="154"/>
      <c r="T566" s="154"/>
      <c r="U566" s="154"/>
      <c r="V566" s="154"/>
      <c r="W566" s="154"/>
      <c r="X566" s="154"/>
      <c r="Y566" s="154"/>
      <c r="Z566" s="154"/>
    </row>
    <row r="567" spans="2:26" hidden="1" outlineLevel="1">
      <c r="B567" s="165" t="s">
        <v>2332</v>
      </c>
      <c r="C567" s="165" t="s">
        <v>3496</v>
      </c>
      <c r="D567" s="165" t="s">
        <v>3773</v>
      </c>
      <c r="E567" s="404">
        <v>8017180.0142462086</v>
      </c>
      <c r="F567" s="404">
        <v>10</v>
      </c>
      <c r="G567" s="405">
        <v>45869</v>
      </c>
      <c r="H567" s="404">
        <v>3653</v>
      </c>
      <c r="I567" s="404">
        <v>400859.00071231043</v>
      </c>
      <c r="J567" s="404">
        <v>7616321.0135338977</v>
      </c>
      <c r="K567" s="404">
        <v>365</v>
      </c>
      <c r="L567" s="404">
        <v>761007</v>
      </c>
      <c r="M567" s="404">
        <v>5077479</v>
      </c>
      <c r="N567" s="404">
        <v>2939701.0142462086</v>
      </c>
      <c r="O567" s="154"/>
      <c r="P567" s="154"/>
      <c r="Q567" s="154"/>
      <c r="R567" s="154"/>
      <c r="S567" s="154"/>
      <c r="T567" s="154"/>
      <c r="U567" s="154"/>
      <c r="V567" s="154"/>
      <c r="W567" s="154"/>
      <c r="X567" s="154"/>
      <c r="Y567" s="154"/>
      <c r="Z567" s="154"/>
    </row>
    <row r="568" spans="2:26" hidden="1" outlineLevel="1">
      <c r="B568" s="165" t="s">
        <v>2332</v>
      </c>
      <c r="C568" s="165" t="s">
        <v>3496</v>
      </c>
      <c r="D568" s="165" t="s">
        <v>3529</v>
      </c>
      <c r="E568" s="404">
        <v>48478265.701572984</v>
      </c>
      <c r="F568" s="165">
        <v>25</v>
      </c>
      <c r="G568" s="405">
        <v>51348</v>
      </c>
      <c r="H568" s="404">
        <v>9132</v>
      </c>
      <c r="I568" s="404">
        <v>2423913.2850786494</v>
      </c>
      <c r="J568" s="404">
        <v>46054352.416494332</v>
      </c>
      <c r="K568" s="404">
        <v>365</v>
      </c>
      <c r="L568" s="404">
        <v>1840762</v>
      </c>
      <c r="M568" s="404">
        <v>12281661</v>
      </c>
      <c r="N568" s="404">
        <v>36196604.701572984</v>
      </c>
      <c r="O568" s="154"/>
      <c r="P568" s="154"/>
      <c r="Q568" s="154"/>
      <c r="R568" s="154"/>
      <c r="S568" s="154"/>
      <c r="T568" s="154"/>
      <c r="U568" s="154"/>
      <c r="V568" s="154"/>
      <c r="W568" s="154"/>
      <c r="X568" s="154"/>
      <c r="Y568" s="154"/>
      <c r="Z568" s="154"/>
    </row>
    <row r="569" spans="2:26" hidden="1" outlineLevel="1">
      <c r="B569" s="165" t="s">
        <v>2332</v>
      </c>
      <c r="C569" s="165" t="s">
        <v>3496</v>
      </c>
      <c r="D569" s="165" t="s">
        <v>3530</v>
      </c>
      <c r="E569" s="404">
        <v>33283741.467464574</v>
      </c>
      <c r="F569" s="165">
        <v>25</v>
      </c>
      <c r="G569" s="405">
        <v>51348</v>
      </c>
      <c r="H569" s="404">
        <v>9132</v>
      </c>
      <c r="I569" s="404">
        <v>1664187.0733732288</v>
      </c>
      <c r="J569" s="404">
        <v>31619554.394091345</v>
      </c>
      <c r="K569" s="404">
        <v>365</v>
      </c>
      <c r="L569" s="404">
        <v>1263813</v>
      </c>
      <c r="M569" s="404">
        <v>8432226</v>
      </c>
      <c r="N569" s="404">
        <v>24851515.467464574</v>
      </c>
      <c r="O569" s="154"/>
      <c r="P569" s="154"/>
      <c r="Q569" s="154"/>
      <c r="R569" s="154"/>
      <c r="S569" s="154"/>
      <c r="T569" s="154"/>
      <c r="U569" s="154"/>
      <c r="V569" s="154"/>
      <c r="W569" s="154"/>
      <c r="X569" s="154"/>
      <c r="Y569" s="154"/>
      <c r="Z569" s="154"/>
    </row>
    <row r="570" spans="2:26" hidden="1" outlineLevel="1">
      <c r="B570" s="165" t="s">
        <v>2332</v>
      </c>
      <c r="C570" s="165" t="s">
        <v>3496</v>
      </c>
      <c r="D570" s="165" t="s">
        <v>3774</v>
      </c>
      <c r="E570" s="404">
        <v>96487954.769783854</v>
      </c>
      <c r="F570" s="165">
        <v>25</v>
      </c>
      <c r="G570" s="405">
        <v>51348</v>
      </c>
      <c r="H570" s="404">
        <v>9132</v>
      </c>
      <c r="I570" s="404">
        <v>4824397.7384891929</v>
      </c>
      <c r="J570" s="404">
        <v>91663557.031294659</v>
      </c>
      <c r="K570" s="404">
        <v>365</v>
      </c>
      <c r="L570" s="404">
        <v>3663732</v>
      </c>
      <c r="M570" s="404">
        <v>24444612</v>
      </c>
      <c r="N570" s="404">
        <v>72043342.769783854</v>
      </c>
      <c r="O570" s="154"/>
      <c r="P570" s="154"/>
      <c r="Q570" s="154"/>
      <c r="R570" s="154"/>
      <c r="S570" s="154"/>
      <c r="T570" s="154"/>
      <c r="U570" s="154"/>
      <c r="V570" s="154"/>
      <c r="W570" s="154"/>
      <c r="X570" s="154"/>
      <c r="Y570" s="154"/>
      <c r="Z570" s="154"/>
    </row>
    <row r="571" spans="2:26" hidden="1" outlineLevel="1">
      <c r="B571" s="165" t="s">
        <v>2332</v>
      </c>
      <c r="C571" s="165" t="s">
        <v>3496</v>
      </c>
      <c r="D571" s="165" t="s">
        <v>3532</v>
      </c>
      <c r="E571" s="404">
        <v>97003854.555934608</v>
      </c>
      <c r="F571" s="165">
        <v>25</v>
      </c>
      <c r="G571" s="405">
        <v>51348</v>
      </c>
      <c r="H571" s="404">
        <v>9132</v>
      </c>
      <c r="I571" s="404">
        <v>4850192.7277967306</v>
      </c>
      <c r="J571" s="404">
        <v>92153661.828137875</v>
      </c>
      <c r="K571" s="404">
        <v>365</v>
      </c>
      <c r="L571" s="404">
        <v>3683321</v>
      </c>
      <c r="M571" s="404">
        <v>24575312</v>
      </c>
      <c r="N571" s="404">
        <v>72428542.555934608</v>
      </c>
      <c r="O571" s="154"/>
      <c r="P571" s="154"/>
      <c r="Q571" s="154"/>
      <c r="R571" s="154"/>
      <c r="S571" s="154"/>
      <c r="T571" s="154"/>
      <c r="U571" s="154"/>
      <c r="V571" s="154"/>
      <c r="W571" s="154"/>
      <c r="X571" s="154"/>
      <c r="Y571" s="154"/>
      <c r="Z571" s="154"/>
    </row>
    <row r="572" spans="2:26" hidden="1" outlineLevel="1">
      <c r="B572" s="165" t="s">
        <v>2332</v>
      </c>
      <c r="C572" s="165" t="s">
        <v>3496</v>
      </c>
      <c r="D572" s="165" t="s">
        <v>3533</v>
      </c>
      <c r="E572" s="404">
        <v>55433019.41151014</v>
      </c>
      <c r="F572" s="165">
        <v>25</v>
      </c>
      <c r="G572" s="405">
        <v>51348</v>
      </c>
      <c r="H572" s="404">
        <v>9132</v>
      </c>
      <c r="I572" s="404">
        <v>2771650.9705755073</v>
      </c>
      <c r="J572" s="404">
        <v>52661368.440934636</v>
      </c>
      <c r="K572" s="404">
        <v>365</v>
      </c>
      <c r="L572" s="404">
        <v>2104840</v>
      </c>
      <c r="M572" s="404">
        <v>14043604</v>
      </c>
      <c r="N572" s="404">
        <v>41389415.41151014</v>
      </c>
      <c r="O572" s="154"/>
      <c r="P572" s="154"/>
      <c r="Q572" s="154"/>
      <c r="R572" s="154"/>
      <c r="S572" s="154"/>
      <c r="T572" s="154"/>
      <c r="U572" s="154"/>
      <c r="V572" s="154"/>
      <c r="W572" s="154"/>
      <c r="X572" s="154"/>
      <c r="Y572" s="154"/>
      <c r="Z572" s="154"/>
    </row>
    <row r="573" spans="2:26" hidden="1" outlineLevel="1">
      <c r="B573" s="165" t="s">
        <v>2332</v>
      </c>
      <c r="C573" s="165" t="s">
        <v>3496</v>
      </c>
      <c r="D573" s="165" t="s">
        <v>3504</v>
      </c>
      <c r="E573" s="404">
        <v>30909779.761342105</v>
      </c>
      <c r="F573" s="165">
        <v>15</v>
      </c>
      <c r="G573" s="405">
        <v>47695</v>
      </c>
      <c r="H573" s="404">
        <v>5479</v>
      </c>
      <c r="I573" s="404">
        <v>1545488.9880671054</v>
      </c>
      <c r="J573" s="404">
        <v>29364290.773274999</v>
      </c>
      <c r="K573" s="404">
        <v>365</v>
      </c>
      <c r="L573" s="404">
        <v>1956190</v>
      </c>
      <c r="M573" s="404">
        <v>13051804</v>
      </c>
      <c r="N573" s="404">
        <v>17857975.761342105</v>
      </c>
      <c r="O573" s="154"/>
      <c r="P573" s="154"/>
      <c r="Q573" s="154"/>
      <c r="R573" s="154"/>
      <c r="S573" s="154"/>
      <c r="T573" s="154"/>
      <c r="U573" s="154"/>
      <c r="V573" s="154"/>
      <c r="W573" s="154"/>
      <c r="X573" s="154"/>
      <c r="Y573" s="154"/>
      <c r="Z573" s="154"/>
    </row>
    <row r="574" spans="2:26" hidden="1" outlineLevel="1">
      <c r="B574" s="165" t="s">
        <v>2332</v>
      </c>
      <c r="C574" s="165" t="s">
        <v>3496</v>
      </c>
      <c r="D574" s="165" t="s">
        <v>3503</v>
      </c>
      <c r="E574" s="404">
        <v>111511524.40989456</v>
      </c>
      <c r="F574" s="165">
        <v>15</v>
      </c>
      <c r="G574" s="405">
        <v>47695</v>
      </c>
      <c r="H574" s="404">
        <v>5479</v>
      </c>
      <c r="I574" s="404">
        <v>5575576.2204947285</v>
      </c>
      <c r="J574" s="404">
        <v>105935948.18939982</v>
      </c>
      <c r="K574" s="404">
        <v>365</v>
      </c>
      <c r="L574" s="404">
        <v>7057241</v>
      </c>
      <c r="M574" s="404">
        <v>47086283</v>
      </c>
      <c r="N574" s="404">
        <v>64425241.409894556</v>
      </c>
      <c r="O574" s="154"/>
      <c r="P574" s="154"/>
      <c r="Q574" s="154"/>
      <c r="R574" s="154"/>
      <c r="S574" s="154"/>
      <c r="T574" s="154"/>
      <c r="U574" s="154"/>
      <c r="V574" s="154"/>
      <c r="W574" s="154"/>
      <c r="X574" s="154"/>
      <c r="Y574" s="154"/>
      <c r="Z574" s="154"/>
    </row>
    <row r="575" spans="2:26" hidden="1" outlineLevel="1">
      <c r="B575" s="165" t="s">
        <v>2332</v>
      </c>
      <c r="C575" s="165" t="s">
        <v>3496</v>
      </c>
      <c r="D575" s="165" t="s">
        <v>3534</v>
      </c>
      <c r="E575" s="404">
        <v>264762074.64879519</v>
      </c>
      <c r="F575" s="165">
        <v>25</v>
      </c>
      <c r="G575" s="405">
        <v>51348</v>
      </c>
      <c r="H575" s="404">
        <v>9132</v>
      </c>
      <c r="I575" s="404">
        <v>13238103.73243976</v>
      </c>
      <c r="J575" s="404">
        <v>251523970.91635543</v>
      </c>
      <c r="K575" s="404">
        <v>365</v>
      </c>
      <c r="L575" s="404">
        <v>10053247</v>
      </c>
      <c r="M575" s="404">
        <v>67075794</v>
      </c>
      <c r="N575" s="404">
        <v>197686280.64879519</v>
      </c>
      <c r="O575" s="154"/>
      <c r="P575" s="154"/>
      <c r="Q575" s="154"/>
      <c r="R575" s="154"/>
      <c r="S575" s="154"/>
      <c r="T575" s="154"/>
      <c r="U575" s="154"/>
      <c r="V575" s="154"/>
      <c r="W575" s="154"/>
      <c r="X575" s="154"/>
      <c r="Y575" s="154"/>
      <c r="Z575" s="154"/>
    </row>
    <row r="576" spans="2:26" hidden="1" outlineLevel="1">
      <c r="B576" s="165" t="s">
        <v>2332</v>
      </c>
      <c r="C576" s="165" t="s">
        <v>3496</v>
      </c>
      <c r="D576" s="165" t="s">
        <v>3535</v>
      </c>
      <c r="E576" s="404">
        <v>219892850.2026931</v>
      </c>
      <c r="F576" s="404">
        <v>25</v>
      </c>
      <c r="G576" s="405">
        <v>51348</v>
      </c>
      <c r="H576" s="404">
        <v>9132</v>
      </c>
      <c r="I576" s="404">
        <v>10994642.510134656</v>
      </c>
      <c r="J576" s="404">
        <v>208898207.69255844</v>
      </c>
      <c r="K576" s="404">
        <v>365</v>
      </c>
      <c r="L576" s="404">
        <v>8349523</v>
      </c>
      <c r="M576" s="404">
        <v>55708459</v>
      </c>
      <c r="N576" s="404">
        <v>164184391.2026931</v>
      </c>
      <c r="O576" s="154"/>
      <c r="P576" s="154"/>
      <c r="Q576" s="154"/>
      <c r="R576" s="154"/>
      <c r="S576" s="154"/>
      <c r="T576" s="154"/>
      <c r="U576" s="154"/>
      <c r="V576" s="154"/>
      <c r="W576" s="154"/>
      <c r="X576" s="154"/>
      <c r="Y576" s="154"/>
      <c r="Z576" s="154"/>
    </row>
    <row r="577" spans="2:26" hidden="1" outlineLevel="1">
      <c r="B577" s="165" t="s">
        <v>2332</v>
      </c>
      <c r="C577" s="165" t="s">
        <v>3496</v>
      </c>
      <c r="D577" s="165" t="s">
        <v>3536</v>
      </c>
      <c r="E577" s="404">
        <v>219924329.73108912</v>
      </c>
      <c r="F577" s="404">
        <v>25</v>
      </c>
      <c r="G577" s="405">
        <v>51348</v>
      </c>
      <c r="H577" s="404">
        <v>9132</v>
      </c>
      <c r="I577" s="404">
        <v>10996216.486554457</v>
      </c>
      <c r="J577" s="404">
        <v>208928113.24453467</v>
      </c>
      <c r="K577" s="404">
        <v>365</v>
      </c>
      <c r="L577" s="404">
        <v>8350718</v>
      </c>
      <c r="M577" s="404">
        <v>55716432</v>
      </c>
      <c r="N577" s="404">
        <v>164207897.73108912</v>
      </c>
      <c r="O577" s="154"/>
      <c r="P577" s="154"/>
      <c r="Q577" s="154"/>
      <c r="R577" s="154"/>
      <c r="S577" s="154"/>
      <c r="T577" s="154"/>
      <c r="U577" s="154"/>
      <c r="V577" s="154"/>
      <c r="W577" s="154"/>
      <c r="X577" s="154"/>
      <c r="Y577" s="154"/>
      <c r="Z577" s="154"/>
    </row>
    <row r="578" spans="2:26" hidden="1" outlineLevel="1">
      <c r="B578" s="165" t="s">
        <v>2332</v>
      </c>
      <c r="C578" s="165" t="s">
        <v>3496</v>
      </c>
      <c r="D578" s="165" t="s">
        <v>3537</v>
      </c>
      <c r="E578" s="404">
        <v>448119681.32117826</v>
      </c>
      <c r="F578" s="404">
        <v>30</v>
      </c>
      <c r="G578" s="405">
        <v>53174</v>
      </c>
      <c r="H578" s="404">
        <v>10958</v>
      </c>
      <c r="I578" s="404">
        <v>22405984.066058915</v>
      </c>
      <c r="J578" s="404">
        <v>425713697.25511932</v>
      </c>
      <c r="K578" s="404">
        <v>365</v>
      </c>
      <c r="L578" s="404">
        <v>14180097</v>
      </c>
      <c r="M578" s="404">
        <v>94610354</v>
      </c>
      <c r="N578" s="404">
        <v>353509327.32117826</v>
      </c>
      <c r="O578" s="154"/>
      <c r="P578" s="154"/>
      <c r="Q578" s="154"/>
      <c r="R578" s="154"/>
      <c r="S578" s="154"/>
      <c r="T578" s="154"/>
      <c r="U578" s="154"/>
      <c r="V578" s="154"/>
      <c r="W578" s="154"/>
      <c r="X578" s="154"/>
      <c r="Y578" s="154"/>
      <c r="Z578" s="154"/>
    </row>
    <row r="579" spans="2:26" hidden="1" outlineLevel="1">
      <c r="B579" s="165" t="s">
        <v>2332</v>
      </c>
      <c r="C579" s="165" t="s">
        <v>3496</v>
      </c>
      <c r="D579" s="165" t="s">
        <v>3538</v>
      </c>
      <c r="E579" s="404">
        <v>576529322.06424189</v>
      </c>
      <c r="F579" s="404">
        <v>30</v>
      </c>
      <c r="G579" s="405">
        <v>53174</v>
      </c>
      <c r="H579" s="404">
        <v>10958</v>
      </c>
      <c r="I579" s="404">
        <v>28826466.103212096</v>
      </c>
      <c r="J579" s="404">
        <v>547702855.96102977</v>
      </c>
      <c r="K579" s="404">
        <v>365</v>
      </c>
      <c r="L579" s="404">
        <v>18243433</v>
      </c>
      <c r="M579" s="404">
        <v>121721147</v>
      </c>
      <c r="N579" s="404">
        <v>454808175.06424189</v>
      </c>
      <c r="O579" s="154"/>
      <c r="P579" s="154"/>
      <c r="Q579" s="154"/>
      <c r="R579" s="154"/>
      <c r="S579" s="154"/>
      <c r="T579" s="154"/>
      <c r="U579" s="154"/>
      <c r="V579" s="154"/>
      <c r="W579" s="154"/>
      <c r="X579" s="154"/>
      <c r="Y579" s="154"/>
      <c r="Z579" s="154"/>
    </row>
    <row r="580" spans="2:26" hidden="1" outlineLevel="1">
      <c r="B580" s="165" t="s">
        <v>2332</v>
      </c>
      <c r="C580" s="165" t="s">
        <v>3496</v>
      </c>
      <c r="D580" s="165" t="s">
        <v>3539</v>
      </c>
      <c r="E580" s="404">
        <v>576529320.38288081</v>
      </c>
      <c r="F580" s="404">
        <v>30</v>
      </c>
      <c r="G580" s="405">
        <v>53174</v>
      </c>
      <c r="H580" s="404">
        <v>10958</v>
      </c>
      <c r="I580" s="404">
        <v>28826466.019144043</v>
      </c>
      <c r="J580" s="404">
        <v>547702854.36373675</v>
      </c>
      <c r="K580" s="404">
        <v>365</v>
      </c>
      <c r="L580" s="404">
        <v>18243433</v>
      </c>
      <c r="M580" s="404">
        <v>121721147</v>
      </c>
      <c r="N580" s="404">
        <v>454808173.38288081</v>
      </c>
      <c r="O580" s="154"/>
      <c r="P580" s="154"/>
      <c r="Q580" s="154"/>
      <c r="R580" s="154"/>
      <c r="S580" s="154"/>
      <c r="T580" s="154"/>
      <c r="U580" s="154"/>
      <c r="V580" s="154"/>
      <c r="W580" s="154"/>
      <c r="X580" s="154"/>
      <c r="Y580" s="154"/>
      <c r="Z580" s="154"/>
    </row>
    <row r="581" spans="2:26" hidden="1" outlineLevel="1">
      <c r="B581" s="165" t="s">
        <v>2332</v>
      </c>
      <c r="C581" s="165" t="s">
        <v>3496</v>
      </c>
      <c r="D581" s="165" t="s">
        <v>3540</v>
      </c>
      <c r="E581" s="404">
        <v>136369189.29404166</v>
      </c>
      <c r="F581" s="404">
        <v>30</v>
      </c>
      <c r="G581" s="405">
        <v>53174</v>
      </c>
      <c r="H581" s="404">
        <v>10958</v>
      </c>
      <c r="I581" s="404">
        <v>6818459.4647020837</v>
      </c>
      <c r="J581" s="404">
        <v>129550729.82933958</v>
      </c>
      <c r="K581" s="404">
        <v>365</v>
      </c>
      <c r="L581" s="404">
        <v>4315205</v>
      </c>
      <c r="M581" s="404">
        <v>28791275</v>
      </c>
      <c r="N581" s="404">
        <v>107577914.29404166</v>
      </c>
      <c r="O581" s="154"/>
      <c r="P581" s="154"/>
      <c r="Q581" s="154"/>
      <c r="R581" s="154"/>
      <c r="S581" s="154"/>
      <c r="T581" s="154"/>
      <c r="U581" s="154"/>
      <c r="V581" s="154"/>
      <c r="W581" s="154"/>
      <c r="X581" s="154"/>
      <c r="Y581" s="154"/>
      <c r="Z581" s="154"/>
    </row>
    <row r="582" spans="2:26" hidden="1" outlineLevel="1">
      <c r="B582" s="165" t="s">
        <v>2332</v>
      </c>
      <c r="C582" s="165" t="s">
        <v>3496</v>
      </c>
      <c r="D582" s="165" t="s">
        <v>3541</v>
      </c>
      <c r="E582" s="404">
        <v>7198595.9541265545</v>
      </c>
      <c r="F582" s="404">
        <v>20</v>
      </c>
      <c r="G582" s="405">
        <v>49521</v>
      </c>
      <c r="H582" s="404">
        <v>7305</v>
      </c>
      <c r="I582" s="404">
        <v>359929.79770632775</v>
      </c>
      <c r="J582" s="404">
        <v>6838666.1564202271</v>
      </c>
      <c r="K582" s="404">
        <v>365</v>
      </c>
      <c r="L582" s="404">
        <v>341699</v>
      </c>
      <c r="M582" s="404">
        <v>2279834</v>
      </c>
      <c r="N582" s="404">
        <v>4918761.9541265545</v>
      </c>
      <c r="O582" s="154"/>
      <c r="P582" s="154"/>
      <c r="Q582" s="154"/>
      <c r="R582" s="154"/>
      <c r="S582" s="154"/>
      <c r="T582" s="154"/>
      <c r="U582" s="154"/>
      <c r="V582" s="154"/>
      <c r="W582" s="154"/>
      <c r="X582" s="154"/>
      <c r="Y582" s="154"/>
      <c r="Z582" s="154"/>
    </row>
    <row r="583" spans="2:26" ht="27" hidden="1" outlineLevel="1">
      <c r="B583" s="165" t="s">
        <v>2332</v>
      </c>
      <c r="C583" s="165" t="s">
        <v>3496</v>
      </c>
      <c r="D583" s="165" t="s">
        <v>3542</v>
      </c>
      <c r="E583" s="404">
        <v>42883464.937607951</v>
      </c>
      <c r="F583" s="165">
        <v>10</v>
      </c>
      <c r="G583" s="405">
        <v>45869</v>
      </c>
      <c r="H583" s="404">
        <v>3653</v>
      </c>
      <c r="I583" s="404">
        <v>2144173.2468803977</v>
      </c>
      <c r="J583" s="404">
        <v>40739291.690727554</v>
      </c>
      <c r="K583" s="404">
        <v>365</v>
      </c>
      <c r="L583" s="404">
        <v>4070583</v>
      </c>
      <c r="M583" s="404">
        <v>27159145</v>
      </c>
      <c r="N583" s="404">
        <v>15724319.937607951</v>
      </c>
      <c r="O583" s="154"/>
      <c r="P583" s="154"/>
      <c r="Q583" s="154"/>
      <c r="R583" s="154"/>
      <c r="S583" s="154"/>
      <c r="T583" s="154"/>
      <c r="U583" s="154"/>
      <c r="V583" s="154"/>
      <c r="W583" s="154"/>
      <c r="X583" s="154"/>
      <c r="Y583" s="154"/>
      <c r="Z583" s="154"/>
    </row>
    <row r="584" spans="2:26" hidden="1" outlineLevel="1">
      <c r="B584" s="165" t="s">
        <v>2332</v>
      </c>
      <c r="C584" s="165" t="s">
        <v>3496</v>
      </c>
      <c r="D584" s="165" t="s">
        <v>3543</v>
      </c>
      <c r="E584" s="404">
        <v>26476260.46213308</v>
      </c>
      <c r="F584" s="165">
        <v>10</v>
      </c>
      <c r="G584" s="405">
        <v>45869</v>
      </c>
      <c r="H584" s="404">
        <v>3653</v>
      </c>
      <c r="I584" s="404">
        <v>1323813.0231066542</v>
      </c>
      <c r="J584" s="404">
        <v>25152447.439026427</v>
      </c>
      <c r="K584" s="404">
        <v>365</v>
      </c>
      <c r="L584" s="404">
        <v>2513179</v>
      </c>
      <c r="M584" s="404">
        <v>16768063</v>
      </c>
      <c r="N584" s="404">
        <v>9708197.4621330798</v>
      </c>
      <c r="O584" s="154"/>
      <c r="P584" s="154"/>
      <c r="Q584" s="154"/>
      <c r="R584" s="154"/>
      <c r="S584" s="154"/>
      <c r="T584" s="154"/>
      <c r="U584" s="154"/>
      <c r="V584" s="154"/>
      <c r="W584" s="154"/>
      <c r="X584" s="154"/>
      <c r="Y584" s="154"/>
      <c r="Z584" s="154"/>
    </row>
    <row r="585" spans="2:26" hidden="1" outlineLevel="1">
      <c r="B585" s="165" t="s">
        <v>2332</v>
      </c>
      <c r="C585" s="165" t="s">
        <v>3496</v>
      </c>
      <c r="D585" s="165" t="s">
        <v>3544</v>
      </c>
      <c r="E585" s="404">
        <v>26476260.46213308</v>
      </c>
      <c r="F585" s="165">
        <v>10</v>
      </c>
      <c r="G585" s="405">
        <v>45869</v>
      </c>
      <c r="H585" s="404">
        <v>3653</v>
      </c>
      <c r="I585" s="404">
        <v>1323813.0231066542</v>
      </c>
      <c r="J585" s="404">
        <v>25152447.439026427</v>
      </c>
      <c r="K585" s="404">
        <v>365</v>
      </c>
      <c r="L585" s="404">
        <v>2513179</v>
      </c>
      <c r="M585" s="404">
        <v>16768063</v>
      </c>
      <c r="N585" s="404">
        <v>9708197.4621330798</v>
      </c>
      <c r="O585" s="154"/>
      <c r="P585" s="154"/>
      <c r="Q585" s="154"/>
      <c r="R585" s="154"/>
      <c r="S585" s="154"/>
      <c r="T585" s="154"/>
      <c r="U585" s="154"/>
      <c r="V585" s="154"/>
      <c r="W585" s="154"/>
      <c r="X585" s="154"/>
      <c r="Y585" s="154"/>
      <c r="Z585" s="154"/>
    </row>
    <row r="586" spans="2:26" hidden="1" outlineLevel="1">
      <c r="B586" s="165" t="s">
        <v>2332</v>
      </c>
      <c r="C586" s="165" t="s">
        <v>3496</v>
      </c>
      <c r="D586" s="165" t="s">
        <v>3545</v>
      </c>
      <c r="E586" s="404">
        <v>55362009.635620691</v>
      </c>
      <c r="F586" s="165">
        <v>10</v>
      </c>
      <c r="G586" s="405">
        <v>45869</v>
      </c>
      <c r="H586" s="404">
        <v>3653</v>
      </c>
      <c r="I586" s="404">
        <v>2768100.4817810347</v>
      </c>
      <c r="J586" s="404">
        <v>52593909.153839655</v>
      </c>
      <c r="K586" s="404">
        <v>365</v>
      </c>
      <c r="L586" s="404">
        <v>5255072</v>
      </c>
      <c r="M586" s="404">
        <v>35062117</v>
      </c>
      <c r="N586" s="404">
        <v>20299892.635620691</v>
      </c>
      <c r="O586" s="154"/>
      <c r="P586" s="154"/>
      <c r="Q586" s="154"/>
      <c r="R586" s="154"/>
      <c r="S586" s="154"/>
      <c r="T586" s="154"/>
      <c r="U586" s="154"/>
      <c r="V586" s="154"/>
      <c r="W586" s="154"/>
      <c r="X586" s="154"/>
      <c r="Y586" s="154"/>
      <c r="Z586" s="154"/>
    </row>
    <row r="587" spans="2:26" hidden="1" outlineLevel="1">
      <c r="B587" s="165" t="s">
        <v>2332</v>
      </c>
      <c r="C587" s="165" t="s">
        <v>3496</v>
      </c>
      <c r="D587" s="165" t="s">
        <v>3546</v>
      </c>
      <c r="E587" s="404">
        <v>12581252.91136995</v>
      </c>
      <c r="F587" s="165">
        <v>15</v>
      </c>
      <c r="G587" s="405">
        <v>47695</v>
      </c>
      <c r="H587" s="404">
        <v>5479</v>
      </c>
      <c r="I587" s="404">
        <v>629062.64556849748</v>
      </c>
      <c r="J587" s="404">
        <v>11952190.265801452</v>
      </c>
      <c r="K587" s="404">
        <v>365</v>
      </c>
      <c r="L587" s="404">
        <v>796231</v>
      </c>
      <c r="M587" s="404">
        <v>5312495</v>
      </c>
      <c r="N587" s="404">
        <v>7268757.9113699496</v>
      </c>
      <c r="O587" s="154"/>
      <c r="P587" s="154"/>
      <c r="Q587" s="154"/>
      <c r="R587" s="154"/>
      <c r="S587" s="154"/>
      <c r="T587" s="154"/>
      <c r="U587" s="154"/>
      <c r="V587" s="154"/>
      <c r="W587" s="154"/>
      <c r="X587" s="154"/>
      <c r="Y587" s="154"/>
      <c r="Z587" s="154"/>
    </row>
    <row r="588" spans="2:26" hidden="1" outlineLevel="1">
      <c r="B588" s="165" t="s">
        <v>2332</v>
      </c>
      <c r="C588" s="165" t="s">
        <v>3496</v>
      </c>
      <c r="D588" s="165" t="s">
        <v>3547</v>
      </c>
      <c r="E588" s="404">
        <v>12581252.91136995</v>
      </c>
      <c r="F588" s="165">
        <v>15</v>
      </c>
      <c r="G588" s="405">
        <v>47695</v>
      </c>
      <c r="H588" s="404">
        <v>5479</v>
      </c>
      <c r="I588" s="404">
        <v>629062.64556849748</v>
      </c>
      <c r="J588" s="404">
        <v>11952190.265801452</v>
      </c>
      <c r="K588" s="404">
        <v>365</v>
      </c>
      <c r="L588" s="404">
        <v>796231</v>
      </c>
      <c r="M588" s="404">
        <v>5312495</v>
      </c>
      <c r="N588" s="404">
        <v>7268757.9113699496</v>
      </c>
      <c r="O588" s="154"/>
      <c r="P588" s="154"/>
      <c r="Q588" s="154"/>
      <c r="R588" s="154"/>
      <c r="S588" s="154"/>
      <c r="T588" s="154"/>
      <c r="U588" s="154"/>
      <c r="V588" s="154"/>
      <c r="W588" s="154"/>
      <c r="X588" s="154"/>
      <c r="Y588" s="154"/>
      <c r="Z588" s="154"/>
    </row>
    <row r="589" spans="2:26" hidden="1" outlineLevel="1">
      <c r="B589" s="165" t="s">
        <v>2332</v>
      </c>
      <c r="C589" s="165" t="s">
        <v>3496</v>
      </c>
      <c r="D589" s="165" t="s">
        <v>3548</v>
      </c>
      <c r="E589" s="404">
        <v>13799017.040758243</v>
      </c>
      <c r="F589" s="165">
        <v>15</v>
      </c>
      <c r="G589" s="405">
        <v>47695</v>
      </c>
      <c r="H589" s="404">
        <v>5479</v>
      </c>
      <c r="I589" s="404">
        <v>689950.85203791223</v>
      </c>
      <c r="J589" s="404">
        <v>13109066.188720331</v>
      </c>
      <c r="K589" s="404">
        <v>365</v>
      </c>
      <c r="L589" s="404">
        <v>873300</v>
      </c>
      <c r="M589" s="404">
        <v>5826703</v>
      </c>
      <c r="N589" s="404">
        <v>7972314.0407582428</v>
      </c>
      <c r="O589" s="154"/>
      <c r="P589" s="154"/>
      <c r="Q589" s="154"/>
      <c r="R589" s="154"/>
      <c r="S589" s="154"/>
      <c r="T589" s="154"/>
      <c r="U589" s="154"/>
      <c r="V589" s="154"/>
      <c r="W589" s="154"/>
      <c r="X589" s="154"/>
      <c r="Y589" s="154"/>
      <c r="Z589" s="154"/>
    </row>
    <row r="590" spans="2:26" ht="27" hidden="1" outlineLevel="1">
      <c r="B590" s="165" t="s">
        <v>2332</v>
      </c>
      <c r="C590" s="165" t="s">
        <v>3496</v>
      </c>
      <c r="D590" s="165" t="s">
        <v>3549</v>
      </c>
      <c r="E590" s="404">
        <v>38287569.911549918</v>
      </c>
      <c r="F590" s="165">
        <v>20</v>
      </c>
      <c r="G590" s="405">
        <v>49521</v>
      </c>
      <c r="H590" s="404">
        <v>7305</v>
      </c>
      <c r="I590" s="404">
        <v>1914378.495577496</v>
      </c>
      <c r="J590" s="404">
        <v>36373191.415972419</v>
      </c>
      <c r="K590" s="404">
        <v>365</v>
      </c>
      <c r="L590" s="404">
        <v>1817415</v>
      </c>
      <c r="M590" s="404">
        <v>12125888</v>
      </c>
      <c r="N590" s="404">
        <v>26161681.911549918</v>
      </c>
      <c r="O590" s="154"/>
      <c r="P590" s="154"/>
      <c r="Q590" s="154"/>
      <c r="R590" s="154"/>
      <c r="S590" s="154"/>
      <c r="T590" s="154"/>
      <c r="U590" s="154"/>
      <c r="V590" s="154"/>
      <c r="W590" s="154"/>
      <c r="X590" s="154"/>
      <c r="Y590" s="154"/>
      <c r="Z590" s="154"/>
    </row>
    <row r="591" spans="2:26" ht="27" hidden="1" outlineLevel="1">
      <c r="B591" s="165" t="s">
        <v>2332</v>
      </c>
      <c r="C591" s="165" t="s">
        <v>3496</v>
      </c>
      <c r="D591" s="165" t="s">
        <v>3550</v>
      </c>
      <c r="E591" s="404">
        <v>4320368.7742143162</v>
      </c>
      <c r="F591" s="165">
        <v>20</v>
      </c>
      <c r="G591" s="405">
        <v>49521</v>
      </c>
      <c r="H591" s="404">
        <v>7305</v>
      </c>
      <c r="I591" s="404">
        <v>216018.43871071583</v>
      </c>
      <c r="J591" s="404">
        <v>4104350.3355036005</v>
      </c>
      <c r="K591" s="404">
        <v>365</v>
      </c>
      <c r="L591" s="404">
        <v>205077</v>
      </c>
      <c r="M591" s="404">
        <v>1368285</v>
      </c>
      <c r="N591" s="404">
        <v>2952083.7742143162</v>
      </c>
      <c r="O591" s="154"/>
      <c r="P591" s="154"/>
      <c r="Q591" s="154"/>
      <c r="R591" s="154"/>
      <c r="S591" s="154"/>
      <c r="T591" s="154"/>
      <c r="U591" s="154"/>
      <c r="V591" s="154"/>
      <c r="W591" s="154"/>
      <c r="X591" s="154"/>
      <c r="Y591" s="154"/>
      <c r="Z591" s="154"/>
    </row>
    <row r="592" spans="2:26" ht="27" hidden="1" outlineLevel="1">
      <c r="B592" s="165" t="s">
        <v>2332</v>
      </c>
      <c r="C592" s="165" t="s">
        <v>3496</v>
      </c>
      <c r="D592" s="165" t="s">
        <v>3775</v>
      </c>
      <c r="E592" s="404">
        <v>38044107.562995054</v>
      </c>
      <c r="F592" s="165">
        <v>20</v>
      </c>
      <c r="G592" s="405">
        <v>49521</v>
      </c>
      <c r="H592" s="404">
        <v>7305</v>
      </c>
      <c r="I592" s="404">
        <v>1902205.3781497527</v>
      </c>
      <c r="J592" s="404">
        <v>36141902.184845299</v>
      </c>
      <c r="K592" s="404">
        <v>365</v>
      </c>
      <c r="L592" s="404">
        <v>1805858</v>
      </c>
      <c r="M592" s="404">
        <v>12048780</v>
      </c>
      <c r="N592" s="404">
        <v>25995327.562995054</v>
      </c>
      <c r="O592" s="154"/>
      <c r="P592" s="154"/>
      <c r="Q592" s="154"/>
      <c r="R592" s="154"/>
      <c r="S592" s="154"/>
      <c r="T592" s="154"/>
      <c r="U592" s="154"/>
      <c r="V592" s="154"/>
      <c r="W592" s="154"/>
      <c r="X592" s="154"/>
      <c r="Y592" s="154"/>
      <c r="Z592" s="154"/>
    </row>
    <row r="593" spans="2:26" hidden="1" outlineLevel="1">
      <c r="B593" s="165" t="s">
        <v>2332</v>
      </c>
      <c r="C593" s="165" t="s">
        <v>3496</v>
      </c>
      <c r="D593" s="165" t="s">
        <v>3552</v>
      </c>
      <c r="E593" s="404">
        <v>37066741.534450784</v>
      </c>
      <c r="F593" s="165">
        <v>25</v>
      </c>
      <c r="G593" s="405">
        <v>51348</v>
      </c>
      <c r="H593" s="404">
        <v>9132</v>
      </c>
      <c r="I593" s="404">
        <v>1853337.0767225393</v>
      </c>
      <c r="J593" s="404">
        <v>35213404.457728244</v>
      </c>
      <c r="K593" s="404">
        <v>365</v>
      </c>
      <c r="L593" s="404">
        <v>1407456</v>
      </c>
      <c r="M593" s="404">
        <v>9390622</v>
      </c>
      <c r="N593" s="404">
        <v>27676119.534450784</v>
      </c>
      <c r="O593" s="154"/>
      <c r="P593" s="154"/>
      <c r="Q593" s="154"/>
      <c r="R593" s="154"/>
      <c r="S593" s="154"/>
      <c r="T593" s="154"/>
      <c r="U593" s="154"/>
      <c r="V593" s="154"/>
      <c r="W593" s="154"/>
      <c r="X593" s="154"/>
      <c r="Y593" s="154"/>
      <c r="Z593" s="154"/>
    </row>
    <row r="594" spans="2:26" hidden="1" outlineLevel="1">
      <c r="B594" s="165" t="s">
        <v>2332</v>
      </c>
      <c r="C594" s="165" t="s">
        <v>3496</v>
      </c>
      <c r="D594" s="165" t="s">
        <v>3505</v>
      </c>
      <c r="E594" s="404">
        <v>27477775.938514426</v>
      </c>
      <c r="F594" s="165">
        <v>20</v>
      </c>
      <c r="G594" s="405">
        <v>49521</v>
      </c>
      <c r="H594" s="404">
        <v>7305</v>
      </c>
      <c r="I594" s="404">
        <v>1373888.7969257215</v>
      </c>
      <c r="J594" s="404">
        <v>26103887.141588707</v>
      </c>
      <c r="K594" s="404">
        <v>365</v>
      </c>
      <c r="L594" s="404">
        <v>1304301</v>
      </c>
      <c r="M594" s="404">
        <v>8702365</v>
      </c>
      <c r="N594" s="404">
        <v>18775410.938514426</v>
      </c>
      <c r="O594" s="154"/>
      <c r="P594" s="154"/>
      <c r="Q594" s="154"/>
      <c r="R594" s="154"/>
      <c r="S594" s="154"/>
      <c r="T594" s="154"/>
      <c r="U594" s="154"/>
      <c r="V594" s="154"/>
      <c r="W594" s="154"/>
      <c r="X594" s="154"/>
      <c r="Y594" s="154"/>
      <c r="Z594" s="154"/>
    </row>
    <row r="595" spans="2:26" hidden="1" outlineLevel="1">
      <c r="B595" s="165" t="s">
        <v>2332</v>
      </c>
      <c r="C595" s="165" t="s">
        <v>3496</v>
      </c>
      <c r="D595" s="165" t="s">
        <v>3506</v>
      </c>
      <c r="E595" s="404">
        <v>25374885.647678275</v>
      </c>
      <c r="F595" s="165">
        <v>20</v>
      </c>
      <c r="G595" s="405">
        <v>49521</v>
      </c>
      <c r="H595" s="404">
        <v>7305</v>
      </c>
      <c r="I595" s="404">
        <v>1268744.2823839139</v>
      </c>
      <c r="J595" s="404">
        <v>24106141.36529436</v>
      </c>
      <c r="K595" s="404">
        <v>365</v>
      </c>
      <c r="L595" s="404">
        <v>1204482</v>
      </c>
      <c r="M595" s="404">
        <v>8036368</v>
      </c>
      <c r="N595" s="404">
        <v>17338517.647678275</v>
      </c>
      <c r="O595" s="154"/>
      <c r="P595" s="154"/>
      <c r="Q595" s="154"/>
      <c r="R595" s="154"/>
      <c r="S595" s="154"/>
      <c r="T595" s="154"/>
      <c r="U595" s="154"/>
      <c r="V595" s="154"/>
      <c r="W595" s="154"/>
      <c r="X595" s="154"/>
      <c r="Y595" s="154"/>
      <c r="Z595" s="154"/>
    </row>
    <row r="596" spans="2:26" hidden="1" outlineLevel="1">
      <c r="B596" s="165" t="s">
        <v>2332</v>
      </c>
      <c r="C596" s="165" t="s">
        <v>3496</v>
      </c>
      <c r="D596" s="165" t="s">
        <v>3507</v>
      </c>
      <c r="E596" s="404">
        <v>22329815.498969659</v>
      </c>
      <c r="F596" s="165">
        <v>20</v>
      </c>
      <c r="G596" s="405">
        <v>49521</v>
      </c>
      <c r="H596" s="404">
        <v>7305</v>
      </c>
      <c r="I596" s="404">
        <v>1116490.7749484831</v>
      </c>
      <c r="J596" s="404">
        <v>21213324.724021178</v>
      </c>
      <c r="K596" s="404">
        <v>365</v>
      </c>
      <c r="L596" s="404">
        <v>1059940</v>
      </c>
      <c r="M596" s="404">
        <v>7071976</v>
      </c>
      <c r="N596" s="404">
        <v>15257839.498969659</v>
      </c>
      <c r="O596" s="154"/>
      <c r="P596" s="154"/>
      <c r="Q596" s="154"/>
      <c r="R596" s="154"/>
      <c r="S596" s="154"/>
      <c r="T596" s="154"/>
      <c r="U596" s="154"/>
      <c r="V596" s="154"/>
      <c r="W596" s="154"/>
      <c r="X596" s="154"/>
      <c r="Y596" s="154"/>
      <c r="Z596" s="154"/>
    </row>
    <row r="597" spans="2:26" hidden="1" outlineLevel="1">
      <c r="B597" s="165" t="s">
        <v>2332</v>
      </c>
      <c r="C597" s="165" t="s">
        <v>3496</v>
      </c>
      <c r="D597" s="165" t="s">
        <v>3508</v>
      </c>
      <c r="E597" s="404">
        <v>96830390.146720886</v>
      </c>
      <c r="F597" s="165">
        <v>25</v>
      </c>
      <c r="G597" s="405">
        <v>51348</v>
      </c>
      <c r="H597" s="404">
        <v>9132</v>
      </c>
      <c r="I597" s="404">
        <v>4841519.5073360447</v>
      </c>
      <c r="J597" s="404">
        <v>91988870.639384836</v>
      </c>
      <c r="K597" s="404">
        <v>365</v>
      </c>
      <c r="L597" s="404">
        <v>3676734</v>
      </c>
      <c r="M597" s="404">
        <v>24531364</v>
      </c>
      <c r="N597" s="404">
        <v>72299026.146720886</v>
      </c>
      <c r="O597" s="154"/>
      <c r="P597" s="154"/>
      <c r="Q597" s="154"/>
      <c r="R597" s="154"/>
      <c r="S597" s="154"/>
      <c r="T597" s="154"/>
      <c r="U597" s="154"/>
      <c r="V597" s="154"/>
      <c r="W597" s="154"/>
      <c r="X597" s="154"/>
      <c r="Y597" s="154"/>
      <c r="Z597" s="154"/>
    </row>
    <row r="598" spans="2:26" hidden="1" outlineLevel="1">
      <c r="B598" s="165" t="s">
        <v>2332</v>
      </c>
      <c r="C598" s="165" t="s">
        <v>3496</v>
      </c>
      <c r="D598" s="165" t="s">
        <v>3509</v>
      </c>
      <c r="E598" s="404">
        <v>53448029.568153806</v>
      </c>
      <c r="F598" s="165">
        <v>25</v>
      </c>
      <c r="G598" s="405">
        <v>51348</v>
      </c>
      <c r="H598" s="404">
        <v>9132</v>
      </c>
      <c r="I598" s="404">
        <v>2672401.4784076903</v>
      </c>
      <c r="J598" s="404">
        <v>50775628.089746118</v>
      </c>
      <c r="K598" s="404">
        <v>365</v>
      </c>
      <c r="L598" s="404">
        <v>2029468</v>
      </c>
      <c r="M598" s="404">
        <v>13540718</v>
      </c>
      <c r="N598" s="404">
        <v>39907311.568153806</v>
      </c>
      <c r="O598" s="154"/>
      <c r="P598" s="154"/>
      <c r="Q598" s="154"/>
      <c r="R598" s="154"/>
      <c r="S598" s="154"/>
      <c r="T598" s="154"/>
      <c r="U598" s="154"/>
      <c r="V598" s="154"/>
      <c r="W598" s="154"/>
      <c r="X598" s="154"/>
      <c r="Y598" s="154"/>
      <c r="Z598" s="154"/>
    </row>
    <row r="599" spans="2:26" hidden="1" outlineLevel="1">
      <c r="B599" s="165" t="s">
        <v>2332</v>
      </c>
      <c r="C599" s="165" t="s">
        <v>3496</v>
      </c>
      <c r="D599" s="165" t="s">
        <v>3776</v>
      </c>
      <c r="E599" s="404">
        <v>48103277.842399292</v>
      </c>
      <c r="F599" s="165">
        <v>15</v>
      </c>
      <c r="G599" s="405">
        <v>47695</v>
      </c>
      <c r="H599" s="404">
        <v>5479</v>
      </c>
      <c r="I599" s="404">
        <v>2405163.8921199646</v>
      </c>
      <c r="J599" s="404">
        <v>45698113.950279325</v>
      </c>
      <c r="K599" s="404">
        <v>365</v>
      </c>
      <c r="L599" s="404">
        <v>3044317</v>
      </c>
      <c r="M599" s="404">
        <v>20311843</v>
      </c>
      <c r="N599" s="404">
        <v>27791434.842399292</v>
      </c>
      <c r="O599" s="154"/>
      <c r="P599" s="154"/>
      <c r="Q599" s="154"/>
      <c r="R599" s="154"/>
      <c r="S599" s="154"/>
      <c r="T599" s="154"/>
      <c r="U599" s="154"/>
      <c r="V599" s="154"/>
      <c r="W599" s="154"/>
      <c r="X599" s="154"/>
      <c r="Y599" s="154"/>
      <c r="Z599" s="154"/>
    </row>
    <row r="600" spans="2:26" hidden="1" outlineLevel="1">
      <c r="B600" s="165" t="s">
        <v>2332</v>
      </c>
      <c r="C600" s="165" t="s">
        <v>3496</v>
      </c>
      <c r="D600" s="165" t="s">
        <v>3513</v>
      </c>
      <c r="E600" s="404">
        <v>21241264.052936703</v>
      </c>
      <c r="F600" s="165">
        <v>30</v>
      </c>
      <c r="G600" s="405">
        <v>53174</v>
      </c>
      <c r="H600" s="404">
        <v>10958</v>
      </c>
      <c r="I600" s="404">
        <v>1062063.2026468352</v>
      </c>
      <c r="J600" s="404">
        <v>20179200.850289866</v>
      </c>
      <c r="K600" s="404">
        <v>365</v>
      </c>
      <c r="L600" s="404">
        <v>672149</v>
      </c>
      <c r="M600" s="404">
        <v>4484613</v>
      </c>
      <c r="N600" s="404">
        <v>16756651.052936703</v>
      </c>
      <c r="O600" s="154"/>
      <c r="P600" s="154"/>
      <c r="Q600" s="154"/>
      <c r="R600" s="154"/>
      <c r="S600" s="154"/>
      <c r="T600" s="154"/>
      <c r="U600" s="154"/>
      <c r="V600" s="154"/>
      <c r="W600" s="154"/>
      <c r="X600" s="154"/>
      <c r="Y600" s="154"/>
      <c r="Z600" s="154"/>
    </row>
    <row r="601" spans="2:26" hidden="1" outlineLevel="1">
      <c r="B601" s="165" t="s">
        <v>2332</v>
      </c>
      <c r="C601" s="165" t="s">
        <v>3496</v>
      </c>
      <c r="D601" s="165" t="s">
        <v>3514</v>
      </c>
      <c r="E601" s="404">
        <v>11096538.339071946</v>
      </c>
      <c r="F601" s="165">
        <v>10</v>
      </c>
      <c r="G601" s="405">
        <v>45869</v>
      </c>
      <c r="H601" s="404">
        <v>3653</v>
      </c>
      <c r="I601" s="404">
        <v>554826.91695359733</v>
      </c>
      <c r="J601" s="404">
        <v>10541711.422118349</v>
      </c>
      <c r="K601" s="404">
        <v>365</v>
      </c>
      <c r="L601" s="404">
        <v>1053305</v>
      </c>
      <c r="M601" s="404">
        <v>7027707</v>
      </c>
      <c r="N601" s="404">
        <v>4068831.3390719462</v>
      </c>
      <c r="O601" s="154"/>
      <c r="P601" s="154"/>
      <c r="Q601" s="154"/>
      <c r="R601" s="154"/>
      <c r="S601" s="154"/>
      <c r="T601" s="154"/>
      <c r="U601" s="154"/>
      <c r="V601" s="154"/>
      <c r="W601" s="154"/>
      <c r="X601" s="154"/>
      <c r="Y601" s="154"/>
      <c r="Z601" s="154"/>
    </row>
    <row r="602" spans="2:26" hidden="1" outlineLevel="1">
      <c r="B602" s="165" t="s">
        <v>2332</v>
      </c>
      <c r="C602" s="165" t="s">
        <v>3496</v>
      </c>
      <c r="D602" s="165" t="s">
        <v>3515</v>
      </c>
      <c r="E602" s="404">
        <v>3085111.5345031144</v>
      </c>
      <c r="F602" s="165">
        <v>25</v>
      </c>
      <c r="G602" s="405">
        <v>51348</v>
      </c>
      <c r="H602" s="404">
        <v>9132</v>
      </c>
      <c r="I602" s="404">
        <v>154255.57672515573</v>
      </c>
      <c r="J602" s="404">
        <v>2930855.9577779588</v>
      </c>
      <c r="K602" s="404">
        <v>365</v>
      </c>
      <c r="L602" s="404">
        <v>117144</v>
      </c>
      <c r="M602" s="404">
        <v>781591</v>
      </c>
      <c r="N602" s="404">
        <v>2303520.5345031144</v>
      </c>
      <c r="O602" s="154"/>
      <c r="P602" s="154"/>
      <c r="Q602" s="154"/>
      <c r="R602" s="154"/>
      <c r="S602" s="154"/>
      <c r="T602" s="154"/>
      <c r="U602" s="154"/>
      <c r="V602" s="154"/>
      <c r="W602" s="154"/>
      <c r="X602" s="154"/>
      <c r="Y602" s="154"/>
      <c r="Z602" s="154"/>
    </row>
    <row r="603" spans="2:26" hidden="1" outlineLevel="1">
      <c r="B603" s="165" t="s">
        <v>2332</v>
      </c>
      <c r="C603" s="165" t="s">
        <v>3496</v>
      </c>
      <c r="D603" s="165" t="s">
        <v>3516</v>
      </c>
      <c r="E603" s="404">
        <v>5750752.8232010277</v>
      </c>
      <c r="F603" s="165">
        <v>20</v>
      </c>
      <c r="G603" s="405">
        <v>49521</v>
      </c>
      <c r="H603" s="404">
        <v>7305</v>
      </c>
      <c r="I603" s="404">
        <v>287537.6411600514</v>
      </c>
      <c r="J603" s="404">
        <v>5463215.1820409764</v>
      </c>
      <c r="K603" s="404">
        <v>365</v>
      </c>
      <c r="L603" s="404">
        <v>272974</v>
      </c>
      <c r="M603" s="404">
        <v>1821297</v>
      </c>
      <c r="N603" s="404">
        <v>3929455.8232010277</v>
      </c>
      <c r="O603" s="154"/>
      <c r="P603" s="154"/>
      <c r="Q603" s="154"/>
      <c r="R603" s="154"/>
      <c r="S603" s="154"/>
      <c r="T603" s="154"/>
      <c r="U603" s="154"/>
      <c r="V603" s="154"/>
      <c r="W603" s="154"/>
      <c r="X603" s="154"/>
      <c r="Y603" s="154"/>
      <c r="Z603" s="154"/>
    </row>
    <row r="604" spans="2:26" hidden="1" outlineLevel="1">
      <c r="B604" s="165" t="s">
        <v>2332</v>
      </c>
      <c r="C604" s="165" t="s">
        <v>3496</v>
      </c>
      <c r="D604" s="165" t="s">
        <v>3517</v>
      </c>
      <c r="E604" s="404">
        <v>5094173.8660436058</v>
      </c>
      <c r="F604" s="165">
        <v>10</v>
      </c>
      <c r="G604" s="405">
        <v>45869</v>
      </c>
      <c r="H604" s="404">
        <v>3653</v>
      </c>
      <c r="I604" s="404">
        <v>254708.6933021803</v>
      </c>
      <c r="J604" s="404">
        <v>4839465.1727414252</v>
      </c>
      <c r="K604" s="404">
        <v>365</v>
      </c>
      <c r="L604" s="404">
        <v>483549</v>
      </c>
      <c r="M604" s="404">
        <v>3226265</v>
      </c>
      <c r="N604" s="404">
        <v>1867908.8660436058</v>
      </c>
      <c r="O604" s="154"/>
      <c r="P604" s="154"/>
      <c r="Q604" s="154"/>
      <c r="R604" s="154"/>
      <c r="S604" s="154"/>
      <c r="T604" s="154"/>
      <c r="U604" s="154"/>
      <c r="V604" s="154"/>
      <c r="W604" s="154"/>
      <c r="X604" s="154"/>
      <c r="Y604" s="154"/>
      <c r="Z604" s="154"/>
    </row>
    <row r="605" spans="2:26" hidden="1" outlineLevel="1">
      <c r="B605" s="165" t="s">
        <v>2332</v>
      </c>
      <c r="C605" s="165" t="s">
        <v>3496</v>
      </c>
      <c r="D605" s="165" t="s">
        <v>3777</v>
      </c>
      <c r="E605" s="404">
        <v>2537508.4491373864</v>
      </c>
      <c r="F605" s="165">
        <v>15</v>
      </c>
      <c r="G605" s="405">
        <v>47695</v>
      </c>
      <c r="H605" s="404">
        <v>5479</v>
      </c>
      <c r="I605" s="404">
        <v>126875.42245686933</v>
      </c>
      <c r="J605" s="404">
        <v>2410633.026680517</v>
      </c>
      <c r="K605" s="404">
        <v>365</v>
      </c>
      <c r="L605" s="404">
        <v>160592</v>
      </c>
      <c r="M605" s="404">
        <v>1071478</v>
      </c>
      <c r="N605" s="404">
        <v>1466030.4491373864</v>
      </c>
      <c r="O605" s="154"/>
      <c r="P605" s="154"/>
      <c r="Q605" s="154"/>
      <c r="R605" s="154"/>
      <c r="S605" s="154"/>
      <c r="T605" s="154"/>
      <c r="U605" s="154"/>
      <c r="V605" s="154"/>
      <c r="W605" s="154"/>
      <c r="X605" s="154"/>
      <c r="Y605" s="154"/>
      <c r="Z605" s="154"/>
    </row>
    <row r="606" spans="2:26" hidden="1" outlineLevel="1">
      <c r="B606" s="165" t="s">
        <v>2332</v>
      </c>
      <c r="C606" s="165" t="s">
        <v>3496</v>
      </c>
      <c r="D606" s="165" t="s">
        <v>3519</v>
      </c>
      <c r="E606" s="404">
        <v>7435056.3749488387</v>
      </c>
      <c r="F606" s="165">
        <v>20</v>
      </c>
      <c r="G606" s="405">
        <v>49521</v>
      </c>
      <c r="H606" s="404">
        <v>7305</v>
      </c>
      <c r="I606" s="404">
        <v>371752.81874744198</v>
      </c>
      <c r="J606" s="404">
        <v>7063303.5562013965</v>
      </c>
      <c r="K606" s="404">
        <v>365</v>
      </c>
      <c r="L606" s="404">
        <v>352923</v>
      </c>
      <c r="M606" s="404">
        <v>2354721</v>
      </c>
      <c r="N606" s="404">
        <v>5080335.3749488387</v>
      </c>
      <c r="O606" s="154"/>
      <c r="P606" s="154"/>
      <c r="Q606" s="154"/>
      <c r="R606" s="154"/>
      <c r="S606" s="154"/>
      <c r="T606" s="154"/>
      <c r="U606" s="154"/>
      <c r="V606" s="154"/>
      <c r="W606" s="154"/>
      <c r="X606" s="154"/>
      <c r="Y606" s="154"/>
      <c r="Z606" s="154"/>
    </row>
    <row r="607" spans="2:26" hidden="1" outlineLevel="1">
      <c r="B607" s="165" t="s">
        <v>2332</v>
      </c>
      <c r="C607" s="165" t="s">
        <v>3496</v>
      </c>
      <c r="D607" s="165" t="s">
        <v>3465</v>
      </c>
      <c r="E607" s="404">
        <v>5075015.2169138966</v>
      </c>
      <c r="F607" s="165">
        <v>5</v>
      </c>
      <c r="G607" s="405">
        <v>44043</v>
      </c>
      <c r="H607" s="404">
        <v>1827</v>
      </c>
      <c r="I607" s="404">
        <v>253750.76084569484</v>
      </c>
      <c r="J607" s="404">
        <v>4821264.4560682019</v>
      </c>
      <c r="K607" s="404">
        <v>0</v>
      </c>
      <c r="L607" s="404">
        <v>0</v>
      </c>
      <c r="M607" s="404">
        <v>5075015</v>
      </c>
      <c r="N607" s="404">
        <v>0.21691389661282301</v>
      </c>
      <c r="O607" s="154"/>
      <c r="P607" s="154"/>
      <c r="Q607" s="154"/>
      <c r="R607" s="154"/>
      <c r="S607" s="154"/>
      <c r="T607" s="154"/>
      <c r="U607" s="154"/>
      <c r="V607" s="154"/>
      <c r="W607" s="154"/>
      <c r="X607" s="154"/>
      <c r="Y607" s="154"/>
      <c r="Z607" s="154"/>
    </row>
    <row r="608" spans="2:26" hidden="1" outlineLevel="1">
      <c r="B608" s="165" t="s">
        <v>2332</v>
      </c>
      <c r="C608" s="165" t="s">
        <v>3496</v>
      </c>
      <c r="D608" s="165" t="s">
        <v>3520</v>
      </c>
      <c r="E608" s="404">
        <v>4139684.5187951354</v>
      </c>
      <c r="F608" s="165">
        <v>10</v>
      </c>
      <c r="G608" s="405">
        <v>45869</v>
      </c>
      <c r="H608" s="404">
        <v>3653</v>
      </c>
      <c r="I608" s="404">
        <v>206984.22593975678</v>
      </c>
      <c r="J608" s="404">
        <v>3932700.2928553787</v>
      </c>
      <c r="K608" s="404">
        <v>365</v>
      </c>
      <c r="L608" s="404">
        <v>392947</v>
      </c>
      <c r="M608" s="404">
        <v>2621764</v>
      </c>
      <c r="N608" s="404">
        <v>1517920.5187951354</v>
      </c>
      <c r="O608" s="154"/>
      <c r="P608" s="154"/>
      <c r="Q608" s="154"/>
      <c r="R608" s="154"/>
      <c r="S608" s="154"/>
      <c r="T608" s="154"/>
      <c r="U608" s="154"/>
      <c r="V608" s="154"/>
      <c r="W608" s="154"/>
      <c r="X608" s="154"/>
      <c r="Y608" s="154"/>
      <c r="Z608" s="154"/>
    </row>
    <row r="609" spans="2:26" hidden="1" outlineLevel="1">
      <c r="B609" s="165" t="s">
        <v>2332</v>
      </c>
      <c r="C609" s="165" t="s">
        <v>3496</v>
      </c>
      <c r="D609" s="165" t="s">
        <v>3521</v>
      </c>
      <c r="E609" s="404">
        <v>6619062.2409075201</v>
      </c>
      <c r="F609" s="165">
        <v>5</v>
      </c>
      <c r="G609" s="405">
        <v>44043</v>
      </c>
      <c r="H609" s="404">
        <v>1827</v>
      </c>
      <c r="I609" s="404">
        <v>330953.11204537604</v>
      </c>
      <c r="J609" s="404">
        <v>6288109.1288621444</v>
      </c>
      <c r="K609" s="404">
        <v>0</v>
      </c>
      <c r="L609" s="404">
        <v>0</v>
      </c>
      <c r="M609" s="404">
        <v>6619062</v>
      </c>
      <c r="N609" s="404">
        <v>0.24090752005577087</v>
      </c>
      <c r="O609" s="154"/>
      <c r="P609" s="154"/>
      <c r="Q609" s="154"/>
      <c r="R609" s="154"/>
      <c r="S609" s="154"/>
      <c r="T609" s="154"/>
      <c r="U609" s="154"/>
      <c r="V609" s="154"/>
      <c r="W609" s="154"/>
      <c r="X609" s="154"/>
      <c r="Y609" s="154"/>
      <c r="Z609" s="154"/>
    </row>
    <row r="610" spans="2:26" hidden="1" outlineLevel="1">
      <c r="B610" s="165" t="s">
        <v>2332</v>
      </c>
      <c r="C610" s="165" t="s">
        <v>3496</v>
      </c>
      <c r="D610" s="165" t="s">
        <v>3522</v>
      </c>
      <c r="E610" s="404">
        <v>2647647.0908582183</v>
      </c>
      <c r="F610" s="165">
        <v>10</v>
      </c>
      <c r="G610" s="405">
        <v>45869</v>
      </c>
      <c r="H610" s="404">
        <v>3653</v>
      </c>
      <c r="I610" s="404">
        <v>132382.35454291091</v>
      </c>
      <c r="J610" s="404">
        <v>2515264.7363153072</v>
      </c>
      <c r="K610" s="404">
        <v>365</v>
      </c>
      <c r="L610" s="404">
        <v>251320</v>
      </c>
      <c r="M610" s="404">
        <v>1676820</v>
      </c>
      <c r="N610" s="404">
        <v>970827.09085821826</v>
      </c>
      <c r="O610" s="154"/>
      <c r="P610" s="154"/>
      <c r="Q610" s="154"/>
      <c r="R610" s="154"/>
      <c r="S610" s="154"/>
      <c r="T610" s="154"/>
      <c r="U610" s="154"/>
      <c r="V610" s="154"/>
      <c r="W610" s="154"/>
      <c r="X610" s="154"/>
      <c r="Y610" s="154"/>
      <c r="Z610" s="154"/>
    </row>
    <row r="611" spans="2:26" hidden="1" outlineLevel="1">
      <c r="B611" s="165" t="s">
        <v>2332</v>
      </c>
      <c r="C611" s="165" t="s">
        <v>3496</v>
      </c>
      <c r="D611" s="165" t="s">
        <v>3523</v>
      </c>
      <c r="E611" s="404">
        <v>13799017.040758243</v>
      </c>
      <c r="F611" s="165">
        <v>10</v>
      </c>
      <c r="G611" s="405">
        <v>45869</v>
      </c>
      <c r="H611" s="404">
        <v>3653</v>
      </c>
      <c r="I611" s="404">
        <v>689950.85203791223</v>
      </c>
      <c r="J611" s="404">
        <v>13109066.188720331</v>
      </c>
      <c r="K611" s="404">
        <v>365</v>
      </c>
      <c r="L611" s="404">
        <v>1309830</v>
      </c>
      <c r="M611" s="404">
        <v>8739255</v>
      </c>
      <c r="N611" s="404">
        <v>5059762.0407582428</v>
      </c>
      <c r="O611" s="154"/>
      <c r="P611" s="154"/>
      <c r="Q611" s="154"/>
      <c r="R611" s="154"/>
      <c r="S611" s="154"/>
      <c r="T611" s="154"/>
      <c r="U611" s="154"/>
      <c r="V611" s="154"/>
      <c r="W611" s="154"/>
      <c r="X611" s="154"/>
      <c r="Y611" s="154"/>
      <c r="Z611" s="154"/>
    </row>
    <row r="612" spans="2:26" hidden="1" outlineLevel="1">
      <c r="B612" s="165" t="s">
        <v>2332</v>
      </c>
      <c r="C612" s="165" t="s">
        <v>3496</v>
      </c>
      <c r="D612" s="165" t="s">
        <v>3553</v>
      </c>
      <c r="E612" s="404">
        <v>106632288.72296843</v>
      </c>
      <c r="F612" s="404">
        <v>25</v>
      </c>
      <c r="G612" s="405">
        <v>51348</v>
      </c>
      <c r="H612" s="404">
        <v>9132</v>
      </c>
      <c r="I612" s="404">
        <v>5331614.4361484218</v>
      </c>
      <c r="J612" s="404">
        <v>101300674.28682001</v>
      </c>
      <c r="K612" s="404">
        <v>365</v>
      </c>
      <c r="L612" s="404">
        <v>4048921</v>
      </c>
      <c r="M612" s="404">
        <v>27014614</v>
      </c>
      <c r="N612" s="404">
        <v>79617674.722968429</v>
      </c>
      <c r="O612" s="154"/>
      <c r="P612" s="154"/>
      <c r="Q612" s="154"/>
      <c r="R612" s="154"/>
      <c r="S612" s="154"/>
      <c r="T612" s="154"/>
      <c r="U612" s="154"/>
      <c r="V612" s="154"/>
      <c r="W612" s="154"/>
      <c r="X612" s="154"/>
      <c r="Y612" s="154"/>
      <c r="Z612" s="154"/>
    </row>
    <row r="613" spans="2:26" hidden="1" outlineLevel="1">
      <c r="B613" s="165" t="s">
        <v>2332</v>
      </c>
      <c r="C613" s="165" t="s">
        <v>3496</v>
      </c>
      <c r="D613" s="165" t="s">
        <v>3554</v>
      </c>
      <c r="E613" s="404">
        <v>107487779.22358818</v>
      </c>
      <c r="F613" s="165">
        <v>25</v>
      </c>
      <c r="G613" s="405">
        <v>51348</v>
      </c>
      <c r="H613" s="404">
        <v>9132</v>
      </c>
      <c r="I613" s="404">
        <v>5374388.9611794092</v>
      </c>
      <c r="J613" s="404">
        <v>102113390.26240878</v>
      </c>
      <c r="K613" s="404">
        <v>365</v>
      </c>
      <c r="L613" s="404">
        <v>4081405</v>
      </c>
      <c r="M613" s="404">
        <v>27231349</v>
      </c>
      <c r="N613" s="404">
        <v>80256430.223588184</v>
      </c>
      <c r="O613" s="154"/>
      <c r="P613" s="154"/>
      <c r="Q613" s="154"/>
      <c r="R613" s="154"/>
      <c r="S613" s="154"/>
      <c r="T613" s="154"/>
      <c r="U613" s="154"/>
      <c r="V613" s="154"/>
      <c r="W613" s="154"/>
      <c r="X613" s="154"/>
      <c r="Y613" s="154"/>
      <c r="Z613" s="154"/>
    </row>
    <row r="614" spans="2:26" hidden="1" outlineLevel="1">
      <c r="B614" s="165" t="s">
        <v>2332</v>
      </c>
      <c r="C614" s="165" t="s">
        <v>3496</v>
      </c>
      <c r="D614" s="165" t="s">
        <v>3555</v>
      </c>
      <c r="E614" s="404">
        <v>25374885.647678275</v>
      </c>
      <c r="F614" s="404">
        <v>30</v>
      </c>
      <c r="G614" s="405">
        <v>53174</v>
      </c>
      <c r="H614" s="404">
        <v>10958</v>
      </c>
      <c r="I614" s="404">
        <v>1268744.2823839139</v>
      </c>
      <c r="J614" s="404">
        <v>24106141.36529436</v>
      </c>
      <c r="K614" s="404">
        <v>365</v>
      </c>
      <c r="L614" s="404">
        <v>802951</v>
      </c>
      <c r="M614" s="404">
        <v>5357332</v>
      </c>
      <c r="N614" s="404">
        <v>20017553.647678275</v>
      </c>
      <c r="O614" s="154"/>
      <c r="P614" s="154"/>
      <c r="Q614" s="154"/>
      <c r="R614" s="154"/>
      <c r="S614" s="154"/>
      <c r="T614" s="154"/>
      <c r="U614" s="154"/>
      <c r="V614" s="154"/>
      <c r="W614" s="154"/>
      <c r="X614" s="154"/>
      <c r="Y614" s="154"/>
      <c r="Z614" s="154"/>
    </row>
    <row r="615" spans="2:26" hidden="1" outlineLevel="1">
      <c r="B615" s="165" t="s">
        <v>2332</v>
      </c>
      <c r="C615" s="165" t="s">
        <v>3496</v>
      </c>
      <c r="D615" s="165" t="s">
        <v>3557</v>
      </c>
      <c r="E615" s="404">
        <v>26531100.413231138</v>
      </c>
      <c r="F615" s="165">
        <v>15</v>
      </c>
      <c r="G615" s="405">
        <v>47695</v>
      </c>
      <c r="H615" s="404">
        <v>5479</v>
      </c>
      <c r="I615" s="404">
        <v>1326555.0206615571</v>
      </c>
      <c r="J615" s="404">
        <v>25204545.392569579</v>
      </c>
      <c r="K615" s="404">
        <v>365</v>
      </c>
      <c r="L615" s="404">
        <v>1679076</v>
      </c>
      <c r="M615" s="404">
        <v>11202885</v>
      </c>
      <c r="N615" s="404">
        <v>15328215.413231138</v>
      </c>
      <c r="O615" s="154"/>
      <c r="P615" s="154"/>
      <c r="Q615" s="154"/>
      <c r="R615" s="154"/>
      <c r="S615" s="154"/>
      <c r="T615" s="154"/>
      <c r="U615" s="154"/>
      <c r="V615" s="154"/>
      <c r="W615" s="154"/>
      <c r="X615" s="154"/>
      <c r="Y615" s="154"/>
      <c r="Z615" s="154"/>
    </row>
    <row r="616" spans="2:26" hidden="1" outlineLevel="1">
      <c r="B616" s="165" t="s">
        <v>2332</v>
      </c>
      <c r="C616" s="165" t="s">
        <v>3496</v>
      </c>
      <c r="D616" s="165" t="s">
        <v>3558</v>
      </c>
      <c r="E616" s="404">
        <v>24903097.501572795</v>
      </c>
      <c r="F616" s="165">
        <v>15</v>
      </c>
      <c r="G616" s="405">
        <v>47695</v>
      </c>
      <c r="H616" s="404">
        <v>5479</v>
      </c>
      <c r="I616" s="404">
        <v>1245154.8750786397</v>
      </c>
      <c r="J616" s="404">
        <v>23657942.626494154</v>
      </c>
      <c r="K616" s="404">
        <v>365</v>
      </c>
      <c r="L616" s="404">
        <v>1576045</v>
      </c>
      <c r="M616" s="404">
        <v>10515455</v>
      </c>
      <c r="N616" s="404">
        <v>14387642.501572795</v>
      </c>
      <c r="O616" s="154"/>
      <c r="P616" s="154"/>
      <c r="Q616" s="154"/>
      <c r="R616" s="154"/>
      <c r="S616" s="154"/>
      <c r="T616" s="154"/>
      <c r="U616" s="154"/>
      <c r="V616" s="154"/>
      <c r="W616" s="154"/>
      <c r="X616" s="154"/>
      <c r="Y616" s="154"/>
      <c r="Z616" s="154"/>
    </row>
    <row r="617" spans="2:26" hidden="1" outlineLevel="1">
      <c r="B617" s="165" t="s">
        <v>2332</v>
      </c>
      <c r="C617" s="165" t="s">
        <v>3496</v>
      </c>
      <c r="D617" s="165" t="s">
        <v>3559</v>
      </c>
      <c r="E617" s="404">
        <v>10449044.552173313</v>
      </c>
      <c r="F617" s="404">
        <v>15</v>
      </c>
      <c r="G617" s="405">
        <v>47695</v>
      </c>
      <c r="H617" s="404">
        <v>5479</v>
      </c>
      <c r="I617" s="404">
        <v>522452.22760866565</v>
      </c>
      <c r="J617" s="404">
        <v>9926592.3245646469</v>
      </c>
      <c r="K617" s="404">
        <v>365</v>
      </c>
      <c r="L617" s="404">
        <v>661290</v>
      </c>
      <c r="M617" s="404">
        <v>4412161</v>
      </c>
      <c r="N617" s="404">
        <v>6036883.5521733128</v>
      </c>
      <c r="O617" s="154"/>
      <c r="P617" s="154"/>
      <c r="Q617" s="154"/>
      <c r="R617" s="154"/>
      <c r="S617" s="154"/>
      <c r="T617" s="154"/>
      <c r="U617" s="154"/>
      <c r="V617" s="154"/>
      <c r="W617" s="154"/>
      <c r="X617" s="154"/>
      <c r="Y617" s="154"/>
      <c r="Z617" s="154"/>
    </row>
    <row r="618" spans="2:26" ht="27" hidden="1" outlineLevel="1">
      <c r="B618" s="165" t="s">
        <v>2332</v>
      </c>
      <c r="C618" s="165" t="s">
        <v>3496</v>
      </c>
      <c r="D618" s="165" t="s">
        <v>3560</v>
      </c>
      <c r="E618" s="404">
        <v>4059992.0619521625</v>
      </c>
      <c r="F618" s="165">
        <v>10</v>
      </c>
      <c r="G618" s="405">
        <v>45869</v>
      </c>
      <c r="H618" s="404">
        <v>3653</v>
      </c>
      <c r="I618" s="404">
        <v>202999.60309760814</v>
      </c>
      <c r="J618" s="404">
        <v>3856992.4588545542</v>
      </c>
      <c r="K618" s="404">
        <v>365</v>
      </c>
      <c r="L618" s="404">
        <v>385382</v>
      </c>
      <c r="M618" s="404">
        <v>2571290</v>
      </c>
      <c r="N618" s="404">
        <v>1488702.0619521625</v>
      </c>
      <c r="O618" s="154"/>
      <c r="P618" s="154"/>
      <c r="Q618" s="154"/>
      <c r="R618" s="154"/>
      <c r="S618" s="154"/>
      <c r="T618" s="154"/>
      <c r="U618" s="154"/>
      <c r="V618" s="154"/>
      <c r="W618" s="154"/>
      <c r="X618" s="154"/>
      <c r="Y618" s="154"/>
      <c r="Z618" s="154"/>
    </row>
    <row r="619" spans="2:26" hidden="1" outlineLevel="1">
      <c r="B619" s="165" t="s">
        <v>2332</v>
      </c>
      <c r="C619" s="165" t="s">
        <v>3496</v>
      </c>
      <c r="D619" s="165" t="s">
        <v>3778</v>
      </c>
      <c r="E619" s="404">
        <v>16602081.699271124</v>
      </c>
      <c r="F619" s="165">
        <v>10</v>
      </c>
      <c r="G619" s="405">
        <v>45869</v>
      </c>
      <c r="H619" s="404">
        <v>3653</v>
      </c>
      <c r="I619" s="404">
        <v>830104.08496355626</v>
      </c>
      <c r="J619" s="404">
        <v>15771977.614307567</v>
      </c>
      <c r="K619" s="404">
        <v>365</v>
      </c>
      <c r="L619" s="404">
        <v>1575902</v>
      </c>
      <c r="M619" s="404">
        <v>10514502</v>
      </c>
      <c r="N619" s="404">
        <v>6087579.6992711239</v>
      </c>
      <c r="O619" s="154"/>
      <c r="P619" s="154"/>
      <c r="Q619" s="154"/>
      <c r="R619" s="154"/>
      <c r="S619" s="154"/>
      <c r="T619" s="154"/>
      <c r="U619" s="154"/>
      <c r="V619" s="154"/>
      <c r="W619" s="154"/>
      <c r="X619" s="154"/>
      <c r="Y619" s="154"/>
      <c r="Z619" s="154"/>
    </row>
    <row r="620" spans="2:26" ht="27" hidden="1" outlineLevel="1">
      <c r="B620" s="165" t="s">
        <v>2332</v>
      </c>
      <c r="C620" s="165" t="s">
        <v>3496</v>
      </c>
      <c r="D620" s="165" t="s">
        <v>3561</v>
      </c>
      <c r="E620" s="404">
        <v>495766170.16878939</v>
      </c>
      <c r="F620" s="404">
        <v>40</v>
      </c>
      <c r="G620" s="405">
        <v>56826</v>
      </c>
      <c r="H620" s="404">
        <v>14610</v>
      </c>
      <c r="I620" s="404">
        <v>24788308.50843947</v>
      </c>
      <c r="J620" s="404">
        <v>470977861.66034991</v>
      </c>
      <c r="K620" s="404">
        <v>365</v>
      </c>
      <c r="L620" s="404">
        <v>11766387</v>
      </c>
      <c r="M620" s="404">
        <v>78505955</v>
      </c>
      <c r="N620" s="404">
        <v>417260215.16878939</v>
      </c>
      <c r="O620" s="154"/>
      <c r="P620" s="154"/>
      <c r="Q620" s="154"/>
      <c r="R620" s="154"/>
      <c r="S620" s="154"/>
      <c r="T620" s="154"/>
      <c r="U620" s="154"/>
      <c r="V620" s="154"/>
      <c r="W620" s="154"/>
      <c r="X620" s="154"/>
      <c r="Y620" s="154"/>
      <c r="Z620" s="154"/>
    </row>
    <row r="621" spans="2:26" hidden="1" outlineLevel="1">
      <c r="B621" s="165" t="s">
        <v>2332</v>
      </c>
      <c r="C621" s="165" t="s">
        <v>3496</v>
      </c>
      <c r="D621" s="165" t="s">
        <v>3562</v>
      </c>
      <c r="E621" s="404">
        <v>3941127.0013646479</v>
      </c>
      <c r="F621" s="404">
        <v>10</v>
      </c>
      <c r="G621" s="405">
        <v>45869</v>
      </c>
      <c r="H621" s="404">
        <v>3653</v>
      </c>
      <c r="I621" s="404">
        <v>197056.35006823239</v>
      </c>
      <c r="J621" s="404">
        <v>3744070.6512964154</v>
      </c>
      <c r="K621" s="404">
        <v>365</v>
      </c>
      <c r="L621" s="404">
        <v>374100</v>
      </c>
      <c r="M621" s="404">
        <v>2496015</v>
      </c>
      <c r="N621" s="404">
        <v>1445112.0013646479</v>
      </c>
      <c r="O621" s="154"/>
      <c r="P621" s="154"/>
      <c r="Q621" s="154"/>
      <c r="R621" s="154"/>
      <c r="S621" s="154"/>
      <c r="T621" s="154"/>
      <c r="U621" s="154"/>
      <c r="V621" s="154"/>
      <c r="W621" s="154"/>
      <c r="X621" s="154"/>
      <c r="Y621" s="154"/>
      <c r="Z621" s="154"/>
    </row>
    <row r="622" spans="2:26" hidden="1" outlineLevel="1">
      <c r="B622" s="165" t="s">
        <v>2332</v>
      </c>
      <c r="C622" s="165" t="s">
        <v>3496</v>
      </c>
      <c r="D622" s="165" t="s">
        <v>3563</v>
      </c>
      <c r="E622" s="404">
        <v>20285217.988626018</v>
      </c>
      <c r="F622" s="165">
        <v>5</v>
      </c>
      <c r="G622" s="405">
        <v>44043</v>
      </c>
      <c r="H622" s="404">
        <v>1827</v>
      </c>
      <c r="I622" s="404">
        <v>1014260.8994313009</v>
      </c>
      <c r="J622" s="404">
        <v>19270957.089194719</v>
      </c>
      <c r="K622" s="404">
        <v>0</v>
      </c>
      <c r="L622" s="404">
        <v>0</v>
      </c>
      <c r="M622" s="404">
        <v>20285218</v>
      </c>
      <c r="N622" s="403">
        <v>-1.1373981833457947E-2</v>
      </c>
      <c r="O622" s="154"/>
      <c r="P622" s="154"/>
      <c r="Q622" s="154"/>
      <c r="R622" s="154"/>
      <c r="S622" s="154"/>
      <c r="T622" s="154"/>
      <c r="U622" s="154"/>
      <c r="V622" s="154"/>
      <c r="W622" s="154"/>
      <c r="X622" s="154"/>
      <c r="Y622" s="154"/>
      <c r="Z622" s="154"/>
    </row>
    <row r="623" spans="2:26" hidden="1" outlineLevel="1">
      <c r="B623" s="165" t="s">
        <v>2332</v>
      </c>
      <c r="C623" s="165" t="s">
        <v>3496</v>
      </c>
      <c r="D623" s="165" t="s">
        <v>3397</v>
      </c>
      <c r="E623" s="404">
        <v>8114085.8838423109</v>
      </c>
      <c r="F623" s="165">
        <v>8</v>
      </c>
      <c r="G623" s="405">
        <v>45138</v>
      </c>
      <c r="H623" s="404">
        <v>2922</v>
      </c>
      <c r="I623" s="404">
        <v>405704.29419211554</v>
      </c>
      <c r="J623" s="404">
        <v>7708381.5896501951</v>
      </c>
      <c r="K623" s="404">
        <v>365</v>
      </c>
      <c r="L623" s="404">
        <v>962888</v>
      </c>
      <c r="M623" s="404">
        <v>6424440</v>
      </c>
      <c r="N623" s="404">
        <v>1689645.8838423109</v>
      </c>
      <c r="O623" s="154"/>
      <c r="P623" s="154"/>
      <c r="Q623" s="154"/>
      <c r="R623" s="154"/>
      <c r="S623" s="154"/>
      <c r="T623" s="154"/>
      <c r="U623" s="154"/>
      <c r="V623" s="154"/>
      <c r="W623" s="154"/>
      <c r="X623" s="154"/>
      <c r="Y623" s="154"/>
      <c r="Z623" s="154"/>
    </row>
    <row r="624" spans="2:26" hidden="1" outlineLevel="1">
      <c r="B624" s="165" t="s">
        <v>2332</v>
      </c>
      <c r="C624" s="165" t="s">
        <v>3779</v>
      </c>
      <c r="D624" s="165" t="s">
        <v>3779</v>
      </c>
      <c r="E624" s="404">
        <v>85553758.479941413</v>
      </c>
      <c r="F624" s="165">
        <v>20</v>
      </c>
      <c r="G624" s="405">
        <v>49521</v>
      </c>
      <c r="H624" s="404">
        <v>7305</v>
      </c>
      <c r="I624" s="404">
        <v>4277687.9239970706</v>
      </c>
      <c r="J624" s="404">
        <v>81276070.555944338</v>
      </c>
      <c r="K624" s="404">
        <v>365</v>
      </c>
      <c r="L624" s="404">
        <v>4061022</v>
      </c>
      <c r="M624" s="404">
        <v>27095353</v>
      </c>
      <c r="N624" s="404">
        <v>58458405.479941413</v>
      </c>
      <c r="O624" s="154"/>
      <c r="P624" s="154"/>
      <c r="Q624" s="154"/>
      <c r="R624" s="154"/>
      <c r="S624" s="154"/>
      <c r="T624" s="154"/>
      <c r="U624" s="154"/>
      <c r="V624" s="154"/>
      <c r="W624" s="154"/>
      <c r="X624" s="154"/>
      <c r="Y624" s="154"/>
      <c r="Z624" s="154"/>
    </row>
    <row r="625" spans="2:26" hidden="1" outlineLevel="1">
      <c r="B625" s="165" t="s">
        <v>2332</v>
      </c>
      <c r="C625" s="165" t="s">
        <v>3779</v>
      </c>
      <c r="D625" s="165" t="s">
        <v>3780</v>
      </c>
      <c r="E625" s="404">
        <v>8049688.6787288086</v>
      </c>
      <c r="F625" s="165">
        <v>25</v>
      </c>
      <c r="G625" s="405">
        <v>51348</v>
      </c>
      <c r="H625" s="404">
        <v>9132</v>
      </c>
      <c r="I625" s="404">
        <v>402484.43393644044</v>
      </c>
      <c r="J625" s="404">
        <v>7647204.2447923683</v>
      </c>
      <c r="K625" s="404">
        <v>365</v>
      </c>
      <c r="L625" s="404">
        <v>305654</v>
      </c>
      <c r="M625" s="404">
        <v>2039339</v>
      </c>
      <c r="N625" s="404">
        <v>6010349.6787288086</v>
      </c>
      <c r="O625" s="154"/>
      <c r="P625" s="154"/>
      <c r="Q625" s="154"/>
      <c r="R625" s="154"/>
      <c r="S625" s="154"/>
      <c r="T625" s="154"/>
      <c r="U625" s="154"/>
      <c r="V625" s="154"/>
      <c r="W625" s="154"/>
      <c r="X625" s="154"/>
      <c r="Y625" s="154"/>
      <c r="Z625" s="154"/>
    </row>
    <row r="626" spans="2:26" hidden="1" outlineLevel="1">
      <c r="B626" s="165"/>
      <c r="C626" s="165"/>
      <c r="D626" s="165"/>
      <c r="E626" s="404"/>
      <c r="F626" s="165"/>
      <c r="G626" s="405"/>
      <c r="H626" s="404"/>
      <c r="I626" s="404"/>
      <c r="J626" s="404"/>
      <c r="K626" s="404"/>
      <c r="L626" s="404"/>
      <c r="M626" s="404"/>
      <c r="N626" s="404"/>
      <c r="O626" s="157"/>
      <c r="P626" s="157"/>
      <c r="Q626" s="157"/>
      <c r="R626" s="157"/>
      <c r="S626" s="157"/>
      <c r="T626" s="157"/>
      <c r="U626" s="157"/>
      <c r="V626" s="157"/>
      <c r="W626" s="157"/>
      <c r="X626" s="157"/>
      <c r="Y626" s="157"/>
      <c r="Z626" s="157"/>
    </row>
    <row r="627" spans="2:26" hidden="1" outlineLevel="1">
      <c r="B627" s="165"/>
      <c r="C627" s="165"/>
      <c r="D627" s="165"/>
      <c r="E627" s="403"/>
      <c r="F627" s="165"/>
      <c r="G627" s="405"/>
      <c r="H627" s="404"/>
      <c r="I627" s="404"/>
      <c r="J627" s="404"/>
      <c r="K627" s="404"/>
      <c r="L627" s="404"/>
      <c r="M627" s="404"/>
      <c r="N627" s="403"/>
      <c r="O627" s="157"/>
      <c r="P627" s="157"/>
      <c r="Q627" s="157"/>
      <c r="R627" s="157"/>
      <c r="S627" s="157"/>
      <c r="T627" s="157"/>
      <c r="U627" s="157"/>
      <c r="V627" s="157"/>
      <c r="W627" s="157"/>
      <c r="X627" s="157"/>
      <c r="Y627" s="157"/>
      <c r="Z627" s="157"/>
    </row>
    <row r="628" spans="2:26" ht="14.25" hidden="1">
      <c r="B628" s="411" t="s">
        <v>1837</v>
      </c>
      <c r="C628" s="165"/>
      <c r="D628" s="165"/>
      <c r="E628" s="413">
        <f>SUBTOTAL(9,E471:E627)</f>
        <v>11225063380.804501</v>
      </c>
      <c r="F628" s="165"/>
      <c r="G628" s="165"/>
      <c r="H628" s="413"/>
      <c r="I628" s="413"/>
      <c r="J628" s="413"/>
      <c r="K628" s="165"/>
      <c r="L628" s="413">
        <f t="shared" ref="L628:N628" si="8">SUBTOTAL(9,L471:L627)</f>
        <v>436933551</v>
      </c>
      <c r="M628" s="413">
        <f t="shared" si="8"/>
        <v>2955523998</v>
      </c>
      <c r="N628" s="413">
        <f t="shared" si="8"/>
        <v>8269539382.8045015</v>
      </c>
      <c r="O628" s="157"/>
      <c r="P628" s="157"/>
      <c r="Q628" s="157"/>
      <c r="R628" s="157"/>
      <c r="S628" s="157"/>
      <c r="T628" s="157"/>
      <c r="U628" s="157"/>
      <c r="V628" s="157"/>
      <c r="W628" s="157"/>
      <c r="X628" s="157"/>
      <c r="Y628" s="157"/>
      <c r="Z628" s="157"/>
    </row>
    <row r="629" spans="2:26" hidden="1">
      <c r="B629" s="165"/>
      <c r="C629" s="165"/>
      <c r="D629" s="165"/>
      <c r="E629" s="404"/>
      <c r="F629" s="165"/>
      <c r="G629" s="165"/>
      <c r="H629" s="165"/>
      <c r="I629" s="165"/>
      <c r="J629" s="404"/>
      <c r="K629" s="165"/>
      <c r="L629" s="165"/>
      <c r="M629" s="165"/>
      <c r="N629" s="165"/>
      <c r="O629" s="157"/>
      <c r="P629" s="157"/>
      <c r="Q629" s="157"/>
      <c r="R629" s="157"/>
      <c r="S629" s="157"/>
      <c r="T629" s="157"/>
      <c r="U629" s="157"/>
      <c r="V629" s="157"/>
      <c r="W629" s="157"/>
      <c r="X629" s="157"/>
      <c r="Y629" s="157"/>
      <c r="Z629" s="157"/>
    </row>
    <row r="630" spans="2:26" ht="14.25" hidden="1">
      <c r="B630" s="411" t="str">
        <f>+B631</f>
        <v>Water and steam system</v>
      </c>
      <c r="C630" s="165"/>
      <c r="D630" s="165"/>
      <c r="E630" s="404"/>
      <c r="F630" s="165"/>
      <c r="G630" s="165"/>
      <c r="H630" s="165"/>
      <c r="I630" s="165"/>
      <c r="J630" s="404"/>
      <c r="K630" s="165"/>
      <c r="L630" s="165"/>
      <c r="M630" s="165"/>
      <c r="N630" s="165"/>
      <c r="O630" s="157"/>
      <c r="P630" s="157"/>
      <c r="Q630" s="157"/>
      <c r="R630" s="157"/>
      <c r="S630" s="157"/>
      <c r="T630" s="157"/>
      <c r="U630" s="157"/>
      <c r="V630" s="157"/>
      <c r="W630" s="157"/>
      <c r="X630" s="157"/>
      <c r="Y630" s="157"/>
      <c r="Z630" s="157"/>
    </row>
    <row r="631" spans="2:26" ht="27" hidden="1" outlineLevel="1">
      <c r="B631" s="165" t="s">
        <v>2333</v>
      </c>
      <c r="C631" s="165" t="s">
        <v>3566</v>
      </c>
      <c r="D631" s="165" t="s">
        <v>3781</v>
      </c>
      <c r="E631" s="404">
        <v>3329057.9621375152</v>
      </c>
      <c r="F631" s="165">
        <v>15</v>
      </c>
      <c r="G631" s="405">
        <v>47695</v>
      </c>
      <c r="H631" s="404">
        <v>5479</v>
      </c>
      <c r="I631" s="404">
        <v>166452.89810687577</v>
      </c>
      <c r="J631" s="404">
        <v>3162605.0640306394</v>
      </c>
      <c r="K631" s="404">
        <v>365</v>
      </c>
      <c r="L631" s="404">
        <v>210686</v>
      </c>
      <c r="M631" s="404">
        <v>1405617</v>
      </c>
      <c r="N631" s="404">
        <v>1923440.9621375152</v>
      </c>
      <c r="O631" s="154"/>
      <c r="P631" s="154"/>
      <c r="Q631" s="154"/>
      <c r="R631" s="154"/>
      <c r="S631" s="154"/>
      <c r="T631" s="154"/>
      <c r="U631" s="154"/>
      <c r="V631" s="154"/>
      <c r="W631" s="154"/>
      <c r="X631" s="154"/>
      <c r="Y631" s="154"/>
      <c r="Z631" s="154"/>
    </row>
    <row r="632" spans="2:26" hidden="1" outlineLevel="1">
      <c r="B632" s="165" t="s">
        <v>2333</v>
      </c>
      <c r="C632" s="165" t="s">
        <v>3566</v>
      </c>
      <c r="D632" s="165" t="s">
        <v>3782</v>
      </c>
      <c r="E632" s="404">
        <v>7767800.0565115036</v>
      </c>
      <c r="F632" s="165">
        <v>15</v>
      </c>
      <c r="G632" s="405">
        <v>47695</v>
      </c>
      <c r="H632" s="404">
        <v>5479</v>
      </c>
      <c r="I632" s="404">
        <v>388390.00282557518</v>
      </c>
      <c r="J632" s="404">
        <v>7379410.0536859287</v>
      </c>
      <c r="K632" s="404">
        <v>365</v>
      </c>
      <c r="L632" s="404">
        <v>491602</v>
      </c>
      <c r="M632" s="404">
        <v>3279779</v>
      </c>
      <c r="N632" s="404">
        <v>4488021.0565115036</v>
      </c>
      <c r="O632" s="154"/>
      <c r="P632" s="154"/>
      <c r="Q632" s="154"/>
      <c r="R632" s="154"/>
      <c r="S632" s="154"/>
      <c r="T632" s="154"/>
      <c r="U632" s="154"/>
      <c r="V632" s="154"/>
      <c r="W632" s="154"/>
      <c r="X632" s="154"/>
      <c r="Y632" s="154"/>
      <c r="Z632" s="154"/>
    </row>
    <row r="633" spans="2:26" hidden="1" outlineLevel="1">
      <c r="B633" s="165"/>
      <c r="C633" s="165"/>
      <c r="D633" s="165"/>
      <c r="E633" s="404"/>
      <c r="F633" s="165"/>
      <c r="G633" s="405"/>
      <c r="H633" s="404"/>
      <c r="I633" s="404"/>
      <c r="J633" s="404"/>
      <c r="K633" s="404"/>
      <c r="L633" s="404"/>
      <c r="M633" s="404"/>
      <c r="N633" s="404"/>
      <c r="O633" s="154"/>
      <c r="P633" s="154"/>
      <c r="Q633" s="154"/>
      <c r="R633" s="154"/>
      <c r="S633" s="154"/>
      <c r="T633" s="154"/>
      <c r="U633" s="154"/>
      <c r="V633" s="154"/>
      <c r="W633" s="154"/>
      <c r="X633" s="154"/>
      <c r="Y633" s="154"/>
      <c r="Z633" s="154"/>
    </row>
    <row r="634" spans="2:26" hidden="1" outlineLevel="1">
      <c r="B634" s="165" t="s">
        <v>2333</v>
      </c>
      <c r="C634" s="165" t="s">
        <v>3569</v>
      </c>
      <c r="D634" s="165" t="s">
        <v>3783</v>
      </c>
      <c r="E634" s="404">
        <v>2699509.5770157599</v>
      </c>
      <c r="F634" s="165">
        <v>20</v>
      </c>
      <c r="G634" s="405">
        <v>49521</v>
      </c>
      <c r="H634" s="404">
        <v>7305</v>
      </c>
      <c r="I634" s="404">
        <v>134975.478850788</v>
      </c>
      <c r="J634" s="404">
        <v>2564534.0981649719</v>
      </c>
      <c r="K634" s="404">
        <v>365</v>
      </c>
      <c r="L634" s="404">
        <v>128139</v>
      </c>
      <c r="M634" s="404">
        <v>854894</v>
      </c>
      <c r="N634" s="404">
        <v>1844615.5770157599</v>
      </c>
      <c r="O634" s="154"/>
      <c r="P634" s="154"/>
      <c r="Q634" s="154"/>
      <c r="R634" s="154"/>
      <c r="S634" s="154"/>
      <c r="T634" s="154"/>
      <c r="U634" s="154"/>
      <c r="V634" s="154"/>
      <c r="W634" s="154"/>
      <c r="X634" s="154"/>
      <c r="Y634" s="154"/>
      <c r="Z634" s="154"/>
    </row>
    <row r="635" spans="2:26" hidden="1" outlineLevel="1">
      <c r="B635" s="165" t="s">
        <v>2333</v>
      </c>
      <c r="C635" s="165" t="s">
        <v>3569</v>
      </c>
      <c r="D635" s="165" t="s">
        <v>3784</v>
      </c>
      <c r="E635" s="404">
        <v>1453582.3697465674</v>
      </c>
      <c r="F635" s="165">
        <v>20</v>
      </c>
      <c r="G635" s="405">
        <v>49521</v>
      </c>
      <c r="H635" s="404">
        <v>7305</v>
      </c>
      <c r="I635" s="404">
        <v>72679.118487328378</v>
      </c>
      <c r="J635" s="404">
        <v>1380903.2512592392</v>
      </c>
      <c r="K635" s="404">
        <v>365</v>
      </c>
      <c r="L635" s="404">
        <v>68998</v>
      </c>
      <c r="M635" s="404">
        <v>460328</v>
      </c>
      <c r="N635" s="404">
        <v>993254.36974656745</v>
      </c>
      <c r="O635" s="154"/>
      <c r="P635" s="154"/>
      <c r="Q635" s="154"/>
      <c r="R635" s="154"/>
      <c r="S635" s="154"/>
      <c r="T635" s="154"/>
      <c r="U635" s="154"/>
      <c r="V635" s="154"/>
      <c r="W635" s="154"/>
      <c r="X635" s="154"/>
      <c r="Y635" s="154"/>
      <c r="Z635" s="154"/>
    </row>
    <row r="636" spans="2:26" hidden="1" outlineLevel="1">
      <c r="B636" s="165"/>
      <c r="C636" s="165"/>
      <c r="D636" s="165"/>
      <c r="E636" s="404"/>
      <c r="F636" s="165"/>
      <c r="G636" s="405"/>
      <c r="H636" s="404"/>
      <c r="I636" s="404"/>
      <c r="J636" s="404"/>
      <c r="K636" s="404"/>
      <c r="L636" s="404"/>
      <c r="M636" s="404"/>
      <c r="N636" s="404"/>
      <c r="O636" s="154"/>
      <c r="P636" s="154"/>
      <c r="Q636" s="154"/>
      <c r="R636" s="154"/>
      <c r="S636" s="154"/>
      <c r="T636" s="154"/>
      <c r="U636" s="154"/>
      <c r="V636" s="154"/>
      <c r="W636" s="154"/>
      <c r="X636" s="154"/>
      <c r="Y636" s="154"/>
      <c r="Z636" s="154"/>
    </row>
    <row r="637" spans="2:26" ht="27" hidden="1" outlineLevel="1">
      <c r="B637" s="165" t="s">
        <v>2333</v>
      </c>
      <c r="C637" s="165" t="s">
        <v>3569</v>
      </c>
      <c r="D637" s="165" t="s">
        <v>3573</v>
      </c>
      <c r="E637" s="404">
        <v>6812573.6873651939</v>
      </c>
      <c r="F637" s="404">
        <v>20</v>
      </c>
      <c r="G637" s="405">
        <v>49521</v>
      </c>
      <c r="H637" s="404">
        <v>7305</v>
      </c>
      <c r="I637" s="404">
        <v>340628.68436825974</v>
      </c>
      <c r="J637" s="404">
        <v>6471945.0029969346</v>
      </c>
      <c r="K637" s="404">
        <v>365</v>
      </c>
      <c r="L637" s="404">
        <v>323376</v>
      </c>
      <c r="M637" s="404">
        <v>2157440</v>
      </c>
      <c r="N637" s="404">
        <v>4655133.6873651939</v>
      </c>
      <c r="O637" s="154"/>
      <c r="P637" s="154"/>
      <c r="Q637" s="154"/>
      <c r="R637" s="154"/>
      <c r="S637" s="154"/>
      <c r="T637" s="154"/>
      <c r="U637" s="154"/>
      <c r="V637" s="154"/>
      <c r="W637" s="154"/>
      <c r="X637" s="154"/>
      <c r="Y637" s="154"/>
      <c r="Z637" s="154"/>
    </row>
    <row r="638" spans="2:26" ht="27" hidden="1" outlineLevel="1">
      <c r="B638" s="165" t="s">
        <v>2333</v>
      </c>
      <c r="C638" s="165" t="s">
        <v>3569</v>
      </c>
      <c r="D638" s="165" t="s">
        <v>3574</v>
      </c>
      <c r="E638" s="404">
        <v>25390749.647678275</v>
      </c>
      <c r="F638" s="404">
        <v>20</v>
      </c>
      <c r="G638" s="405">
        <v>49521</v>
      </c>
      <c r="H638" s="404">
        <v>7305</v>
      </c>
      <c r="I638" s="404">
        <v>1269537.4823839138</v>
      </c>
      <c r="J638" s="404">
        <v>24121212.16529436</v>
      </c>
      <c r="K638" s="404">
        <v>365</v>
      </c>
      <c r="L638" s="404">
        <v>1205235</v>
      </c>
      <c r="M638" s="404">
        <v>8040866</v>
      </c>
      <c r="N638" s="404">
        <v>17349883.647678275</v>
      </c>
      <c r="O638" s="154"/>
      <c r="P638" s="154"/>
      <c r="Q638" s="154"/>
      <c r="R638" s="154"/>
      <c r="S638" s="154"/>
      <c r="T638" s="154"/>
      <c r="U638" s="154"/>
      <c r="V638" s="154"/>
      <c r="W638" s="154"/>
      <c r="X638" s="154"/>
      <c r="Y638" s="154"/>
      <c r="Z638" s="154"/>
    </row>
    <row r="639" spans="2:26" hidden="1" outlineLevel="1">
      <c r="B639" s="165"/>
      <c r="C639" s="165"/>
      <c r="D639" s="165"/>
      <c r="E639" s="404"/>
      <c r="F639" s="404"/>
      <c r="G639" s="405"/>
      <c r="H639" s="404"/>
      <c r="I639" s="404"/>
      <c r="J639" s="404"/>
      <c r="K639" s="404"/>
      <c r="L639" s="404"/>
      <c r="M639" s="404"/>
      <c r="N639" s="404"/>
      <c r="O639" s="154"/>
      <c r="P639" s="154"/>
      <c r="Q639" s="154"/>
      <c r="R639" s="154"/>
      <c r="S639" s="154"/>
      <c r="T639" s="154"/>
      <c r="U639" s="154"/>
      <c r="V639" s="154"/>
      <c r="W639" s="154"/>
      <c r="X639" s="154"/>
      <c r="Y639" s="154"/>
      <c r="Z639" s="154"/>
    </row>
    <row r="640" spans="2:26" hidden="1" outlineLevel="1">
      <c r="B640" s="165" t="s">
        <v>2333</v>
      </c>
      <c r="C640" s="165" t="s">
        <v>3569</v>
      </c>
      <c r="D640" s="165" t="s">
        <v>3785</v>
      </c>
      <c r="E640" s="404">
        <v>41547483.40975441</v>
      </c>
      <c r="F640" s="165">
        <v>20</v>
      </c>
      <c r="G640" s="405">
        <v>49521</v>
      </c>
      <c r="H640" s="404">
        <v>7305</v>
      </c>
      <c r="I640" s="404">
        <v>2077374.1704877205</v>
      </c>
      <c r="J640" s="404">
        <v>39470109.239266694</v>
      </c>
      <c r="K640" s="404">
        <v>365</v>
      </c>
      <c r="L640" s="404">
        <v>1972155</v>
      </c>
      <c r="M640" s="404">
        <v>13157461</v>
      </c>
      <c r="N640" s="404">
        <v>28390022.40975441</v>
      </c>
      <c r="O640" s="154"/>
      <c r="P640" s="154"/>
      <c r="Q640" s="154"/>
      <c r="R640" s="154"/>
      <c r="S640" s="154"/>
      <c r="T640" s="154"/>
      <c r="U640" s="154"/>
      <c r="V640" s="154"/>
      <c r="W640" s="154"/>
      <c r="X640" s="154"/>
      <c r="Y640" s="154"/>
      <c r="Z640" s="154"/>
    </row>
    <row r="641" spans="2:26" hidden="1" outlineLevel="1">
      <c r="B641" s="165" t="s">
        <v>2333</v>
      </c>
      <c r="C641" s="165" t="s">
        <v>3569</v>
      </c>
      <c r="D641" s="165" t="s">
        <v>3786</v>
      </c>
      <c r="E641" s="404">
        <v>24236030.549392994</v>
      </c>
      <c r="F641" s="165">
        <v>20</v>
      </c>
      <c r="G641" s="405">
        <v>49521</v>
      </c>
      <c r="H641" s="404">
        <v>7305</v>
      </c>
      <c r="I641" s="404">
        <v>1211801.5274696497</v>
      </c>
      <c r="J641" s="404">
        <v>23024229.021923345</v>
      </c>
      <c r="K641" s="404">
        <v>365</v>
      </c>
      <c r="L641" s="404">
        <v>1150423</v>
      </c>
      <c r="M641" s="404">
        <v>7675181</v>
      </c>
      <c r="N641" s="404">
        <v>16560849.549392994</v>
      </c>
      <c r="O641" s="154"/>
      <c r="P641" s="154"/>
      <c r="Q641" s="154"/>
      <c r="R641" s="154"/>
      <c r="S641" s="154"/>
      <c r="T641" s="154"/>
      <c r="U641" s="154"/>
      <c r="V641" s="154"/>
      <c r="W641" s="154"/>
      <c r="X641" s="154"/>
      <c r="Y641" s="154"/>
      <c r="Z641" s="154"/>
    </row>
    <row r="642" spans="2:26" hidden="1" outlineLevel="1">
      <c r="B642" s="165" t="s">
        <v>2333</v>
      </c>
      <c r="C642" s="165" t="s">
        <v>3569</v>
      </c>
      <c r="D642" s="165" t="s">
        <v>3787</v>
      </c>
      <c r="E642" s="404">
        <v>3462292.9487569607</v>
      </c>
      <c r="F642" s="165">
        <v>10</v>
      </c>
      <c r="G642" s="405">
        <v>45869</v>
      </c>
      <c r="H642" s="404">
        <v>3653</v>
      </c>
      <c r="I642" s="404">
        <v>173114.64743784803</v>
      </c>
      <c r="J642" s="404">
        <v>3289178.3013191125</v>
      </c>
      <c r="K642" s="404">
        <v>365</v>
      </c>
      <c r="L642" s="404">
        <v>328648</v>
      </c>
      <c r="M642" s="404">
        <v>2192613</v>
      </c>
      <c r="N642" s="404">
        <v>1269679.9487569607</v>
      </c>
      <c r="O642" s="154"/>
      <c r="P642" s="154"/>
      <c r="Q642" s="154"/>
      <c r="R642" s="154"/>
      <c r="S642" s="154"/>
      <c r="T642" s="154"/>
      <c r="U642" s="154"/>
      <c r="V642" s="154"/>
      <c r="W642" s="154"/>
      <c r="X642" s="154"/>
      <c r="Y642" s="154"/>
      <c r="Z642" s="154"/>
    </row>
    <row r="643" spans="2:26" hidden="1" outlineLevel="1">
      <c r="B643" s="165"/>
      <c r="C643" s="165"/>
      <c r="D643" s="165"/>
      <c r="E643" s="404"/>
      <c r="F643" s="165"/>
      <c r="G643" s="405"/>
      <c r="H643" s="404"/>
      <c r="I643" s="404"/>
      <c r="J643" s="404"/>
      <c r="K643" s="404"/>
      <c r="L643" s="404"/>
      <c r="M643" s="404"/>
      <c r="N643" s="404"/>
      <c r="O643" s="154"/>
      <c r="P643" s="154"/>
      <c r="Q643" s="154"/>
      <c r="R643" s="154"/>
      <c r="S643" s="154"/>
      <c r="T643" s="154"/>
      <c r="U643" s="154"/>
      <c r="V643" s="154"/>
      <c r="W643" s="154"/>
      <c r="X643" s="154"/>
      <c r="Y643" s="154"/>
      <c r="Z643" s="154"/>
    </row>
    <row r="644" spans="2:26" hidden="1" outlineLevel="1">
      <c r="B644" s="165" t="s">
        <v>2333</v>
      </c>
      <c r="C644" s="165" t="s">
        <v>3569</v>
      </c>
      <c r="D644" s="165" t="s">
        <v>3578</v>
      </c>
      <c r="E644" s="404">
        <v>16699055.813772645</v>
      </c>
      <c r="F644" s="404">
        <v>20</v>
      </c>
      <c r="G644" s="405">
        <v>49521</v>
      </c>
      <c r="H644" s="404">
        <v>7305</v>
      </c>
      <c r="I644" s="404">
        <v>834952.79068863229</v>
      </c>
      <c r="J644" s="404">
        <v>15864103.023084013</v>
      </c>
      <c r="K644" s="404">
        <v>365</v>
      </c>
      <c r="L644" s="404">
        <v>792662</v>
      </c>
      <c r="M644" s="404">
        <v>5288337</v>
      </c>
      <c r="N644" s="404">
        <v>11410718.813772645</v>
      </c>
      <c r="O644" s="154"/>
      <c r="P644" s="154"/>
      <c r="Q644" s="154"/>
      <c r="R644" s="154"/>
      <c r="S644" s="154"/>
      <c r="T644" s="154"/>
      <c r="U644" s="154"/>
      <c r="V644" s="154"/>
      <c r="W644" s="154"/>
      <c r="X644" s="154"/>
      <c r="Y644" s="154"/>
      <c r="Z644" s="154"/>
    </row>
    <row r="645" spans="2:26" ht="27" hidden="1" outlineLevel="1">
      <c r="B645" s="165" t="s">
        <v>2333</v>
      </c>
      <c r="C645" s="165" t="s">
        <v>3569</v>
      </c>
      <c r="D645" s="165" t="s">
        <v>3788</v>
      </c>
      <c r="E645" s="404">
        <v>44299805.334860034</v>
      </c>
      <c r="F645" s="404">
        <v>20</v>
      </c>
      <c r="G645" s="405">
        <v>49521</v>
      </c>
      <c r="H645" s="404">
        <v>7305</v>
      </c>
      <c r="I645" s="404">
        <v>2214990.266743002</v>
      </c>
      <c r="J645" s="404">
        <v>42084815.06811703</v>
      </c>
      <c r="K645" s="404">
        <v>365</v>
      </c>
      <c r="L645" s="404">
        <v>2102800</v>
      </c>
      <c r="M645" s="404">
        <v>14029076</v>
      </c>
      <c r="N645" s="404">
        <v>30270729.334860034</v>
      </c>
      <c r="O645" s="154"/>
      <c r="P645" s="154"/>
      <c r="Q645" s="154"/>
      <c r="R645" s="154"/>
      <c r="S645" s="154"/>
      <c r="T645" s="154"/>
      <c r="U645" s="154"/>
      <c r="V645" s="154"/>
      <c r="W645" s="154"/>
      <c r="X645" s="154"/>
      <c r="Y645" s="154"/>
      <c r="Z645" s="154"/>
    </row>
    <row r="646" spans="2:26" hidden="1" outlineLevel="1">
      <c r="B646" s="165"/>
      <c r="C646" s="165"/>
      <c r="D646" s="165"/>
      <c r="E646" s="404"/>
      <c r="F646" s="165"/>
      <c r="G646" s="405"/>
      <c r="H646" s="404"/>
      <c r="I646" s="404"/>
      <c r="J646" s="404"/>
      <c r="K646" s="404"/>
      <c r="L646" s="404"/>
      <c r="M646" s="404"/>
      <c r="N646" s="404"/>
      <c r="O646" s="154"/>
      <c r="P646" s="154"/>
      <c r="Q646" s="154"/>
      <c r="R646" s="154"/>
      <c r="S646" s="154"/>
      <c r="T646" s="154"/>
      <c r="U646" s="154"/>
      <c r="V646" s="154"/>
      <c r="W646" s="154"/>
      <c r="X646" s="154"/>
      <c r="Y646" s="154"/>
      <c r="Z646" s="154"/>
    </row>
    <row r="647" spans="2:26" hidden="1" outlineLevel="1">
      <c r="B647" s="165" t="s">
        <v>2333</v>
      </c>
      <c r="C647" s="165" t="s">
        <v>3569</v>
      </c>
      <c r="D647" s="165" t="s">
        <v>3789</v>
      </c>
      <c r="E647" s="404">
        <v>126260616.84469487</v>
      </c>
      <c r="F647" s="404">
        <v>25</v>
      </c>
      <c r="G647" s="405">
        <v>51348</v>
      </c>
      <c r="H647" s="404">
        <v>9132</v>
      </c>
      <c r="I647" s="404">
        <v>6313030.8422347438</v>
      </c>
      <c r="J647" s="404">
        <v>119947586.00246012</v>
      </c>
      <c r="K647" s="404">
        <v>365</v>
      </c>
      <c r="L647" s="404">
        <v>4794226</v>
      </c>
      <c r="M647" s="404">
        <v>31985236</v>
      </c>
      <c r="N647" s="404">
        <v>94275380.844694868</v>
      </c>
      <c r="O647" s="154"/>
      <c r="P647" s="154"/>
      <c r="Q647" s="154"/>
      <c r="R647" s="154"/>
      <c r="S647" s="154"/>
      <c r="T647" s="154"/>
      <c r="U647" s="154"/>
      <c r="V647" s="154"/>
      <c r="W647" s="154"/>
      <c r="X647" s="154"/>
      <c r="Y647" s="154"/>
      <c r="Z647" s="154"/>
    </row>
    <row r="648" spans="2:26" hidden="1" outlineLevel="1">
      <c r="B648" s="165" t="s">
        <v>2333</v>
      </c>
      <c r="C648" s="165" t="s">
        <v>3569</v>
      </c>
      <c r="D648" s="165" t="s">
        <v>3790</v>
      </c>
      <c r="E648" s="404">
        <v>84173743.523664832</v>
      </c>
      <c r="F648" s="404">
        <v>25</v>
      </c>
      <c r="G648" s="405">
        <v>51348</v>
      </c>
      <c r="H648" s="404">
        <v>9132</v>
      </c>
      <c r="I648" s="404">
        <v>4208687.1761832414</v>
      </c>
      <c r="J648" s="404">
        <v>79965056.347481593</v>
      </c>
      <c r="K648" s="404">
        <v>365</v>
      </c>
      <c r="L648" s="404">
        <v>3196150</v>
      </c>
      <c r="M648" s="404">
        <v>21323487</v>
      </c>
      <c r="N648" s="404">
        <v>62850256.523664832</v>
      </c>
      <c r="O648" s="154"/>
      <c r="P648" s="154"/>
      <c r="Q648" s="154"/>
      <c r="R648" s="154"/>
      <c r="S648" s="154"/>
      <c r="T648" s="154"/>
      <c r="U648" s="154"/>
      <c r="V648" s="154"/>
      <c r="W648" s="154"/>
      <c r="X648" s="154"/>
      <c r="Y648" s="154"/>
      <c r="Z648" s="154"/>
    </row>
    <row r="649" spans="2:26" hidden="1" outlineLevel="1">
      <c r="B649" s="165"/>
      <c r="C649" s="165"/>
      <c r="D649" s="165"/>
      <c r="E649" s="404"/>
      <c r="F649" s="165"/>
      <c r="G649" s="405"/>
      <c r="H649" s="404"/>
      <c r="I649" s="404"/>
      <c r="J649" s="404"/>
      <c r="K649" s="404"/>
      <c r="L649" s="404"/>
      <c r="M649" s="404"/>
      <c r="N649" s="404"/>
      <c r="O649" s="154"/>
      <c r="P649" s="154"/>
      <c r="Q649" s="154"/>
      <c r="R649" s="154"/>
      <c r="S649" s="154"/>
      <c r="T649" s="154"/>
      <c r="U649" s="154"/>
      <c r="V649" s="154"/>
      <c r="W649" s="154"/>
      <c r="X649" s="154"/>
      <c r="Y649" s="154"/>
      <c r="Z649" s="154"/>
    </row>
    <row r="650" spans="2:26" hidden="1" outlineLevel="1">
      <c r="B650" s="165" t="s">
        <v>2333</v>
      </c>
      <c r="C650" s="165" t="s">
        <v>3569</v>
      </c>
      <c r="D650" s="165" t="s">
        <v>3580</v>
      </c>
      <c r="E650" s="404">
        <v>4845311.5914692516</v>
      </c>
      <c r="F650" s="404">
        <v>20</v>
      </c>
      <c r="G650" s="405">
        <v>49521</v>
      </c>
      <c r="H650" s="404">
        <v>7305</v>
      </c>
      <c r="I650" s="404">
        <v>242265.5795734626</v>
      </c>
      <c r="J650" s="404">
        <v>4603046.0118957888</v>
      </c>
      <c r="K650" s="404">
        <v>365</v>
      </c>
      <c r="L650" s="404">
        <v>229995</v>
      </c>
      <c r="M650" s="404">
        <v>1534438</v>
      </c>
      <c r="N650" s="404">
        <v>3310873.5914692516</v>
      </c>
      <c r="O650" s="154"/>
      <c r="P650" s="154"/>
      <c r="Q650" s="154"/>
      <c r="R650" s="154"/>
      <c r="S650" s="154"/>
      <c r="T650" s="154"/>
      <c r="U650" s="154"/>
      <c r="V650" s="154"/>
      <c r="W650" s="154"/>
      <c r="X650" s="154"/>
      <c r="Y650" s="154"/>
      <c r="Z650" s="154"/>
    </row>
    <row r="651" spans="2:26" hidden="1" outlineLevel="1">
      <c r="B651" s="165"/>
      <c r="C651" s="165"/>
      <c r="D651" s="165"/>
      <c r="E651" s="404"/>
      <c r="F651" s="165"/>
      <c r="G651" s="405"/>
      <c r="H651" s="404"/>
      <c r="I651" s="404"/>
      <c r="J651" s="404"/>
      <c r="K651" s="404"/>
      <c r="L651" s="404"/>
      <c r="M651" s="404"/>
      <c r="N651" s="404"/>
      <c r="O651" s="154"/>
      <c r="P651" s="154"/>
      <c r="Q651" s="154"/>
      <c r="R651" s="154"/>
      <c r="S651" s="154"/>
      <c r="T651" s="154"/>
      <c r="U651" s="154"/>
      <c r="V651" s="154"/>
      <c r="W651" s="154"/>
      <c r="X651" s="154"/>
      <c r="Y651" s="154"/>
      <c r="Z651" s="154"/>
    </row>
    <row r="652" spans="2:26" hidden="1" outlineLevel="1">
      <c r="B652" s="165" t="s">
        <v>2333</v>
      </c>
      <c r="C652" s="165" t="s">
        <v>3569</v>
      </c>
      <c r="D652" s="165" t="s">
        <v>3791</v>
      </c>
      <c r="E652" s="404">
        <v>6921858.7462112913</v>
      </c>
      <c r="F652" s="165">
        <v>15</v>
      </c>
      <c r="G652" s="405">
        <v>47695</v>
      </c>
      <c r="H652" s="404">
        <v>5479</v>
      </c>
      <c r="I652" s="404">
        <v>346092.93731056456</v>
      </c>
      <c r="J652" s="404">
        <v>6575765.808900727</v>
      </c>
      <c r="K652" s="404">
        <v>365</v>
      </c>
      <c r="L652" s="404">
        <v>438064</v>
      </c>
      <c r="M652" s="404">
        <v>2922596</v>
      </c>
      <c r="N652" s="404">
        <v>3999262.7462112913</v>
      </c>
      <c r="O652" s="154"/>
      <c r="P652" s="154"/>
      <c r="Q652" s="154"/>
      <c r="R652" s="154"/>
      <c r="S652" s="154"/>
      <c r="T652" s="154"/>
      <c r="U652" s="154"/>
      <c r="V652" s="154"/>
      <c r="W652" s="154"/>
      <c r="X652" s="154"/>
      <c r="Y652" s="154"/>
      <c r="Z652" s="154"/>
    </row>
    <row r="653" spans="2:26" ht="27" hidden="1" outlineLevel="1">
      <c r="B653" s="165" t="s">
        <v>2333</v>
      </c>
      <c r="C653" s="165" t="s">
        <v>3569</v>
      </c>
      <c r="D653" s="165" t="s">
        <v>3792</v>
      </c>
      <c r="E653" s="404">
        <v>20765572.350451488</v>
      </c>
      <c r="F653" s="165">
        <v>15</v>
      </c>
      <c r="G653" s="405">
        <v>47695</v>
      </c>
      <c r="H653" s="404">
        <v>5479</v>
      </c>
      <c r="I653" s="404">
        <v>1038278.6175225745</v>
      </c>
      <c r="J653" s="404">
        <v>19727293.732928913</v>
      </c>
      <c r="K653" s="404">
        <v>365</v>
      </c>
      <c r="L653" s="404">
        <v>1314193</v>
      </c>
      <c r="M653" s="404">
        <v>8767791</v>
      </c>
      <c r="N653" s="404">
        <v>11997781.350451488</v>
      </c>
      <c r="O653" s="154"/>
      <c r="P653" s="154"/>
      <c r="Q653" s="154"/>
      <c r="R653" s="154"/>
      <c r="S653" s="154"/>
      <c r="T653" s="154"/>
      <c r="U653" s="154"/>
      <c r="V653" s="154"/>
      <c r="W653" s="154"/>
      <c r="X653" s="154"/>
      <c r="Y653" s="154"/>
      <c r="Z653" s="154"/>
    </row>
    <row r="654" spans="2:26" hidden="1" outlineLevel="1">
      <c r="B654" s="165"/>
      <c r="C654" s="165"/>
      <c r="D654" s="165"/>
      <c r="E654" s="404"/>
      <c r="F654" s="165"/>
      <c r="G654" s="405"/>
      <c r="H654" s="404"/>
      <c r="I654" s="404"/>
      <c r="J654" s="404"/>
      <c r="K654" s="404"/>
      <c r="L654" s="404"/>
      <c r="M654" s="404"/>
      <c r="N654" s="404"/>
      <c r="O654" s="154"/>
      <c r="P654" s="154"/>
      <c r="Q654" s="154"/>
      <c r="R654" s="154"/>
      <c r="S654" s="154"/>
      <c r="T654" s="154"/>
      <c r="U654" s="154"/>
      <c r="V654" s="154"/>
      <c r="W654" s="154"/>
      <c r="X654" s="154"/>
      <c r="Y654" s="154"/>
      <c r="Z654" s="154"/>
    </row>
    <row r="655" spans="2:26" s="154" customFormat="1" hidden="1" outlineLevel="1">
      <c r="B655" s="404" t="s">
        <v>2333</v>
      </c>
      <c r="C655" s="404" t="s">
        <v>3584</v>
      </c>
      <c r="D655" s="404" t="s">
        <v>3585</v>
      </c>
      <c r="E655" s="404">
        <v>243955850.30059421</v>
      </c>
      <c r="F655" s="404">
        <v>25</v>
      </c>
      <c r="G655" s="404">
        <v>51348</v>
      </c>
      <c r="H655" s="404">
        <v>9132</v>
      </c>
      <c r="I655" s="404">
        <v>12197792.515029712</v>
      </c>
      <c r="J655" s="404">
        <v>231758057.78556451</v>
      </c>
      <c r="K655" s="404">
        <v>365</v>
      </c>
      <c r="L655" s="404">
        <v>9263216</v>
      </c>
      <c r="M655" s="404">
        <v>61800623</v>
      </c>
      <c r="N655" s="404">
        <v>182155227.30059421</v>
      </c>
    </row>
    <row r="656" spans="2:26" s="154" customFormat="1" hidden="1" outlineLevel="1">
      <c r="B656" s="404" t="s">
        <v>2333</v>
      </c>
      <c r="C656" s="404" t="s">
        <v>3584</v>
      </c>
      <c r="D656" s="404" t="s">
        <v>3586</v>
      </c>
      <c r="E656" s="404">
        <v>243955850.30059421</v>
      </c>
      <c r="F656" s="404">
        <v>20</v>
      </c>
      <c r="G656" s="404">
        <v>49521</v>
      </c>
      <c r="H656" s="404">
        <v>7305</v>
      </c>
      <c r="I656" s="404">
        <v>12197792.515029712</v>
      </c>
      <c r="J656" s="404">
        <v>231758057.78556451</v>
      </c>
      <c r="K656" s="404">
        <v>365</v>
      </c>
      <c r="L656" s="404">
        <v>11579971</v>
      </c>
      <c r="M656" s="404">
        <v>77257124</v>
      </c>
      <c r="N656" s="404">
        <v>166698726.30059421</v>
      </c>
    </row>
    <row r="657" spans="2:26" s="154" customFormat="1" ht="27" hidden="1" outlineLevel="1">
      <c r="B657" s="404" t="s">
        <v>2333</v>
      </c>
      <c r="C657" s="404" t="s">
        <v>3584</v>
      </c>
      <c r="D657" s="404" t="s">
        <v>3793</v>
      </c>
      <c r="E657" s="404">
        <v>325274468.85326457</v>
      </c>
      <c r="F657" s="404">
        <v>15</v>
      </c>
      <c r="G657" s="404">
        <v>47695</v>
      </c>
      <c r="H657" s="404">
        <v>5479</v>
      </c>
      <c r="I657" s="404">
        <v>16263723.44266323</v>
      </c>
      <c r="J657" s="404">
        <v>309010745.41060132</v>
      </c>
      <c r="K657" s="404">
        <v>365</v>
      </c>
      <c r="L657" s="404">
        <v>20585677</v>
      </c>
      <c r="M657" s="404">
        <v>137339738</v>
      </c>
      <c r="N657" s="404">
        <v>187934730.85326457</v>
      </c>
    </row>
    <row r="658" spans="2:26" s="154" customFormat="1" hidden="1" outlineLevel="1">
      <c r="B658" s="404"/>
      <c r="C658" s="404"/>
      <c r="D658" s="404"/>
      <c r="E658" s="404"/>
      <c r="F658" s="404"/>
      <c r="G658" s="404"/>
      <c r="H658" s="404"/>
      <c r="I658" s="404"/>
      <c r="J658" s="404"/>
      <c r="K658" s="404"/>
      <c r="L658" s="404"/>
      <c r="M658" s="404"/>
      <c r="N658" s="404"/>
    </row>
    <row r="659" spans="2:26" ht="14.25" hidden="1">
      <c r="B659" s="411" t="s">
        <v>1837</v>
      </c>
      <c r="C659" s="165"/>
      <c r="D659" s="165"/>
      <c r="E659" s="413">
        <f>SUBTOTAL(9,E630:E658)</f>
        <v>1233851213.8679366</v>
      </c>
      <c r="F659" s="165"/>
      <c r="G659" s="165"/>
      <c r="H659" s="413"/>
      <c r="I659" s="413"/>
      <c r="J659" s="413"/>
      <c r="K659" s="165"/>
      <c r="L659" s="413">
        <f t="shared" ref="L659:N659" si="9">SUBTOTAL(9,L630:L658)</f>
        <v>60176216</v>
      </c>
      <c r="M659" s="413">
        <f t="shared" si="9"/>
        <v>401472625</v>
      </c>
      <c r="N659" s="413">
        <f t="shared" si="9"/>
        <v>832378588.86793661</v>
      </c>
      <c r="O659" s="157"/>
      <c r="P659" s="157"/>
      <c r="Q659" s="157"/>
      <c r="R659" s="157"/>
      <c r="S659" s="157"/>
      <c r="T659" s="157"/>
      <c r="U659" s="157"/>
      <c r="V659" s="157"/>
      <c r="W659" s="157"/>
      <c r="X659" s="157"/>
      <c r="Y659" s="157"/>
      <c r="Z659" s="157"/>
    </row>
    <row r="660" spans="2:26" hidden="1">
      <c r="B660" s="165"/>
      <c r="C660" s="165"/>
      <c r="D660" s="165"/>
      <c r="E660" s="404"/>
      <c r="F660" s="165"/>
      <c r="G660" s="165"/>
      <c r="H660" s="165"/>
      <c r="I660" s="165"/>
      <c r="J660" s="404"/>
      <c r="K660" s="165"/>
      <c r="L660" s="165"/>
      <c r="M660" s="165"/>
      <c r="N660" s="165"/>
      <c r="O660" s="157"/>
      <c r="P660" s="157"/>
      <c r="Q660" s="157"/>
      <c r="R660" s="157"/>
      <c r="S660" s="157"/>
      <c r="T660" s="157"/>
      <c r="U660" s="157"/>
      <c r="V660" s="157"/>
      <c r="W660" s="157"/>
      <c r="X660" s="157"/>
      <c r="Y660" s="157"/>
      <c r="Z660" s="157"/>
    </row>
    <row r="661" spans="2:26" ht="14.25" hidden="1">
      <c r="B661" s="411" t="str">
        <f>+B662</f>
        <v>Water treatment system</v>
      </c>
      <c r="C661" s="165"/>
      <c r="D661" s="165"/>
      <c r="E661" s="404"/>
      <c r="F661" s="165"/>
      <c r="G661" s="165"/>
      <c r="H661" s="165"/>
      <c r="I661" s="165"/>
      <c r="J661" s="404"/>
      <c r="K661" s="165"/>
      <c r="L661" s="165"/>
      <c r="M661" s="165"/>
      <c r="N661" s="165"/>
      <c r="O661" s="157"/>
      <c r="P661" s="157"/>
      <c r="Q661" s="157"/>
      <c r="R661" s="157"/>
      <c r="S661" s="157"/>
      <c r="T661" s="157"/>
      <c r="U661" s="157"/>
      <c r="V661" s="157"/>
      <c r="W661" s="157"/>
      <c r="X661" s="157"/>
      <c r="Y661" s="157"/>
      <c r="Z661" s="157"/>
    </row>
    <row r="662" spans="2:26" ht="40.5" hidden="1" outlineLevel="1">
      <c r="B662" s="165" t="s">
        <v>2334</v>
      </c>
      <c r="C662" s="165" t="s">
        <v>3588</v>
      </c>
      <c r="D662" s="165" t="s">
        <v>3589</v>
      </c>
      <c r="E662" s="404">
        <v>115363890.8133022</v>
      </c>
      <c r="F662" s="404">
        <v>25</v>
      </c>
      <c r="G662" s="405">
        <v>51348</v>
      </c>
      <c r="H662" s="404">
        <v>9132</v>
      </c>
      <c r="I662" s="404">
        <v>5768194.5406651106</v>
      </c>
      <c r="J662" s="404">
        <v>109595696.2726371</v>
      </c>
      <c r="K662" s="404">
        <v>365</v>
      </c>
      <c r="L662" s="404">
        <v>4380467</v>
      </c>
      <c r="M662" s="404">
        <v>29225603</v>
      </c>
      <c r="N662" s="404">
        <v>86138287.813302204</v>
      </c>
      <c r="O662" s="154"/>
      <c r="P662" s="154"/>
      <c r="Q662" s="154"/>
      <c r="R662" s="154"/>
      <c r="S662" s="154"/>
      <c r="T662" s="154"/>
      <c r="U662" s="154"/>
      <c r="V662" s="154"/>
      <c r="W662" s="154"/>
      <c r="X662" s="154"/>
      <c r="Y662" s="154"/>
      <c r="Z662" s="154"/>
    </row>
    <row r="663" spans="2:26" ht="54" hidden="1" outlineLevel="1">
      <c r="B663" s="165" t="s">
        <v>2334</v>
      </c>
      <c r="C663" s="165" t="s">
        <v>3588</v>
      </c>
      <c r="D663" s="165" t="s">
        <v>3590</v>
      </c>
      <c r="E663" s="404">
        <v>115363890.8133022</v>
      </c>
      <c r="F663" s="404">
        <v>5</v>
      </c>
      <c r="G663" s="405">
        <v>44043</v>
      </c>
      <c r="H663" s="404">
        <v>1827</v>
      </c>
      <c r="I663" s="404">
        <v>5768194.5406651106</v>
      </c>
      <c r="J663" s="404">
        <v>109595696.2726371</v>
      </c>
      <c r="K663" s="404">
        <v>0</v>
      </c>
      <c r="L663" s="404">
        <v>0</v>
      </c>
      <c r="M663" s="404">
        <v>115363891</v>
      </c>
      <c r="N663" s="403">
        <v>-0.18669779598712921</v>
      </c>
      <c r="O663" s="154"/>
      <c r="P663" s="154"/>
      <c r="Q663" s="154"/>
      <c r="R663" s="154"/>
      <c r="S663" s="154"/>
      <c r="T663" s="154"/>
      <c r="U663" s="154"/>
      <c r="V663" s="154"/>
      <c r="W663" s="154"/>
      <c r="X663" s="154"/>
      <c r="Y663" s="154"/>
      <c r="Z663" s="154"/>
    </row>
    <row r="664" spans="2:26" hidden="1" outlineLevel="1">
      <c r="B664" s="165"/>
      <c r="C664" s="165"/>
      <c r="D664" s="165"/>
      <c r="E664" s="404"/>
      <c r="F664" s="404"/>
      <c r="G664" s="405"/>
      <c r="H664" s="404"/>
      <c r="I664" s="404"/>
      <c r="J664" s="404"/>
      <c r="K664" s="404"/>
      <c r="L664" s="404"/>
      <c r="M664" s="404"/>
      <c r="N664" s="404"/>
      <c r="O664" s="154"/>
      <c r="P664" s="154"/>
      <c r="Q664" s="154"/>
      <c r="R664" s="154"/>
      <c r="S664" s="154"/>
      <c r="T664" s="154"/>
      <c r="U664" s="154"/>
      <c r="V664" s="154"/>
      <c r="W664" s="154"/>
      <c r="X664" s="154"/>
      <c r="Y664" s="154"/>
      <c r="Z664" s="154"/>
    </row>
    <row r="665" spans="2:26" ht="40.5" hidden="1" outlineLevel="1">
      <c r="B665" s="165" t="s">
        <v>2334</v>
      </c>
      <c r="C665" s="165" t="s">
        <v>3588</v>
      </c>
      <c r="D665" s="165" t="s">
        <v>3591</v>
      </c>
      <c r="E665" s="404">
        <v>115363890.8133022</v>
      </c>
      <c r="F665" s="404">
        <v>25</v>
      </c>
      <c r="G665" s="405">
        <v>51348</v>
      </c>
      <c r="H665" s="404">
        <v>9132</v>
      </c>
      <c r="I665" s="404">
        <v>5768194.5406651106</v>
      </c>
      <c r="J665" s="404">
        <v>109595696.2726371</v>
      </c>
      <c r="K665" s="404">
        <v>365</v>
      </c>
      <c r="L665" s="404">
        <v>4380467</v>
      </c>
      <c r="M665" s="404">
        <v>29225603</v>
      </c>
      <c r="N665" s="404">
        <v>86138287.813302204</v>
      </c>
      <c r="O665" s="154"/>
      <c r="P665" s="154"/>
      <c r="Q665" s="154"/>
      <c r="R665" s="154"/>
      <c r="S665" s="154"/>
      <c r="T665" s="154"/>
      <c r="U665" s="154"/>
      <c r="V665" s="154"/>
      <c r="W665" s="154"/>
      <c r="X665" s="154"/>
      <c r="Y665" s="154"/>
      <c r="Z665" s="154"/>
    </row>
    <row r="666" spans="2:26" ht="54" hidden="1" outlineLevel="1">
      <c r="B666" s="165" t="s">
        <v>2334</v>
      </c>
      <c r="C666" s="165" t="s">
        <v>3588</v>
      </c>
      <c r="D666" s="165" t="s">
        <v>3592</v>
      </c>
      <c r="E666" s="404">
        <v>115363890.8133022</v>
      </c>
      <c r="F666" s="404">
        <v>5</v>
      </c>
      <c r="G666" s="405">
        <v>44043</v>
      </c>
      <c r="H666" s="404">
        <v>1827</v>
      </c>
      <c r="I666" s="404">
        <v>5768194.5406651106</v>
      </c>
      <c r="J666" s="404">
        <v>109595696.2726371</v>
      </c>
      <c r="K666" s="404">
        <v>0</v>
      </c>
      <c r="L666" s="404">
        <v>0</v>
      </c>
      <c r="M666" s="404">
        <v>115363891</v>
      </c>
      <c r="N666" s="403">
        <v>-0.18669779598712921</v>
      </c>
      <c r="O666" s="154"/>
      <c r="P666" s="154"/>
      <c r="Q666" s="154"/>
      <c r="R666" s="154"/>
      <c r="S666" s="154"/>
      <c r="T666" s="154"/>
      <c r="U666" s="154"/>
      <c r="V666" s="154"/>
      <c r="W666" s="154"/>
      <c r="X666" s="154"/>
      <c r="Y666" s="154"/>
      <c r="Z666" s="154"/>
    </row>
    <row r="667" spans="2:26" hidden="1" outlineLevel="1">
      <c r="B667" s="165"/>
      <c r="C667" s="165"/>
      <c r="D667" s="165"/>
      <c r="E667" s="404"/>
      <c r="F667" s="404"/>
      <c r="G667" s="405"/>
      <c r="H667" s="404"/>
      <c r="I667" s="404"/>
      <c r="J667" s="404"/>
      <c r="K667" s="404"/>
      <c r="L667" s="404"/>
      <c r="M667" s="404"/>
      <c r="N667" s="404"/>
      <c r="O667" s="154"/>
      <c r="P667" s="154"/>
      <c r="Q667" s="154"/>
      <c r="R667" s="154"/>
      <c r="S667" s="154"/>
      <c r="T667" s="154"/>
      <c r="U667" s="154"/>
      <c r="V667" s="154"/>
      <c r="W667" s="154"/>
      <c r="X667" s="154"/>
      <c r="Y667" s="154"/>
      <c r="Z667" s="154"/>
    </row>
    <row r="668" spans="2:26" ht="27" hidden="1" outlineLevel="1">
      <c r="B668" s="165" t="s">
        <v>2334</v>
      </c>
      <c r="C668" s="165" t="s">
        <v>3588</v>
      </c>
      <c r="D668" s="165" t="s">
        <v>3593</v>
      </c>
      <c r="E668" s="404">
        <v>115363890.81330229</v>
      </c>
      <c r="F668" s="404">
        <v>20</v>
      </c>
      <c r="G668" s="405">
        <v>49521</v>
      </c>
      <c r="H668" s="404">
        <v>7305</v>
      </c>
      <c r="I668" s="404">
        <v>5768194.5406651152</v>
      </c>
      <c r="J668" s="404">
        <v>109595696.27263717</v>
      </c>
      <c r="K668" s="404">
        <v>365</v>
      </c>
      <c r="L668" s="404">
        <v>5476034</v>
      </c>
      <c r="M668" s="404">
        <v>36535006</v>
      </c>
      <c r="N668" s="404">
        <v>78828884.813302293</v>
      </c>
      <c r="O668" s="154"/>
      <c r="P668" s="154"/>
      <c r="Q668" s="154"/>
      <c r="R668" s="154"/>
      <c r="S668" s="154"/>
      <c r="T668" s="154"/>
      <c r="U668" s="154"/>
      <c r="V668" s="154"/>
      <c r="W668" s="154"/>
      <c r="X668" s="154"/>
      <c r="Y668" s="154"/>
      <c r="Z668" s="154"/>
    </row>
    <row r="669" spans="2:26" hidden="1" outlineLevel="1">
      <c r="B669" s="165"/>
      <c r="C669" s="165"/>
      <c r="D669" s="165"/>
      <c r="E669" s="404"/>
      <c r="F669" s="165"/>
      <c r="G669" s="405"/>
      <c r="H669" s="404"/>
      <c r="I669" s="404"/>
      <c r="J669" s="404"/>
      <c r="K669" s="404"/>
      <c r="L669" s="404"/>
      <c r="M669" s="404"/>
      <c r="N669" s="404"/>
      <c r="O669" s="154"/>
      <c r="P669" s="154"/>
      <c r="Q669" s="154"/>
      <c r="R669" s="154"/>
      <c r="S669" s="154"/>
      <c r="T669" s="154"/>
      <c r="U669" s="154"/>
      <c r="V669" s="154"/>
      <c r="W669" s="154"/>
      <c r="X669" s="154"/>
      <c r="Y669" s="154"/>
      <c r="Z669" s="154"/>
    </row>
    <row r="670" spans="2:26" ht="27" hidden="1" outlineLevel="1">
      <c r="B670" s="165" t="s">
        <v>2334</v>
      </c>
      <c r="C670" s="165" t="s">
        <v>3588</v>
      </c>
      <c r="D670" s="165" t="s">
        <v>3594</v>
      </c>
      <c r="E670" s="404">
        <v>15937967.263369801</v>
      </c>
      <c r="F670" s="404">
        <v>15</v>
      </c>
      <c r="G670" s="405">
        <v>47695</v>
      </c>
      <c r="H670" s="404">
        <v>5479</v>
      </c>
      <c r="I670" s="404">
        <v>796898.36316849012</v>
      </c>
      <c r="J670" s="404">
        <v>15141068.900201309</v>
      </c>
      <c r="K670" s="404">
        <v>365</v>
      </c>
      <c r="L670" s="404">
        <v>1008668</v>
      </c>
      <c r="M670" s="404">
        <v>6729631</v>
      </c>
      <c r="N670" s="404">
        <v>9208336.2633698005</v>
      </c>
      <c r="O670" s="154"/>
      <c r="P670" s="154"/>
      <c r="Q670" s="154"/>
      <c r="R670" s="154"/>
      <c r="S670" s="154"/>
      <c r="T670" s="154"/>
      <c r="U670" s="154"/>
      <c r="V670" s="154"/>
      <c r="W670" s="154"/>
      <c r="X670" s="154"/>
      <c r="Y670" s="154"/>
      <c r="Z670" s="154"/>
    </row>
    <row r="671" spans="2:26" ht="27" hidden="1" outlineLevel="1">
      <c r="B671" s="165" t="s">
        <v>2334</v>
      </c>
      <c r="C671" s="165" t="s">
        <v>3588</v>
      </c>
      <c r="D671" s="165" t="s">
        <v>3594</v>
      </c>
      <c r="E671" s="404">
        <v>15937967.263369801</v>
      </c>
      <c r="F671" s="404">
        <v>15</v>
      </c>
      <c r="G671" s="405">
        <v>47695</v>
      </c>
      <c r="H671" s="404">
        <v>5479</v>
      </c>
      <c r="I671" s="404">
        <v>796898.36316849012</v>
      </c>
      <c r="J671" s="404">
        <v>15141068.900201309</v>
      </c>
      <c r="K671" s="404">
        <v>365</v>
      </c>
      <c r="L671" s="404">
        <v>1008668</v>
      </c>
      <c r="M671" s="404">
        <v>6729631</v>
      </c>
      <c r="N671" s="404">
        <v>9208336.2633698005</v>
      </c>
      <c r="O671" s="154"/>
      <c r="P671" s="154"/>
      <c r="Q671" s="154"/>
      <c r="R671" s="154"/>
      <c r="S671" s="154"/>
      <c r="T671" s="154"/>
      <c r="U671" s="154"/>
      <c r="V671" s="154"/>
      <c r="W671" s="154"/>
      <c r="X671" s="154"/>
      <c r="Y671" s="154"/>
      <c r="Z671" s="154"/>
    </row>
    <row r="672" spans="2:26" hidden="1" outlineLevel="1">
      <c r="B672" s="165"/>
      <c r="C672" s="165"/>
      <c r="D672" s="165"/>
      <c r="E672" s="404"/>
      <c r="F672" s="165"/>
      <c r="G672" s="405"/>
      <c r="H672" s="404"/>
      <c r="I672" s="404"/>
      <c r="J672" s="404"/>
      <c r="K672" s="404"/>
      <c r="L672" s="404"/>
      <c r="M672" s="404"/>
      <c r="N672" s="404"/>
      <c r="O672" s="154"/>
      <c r="P672" s="154"/>
      <c r="Q672" s="154"/>
      <c r="R672" s="154"/>
      <c r="S672" s="154"/>
      <c r="T672" s="154"/>
      <c r="U672" s="154"/>
      <c r="V672" s="154"/>
      <c r="W672" s="154"/>
      <c r="X672" s="154"/>
      <c r="Y672" s="154"/>
      <c r="Z672" s="154"/>
    </row>
    <row r="673" spans="2:26" ht="27" hidden="1" outlineLevel="1">
      <c r="B673" s="165" t="s">
        <v>2334</v>
      </c>
      <c r="C673" s="165" t="s">
        <v>3588</v>
      </c>
      <c r="D673" s="165" t="s">
        <v>3794</v>
      </c>
      <c r="E673" s="404">
        <v>71237920.602219492</v>
      </c>
      <c r="F673" s="404">
        <v>25</v>
      </c>
      <c r="G673" s="405">
        <v>51348</v>
      </c>
      <c r="H673" s="404">
        <v>9132</v>
      </c>
      <c r="I673" s="404">
        <v>3561896.0301109748</v>
      </c>
      <c r="J673" s="404">
        <v>67676024.572108522</v>
      </c>
      <c r="K673" s="404">
        <v>365</v>
      </c>
      <c r="L673" s="404">
        <v>2704966</v>
      </c>
      <c r="M673" s="404">
        <v>18046994</v>
      </c>
      <c r="N673" s="404">
        <v>53190926.602219492</v>
      </c>
      <c r="O673" s="154"/>
      <c r="P673" s="154"/>
      <c r="Q673" s="154"/>
      <c r="R673" s="154"/>
      <c r="S673" s="154"/>
      <c r="T673" s="154"/>
      <c r="U673" s="154"/>
      <c r="V673" s="154"/>
      <c r="W673" s="154"/>
      <c r="X673" s="154"/>
      <c r="Y673" s="154"/>
      <c r="Z673" s="154"/>
    </row>
    <row r="674" spans="2:26" ht="27" hidden="1" outlineLevel="1">
      <c r="B674" s="165" t="s">
        <v>2334</v>
      </c>
      <c r="C674" s="165" t="s">
        <v>3588</v>
      </c>
      <c r="D674" s="165" t="s">
        <v>3795</v>
      </c>
      <c r="E674" s="404">
        <v>71237920.602219492</v>
      </c>
      <c r="F674" s="404">
        <v>10</v>
      </c>
      <c r="G674" s="405">
        <v>45869</v>
      </c>
      <c r="H674" s="404">
        <v>3653</v>
      </c>
      <c r="I674" s="404">
        <v>3561896.0301109748</v>
      </c>
      <c r="J674" s="404">
        <v>67676024.572108522</v>
      </c>
      <c r="K674" s="404">
        <v>365</v>
      </c>
      <c r="L674" s="404">
        <v>6762045</v>
      </c>
      <c r="M674" s="404">
        <v>45115015</v>
      </c>
      <c r="N674" s="404">
        <v>26122905.602219492</v>
      </c>
      <c r="O674" s="154"/>
      <c r="P674" s="154"/>
      <c r="Q674" s="154"/>
      <c r="R674" s="154"/>
      <c r="S674" s="154"/>
      <c r="T674" s="154"/>
      <c r="U674" s="154"/>
      <c r="V674" s="154"/>
      <c r="W674" s="154"/>
      <c r="X674" s="154"/>
      <c r="Y674" s="154"/>
      <c r="Z674" s="154"/>
    </row>
    <row r="675" spans="2:26" ht="27" hidden="1" outlineLevel="1">
      <c r="B675" s="165" t="s">
        <v>2334</v>
      </c>
      <c r="C675" s="165" t="s">
        <v>3588</v>
      </c>
      <c r="D675" s="165" t="s">
        <v>3796</v>
      </c>
      <c r="E675" s="404">
        <v>213713765.05659401</v>
      </c>
      <c r="F675" s="404">
        <v>25</v>
      </c>
      <c r="G675" s="405">
        <v>51348</v>
      </c>
      <c r="H675" s="404">
        <v>9132</v>
      </c>
      <c r="I675" s="404">
        <v>10685688.252829701</v>
      </c>
      <c r="J675" s="404">
        <v>203028076.80376431</v>
      </c>
      <c r="K675" s="404">
        <v>365</v>
      </c>
      <c r="L675" s="404">
        <v>8114898</v>
      </c>
      <c r="M675" s="404">
        <v>54140981</v>
      </c>
      <c r="N675" s="404">
        <v>159572784.05659401</v>
      </c>
      <c r="O675" s="154"/>
      <c r="P675" s="154"/>
      <c r="Q675" s="154"/>
      <c r="R675" s="154"/>
      <c r="S675" s="154"/>
      <c r="T675" s="154"/>
      <c r="U675" s="154"/>
      <c r="V675" s="154"/>
      <c r="W675" s="154"/>
      <c r="X675" s="154"/>
      <c r="Y675" s="154"/>
      <c r="Z675" s="154"/>
    </row>
    <row r="676" spans="2:26" hidden="1" outlineLevel="1">
      <c r="B676" s="165"/>
      <c r="C676" s="165"/>
      <c r="D676" s="165"/>
      <c r="E676" s="404"/>
      <c r="F676" s="165"/>
      <c r="G676" s="405"/>
      <c r="H676" s="404"/>
      <c r="I676" s="404"/>
      <c r="J676" s="404"/>
      <c r="K676" s="404"/>
      <c r="L676" s="404"/>
      <c r="M676" s="404"/>
      <c r="N676" s="404"/>
      <c r="O676" s="154"/>
      <c r="P676" s="154"/>
      <c r="Q676" s="154"/>
      <c r="R676" s="154"/>
      <c r="S676" s="154"/>
      <c r="T676" s="154"/>
      <c r="U676" s="154"/>
      <c r="V676" s="154"/>
      <c r="W676" s="154"/>
      <c r="X676" s="154"/>
      <c r="Y676" s="154"/>
      <c r="Z676" s="154"/>
    </row>
    <row r="677" spans="2:26" ht="27" hidden="1" outlineLevel="1">
      <c r="B677" s="165" t="s">
        <v>2334</v>
      </c>
      <c r="C677" s="165" t="s">
        <v>3797</v>
      </c>
      <c r="D677" s="165" t="s">
        <v>3600</v>
      </c>
      <c r="E677" s="404">
        <v>45205618.083716907</v>
      </c>
      <c r="F677" s="404">
        <v>15</v>
      </c>
      <c r="G677" s="405">
        <v>47695</v>
      </c>
      <c r="H677" s="404">
        <v>5479</v>
      </c>
      <c r="I677" s="404">
        <v>2260280.9041858455</v>
      </c>
      <c r="J677" s="404">
        <v>42945337.17953106</v>
      </c>
      <c r="K677" s="404">
        <v>365</v>
      </c>
      <c r="L677" s="404">
        <v>2860932</v>
      </c>
      <c r="M677" s="404">
        <v>19087568</v>
      </c>
      <c r="N677" s="404">
        <v>26118050.083716907</v>
      </c>
      <c r="O677" s="154"/>
      <c r="P677" s="154"/>
      <c r="Q677" s="154"/>
      <c r="R677" s="154"/>
      <c r="S677" s="154"/>
      <c r="T677" s="154"/>
      <c r="U677" s="154"/>
      <c r="V677" s="154"/>
      <c r="W677" s="154"/>
      <c r="X677" s="154"/>
      <c r="Y677" s="154"/>
      <c r="Z677" s="154"/>
    </row>
    <row r="678" spans="2:26" ht="27" hidden="1" outlineLevel="1">
      <c r="B678" s="165" t="s">
        <v>2334</v>
      </c>
      <c r="C678" s="165" t="s">
        <v>3601</v>
      </c>
      <c r="D678" s="165" t="s">
        <v>3798</v>
      </c>
      <c r="E678" s="404">
        <v>19514018.777925871</v>
      </c>
      <c r="F678" s="404">
        <v>15</v>
      </c>
      <c r="G678" s="405">
        <v>47695</v>
      </c>
      <c r="H678" s="404">
        <v>5479</v>
      </c>
      <c r="I678" s="404">
        <v>975700.93889629364</v>
      </c>
      <c r="J678" s="404">
        <v>18538317.839029577</v>
      </c>
      <c r="K678" s="404">
        <v>365</v>
      </c>
      <c r="L678" s="404">
        <v>1234986</v>
      </c>
      <c r="M678" s="404">
        <v>8239579</v>
      </c>
      <c r="N678" s="404">
        <v>11274439.777925871</v>
      </c>
      <c r="O678" s="154"/>
      <c r="P678" s="154"/>
      <c r="Q678" s="154"/>
      <c r="R678" s="154"/>
      <c r="S678" s="154"/>
      <c r="T678" s="154"/>
      <c r="U678" s="154"/>
      <c r="V678" s="154"/>
      <c r="W678" s="154"/>
      <c r="X678" s="154"/>
      <c r="Y678" s="154"/>
      <c r="Z678" s="154"/>
    </row>
    <row r="679" spans="2:26" ht="27" hidden="1" outlineLevel="1">
      <c r="B679" s="165" t="s">
        <v>2334</v>
      </c>
      <c r="C679" s="165" t="s">
        <v>3601</v>
      </c>
      <c r="D679" s="165" t="s">
        <v>3603</v>
      </c>
      <c r="E679" s="404">
        <v>33521799.087483063</v>
      </c>
      <c r="F679" s="165">
        <v>15</v>
      </c>
      <c r="G679" s="405">
        <v>47695</v>
      </c>
      <c r="H679" s="404">
        <v>5479</v>
      </c>
      <c r="I679" s="404">
        <v>1676089.9543741532</v>
      </c>
      <c r="J679" s="404">
        <v>31845709.13310891</v>
      </c>
      <c r="K679" s="404">
        <v>365</v>
      </c>
      <c r="L679" s="404">
        <v>2121497</v>
      </c>
      <c r="M679" s="404">
        <v>14154206</v>
      </c>
      <c r="N679" s="404">
        <v>19367593.087483063</v>
      </c>
      <c r="O679" s="154"/>
      <c r="P679" s="154"/>
      <c r="Q679" s="154"/>
      <c r="R679" s="154"/>
      <c r="S679" s="154"/>
      <c r="T679" s="154"/>
      <c r="U679" s="154"/>
      <c r="V679" s="154"/>
      <c r="W679" s="154"/>
      <c r="X679" s="154"/>
      <c r="Y679" s="154"/>
      <c r="Z679" s="154"/>
    </row>
    <row r="680" spans="2:26" ht="27" hidden="1" outlineLevel="1">
      <c r="B680" s="165" t="s">
        <v>2334</v>
      </c>
      <c r="C680" s="165" t="s">
        <v>3604</v>
      </c>
      <c r="D680" s="165" t="s">
        <v>3605</v>
      </c>
      <c r="E680" s="404">
        <v>393352470.9604758</v>
      </c>
      <c r="F680" s="404">
        <v>30</v>
      </c>
      <c r="G680" s="405">
        <v>53174</v>
      </c>
      <c r="H680" s="404">
        <v>10958</v>
      </c>
      <c r="I680" s="404">
        <v>19667623.54802379</v>
      </c>
      <c r="J680" s="404">
        <v>373684847.41245198</v>
      </c>
      <c r="K680" s="404">
        <v>365</v>
      </c>
      <c r="L680" s="404">
        <v>12447068</v>
      </c>
      <c r="M680" s="404">
        <v>83044354</v>
      </c>
      <c r="N680" s="404">
        <v>310308116.9604758</v>
      </c>
      <c r="O680" s="154"/>
      <c r="P680" s="154"/>
      <c r="Q680" s="154"/>
      <c r="R680" s="154"/>
      <c r="S680" s="154"/>
      <c r="T680" s="154"/>
      <c r="U680" s="154"/>
      <c r="V680" s="154"/>
      <c r="W680" s="154"/>
      <c r="X680" s="154"/>
      <c r="Y680" s="154"/>
      <c r="Z680" s="154"/>
    </row>
    <row r="681" spans="2:26" hidden="1" outlineLevel="1">
      <c r="B681" s="165"/>
      <c r="C681" s="165"/>
      <c r="D681" s="165"/>
      <c r="E681" s="404"/>
      <c r="F681" s="165"/>
      <c r="G681" s="405"/>
      <c r="H681" s="404"/>
      <c r="I681" s="404"/>
      <c r="J681" s="404"/>
      <c r="K681" s="404"/>
      <c r="L681" s="404"/>
      <c r="M681" s="404"/>
      <c r="N681" s="404"/>
      <c r="O681" s="154"/>
      <c r="P681" s="154"/>
      <c r="Q681" s="154"/>
      <c r="R681" s="154"/>
      <c r="S681" s="154"/>
      <c r="T681" s="154"/>
      <c r="U681" s="154"/>
      <c r="V681" s="154"/>
      <c r="W681" s="154"/>
      <c r="X681" s="154"/>
      <c r="Y681" s="154"/>
      <c r="Z681" s="154"/>
    </row>
    <row r="682" spans="2:26" ht="27" hidden="1" outlineLevel="1">
      <c r="B682" s="165" t="s">
        <v>2334</v>
      </c>
      <c r="C682" s="165" t="s">
        <v>3604</v>
      </c>
      <c r="D682" s="165" t="s">
        <v>3606</v>
      </c>
      <c r="E682" s="404">
        <v>39210213.791754588</v>
      </c>
      <c r="F682" s="404">
        <v>10</v>
      </c>
      <c r="G682" s="405">
        <v>45869</v>
      </c>
      <c r="H682" s="404">
        <v>3653</v>
      </c>
      <c r="I682" s="404">
        <v>1960510.6895877295</v>
      </c>
      <c r="J682" s="404">
        <v>37249703.102166861</v>
      </c>
      <c r="K682" s="404">
        <v>365</v>
      </c>
      <c r="L682" s="404">
        <v>3721911</v>
      </c>
      <c r="M682" s="404">
        <v>24831848</v>
      </c>
      <c r="N682" s="404">
        <v>14378365.791754588</v>
      </c>
      <c r="O682" s="154"/>
      <c r="P682" s="154"/>
      <c r="Q682" s="154"/>
      <c r="R682" s="154"/>
      <c r="S682" s="154"/>
      <c r="T682" s="154"/>
      <c r="U682" s="154"/>
      <c r="V682" s="154"/>
      <c r="W682" s="154"/>
      <c r="X682" s="154"/>
      <c r="Y682" s="154"/>
      <c r="Z682" s="154"/>
    </row>
    <row r="683" spans="2:26" ht="27" hidden="1" outlineLevel="1">
      <c r="B683" s="165" t="s">
        <v>2334</v>
      </c>
      <c r="C683" s="165" t="s">
        <v>3604</v>
      </c>
      <c r="D683" s="165" t="s">
        <v>3607</v>
      </c>
      <c r="E683" s="404">
        <v>29407659.953690182</v>
      </c>
      <c r="F683" s="404">
        <v>25</v>
      </c>
      <c r="G683" s="405">
        <v>51348</v>
      </c>
      <c r="H683" s="404">
        <v>9132</v>
      </c>
      <c r="I683" s="404">
        <v>1470382.9976845093</v>
      </c>
      <c r="J683" s="404">
        <v>27937276.956005674</v>
      </c>
      <c r="K683" s="404">
        <v>365</v>
      </c>
      <c r="L683" s="404">
        <v>1116634</v>
      </c>
      <c r="M683" s="404">
        <v>7449960</v>
      </c>
      <c r="N683" s="404">
        <v>21957699.953690182</v>
      </c>
      <c r="O683" s="154"/>
      <c r="P683" s="154"/>
      <c r="Q683" s="154"/>
      <c r="R683" s="154"/>
      <c r="S683" s="154"/>
      <c r="T683" s="154"/>
      <c r="U683" s="154"/>
      <c r="V683" s="154"/>
      <c r="W683" s="154"/>
      <c r="X683" s="154"/>
      <c r="Y683" s="154"/>
      <c r="Z683" s="154"/>
    </row>
    <row r="684" spans="2:26" ht="27" hidden="1" outlineLevel="1">
      <c r="B684" s="165" t="s">
        <v>2334</v>
      </c>
      <c r="C684" s="165" t="s">
        <v>3604</v>
      </c>
      <c r="D684" s="165" t="s">
        <v>3608</v>
      </c>
      <c r="E684" s="404">
        <v>29407659.953690182</v>
      </c>
      <c r="F684" s="404">
        <v>20</v>
      </c>
      <c r="G684" s="405">
        <v>49521</v>
      </c>
      <c r="H684" s="404">
        <v>7305</v>
      </c>
      <c r="I684" s="404">
        <v>1470382.9976845093</v>
      </c>
      <c r="J684" s="404">
        <v>27937276.956005674</v>
      </c>
      <c r="K684" s="404">
        <v>365</v>
      </c>
      <c r="L684" s="404">
        <v>1395908</v>
      </c>
      <c r="M684" s="404">
        <v>9313219</v>
      </c>
      <c r="N684" s="404">
        <v>20094440.953690182</v>
      </c>
      <c r="O684" s="154"/>
      <c r="P684" s="154"/>
      <c r="Q684" s="154"/>
      <c r="R684" s="154"/>
      <c r="S684" s="154"/>
      <c r="T684" s="154"/>
      <c r="U684" s="154"/>
      <c r="V684" s="154"/>
      <c r="W684" s="154"/>
      <c r="X684" s="154"/>
      <c r="Y684" s="154"/>
      <c r="Z684" s="154"/>
    </row>
    <row r="685" spans="2:26" hidden="1" outlineLevel="1">
      <c r="B685" s="165"/>
      <c r="C685" s="165"/>
      <c r="D685" s="165"/>
      <c r="E685" s="404"/>
      <c r="F685" s="165"/>
      <c r="G685" s="405"/>
      <c r="H685" s="404"/>
      <c r="I685" s="404"/>
      <c r="J685" s="404"/>
      <c r="K685" s="404"/>
      <c r="L685" s="404"/>
      <c r="M685" s="404"/>
      <c r="N685" s="404"/>
      <c r="O685" s="154"/>
      <c r="P685" s="154"/>
      <c r="Q685" s="154"/>
      <c r="R685" s="154"/>
      <c r="S685" s="154"/>
      <c r="T685" s="154"/>
      <c r="U685" s="154"/>
      <c r="V685" s="154"/>
      <c r="W685" s="154"/>
      <c r="X685" s="154"/>
      <c r="Y685" s="154"/>
      <c r="Z685" s="154"/>
    </row>
    <row r="686" spans="2:26" ht="40.5" hidden="1" outlineLevel="1">
      <c r="B686" s="165" t="s">
        <v>2334</v>
      </c>
      <c r="C686" s="165" t="s">
        <v>3604</v>
      </c>
      <c r="D686" s="165" t="s">
        <v>3609</v>
      </c>
      <c r="E686" s="404">
        <v>48369097.992460415</v>
      </c>
      <c r="F686" s="165">
        <v>20</v>
      </c>
      <c r="G686" s="405">
        <v>49521</v>
      </c>
      <c r="H686" s="404">
        <v>7305</v>
      </c>
      <c r="I686" s="404">
        <v>2418454.899623021</v>
      </c>
      <c r="J686" s="404">
        <v>45950643.092837393</v>
      </c>
      <c r="K686" s="404">
        <v>365</v>
      </c>
      <c r="L686" s="404">
        <v>2295960</v>
      </c>
      <c r="M686" s="404">
        <v>15318186</v>
      </c>
      <c r="N686" s="404">
        <v>33050911.992460415</v>
      </c>
      <c r="O686" s="154"/>
      <c r="P686" s="154"/>
      <c r="Q686" s="154"/>
      <c r="R686" s="154"/>
      <c r="S686" s="154"/>
      <c r="T686" s="154"/>
      <c r="U686" s="154"/>
      <c r="V686" s="154"/>
      <c r="W686" s="154"/>
      <c r="X686" s="154"/>
      <c r="Y686" s="154"/>
      <c r="Z686" s="154"/>
    </row>
    <row r="687" spans="2:26" hidden="1" outlineLevel="1">
      <c r="B687" s="165" t="s">
        <v>2334</v>
      </c>
      <c r="C687" s="165" t="s">
        <v>3604</v>
      </c>
      <c r="D687" s="165" t="s">
        <v>3610</v>
      </c>
      <c r="E687" s="404">
        <v>10795224.407508014</v>
      </c>
      <c r="F687" s="165">
        <v>20</v>
      </c>
      <c r="G687" s="405">
        <v>49521</v>
      </c>
      <c r="H687" s="404">
        <v>7305</v>
      </c>
      <c r="I687" s="404">
        <v>539761.22037540074</v>
      </c>
      <c r="J687" s="404">
        <v>10255463.187132614</v>
      </c>
      <c r="K687" s="404">
        <v>365</v>
      </c>
      <c r="L687" s="404">
        <v>512422</v>
      </c>
      <c r="M687" s="404">
        <v>3418778</v>
      </c>
      <c r="N687" s="404">
        <v>7376446.4075080138</v>
      </c>
      <c r="O687" s="154"/>
      <c r="P687" s="154"/>
      <c r="Q687" s="154"/>
      <c r="R687" s="154"/>
      <c r="S687" s="154"/>
      <c r="T687" s="154"/>
      <c r="U687" s="154"/>
      <c r="V687" s="154"/>
      <c r="W687" s="154"/>
      <c r="X687" s="154"/>
      <c r="Y687" s="154"/>
      <c r="Z687" s="154"/>
    </row>
    <row r="688" spans="2:26" ht="27" hidden="1" outlineLevel="1">
      <c r="B688" s="165" t="s">
        <v>2334</v>
      </c>
      <c r="C688" s="165" t="s">
        <v>3604</v>
      </c>
      <c r="D688" s="165" t="s">
        <v>3799</v>
      </c>
      <c r="E688" s="404">
        <v>32425395.434606493</v>
      </c>
      <c r="F688" s="165">
        <v>30</v>
      </c>
      <c r="G688" s="405">
        <v>53174</v>
      </c>
      <c r="H688" s="404">
        <v>10958</v>
      </c>
      <c r="I688" s="404">
        <v>1621269.7717303247</v>
      </c>
      <c r="J688" s="404">
        <v>30804125.662876166</v>
      </c>
      <c r="K688" s="404">
        <v>365</v>
      </c>
      <c r="L688" s="404">
        <v>1026055</v>
      </c>
      <c r="M688" s="404">
        <v>6845634</v>
      </c>
      <c r="N688" s="404">
        <v>25579761.434606493</v>
      </c>
      <c r="O688" s="154"/>
      <c r="P688" s="154"/>
      <c r="Q688" s="154"/>
      <c r="R688" s="154"/>
      <c r="S688" s="154"/>
      <c r="T688" s="154"/>
      <c r="U688" s="154"/>
      <c r="V688" s="154"/>
      <c r="W688" s="154"/>
      <c r="X688" s="154"/>
      <c r="Y688" s="154"/>
      <c r="Z688" s="154"/>
    </row>
    <row r="689" spans="2:26" ht="40.5" hidden="1" outlineLevel="1">
      <c r="B689" s="165" t="s">
        <v>2334</v>
      </c>
      <c r="C689" s="165" t="s">
        <v>3604</v>
      </c>
      <c r="D689" s="165" t="s">
        <v>3800</v>
      </c>
      <c r="E689" s="404">
        <v>114662911.93256348</v>
      </c>
      <c r="F689" s="165">
        <v>5</v>
      </c>
      <c r="G689" s="405">
        <v>44043</v>
      </c>
      <c r="H689" s="404">
        <v>1827</v>
      </c>
      <c r="I689" s="404">
        <v>5733145.5966281742</v>
      </c>
      <c r="J689" s="404">
        <v>108929766.33593531</v>
      </c>
      <c r="K689" s="404">
        <v>0</v>
      </c>
      <c r="L689" s="404">
        <v>0</v>
      </c>
      <c r="M689" s="404">
        <v>114662912</v>
      </c>
      <c r="N689" s="403">
        <v>-6.7436516284942627E-2</v>
      </c>
      <c r="O689" s="154"/>
      <c r="P689" s="154"/>
      <c r="Q689" s="154"/>
      <c r="R689" s="154"/>
      <c r="S689" s="154"/>
      <c r="T689" s="154"/>
      <c r="U689" s="154"/>
      <c r="V689" s="154"/>
      <c r="W689" s="154"/>
      <c r="X689" s="154"/>
      <c r="Y689" s="154"/>
      <c r="Z689" s="154"/>
    </row>
    <row r="690" spans="2:26" ht="27" hidden="1" outlineLevel="1">
      <c r="B690" s="165" t="s">
        <v>2334</v>
      </c>
      <c r="C690" s="165" t="s">
        <v>3604</v>
      </c>
      <c r="D690" s="165" t="s">
        <v>3801</v>
      </c>
      <c r="E690" s="404">
        <v>3292526.1018785811</v>
      </c>
      <c r="F690" s="165">
        <v>25</v>
      </c>
      <c r="G690" s="405">
        <v>51348</v>
      </c>
      <c r="H690" s="404">
        <v>9132</v>
      </c>
      <c r="I690" s="404">
        <v>164626.30509392906</v>
      </c>
      <c r="J690" s="404">
        <v>3127899.7967846519</v>
      </c>
      <c r="K690" s="404">
        <v>365</v>
      </c>
      <c r="L690" s="404">
        <v>125020</v>
      </c>
      <c r="M690" s="404">
        <v>834109</v>
      </c>
      <c r="N690" s="404">
        <v>2458417.1018785811</v>
      </c>
      <c r="O690" s="154"/>
      <c r="P690" s="154"/>
      <c r="Q690" s="154"/>
      <c r="R690" s="154"/>
      <c r="S690" s="154"/>
      <c r="T690" s="154"/>
      <c r="U690" s="154"/>
      <c r="V690" s="154"/>
      <c r="W690" s="154"/>
      <c r="X690" s="154"/>
      <c r="Y690" s="154"/>
      <c r="Z690" s="154"/>
    </row>
    <row r="691" spans="2:26" ht="27" hidden="1" outlineLevel="1">
      <c r="B691" s="165" t="s">
        <v>2334</v>
      </c>
      <c r="C691" s="165" t="s">
        <v>3604</v>
      </c>
      <c r="D691" s="165" t="s">
        <v>3802</v>
      </c>
      <c r="E691" s="404">
        <v>959148527.98915505</v>
      </c>
      <c r="F691" s="165">
        <v>25</v>
      </c>
      <c r="G691" s="405">
        <v>51348</v>
      </c>
      <c r="H691" s="404">
        <v>9132</v>
      </c>
      <c r="I691" s="404">
        <v>47957426.399457753</v>
      </c>
      <c r="J691" s="404">
        <v>911191101.58969736</v>
      </c>
      <c r="K691" s="404">
        <v>365</v>
      </c>
      <c r="L691" s="404">
        <v>36419706</v>
      </c>
      <c r="M691" s="404">
        <v>242985012</v>
      </c>
      <c r="N691" s="404">
        <v>716163515.98915505</v>
      </c>
      <c r="O691" s="154"/>
      <c r="P691" s="154"/>
      <c r="Q691" s="154"/>
      <c r="R691" s="154"/>
      <c r="S691" s="154"/>
      <c r="T691" s="154"/>
      <c r="U691" s="154"/>
      <c r="V691" s="154"/>
      <c r="W691" s="154"/>
      <c r="X691" s="154"/>
      <c r="Y691" s="154"/>
      <c r="Z691" s="154"/>
    </row>
    <row r="692" spans="2:26" hidden="1" outlineLevel="1">
      <c r="B692" s="165"/>
      <c r="C692" s="165"/>
      <c r="D692" s="165"/>
      <c r="E692" s="404"/>
      <c r="F692" s="165"/>
      <c r="G692" s="405"/>
      <c r="H692" s="404"/>
      <c r="I692" s="404"/>
      <c r="J692" s="404"/>
      <c r="K692" s="404"/>
      <c r="L692" s="404"/>
      <c r="M692" s="404"/>
      <c r="N692" s="404"/>
      <c r="O692" s="157"/>
      <c r="P692" s="157"/>
      <c r="Q692" s="157"/>
      <c r="R692" s="157"/>
      <c r="S692" s="157"/>
      <c r="T692" s="157"/>
      <c r="U692" s="157"/>
      <c r="V692" s="157"/>
      <c r="W692" s="157"/>
      <c r="X692" s="157"/>
      <c r="Y692" s="157"/>
      <c r="Z692" s="157"/>
    </row>
    <row r="693" spans="2:26" ht="14.25" hidden="1">
      <c r="B693" s="411" t="s">
        <v>1837</v>
      </c>
      <c r="C693" s="165"/>
      <c r="D693" s="165"/>
      <c r="E693" s="413">
        <f>SUBTOTAL(9,E661:E692)</f>
        <v>2723198119.3211927</v>
      </c>
      <c r="F693" s="165"/>
      <c r="G693" s="165"/>
      <c r="H693" s="413"/>
      <c r="I693" s="413"/>
      <c r="J693" s="413"/>
      <c r="K693" s="165"/>
      <c r="L693" s="413">
        <f t="shared" ref="L693:N693" si="10">SUBTOTAL(9,L661:L692)</f>
        <v>99114312</v>
      </c>
      <c r="M693" s="413">
        <f t="shared" si="10"/>
        <v>1006661611</v>
      </c>
      <c r="N693" s="413">
        <f t="shared" si="10"/>
        <v>1716536508.3211923</v>
      </c>
    </row>
    <row r="694" spans="2:26" ht="28.5" hidden="1">
      <c r="B694" s="411" t="s">
        <v>3803</v>
      </c>
      <c r="C694" s="165"/>
      <c r="D694" s="165"/>
      <c r="E694" s="413"/>
      <c r="F694" s="165"/>
      <c r="G694" s="165"/>
      <c r="H694" s="165"/>
      <c r="I694" s="165"/>
      <c r="J694" s="413"/>
      <c r="K694" s="165"/>
      <c r="L694" s="413"/>
      <c r="M694" s="413"/>
      <c r="N694" s="413"/>
    </row>
    <row r="695" spans="2:26" ht="27" hidden="1">
      <c r="B695" s="165" t="s">
        <v>2950</v>
      </c>
      <c r="C695" s="165"/>
      <c r="D695" s="165"/>
      <c r="E695" s="404">
        <v>105512522</v>
      </c>
      <c r="F695" s="165">
        <v>25</v>
      </c>
      <c r="G695" s="405">
        <v>51348</v>
      </c>
      <c r="H695" s="404">
        <v>9132</v>
      </c>
      <c r="I695" s="404">
        <v>5275626.1000000006</v>
      </c>
      <c r="J695" s="404">
        <v>100236895.90000001</v>
      </c>
      <c r="K695" s="404">
        <v>365</v>
      </c>
      <c r="L695" s="403">
        <v>4006402</v>
      </c>
      <c r="M695" s="403">
        <v>26727642</v>
      </c>
      <c r="N695" s="403">
        <v>78784880</v>
      </c>
      <c r="O695" s="154"/>
      <c r="P695" s="154"/>
      <c r="Q695" s="154"/>
      <c r="R695" s="154"/>
      <c r="S695" s="154"/>
      <c r="T695" s="154"/>
      <c r="U695" s="154"/>
      <c r="V695" s="154"/>
      <c r="W695" s="154"/>
      <c r="X695" s="154"/>
      <c r="Y695" s="154"/>
      <c r="Z695" s="154"/>
    </row>
    <row r="696" spans="2:26" ht="27" hidden="1">
      <c r="B696" s="165" t="s">
        <v>2984</v>
      </c>
      <c r="C696" s="165"/>
      <c r="D696" s="165"/>
      <c r="E696" s="404">
        <v>230306552</v>
      </c>
      <c r="F696" s="165">
        <v>25</v>
      </c>
      <c r="G696" s="405">
        <v>51348</v>
      </c>
      <c r="H696" s="404">
        <v>9132</v>
      </c>
      <c r="I696" s="404">
        <v>11515327.600000001</v>
      </c>
      <c r="J696" s="404">
        <v>218791224.40000001</v>
      </c>
      <c r="K696" s="404">
        <v>365</v>
      </c>
      <c r="L696" s="403">
        <v>8744941</v>
      </c>
      <c r="M696" s="403">
        <v>58339537</v>
      </c>
      <c r="N696" s="403">
        <v>171967015</v>
      </c>
      <c r="O696" s="154"/>
      <c r="P696" s="154"/>
      <c r="Q696" s="154"/>
      <c r="R696" s="154"/>
      <c r="S696" s="154"/>
      <c r="T696" s="154"/>
      <c r="U696" s="154"/>
      <c r="V696" s="154"/>
      <c r="W696" s="154"/>
      <c r="X696" s="154"/>
      <c r="Y696" s="154"/>
      <c r="Z696" s="154"/>
    </row>
    <row r="697" spans="2:26" ht="27" hidden="1">
      <c r="B697" s="165" t="s">
        <v>3003</v>
      </c>
      <c r="C697" s="165"/>
      <c r="D697" s="165"/>
      <c r="E697" s="403">
        <v>-134714326.5</v>
      </c>
      <c r="F697" s="165">
        <v>25</v>
      </c>
      <c r="G697" s="405">
        <v>51348</v>
      </c>
      <c r="H697" s="404">
        <v>9132</v>
      </c>
      <c r="I697" s="403">
        <v>-6735716.3250000002</v>
      </c>
      <c r="J697" s="403">
        <v>-127978610.175</v>
      </c>
      <c r="K697" s="404">
        <v>365</v>
      </c>
      <c r="L697" s="403">
        <v>-5115220</v>
      </c>
      <c r="M697" s="403">
        <v>-34124825</v>
      </c>
      <c r="N697" s="403">
        <v>-100589501.5</v>
      </c>
      <c r="O697" s="154"/>
      <c r="P697" s="154"/>
      <c r="Q697" s="154"/>
      <c r="R697" s="154"/>
      <c r="S697" s="154"/>
      <c r="T697" s="154"/>
      <c r="U697" s="154"/>
      <c r="V697" s="154"/>
      <c r="W697" s="154"/>
      <c r="X697" s="154"/>
      <c r="Y697" s="154"/>
      <c r="Z697" s="154"/>
    </row>
    <row r="698" spans="2:26" ht="27" hidden="1">
      <c r="B698" s="165" t="s">
        <v>3885</v>
      </c>
      <c r="C698" s="165"/>
      <c r="D698" s="165"/>
      <c r="E698" s="403">
        <v>-1664758</v>
      </c>
      <c r="F698" s="165">
        <v>25</v>
      </c>
      <c r="G698" s="405">
        <v>51348</v>
      </c>
      <c r="H698" s="404">
        <v>9132</v>
      </c>
      <c r="I698" s="403">
        <v>-83237.900000000009</v>
      </c>
      <c r="J698" s="403">
        <v>-1581520.1</v>
      </c>
      <c r="K698" s="404">
        <v>365</v>
      </c>
      <c r="L698" s="403">
        <v>-63212</v>
      </c>
      <c r="M698" s="403">
        <v>-379445</v>
      </c>
      <c r="N698" s="403">
        <v>-1285313</v>
      </c>
      <c r="O698" s="154"/>
      <c r="P698" s="154"/>
      <c r="Q698" s="154"/>
      <c r="R698" s="154"/>
      <c r="S698" s="154"/>
      <c r="T698" s="154"/>
      <c r="U698" s="154"/>
      <c r="V698" s="154"/>
      <c r="W698" s="154"/>
      <c r="X698" s="154"/>
      <c r="Y698" s="154"/>
      <c r="Z698" s="154"/>
    </row>
    <row r="699" spans="2:26" ht="27" hidden="1">
      <c r="B699" s="165" t="s">
        <v>2984</v>
      </c>
      <c r="C699" s="165" t="s">
        <v>3884</v>
      </c>
      <c r="D699" s="165"/>
      <c r="E699" s="403">
        <v>14961053</v>
      </c>
      <c r="F699" s="165">
        <v>25</v>
      </c>
      <c r="G699" s="405">
        <v>51348</v>
      </c>
      <c r="H699" s="404">
        <v>9132</v>
      </c>
      <c r="I699" s="403">
        <v>748052.65</v>
      </c>
      <c r="J699" s="403">
        <v>14213000.35</v>
      </c>
      <c r="K699" s="404">
        <v>365</v>
      </c>
      <c r="L699" s="403">
        <v>568084</v>
      </c>
      <c r="M699" s="403">
        <v>3789821</v>
      </c>
      <c r="N699" s="403">
        <v>11171232</v>
      </c>
      <c r="O699" s="154"/>
      <c r="P699" s="154"/>
      <c r="Q699" s="154"/>
      <c r="R699" s="154"/>
      <c r="S699" s="154"/>
      <c r="T699" s="154"/>
      <c r="U699" s="154"/>
      <c r="V699" s="154"/>
      <c r="W699" s="154"/>
      <c r="X699" s="154"/>
      <c r="Y699" s="154"/>
      <c r="Z699" s="154"/>
    </row>
    <row r="700" spans="2:26" ht="27" hidden="1">
      <c r="B700" s="165" t="s">
        <v>3003</v>
      </c>
      <c r="C700" s="165" t="s">
        <v>3884</v>
      </c>
      <c r="D700" s="165"/>
      <c r="E700" s="403">
        <v>-462553</v>
      </c>
      <c r="F700" s="165">
        <v>25</v>
      </c>
      <c r="G700" s="405">
        <v>51348</v>
      </c>
      <c r="H700" s="404">
        <v>9132</v>
      </c>
      <c r="I700" s="403">
        <v>-23127.65</v>
      </c>
      <c r="J700" s="403">
        <v>-439425.35</v>
      </c>
      <c r="K700" s="404">
        <v>365</v>
      </c>
      <c r="L700" s="403">
        <v>-17564</v>
      </c>
      <c r="M700" s="403">
        <v>-117173</v>
      </c>
      <c r="N700" s="403">
        <v>-345380</v>
      </c>
      <c r="O700" s="154"/>
      <c r="P700" s="154"/>
      <c r="Q700" s="154"/>
      <c r="R700" s="154"/>
      <c r="S700" s="154"/>
      <c r="T700" s="154"/>
      <c r="U700" s="154"/>
      <c r="V700" s="154"/>
      <c r="W700" s="154"/>
      <c r="X700" s="154"/>
      <c r="Y700" s="154"/>
      <c r="Z700" s="154"/>
    </row>
    <row r="701" spans="2:26" ht="27" hidden="1">
      <c r="B701" s="165" t="s">
        <v>3885</v>
      </c>
      <c r="C701" s="165" t="s">
        <v>3884</v>
      </c>
      <c r="D701" s="165"/>
      <c r="E701" s="403">
        <v>924047</v>
      </c>
      <c r="F701" s="165">
        <v>25</v>
      </c>
      <c r="G701" s="405">
        <v>51348</v>
      </c>
      <c r="H701" s="404">
        <v>9132</v>
      </c>
      <c r="I701" s="403">
        <v>46202.350000000006</v>
      </c>
      <c r="J701" s="403">
        <v>877844.65</v>
      </c>
      <c r="K701" s="404">
        <v>365</v>
      </c>
      <c r="L701" s="403">
        <v>35087</v>
      </c>
      <c r="M701" s="403">
        <v>210618</v>
      </c>
      <c r="N701" s="403">
        <v>713429</v>
      </c>
      <c r="O701" s="154"/>
      <c r="P701" s="154"/>
      <c r="Q701" s="154"/>
      <c r="R701" s="154"/>
      <c r="S701" s="154"/>
      <c r="T701" s="154"/>
      <c r="U701" s="154"/>
      <c r="V701" s="154"/>
      <c r="W701" s="154"/>
      <c r="X701" s="154"/>
      <c r="Y701" s="154"/>
      <c r="Z701" s="154"/>
    </row>
    <row r="702" spans="2:26" ht="27" hidden="1">
      <c r="B702" s="165" t="s">
        <v>3899</v>
      </c>
      <c r="C702" s="165"/>
      <c r="D702" s="165"/>
      <c r="E702" s="403">
        <v>60611756</v>
      </c>
      <c r="F702" s="165">
        <v>25</v>
      </c>
      <c r="G702" s="405">
        <v>51348</v>
      </c>
      <c r="H702" s="404">
        <v>9132</v>
      </c>
      <c r="I702" s="403">
        <v>3030587.8000000003</v>
      </c>
      <c r="J702" s="403">
        <v>57581168.200000003</v>
      </c>
      <c r="K702" s="404">
        <v>365</v>
      </c>
      <c r="L702" s="403">
        <v>2301481</v>
      </c>
      <c r="M702" s="403">
        <v>13241398</v>
      </c>
      <c r="N702" s="403">
        <v>47370358</v>
      </c>
      <c r="O702" s="154"/>
      <c r="P702" s="154"/>
      <c r="Q702" s="154"/>
      <c r="R702" s="154"/>
      <c r="S702" s="154"/>
      <c r="T702" s="154"/>
      <c r="U702" s="154"/>
      <c r="V702" s="154"/>
      <c r="W702" s="154"/>
      <c r="X702" s="154"/>
      <c r="Y702" s="154"/>
      <c r="Z702" s="154"/>
    </row>
    <row r="703" spans="2:26" ht="27" hidden="1">
      <c r="B703" s="165" t="s">
        <v>3915</v>
      </c>
      <c r="C703" s="165"/>
      <c r="D703" s="165"/>
      <c r="E703" s="403">
        <v>-33990635</v>
      </c>
      <c r="F703" s="165">
        <v>25</v>
      </c>
      <c r="G703" s="405">
        <v>51348</v>
      </c>
      <c r="H703" s="404">
        <v>9132</v>
      </c>
      <c r="I703" s="403">
        <v>-1699531.75</v>
      </c>
      <c r="J703" s="403">
        <v>-32291103.25</v>
      </c>
      <c r="K703" s="404">
        <v>365</v>
      </c>
      <c r="L703" s="403">
        <v>-1290654</v>
      </c>
      <c r="M703" s="403">
        <v>-7100365</v>
      </c>
      <c r="N703" s="403">
        <v>-26890270</v>
      </c>
      <c r="O703" s="154"/>
      <c r="P703" s="154"/>
      <c r="Q703" s="154"/>
      <c r="R703" s="154"/>
      <c r="S703" s="154"/>
      <c r="T703" s="154"/>
      <c r="U703" s="154"/>
      <c r="V703" s="154"/>
      <c r="W703" s="154"/>
      <c r="X703" s="154"/>
      <c r="Y703" s="154"/>
      <c r="Z703" s="154"/>
    </row>
    <row r="704" spans="2:26" ht="27" hidden="1">
      <c r="B704" s="165" t="s">
        <v>3918</v>
      </c>
      <c r="C704" s="165"/>
      <c r="D704" s="165"/>
      <c r="E704" s="403">
        <v>51635133</v>
      </c>
      <c r="F704" s="165">
        <v>25</v>
      </c>
      <c r="G704" s="405">
        <v>51348</v>
      </c>
      <c r="H704" s="404">
        <v>9132</v>
      </c>
      <c r="I704" s="403">
        <v>2581756.6500000004</v>
      </c>
      <c r="J704" s="403">
        <v>49053376.350000001</v>
      </c>
      <c r="K704" s="404">
        <v>365</v>
      </c>
      <c r="L704" s="403">
        <v>1960631</v>
      </c>
      <c r="M704" s="403">
        <v>10291970</v>
      </c>
      <c r="N704" s="403">
        <v>41343163</v>
      </c>
      <c r="O704" s="154"/>
      <c r="P704" s="154"/>
      <c r="Q704" s="154"/>
      <c r="R704" s="154"/>
      <c r="S704" s="154"/>
      <c r="T704" s="154"/>
      <c r="U704" s="154"/>
      <c r="V704" s="154"/>
      <c r="W704" s="154"/>
      <c r="X704" s="154"/>
      <c r="Y704" s="154"/>
      <c r="Z704" s="154"/>
    </row>
    <row r="705" spans="2:26" ht="27" hidden="1">
      <c r="B705" s="165" t="s">
        <v>4046</v>
      </c>
      <c r="C705" s="165"/>
      <c r="D705" s="165"/>
      <c r="E705" s="403">
        <v>-111536537</v>
      </c>
      <c r="F705" s="165">
        <v>25</v>
      </c>
      <c r="G705" s="405">
        <v>51348</v>
      </c>
      <c r="H705" s="404">
        <v>9132</v>
      </c>
      <c r="I705" s="403">
        <v>-5576826.8500000006</v>
      </c>
      <c r="J705" s="403">
        <v>-105959710.15000001</v>
      </c>
      <c r="K705" s="404">
        <v>365</v>
      </c>
      <c r="L705" s="403">
        <v>-4235140</v>
      </c>
      <c r="M705" s="403">
        <v>-21187303</v>
      </c>
      <c r="N705" s="403">
        <v>-90349234</v>
      </c>
      <c r="O705" s="154"/>
      <c r="P705" s="154"/>
      <c r="Q705" s="154"/>
      <c r="R705" s="154"/>
      <c r="S705" s="154"/>
      <c r="T705" s="154"/>
      <c r="U705" s="154"/>
      <c r="V705" s="154"/>
      <c r="W705" s="154"/>
      <c r="X705" s="154"/>
      <c r="Y705" s="154"/>
      <c r="Z705" s="154"/>
    </row>
    <row r="706" spans="2:26" ht="27" hidden="1">
      <c r="B706" s="165" t="s">
        <v>4071</v>
      </c>
      <c r="C706" s="165"/>
      <c r="D706" s="165"/>
      <c r="E706" s="403">
        <v>-2048297</v>
      </c>
      <c r="F706" s="165">
        <v>25</v>
      </c>
      <c r="G706" s="405">
        <v>51348</v>
      </c>
      <c r="H706" s="404">
        <v>9132</v>
      </c>
      <c r="I706" s="403">
        <v>-102414.85</v>
      </c>
      <c r="J706" s="403">
        <v>-1945882.15</v>
      </c>
      <c r="K706" s="404">
        <v>365</v>
      </c>
      <c r="L706" s="403">
        <v>-77776</v>
      </c>
      <c r="M706" s="403">
        <v>-372806</v>
      </c>
      <c r="N706" s="403">
        <v>-1675491</v>
      </c>
      <c r="O706" s="154"/>
      <c r="P706" s="154"/>
      <c r="Q706" s="154"/>
      <c r="R706" s="154"/>
      <c r="S706" s="154"/>
      <c r="T706" s="154"/>
      <c r="U706" s="154"/>
      <c r="V706" s="154"/>
      <c r="W706" s="154"/>
      <c r="X706" s="154"/>
      <c r="Y706" s="154"/>
      <c r="Z706" s="154"/>
    </row>
    <row r="707" spans="2:26" ht="27" hidden="1">
      <c r="B707" s="165" t="s">
        <v>4078</v>
      </c>
      <c r="C707" s="165"/>
      <c r="D707" s="165"/>
      <c r="E707" s="403">
        <v>16018857</v>
      </c>
      <c r="F707" s="165">
        <v>25</v>
      </c>
      <c r="G707" s="405">
        <v>51348</v>
      </c>
      <c r="H707" s="404">
        <v>9132</v>
      </c>
      <c r="I707" s="403">
        <v>800942.85000000009</v>
      </c>
      <c r="J707" s="403">
        <v>15217914.15</v>
      </c>
      <c r="K707" s="404">
        <v>365</v>
      </c>
      <c r="L707" s="403">
        <v>608250</v>
      </c>
      <c r="M707" s="403">
        <v>2754156</v>
      </c>
      <c r="N707" s="403">
        <v>13264701</v>
      </c>
      <c r="O707" s="154"/>
      <c r="P707" s="154"/>
      <c r="Q707" s="154"/>
      <c r="R707" s="154"/>
      <c r="S707" s="154"/>
      <c r="T707" s="154"/>
      <c r="U707" s="154"/>
      <c r="V707" s="154"/>
      <c r="W707" s="154"/>
      <c r="X707" s="154"/>
      <c r="Y707" s="154"/>
      <c r="Z707" s="154"/>
    </row>
    <row r="708" spans="2:26" ht="27" hidden="1">
      <c r="B708" s="165" t="s">
        <v>4256</v>
      </c>
      <c r="C708" s="165"/>
      <c r="D708" s="165"/>
      <c r="E708" s="403">
        <v>-45507154</v>
      </c>
      <c r="F708" s="165">
        <v>25</v>
      </c>
      <c r="G708" s="405">
        <v>51348</v>
      </c>
      <c r="H708" s="404">
        <v>9132</v>
      </c>
      <c r="I708" s="403">
        <v>-2275357.7000000002</v>
      </c>
      <c r="J708" s="403">
        <v>-43231796.299999997</v>
      </c>
      <c r="K708" s="404">
        <v>365</v>
      </c>
      <c r="L708" s="403">
        <v>-1727946</v>
      </c>
      <c r="M708" s="403">
        <v>-7365631</v>
      </c>
      <c r="N708" s="403">
        <v>-38141523</v>
      </c>
      <c r="O708" s="154"/>
      <c r="P708" s="154"/>
      <c r="Q708" s="154"/>
      <c r="R708" s="154"/>
      <c r="S708" s="154"/>
      <c r="T708" s="154"/>
      <c r="U708" s="154"/>
      <c r="V708" s="154"/>
      <c r="W708" s="154"/>
      <c r="X708" s="154"/>
      <c r="Y708" s="154"/>
      <c r="Z708" s="154"/>
    </row>
    <row r="709" spans="2:26" ht="27" hidden="1">
      <c r="B709" s="165" t="s">
        <v>4276</v>
      </c>
      <c r="C709" s="419"/>
      <c r="D709" s="419"/>
      <c r="E709" s="421">
        <v>39949603</v>
      </c>
      <c r="F709" s="165">
        <v>25</v>
      </c>
      <c r="G709" s="405">
        <v>51348</v>
      </c>
      <c r="H709" s="404">
        <v>9132</v>
      </c>
      <c r="I709" s="403">
        <v>1997480.1500000001</v>
      </c>
      <c r="J709" s="403">
        <v>37952122.850000001</v>
      </c>
      <c r="K709" s="404">
        <v>365</v>
      </c>
      <c r="L709" s="403">
        <v>1516921</v>
      </c>
      <c r="M709" s="403">
        <v>6072339</v>
      </c>
      <c r="N709" s="403">
        <v>33877264</v>
      </c>
      <c r="O709" s="154"/>
      <c r="P709" s="154"/>
      <c r="Q709" s="154"/>
      <c r="R709" s="154"/>
      <c r="S709" s="154"/>
      <c r="T709" s="154"/>
      <c r="U709" s="154"/>
      <c r="V709" s="154"/>
      <c r="W709" s="154"/>
      <c r="X709" s="154"/>
      <c r="Y709" s="154"/>
      <c r="Z709" s="154"/>
    </row>
    <row r="710" spans="2:26" ht="27" hidden="1">
      <c r="B710" s="165" t="s">
        <v>4284</v>
      </c>
      <c r="C710" s="419"/>
      <c r="D710" s="419"/>
      <c r="E710" s="421">
        <v>0</v>
      </c>
      <c r="F710" s="165">
        <v>25</v>
      </c>
      <c r="G710" s="405">
        <v>51348</v>
      </c>
      <c r="H710" s="404">
        <v>9132</v>
      </c>
      <c r="I710" s="403">
        <v>0</v>
      </c>
      <c r="J710" s="403">
        <v>0</v>
      </c>
      <c r="K710" s="404">
        <v>365</v>
      </c>
      <c r="L710" s="403">
        <v>0</v>
      </c>
      <c r="M710" s="403">
        <v>0</v>
      </c>
      <c r="N710" s="403">
        <v>0</v>
      </c>
      <c r="O710" s="154"/>
      <c r="P710" s="154"/>
      <c r="Q710" s="154"/>
      <c r="R710" s="154"/>
      <c r="S710" s="154"/>
      <c r="T710" s="154"/>
      <c r="U710" s="154"/>
      <c r="V710" s="154"/>
      <c r="W710" s="154"/>
      <c r="X710" s="154"/>
      <c r="Y710" s="154"/>
      <c r="Z710" s="154"/>
    </row>
    <row r="711" spans="2:26" ht="27" hidden="1">
      <c r="B711" s="165" t="s">
        <v>4305</v>
      </c>
      <c r="C711" s="419"/>
      <c r="D711" s="419"/>
      <c r="E711" s="421">
        <v>816</v>
      </c>
      <c r="F711" s="165">
        <v>25</v>
      </c>
      <c r="G711" s="405">
        <v>51348</v>
      </c>
      <c r="H711" s="404">
        <v>9132</v>
      </c>
      <c r="I711" s="403">
        <v>40.800000000000004</v>
      </c>
      <c r="J711" s="403">
        <v>775.2</v>
      </c>
      <c r="K711" s="404">
        <v>365</v>
      </c>
      <c r="L711" s="403">
        <v>31</v>
      </c>
      <c r="M711" s="403">
        <v>108</v>
      </c>
      <c r="N711" s="403">
        <v>708</v>
      </c>
      <c r="O711" s="154"/>
      <c r="P711" s="154"/>
      <c r="Q711" s="154"/>
      <c r="R711" s="154"/>
      <c r="S711" s="154"/>
      <c r="T711" s="154"/>
      <c r="U711" s="154"/>
      <c r="V711" s="154"/>
      <c r="W711" s="154"/>
      <c r="X711" s="154"/>
      <c r="Y711" s="154"/>
      <c r="Z711" s="154"/>
    </row>
    <row r="712" spans="2:26" ht="27" hidden="1">
      <c r="B712" s="165" t="s">
        <v>4331</v>
      </c>
      <c r="C712" s="419"/>
      <c r="D712" s="419"/>
      <c r="E712" s="421">
        <v>65483103</v>
      </c>
      <c r="F712" s="165">
        <v>25</v>
      </c>
      <c r="G712" s="405">
        <v>51348</v>
      </c>
      <c r="H712" s="404">
        <v>9132</v>
      </c>
      <c r="I712" s="403">
        <v>3274155.1500000004</v>
      </c>
      <c r="J712" s="403">
        <v>62208947.850000001</v>
      </c>
      <c r="K712" s="404">
        <v>365</v>
      </c>
      <c r="L712" s="403">
        <v>2486450</v>
      </c>
      <c r="M712" s="403">
        <v>7466163</v>
      </c>
      <c r="N712" s="403">
        <v>58016940</v>
      </c>
      <c r="O712" s="154"/>
      <c r="P712" s="154"/>
      <c r="Q712" s="154"/>
      <c r="R712" s="154"/>
      <c r="S712" s="154"/>
      <c r="T712" s="154"/>
      <c r="U712" s="154"/>
      <c r="V712" s="154"/>
      <c r="W712" s="154"/>
      <c r="X712" s="154"/>
      <c r="Y712" s="154"/>
      <c r="Z712" s="154"/>
    </row>
    <row r="713" spans="2:26" ht="27" hidden="1">
      <c r="B713" s="165" t="s">
        <v>4414</v>
      </c>
      <c r="C713" s="422"/>
      <c r="D713" s="422"/>
      <c r="E713" s="424">
        <v>77266566</v>
      </c>
      <c r="F713" s="165">
        <v>25</v>
      </c>
      <c r="G713" s="405">
        <v>51348</v>
      </c>
      <c r="H713" s="404">
        <v>9132</v>
      </c>
      <c r="I713" s="403">
        <v>3863328.3000000003</v>
      </c>
      <c r="J713" s="403">
        <v>73403237.700000003</v>
      </c>
      <c r="K713" s="404">
        <v>365</v>
      </c>
      <c r="L713" s="403">
        <v>2933879</v>
      </c>
      <c r="M713" s="403">
        <v>5868079</v>
      </c>
      <c r="N713" s="403">
        <v>71398487</v>
      </c>
      <c r="O713" s="154"/>
      <c r="P713" s="154"/>
      <c r="Q713" s="154"/>
      <c r="R713" s="154"/>
      <c r="S713" s="154"/>
      <c r="T713" s="154"/>
      <c r="U713" s="154"/>
      <c r="V713" s="154"/>
      <c r="W713" s="154"/>
      <c r="X713" s="154"/>
      <c r="Y713" s="154"/>
      <c r="Z713" s="154"/>
    </row>
    <row r="714" spans="2:26" ht="27" hidden="1">
      <c r="B714" s="165" t="s">
        <v>4416</v>
      </c>
      <c r="C714" s="422"/>
      <c r="D714" s="422"/>
      <c r="E714" s="424">
        <v>6956961</v>
      </c>
      <c r="F714" s="165">
        <v>25</v>
      </c>
      <c r="G714" s="405">
        <v>51348</v>
      </c>
      <c r="H714" s="404">
        <v>9132</v>
      </c>
      <c r="I714" s="403">
        <v>347848.05000000005</v>
      </c>
      <c r="J714" s="403">
        <v>6609112.9500000002</v>
      </c>
      <c r="K714" s="404">
        <v>365</v>
      </c>
      <c r="L714" s="403">
        <v>264162</v>
      </c>
      <c r="M714" s="403">
        <v>462486</v>
      </c>
      <c r="N714" s="403">
        <v>6494475</v>
      </c>
      <c r="O714" s="154"/>
      <c r="P714" s="154"/>
      <c r="Q714" s="154"/>
      <c r="R714" s="154"/>
      <c r="S714" s="154"/>
      <c r="T714" s="154"/>
      <c r="U714" s="154"/>
      <c r="V714" s="154"/>
      <c r="W714" s="154"/>
      <c r="X714" s="154"/>
      <c r="Y714" s="154"/>
      <c r="Z714" s="154"/>
    </row>
    <row r="715" spans="2:26" ht="27" hidden="1">
      <c r="B715" s="165" t="s">
        <v>4460</v>
      </c>
      <c r="C715" s="422"/>
      <c r="D715" s="422"/>
      <c r="E715" s="424">
        <v>-24108890</v>
      </c>
      <c r="F715" s="165">
        <v>25</v>
      </c>
      <c r="G715" s="405">
        <v>51348</v>
      </c>
      <c r="H715" s="404">
        <v>9132</v>
      </c>
      <c r="I715" s="403">
        <v>-1205444.5</v>
      </c>
      <c r="J715" s="403">
        <v>-22903445.5</v>
      </c>
      <c r="K715" s="404">
        <v>365</v>
      </c>
      <c r="L715" s="403">
        <v>-915436</v>
      </c>
      <c r="M715" s="403">
        <v>-1371950</v>
      </c>
      <c r="N715" s="403">
        <v>-22736940</v>
      </c>
      <c r="O715" s="154"/>
      <c r="P715" s="154"/>
      <c r="Q715" s="154"/>
      <c r="R715" s="154"/>
      <c r="S715" s="154"/>
      <c r="T715" s="154"/>
      <c r="U715" s="154"/>
      <c r="V715" s="154"/>
      <c r="W715" s="154"/>
      <c r="X715" s="154"/>
      <c r="Y715" s="154"/>
      <c r="Z715" s="154"/>
    </row>
    <row r="716" spans="2:26" ht="27" hidden="1">
      <c r="B716" s="165" t="s">
        <v>4536</v>
      </c>
      <c r="C716" s="422"/>
      <c r="D716" s="422"/>
      <c r="E716" s="424">
        <v>-8943772</v>
      </c>
      <c r="F716" s="165">
        <v>25</v>
      </c>
      <c r="G716" s="405">
        <v>51348</v>
      </c>
      <c r="H716" s="404">
        <v>9132</v>
      </c>
      <c r="I716" s="403">
        <v>-447188.60000000003</v>
      </c>
      <c r="J716" s="403">
        <v>-8496583.4000000004</v>
      </c>
      <c r="K716" s="404">
        <v>365</v>
      </c>
      <c r="L716" s="403">
        <v>-339603</v>
      </c>
      <c r="M716" s="403">
        <v>-423350</v>
      </c>
      <c r="N716" s="403">
        <v>-8520422</v>
      </c>
      <c r="O716" s="154"/>
      <c r="P716" s="154"/>
      <c r="Q716" s="154"/>
      <c r="R716" s="154"/>
      <c r="S716" s="154"/>
      <c r="T716" s="154"/>
      <c r="U716" s="154"/>
      <c r="V716" s="154"/>
      <c r="W716" s="154"/>
      <c r="X716" s="154"/>
      <c r="Y716" s="154"/>
      <c r="Z716" s="154"/>
    </row>
    <row r="717" spans="2:26" ht="27" hidden="1">
      <c r="B717" s="165" t="s">
        <v>4565</v>
      </c>
      <c r="C717" s="422"/>
      <c r="D717" s="422"/>
      <c r="E717" s="424">
        <v>4060302</v>
      </c>
      <c r="F717" s="165">
        <v>25</v>
      </c>
      <c r="G717" s="405">
        <v>51348</v>
      </c>
      <c r="H717" s="404">
        <v>9132</v>
      </c>
      <c r="I717" s="403">
        <v>203015.1</v>
      </c>
      <c r="J717" s="403">
        <v>3857286.9</v>
      </c>
      <c r="K717" s="404">
        <v>365</v>
      </c>
      <c r="L717" s="403">
        <v>154173</v>
      </c>
      <c r="M717" s="403">
        <v>154173</v>
      </c>
      <c r="N717" s="403">
        <v>3906129</v>
      </c>
      <c r="O717" s="154"/>
      <c r="P717" s="154"/>
      <c r="Q717" s="154"/>
      <c r="R717" s="154"/>
      <c r="S717" s="154"/>
      <c r="T717" s="154"/>
      <c r="U717" s="154"/>
      <c r="V717" s="154"/>
      <c r="W717" s="154"/>
      <c r="X717" s="154"/>
      <c r="Y717" s="154"/>
      <c r="Z717" s="154"/>
    </row>
    <row r="718" spans="2:26" ht="27" hidden="1">
      <c r="B718" s="165" t="s">
        <v>4595</v>
      </c>
      <c r="C718" s="422"/>
      <c r="D718" s="422"/>
      <c r="E718" s="424">
        <v>14369013</v>
      </c>
      <c r="F718" s="165">
        <v>25</v>
      </c>
      <c r="G718" s="405">
        <v>51348</v>
      </c>
      <c r="H718" s="404">
        <v>9132</v>
      </c>
      <c r="I718" s="403">
        <v>718450.65</v>
      </c>
      <c r="J718" s="403">
        <v>13650562.35</v>
      </c>
      <c r="K718" s="404">
        <v>274</v>
      </c>
      <c r="L718" s="403">
        <v>409577</v>
      </c>
      <c r="M718" s="403">
        <v>409577</v>
      </c>
      <c r="N718" s="403">
        <v>13959436</v>
      </c>
      <c r="O718" s="154"/>
      <c r="P718" s="154"/>
      <c r="Q718" s="154"/>
      <c r="R718" s="154"/>
      <c r="S718" s="154"/>
      <c r="T718" s="154"/>
      <c r="U718" s="154"/>
      <c r="V718" s="154"/>
      <c r="W718" s="154"/>
      <c r="X718" s="154"/>
      <c r="Y718" s="154"/>
      <c r="Z718" s="154"/>
    </row>
    <row r="719" spans="2:26" ht="27" hidden="1">
      <c r="B719" s="165" t="s">
        <v>4620</v>
      </c>
      <c r="C719" s="422"/>
      <c r="D719" s="422"/>
      <c r="E719" s="424">
        <v>-1072945</v>
      </c>
      <c r="F719" s="165">
        <v>25</v>
      </c>
      <c r="G719" s="405">
        <v>51348</v>
      </c>
      <c r="H719" s="404">
        <v>9132</v>
      </c>
      <c r="I719" s="403">
        <v>-53647.25</v>
      </c>
      <c r="J719" s="403">
        <v>-1019297.75</v>
      </c>
      <c r="K719" s="404">
        <v>182</v>
      </c>
      <c r="L719" s="403">
        <v>-20315</v>
      </c>
      <c r="M719" s="403">
        <v>-20315</v>
      </c>
      <c r="N719" s="403">
        <v>-1052630</v>
      </c>
      <c r="O719" s="154"/>
      <c r="P719" s="154"/>
      <c r="Q719" s="154"/>
      <c r="R719" s="154"/>
      <c r="S719" s="154"/>
      <c r="T719" s="154"/>
      <c r="U719" s="154"/>
      <c r="V719" s="154"/>
      <c r="W719" s="154"/>
      <c r="X719" s="154"/>
      <c r="Y719" s="154"/>
      <c r="Z719" s="154"/>
    </row>
    <row r="720" spans="2:26" ht="27" hidden="1">
      <c r="B720" s="165" t="s">
        <v>4633</v>
      </c>
      <c r="C720" s="422"/>
      <c r="D720" s="422"/>
      <c r="E720" s="424">
        <v>2212857</v>
      </c>
      <c r="F720" s="165">
        <v>25</v>
      </c>
      <c r="G720" s="405">
        <v>51348</v>
      </c>
      <c r="H720" s="404">
        <v>9132</v>
      </c>
      <c r="I720" s="403">
        <v>110642.85</v>
      </c>
      <c r="J720" s="403">
        <v>2102214.15</v>
      </c>
      <c r="K720" s="404">
        <v>90</v>
      </c>
      <c r="L720" s="403">
        <v>20718</v>
      </c>
      <c r="M720" s="403">
        <v>20718</v>
      </c>
      <c r="N720" s="403">
        <v>2192139</v>
      </c>
      <c r="O720" s="154"/>
      <c r="P720" s="154"/>
      <c r="Q720" s="154"/>
      <c r="R720" s="154"/>
      <c r="S720" s="154"/>
      <c r="T720" s="154"/>
      <c r="U720" s="154"/>
      <c r="V720" s="154"/>
      <c r="W720" s="154"/>
      <c r="X720" s="154"/>
      <c r="Y720" s="154"/>
      <c r="Z720" s="154"/>
    </row>
    <row r="721" spans="2:26" ht="27" hidden="1">
      <c r="B721" s="165" t="s">
        <v>4654</v>
      </c>
      <c r="C721" s="422"/>
      <c r="D721" s="422"/>
      <c r="E721" s="424">
        <v>17830970</v>
      </c>
      <c r="F721" s="165">
        <v>25</v>
      </c>
      <c r="G721" s="405">
        <v>51348</v>
      </c>
      <c r="H721" s="404">
        <v>9132</v>
      </c>
      <c r="I721" s="403">
        <v>891548.5</v>
      </c>
      <c r="J721" s="403">
        <v>16939421.5</v>
      </c>
      <c r="K721" s="404">
        <v>0</v>
      </c>
      <c r="L721" s="403">
        <v>0</v>
      </c>
      <c r="M721" s="403">
        <v>0</v>
      </c>
      <c r="N721" s="403">
        <v>17830970</v>
      </c>
      <c r="O721" s="154"/>
      <c r="P721" s="154"/>
      <c r="Q721" s="154"/>
      <c r="R721" s="154"/>
      <c r="S721" s="154"/>
      <c r="T721" s="154"/>
      <c r="U721" s="154"/>
      <c r="V721" s="154"/>
      <c r="W721" s="154"/>
      <c r="X721" s="154"/>
      <c r="Y721" s="154"/>
      <c r="Z721" s="154"/>
    </row>
    <row r="722" spans="2:26" hidden="1">
      <c r="B722" s="422"/>
      <c r="C722" s="422"/>
      <c r="D722" s="422"/>
      <c r="E722" s="424"/>
      <c r="F722" s="422"/>
      <c r="G722" s="426"/>
      <c r="H722" s="425"/>
      <c r="I722" s="427"/>
      <c r="J722" s="427"/>
      <c r="K722" s="425"/>
      <c r="L722" s="425"/>
      <c r="M722" s="425"/>
      <c r="N722" s="425"/>
      <c r="O722" s="154"/>
      <c r="P722" s="154"/>
      <c r="Q722" s="154"/>
      <c r="R722" s="154"/>
      <c r="S722" s="154"/>
      <c r="T722" s="154"/>
      <c r="U722" s="154"/>
      <c r="V722" s="154"/>
      <c r="W722" s="154"/>
      <c r="X722" s="154"/>
      <c r="Y722" s="154"/>
      <c r="Z722" s="154"/>
    </row>
    <row r="723" spans="2:26" ht="14.25" hidden="1">
      <c r="B723" s="411"/>
      <c r="C723" s="165"/>
      <c r="D723" s="165"/>
      <c r="E723" s="413"/>
      <c r="F723" s="165"/>
      <c r="G723" s="165"/>
      <c r="H723" s="165"/>
      <c r="I723" s="165"/>
      <c r="J723" s="413"/>
      <c r="K723" s="165"/>
      <c r="L723" s="413"/>
      <c r="M723" s="413"/>
      <c r="N723" s="413"/>
    </row>
    <row r="724" spans="2:26" ht="14.25" hidden="1">
      <c r="B724" s="411" t="s">
        <v>1837</v>
      </c>
      <c r="C724" s="165"/>
      <c r="D724" s="165"/>
      <c r="E724" s="413">
        <f>SUBTOTAL(9,E695:E723)</f>
        <v>344050243.5</v>
      </c>
      <c r="F724" s="165"/>
      <c r="G724" s="165"/>
      <c r="H724" s="413"/>
      <c r="I724" s="413"/>
      <c r="J724" s="413"/>
      <c r="K724" s="165"/>
      <c r="L724" s="413">
        <f t="shared" ref="L724:N724" si="11">SUBTOTAL(9,L695:L723)</f>
        <v>12207921</v>
      </c>
      <c r="M724" s="413">
        <f t="shared" si="11"/>
        <v>63345622</v>
      </c>
      <c r="N724" s="413">
        <f t="shared" si="11"/>
        <v>280704621.5</v>
      </c>
    </row>
    <row r="725" spans="2:26" ht="14.25" hidden="1">
      <c r="B725" s="411"/>
      <c r="C725" s="165"/>
      <c r="D725" s="165"/>
      <c r="E725" s="413"/>
      <c r="F725" s="165"/>
      <c r="G725" s="165"/>
      <c r="H725" s="413"/>
      <c r="I725" s="413"/>
      <c r="J725" s="413"/>
      <c r="K725" s="165"/>
      <c r="L725" s="413"/>
      <c r="M725" s="413"/>
      <c r="N725" s="413"/>
    </row>
    <row r="726" spans="2:26" ht="14.25" hidden="1">
      <c r="B726" s="411" t="s">
        <v>754</v>
      </c>
      <c r="C726" s="165"/>
      <c r="D726" s="165"/>
      <c r="E726" s="413">
        <f>+SUBTOTAL(9,E9:E725)</f>
        <v>45826324131.90007</v>
      </c>
      <c r="F726" s="165"/>
      <c r="G726" s="165"/>
      <c r="H726" s="413"/>
      <c r="I726" s="413"/>
      <c r="J726" s="413"/>
      <c r="K726" s="165"/>
      <c r="L726" s="413">
        <f t="shared" ref="L726:N726" si="12">+SUBTOTAL(9,L9:L725)</f>
        <v>1914624885</v>
      </c>
      <c r="M726" s="413">
        <f t="shared" si="12"/>
        <v>13310512768</v>
      </c>
      <c r="N726" s="413">
        <f t="shared" si="12"/>
        <v>32515811363.900127</v>
      </c>
    </row>
    <row r="727" spans="2:26" hidden="1">
      <c r="B727" s="165"/>
      <c r="C727" s="165"/>
      <c r="D727" s="165"/>
      <c r="E727" s="404">
        <f>(+E726-E709)*0</f>
        <v>0</v>
      </c>
      <c r="F727" s="165"/>
      <c r="G727" s="165"/>
      <c r="H727" s="165"/>
      <c r="I727" s="165"/>
      <c r="J727" s="404"/>
      <c r="K727" s="165"/>
      <c r="L727" s="165"/>
      <c r="M727" s="165"/>
      <c r="N727" s="165"/>
    </row>
    <row r="728" spans="2:26" hidden="1">
      <c r="B728" s="165"/>
      <c r="C728" s="165"/>
      <c r="D728" s="165"/>
      <c r="E728" s="404"/>
      <c r="F728" s="165"/>
      <c r="G728" s="165"/>
      <c r="H728" s="165"/>
      <c r="I728" s="165"/>
      <c r="J728" s="404"/>
      <c r="K728" s="165"/>
      <c r="L728" s="165"/>
      <c r="M728" s="165"/>
      <c r="N728" s="165"/>
    </row>
    <row r="729" spans="2:26" hidden="1">
      <c r="B729" s="165"/>
      <c r="C729" s="165"/>
      <c r="D729" s="165"/>
      <c r="E729" s="404"/>
      <c r="F729" s="165"/>
      <c r="G729" s="165"/>
      <c r="H729" s="165"/>
      <c r="I729" s="165"/>
      <c r="J729" s="404"/>
      <c r="K729" s="165"/>
      <c r="L729" s="165"/>
      <c r="M729" s="165"/>
      <c r="N729" s="165"/>
    </row>
    <row r="730" spans="2:26" ht="14.25">
      <c r="B730" s="411" t="str">
        <f>+B731</f>
        <v>Plant buildings</v>
      </c>
      <c r="C730" s="165"/>
      <c r="D730" s="165"/>
      <c r="E730" s="404"/>
      <c r="F730" s="165"/>
      <c r="G730" s="165"/>
      <c r="H730" s="165"/>
      <c r="I730" s="165"/>
      <c r="J730" s="404"/>
      <c r="K730" s="165"/>
      <c r="L730" s="165"/>
      <c r="M730" s="165"/>
      <c r="N730" s="165"/>
    </row>
    <row r="731" spans="2:26" ht="54" outlineLevel="1">
      <c r="B731" s="165" t="s">
        <v>2335</v>
      </c>
      <c r="C731" s="165" t="s">
        <v>3614</v>
      </c>
      <c r="D731" s="165" t="s">
        <v>3615</v>
      </c>
      <c r="E731" s="404">
        <v>832321874.67280805</v>
      </c>
      <c r="F731" s="165">
        <v>40</v>
      </c>
      <c r="G731" s="405">
        <v>56826</v>
      </c>
      <c r="H731" s="404">
        <v>14610</v>
      </c>
      <c r="I731" s="404">
        <v>41616093.733640403</v>
      </c>
      <c r="J731" s="404">
        <v>790705780.93916762</v>
      </c>
      <c r="K731" s="404">
        <v>365</v>
      </c>
      <c r="L731" s="404">
        <v>19754114</v>
      </c>
      <c r="M731" s="404">
        <v>131786284</v>
      </c>
      <c r="N731" s="404">
        <v>700535590.67280805</v>
      </c>
      <c r="O731" s="154"/>
      <c r="P731" s="154"/>
      <c r="Q731" s="154"/>
      <c r="R731" s="154"/>
      <c r="S731" s="154"/>
      <c r="T731" s="154"/>
      <c r="U731" s="154"/>
      <c r="V731" s="154"/>
      <c r="W731" s="154"/>
      <c r="X731" s="154"/>
      <c r="Y731" s="154"/>
      <c r="Z731" s="154"/>
    </row>
    <row r="732" spans="2:26" outlineLevel="1">
      <c r="B732" s="165"/>
      <c r="C732" s="165"/>
      <c r="D732" s="165"/>
      <c r="E732" s="404"/>
      <c r="F732" s="165"/>
      <c r="G732" s="405"/>
      <c r="H732" s="404"/>
      <c r="I732" s="404"/>
      <c r="J732" s="404"/>
      <c r="K732" s="404"/>
      <c r="L732" s="404"/>
      <c r="M732" s="404"/>
      <c r="N732" s="404"/>
      <c r="O732" s="154"/>
      <c r="P732" s="154"/>
      <c r="Q732" s="154"/>
      <c r="R732" s="154"/>
      <c r="S732" s="154"/>
      <c r="T732" s="154"/>
      <c r="U732" s="154"/>
      <c r="V732" s="154"/>
      <c r="W732" s="154"/>
      <c r="X732" s="154"/>
      <c r="Y732" s="154"/>
      <c r="Z732" s="154"/>
    </row>
    <row r="733" spans="2:26" ht="40.5" outlineLevel="1">
      <c r="B733" s="165" t="s">
        <v>2335</v>
      </c>
      <c r="C733" s="165" t="s">
        <v>3616</v>
      </c>
      <c r="D733" s="165" t="s">
        <v>3804</v>
      </c>
      <c r="E733" s="404">
        <v>156689243.3024264</v>
      </c>
      <c r="F733" s="165">
        <v>40</v>
      </c>
      <c r="G733" s="405">
        <v>56826</v>
      </c>
      <c r="H733" s="404">
        <v>14610</v>
      </c>
      <c r="I733" s="404">
        <v>7834462.1651213206</v>
      </c>
      <c r="J733" s="404">
        <v>148854781.13730508</v>
      </c>
      <c r="K733" s="404">
        <v>365</v>
      </c>
      <c r="L733" s="404">
        <v>3718822</v>
      </c>
      <c r="M733" s="404">
        <v>24809503</v>
      </c>
      <c r="N733" s="404">
        <v>131879740.3024264</v>
      </c>
      <c r="O733" s="154"/>
      <c r="P733" s="154"/>
      <c r="Q733" s="154"/>
      <c r="R733" s="154"/>
      <c r="S733" s="154"/>
      <c r="T733" s="154"/>
      <c r="U733" s="154"/>
      <c r="V733" s="154"/>
      <c r="W733" s="154"/>
      <c r="X733" s="154"/>
      <c r="Y733" s="154"/>
      <c r="Z733" s="154"/>
    </row>
    <row r="734" spans="2:26" ht="40.5" outlineLevel="1">
      <c r="B734" s="165" t="s">
        <v>2335</v>
      </c>
      <c r="C734" s="165" t="s">
        <v>3616</v>
      </c>
      <c r="D734" s="165" t="s">
        <v>3805</v>
      </c>
      <c r="E734" s="404">
        <v>156689243.3024264</v>
      </c>
      <c r="F734" s="165">
        <v>40</v>
      </c>
      <c r="G734" s="405">
        <v>56826</v>
      </c>
      <c r="H734" s="404">
        <v>14610</v>
      </c>
      <c r="I734" s="404">
        <v>7834462.1651213206</v>
      </c>
      <c r="J734" s="404">
        <v>148854781.13730508</v>
      </c>
      <c r="K734" s="404">
        <v>365</v>
      </c>
      <c r="L734" s="404">
        <v>3718822</v>
      </c>
      <c r="M734" s="404">
        <v>24809503</v>
      </c>
      <c r="N734" s="404">
        <v>131879740.3024264</v>
      </c>
      <c r="O734" s="154"/>
      <c r="P734" s="154"/>
      <c r="Q734" s="154"/>
      <c r="R734" s="154"/>
      <c r="S734" s="154"/>
      <c r="T734" s="154"/>
      <c r="U734" s="154"/>
      <c r="V734" s="154"/>
      <c r="W734" s="154"/>
      <c r="X734" s="154"/>
      <c r="Y734" s="154"/>
      <c r="Z734" s="154"/>
    </row>
    <row r="735" spans="2:26" outlineLevel="1">
      <c r="B735" s="165"/>
      <c r="C735" s="165"/>
      <c r="D735" s="165"/>
      <c r="E735" s="404"/>
      <c r="F735" s="165"/>
      <c r="G735" s="405"/>
      <c r="H735" s="404"/>
      <c r="I735" s="404"/>
      <c r="J735" s="404"/>
      <c r="K735" s="404"/>
      <c r="L735" s="404"/>
      <c r="M735" s="404"/>
      <c r="N735" s="404"/>
      <c r="O735" s="154"/>
      <c r="P735" s="154"/>
      <c r="Q735" s="154"/>
      <c r="R735" s="154"/>
      <c r="S735" s="154"/>
      <c r="T735" s="154"/>
      <c r="U735" s="154"/>
      <c r="V735" s="154"/>
      <c r="W735" s="154"/>
      <c r="X735" s="154"/>
      <c r="Y735" s="154"/>
      <c r="Z735" s="154"/>
    </row>
    <row r="736" spans="2:26" ht="54" outlineLevel="1">
      <c r="B736" s="165" t="s">
        <v>2335</v>
      </c>
      <c r="C736" s="165" t="s">
        <v>3623</v>
      </c>
      <c r="D736" s="165" t="s">
        <v>3806</v>
      </c>
      <c r="E736" s="404">
        <v>470135137.47055537</v>
      </c>
      <c r="F736" s="165">
        <v>30</v>
      </c>
      <c r="G736" s="405">
        <v>53174</v>
      </c>
      <c r="H736" s="404">
        <v>10958</v>
      </c>
      <c r="I736" s="404">
        <v>23506756.873527769</v>
      </c>
      <c r="J736" s="404">
        <v>446628380.5970276</v>
      </c>
      <c r="K736" s="404">
        <v>365</v>
      </c>
      <c r="L736" s="404">
        <v>14876744</v>
      </c>
      <c r="M736" s="404">
        <v>99247721</v>
      </c>
      <c r="N736" s="404">
        <v>370887416.47055537</v>
      </c>
      <c r="O736" s="154"/>
      <c r="P736" s="154"/>
      <c r="Q736" s="154"/>
      <c r="R736" s="154"/>
      <c r="S736" s="154"/>
      <c r="T736" s="154"/>
      <c r="U736" s="154"/>
      <c r="V736" s="154"/>
      <c r="W736" s="154"/>
      <c r="X736" s="154"/>
      <c r="Y736" s="154"/>
      <c r="Z736" s="154"/>
    </row>
    <row r="737" spans="2:26" ht="40.5" outlineLevel="1">
      <c r="B737" s="165" t="s">
        <v>2335</v>
      </c>
      <c r="C737" s="165" t="s">
        <v>3623</v>
      </c>
      <c r="D737" s="165" t="s">
        <v>3807</v>
      </c>
      <c r="E737" s="404">
        <v>470135137.47055537</v>
      </c>
      <c r="F737" s="165">
        <v>30</v>
      </c>
      <c r="G737" s="405">
        <v>53174</v>
      </c>
      <c r="H737" s="404">
        <v>10958</v>
      </c>
      <c r="I737" s="404">
        <v>23506756.873527769</v>
      </c>
      <c r="J737" s="404">
        <v>446628380.5970276</v>
      </c>
      <c r="K737" s="404">
        <v>365</v>
      </c>
      <c r="L737" s="404">
        <v>14876744</v>
      </c>
      <c r="M737" s="404">
        <v>99247721</v>
      </c>
      <c r="N737" s="404">
        <v>370887416.47055537</v>
      </c>
      <c r="O737" s="154"/>
      <c r="P737" s="154"/>
      <c r="Q737" s="154"/>
      <c r="R737" s="154"/>
      <c r="S737" s="154"/>
      <c r="T737" s="154"/>
      <c r="U737" s="154"/>
      <c r="V737" s="154"/>
      <c r="W737" s="154"/>
      <c r="X737" s="154"/>
      <c r="Y737" s="154"/>
      <c r="Z737" s="154"/>
    </row>
    <row r="738" spans="2:26" outlineLevel="1">
      <c r="B738" s="165"/>
      <c r="C738" s="165"/>
      <c r="D738" s="165"/>
      <c r="E738" s="404"/>
      <c r="F738" s="165"/>
      <c r="G738" s="405"/>
      <c r="H738" s="404"/>
      <c r="I738" s="404"/>
      <c r="J738" s="404"/>
      <c r="K738" s="404"/>
      <c r="L738" s="404"/>
      <c r="M738" s="404"/>
      <c r="N738" s="404"/>
      <c r="O738" s="154"/>
      <c r="P738" s="154"/>
      <c r="Q738" s="154"/>
      <c r="R738" s="154"/>
      <c r="S738" s="154"/>
      <c r="T738" s="154"/>
      <c r="U738" s="154"/>
      <c r="V738" s="154"/>
      <c r="W738" s="154"/>
      <c r="X738" s="154"/>
      <c r="Y738" s="154"/>
      <c r="Z738" s="154"/>
    </row>
    <row r="739" spans="2:26" ht="27" outlineLevel="1">
      <c r="B739" s="165" t="s">
        <v>2335</v>
      </c>
      <c r="C739" s="165" t="s">
        <v>3623</v>
      </c>
      <c r="D739" s="165" t="s">
        <v>3808</v>
      </c>
      <c r="E739" s="404">
        <v>1157010865.1791046</v>
      </c>
      <c r="F739" s="165">
        <v>30</v>
      </c>
      <c r="G739" s="405">
        <v>53174</v>
      </c>
      <c r="H739" s="404">
        <v>10958</v>
      </c>
      <c r="I739" s="404">
        <v>57850543.258955233</v>
      </c>
      <c r="J739" s="404">
        <v>1099160321.9201493</v>
      </c>
      <c r="K739" s="404">
        <v>365</v>
      </c>
      <c r="L739" s="404">
        <v>36611929</v>
      </c>
      <c r="M739" s="404">
        <v>244250391</v>
      </c>
      <c r="N739" s="404">
        <v>912760474.17910457</v>
      </c>
      <c r="O739" s="154"/>
      <c r="P739" s="154"/>
      <c r="Q739" s="154"/>
      <c r="R739" s="154"/>
      <c r="S739" s="154"/>
      <c r="T739" s="154"/>
      <c r="U739" s="154"/>
      <c r="V739" s="154"/>
      <c r="W739" s="154"/>
      <c r="X739" s="154"/>
      <c r="Y739" s="154"/>
      <c r="Z739" s="154"/>
    </row>
    <row r="740" spans="2:26" outlineLevel="1">
      <c r="B740" s="165"/>
      <c r="C740" s="165"/>
      <c r="D740" s="165"/>
      <c r="E740" s="404"/>
      <c r="F740" s="165"/>
      <c r="G740" s="405"/>
      <c r="H740" s="404"/>
      <c r="I740" s="404"/>
      <c r="J740" s="404"/>
      <c r="K740" s="404"/>
      <c r="L740" s="404"/>
      <c r="M740" s="404"/>
      <c r="N740" s="404"/>
      <c r="O740" s="154"/>
      <c r="P740" s="154"/>
      <c r="Q740" s="154"/>
      <c r="R740" s="154"/>
      <c r="S740" s="154"/>
      <c r="T740" s="154"/>
      <c r="U740" s="154"/>
      <c r="V740" s="154"/>
      <c r="W740" s="154"/>
      <c r="X740" s="154"/>
      <c r="Y740" s="154"/>
      <c r="Z740" s="154"/>
    </row>
    <row r="741" spans="2:26" ht="40.5" outlineLevel="1">
      <c r="B741" s="165" t="s">
        <v>2335</v>
      </c>
      <c r="C741" s="165" t="s">
        <v>3626</v>
      </c>
      <c r="D741" s="165" t="s">
        <v>3627</v>
      </c>
      <c r="E741" s="404">
        <v>326854188.77077508</v>
      </c>
      <c r="F741" s="165">
        <v>30</v>
      </c>
      <c r="G741" s="405">
        <v>53174</v>
      </c>
      <c r="H741" s="404">
        <v>10958</v>
      </c>
      <c r="I741" s="404">
        <v>16342709.438538754</v>
      </c>
      <c r="J741" s="404">
        <v>310511479.33223635</v>
      </c>
      <c r="K741" s="404">
        <v>365</v>
      </c>
      <c r="L741" s="404">
        <v>10342826</v>
      </c>
      <c r="M741" s="404">
        <v>69000443</v>
      </c>
      <c r="N741" s="404">
        <v>257853745.77077508</v>
      </c>
      <c r="O741" s="154"/>
      <c r="P741" s="154"/>
      <c r="Q741" s="154"/>
      <c r="R741" s="154"/>
      <c r="S741" s="154"/>
      <c r="T741" s="154"/>
      <c r="U741" s="154"/>
      <c r="V741" s="154"/>
      <c r="W741" s="154"/>
      <c r="X741" s="154"/>
      <c r="Y741" s="154"/>
      <c r="Z741" s="154"/>
    </row>
    <row r="742" spans="2:26" ht="40.5" outlineLevel="1">
      <c r="B742" s="165" t="s">
        <v>2335</v>
      </c>
      <c r="C742" s="165" t="s">
        <v>3626</v>
      </c>
      <c r="D742" s="165" t="s">
        <v>3628</v>
      </c>
      <c r="E742" s="404">
        <v>326854188.77077508</v>
      </c>
      <c r="F742" s="165">
        <v>30</v>
      </c>
      <c r="G742" s="405">
        <v>53174</v>
      </c>
      <c r="H742" s="404">
        <v>10958</v>
      </c>
      <c r="I742" s="404">
        <v>16342709.438538754</v>
      </c>
      <c r="J742" s="404">
        <v>310511479.33223635</v>
      </c>
      <c r="K742" s="404">
        <v>365</v>
      </c>
      <c r="L742" s="404">
        <v>10342826</v>
      </c>
      <c r="M742" s="404">
        <v>69000443</v>
      </c>
      <c r="N742" s="404">
        <v>257853745.77077508</v>
      </c>
      <c r="O742" s="154"/>
      <c r="P742" s="154"/>
      <c r="Q742" s="154"/>
      <c r="R742" s="154"/>
      <c r="S742" s="154"/>
      <c r="T742" s="154"/>
      <c r="U742" s="154"/>
      <c r="V742" s="154"/>
      <c r="W742" s="154"/>
      <c r="X742" s="154"/>
      <c r="Y742" s="154"/>
      <c r="Z742" s="154"/>
    </row>
    <row r="743" spans="2:26" ht="40.5" outlineLevel="1">
      <c r="B743" s="165" t="s">
        <v>2335</v>
      </c>
      <c r="C743" s="165" t="s">
        <v>3626</v>
      </c>
      <c r="D743" s="165" t="s">
        <v>3629</v>
      </c>
      <c r="E743" s="404">
        <v>280160733.51780719</v>
      </c>
      <c r="F743" s="165">
        <v>30</v>
      </c>
      <c r="G743" s="405">
        <v>53174</v>
      </c>
      <c r="H743" s="404">
        <v>10958</v>
      </c>
      <c r="I743" s="404">
        <v>14008036.67589036</v>
      </c>
      <c r="J743" s="404">
        <v>266152696.84191683</v>
      </c>
      <c r="K743" s="404">
        <v>365</v>
      </c>
      <c r="L743" s="404">
        <v>8865280</v>
      </c>
      <c r="M743" s="404">
        <v>59143239</v>
      </c>
      <c r="N743" s="404">
        <v>221017494.51780719</v>
      </c>
      <c r="O743" s="154"/>
      <c r="P743" s="154"/>
      <c r="Q743" s="154"/>
      <c r="R743" s="154"/>
      <c r="S743" s="154"/>
      <c r="T743" s="154"/>
      <c r="U743" s="154"/>
      <c r="V743" s="154"/>
      <c r="W743" s="154"/>
      <c r="X743" s="154"/>
      <c r="Y743" s="154"/>
      <c r="Z743" s="154"/>
    </row>
    <row r="744" spans="2:26" outlineLevel="1">
      <c r="B744" s="165"/>
      <c r="C744" s="165"/>
      <c r="D744" s="165"/>
      <c r="E744" s="404"/>
      <c r="F744" s="165"/>
      <c r="G744" s="405"/>
      <c r="H744" s="404"/>
      <c r="I744" s="404"/>
      <c r="J744" s="404"/>
      <c r="K744" s="404"/>
      <c r="L744" s="404"/>
      <c r="M744" s="404"/>
      <c r="N744" s="404"/>
      <c r="O744" s="154"/>
      <c r="P744" s="154"/>
      <c r="Q744" s="154"/>
      <c r="R744" s="154"/>
      <c r="S744" s="154"/>
      <c r="T744" s="154"/>
      <c r="U744" s="154"/>
      <c r="V744" s="154"/>
      <c r="W744" s="154"/>
      <c r="X744" s="154"/>
      <c r="Y744" s="154"/>
      <c r="Z744" s="154"/>
    </row>
    <row r="745" spans="2:26" ht="27" outlineLevel="1">
      <c r="B745" s="165" t="s">
        <v>2335</v>
      </c>
      <c r="C745" s="165" t="s">
        <v>3630</v>
      </c>
      <c r="D745" s="165" t="s">
        <v>3631</v>
      </c>
      <c r="E745" s="404">
        <v>234846491.66993466</v>
      </c>
      <c r="F745" s="165">
        <v>40</v>
      </c>
      <c r="G745" s="405">
        <v>56826</v>
      </c>
      <c r="H745" s="404">
        <v>14610</v>
      </c>
      <c r="I745" s="404">
        <v>11742324.583496734</v>
      </c>
      <c r="J745" s="404">
        <v>223104167.08643794</v>
      </c>
      <c r="K745" s="404">
        <v>365</v>
      </c>
      <c r="L745" s="404">
        <v>5573787</v>
      </c>
      <c r="M745" s="404">
        <v>37184591</v>
      </c>
      <c r="N745" s="404">
        <v>197661900.66993466</v>
      </c>
      <c r="O745" s="154"/>
      <c r="P745" s="154"/>
      <c r="Q745" s="154"/>
      <c r="R745" s="154"/>
      <c r="S745" s="154"/>
      <c r="T745" s="154"/>
      <c r="U745" s="154"/>
      <c r="V745" s="154"/>
      <c r="W745" s="154"/>
      <c r="X745" s="154"/>
      <c r="Y745" s="154"/>
      <c r="Z745" s="154"/>
    </row>
    <row r="746" spans="2:26" ht="27" outlineLevel="1">
      <c r="B746" s="165" t="s">
        <v>2335</v>
      </c>
      <c r="C746" s="165" t="s">
        <v>3630</v>
      </c>
      <c r="D746" s="165" t="s">
        <v>3632</v>
      </c>
      <c r="E746" s="404">
        <v>281815789.20392156</v>
      </c>
      <c r="F746" s="165">
        <v>40</v>
      </c>
      <c r="G746" s="405">
        <v>56826</v>
      </c>
      <c r="H746" s="404">
        <v>14610</v>
      </c>
      <c r="I746" s="404">
        <v>14090789.460196078</v>
      </c>
      <c r="J746" s="404">
        <v>267724999.74372548</v>
      </c>
      <c r="K746" s="404">
        <v>365</v>
      </c>
      <c r="L746" s="404">
        <v>6688544</v>
      </c>
      <c r="M746" s="404">
        <v>44621508</v>
      </c>
      <c r="N746" s="404">
        <v>237194281.20392156</v>
      </c>
      <c r="O746" s="154"/>
      <c r="P746" s="154"/>
      <c r="Q746" s="154"/>
      <c r="R746" s="154"/>
      <c r="S746" s="154"/>
      <c r="T746" s="154"/>
      <c r="U746" s="154"/>
      <c r="V746" s="154"/>
      <c r="W746" s="154"/>
      <c r="X746" s="154"/>
      <c r="Y746" s="154"/>
      <c r="Z746" s="154"/>
    </row>
    <row r="747" spans="2:26" ht="40.5" outlineLevel="1">
      <c r="B747" s="165" t="s">
        <v>2335</v>
      </c>
      <c r="C747" s="165" t="s">
        <v>3630</v>
      </c>
      <c r="D747" s="165" t="s">
        <v>3809</v>
      </c>
      <c r="E747" s="404">
        <v>281815789.20392156</v>
      </c>
      <c r="F747" s="165">
        <v>40</v>
      </c>
      <c r="G747" s="405">
        <v>56826</v>
      </c>
      <c r="H747" s="404">
        <v>14610</v>
      </c>
      <c r="I747" s="404">
        <v>14090789.460196078</v>
      </c>
      <c r="J747" s="404">
        <v>267724999.74372548</v>
      </c>
      <c r="K747" s="404">
        <v>365</v>
      </c>
      <c r="L747" s="404">
        <v>6688544</v>
      </c>
      <c r="M747" s="404">
        <v>44621508</v>
      </c>
      <c r="N747" s="404">
        <v>237194281.20392156</v>
      </c>
      <c r="O747" s="154"/>
      <c r="P747" s="154"/>
      <c r="Q747" s="154"/>
      <c r="R747" s="154"/>
      <c r="S747" s="154"/>
      <c r="T747" s="154"/>
      <c r="U747" s="154"/>
      <c r="V747" s="154"/>
      <c r="W747" s="154"/>
      <c r="X747" s="154"/>
      <c r="Y747" s="154"/>
      <c r="Z747" s="154"/>
    </row>
    <row r="748" spans="2:26" ht="27" outlineLevel="1">
      <c r="B748" s="165" t="s">
        <v>2335</v>
      </c>
      <c r="C748" s="165" t="s">
        <v>3630</v>
      </c>
      <c r="D748" s="165" t="s">
        <v>3810</v>
      </c>
      <c r="E748" s="404">
        <v>140907894.60196078</v>
      </c>
      <c r="F748" s="165">
        <v>40</v>
      </c>
      <c r="G748" s="405">
        <v>56826</v>
      </c>
      <c r="H748" s="404">
        <v>14610</v>
      </c>
      <c r="I748" s="404">
        <v>7045394.7300980389</v>
      </c>
      <c r="J748" s="404">
        <v>133862499.87186274</v>
      </c>
      <c r="K748" s="404">
        <v>365</v>
      </c>
      <c r="L748" s="404">
        <v>3344272</v>
      </c>
      <c r="M748" s="404">
        <v>22310754</v>
      </c>
      <c r="N748" s="404">
        <v>118597140.60196078</v>
      </c>
      <c r="O748" s="154"/>
      <c r="P748" s="154"/>
      <c r="Q748" s="154"/>
      <c r="R748" s="154"/>
      <c r="S748" s="154"/>
      <c r="T748" s="154"/>
      <c r="U748" s="154"/>
      <c r="V748" s="154"/>
      <c r="W748" s="154"/>
      <c r="X748" s="154"/>
      <c r="Y748" s="154"/>
      <c r="Z748" s="154"/>
    </row>
    <row r="749" spans="2:26" outlineLevel="1">
      <c r="B749" s="165"/>
      <c r="C749" s="165"/>
      <c r="D749" s="165"/>
      <c r="E749" s="404"/>
      <c r="F749" s="165"/>
      <c r="G749" s="405"/>
      <c r="H749" s="404"/>
      <c r="I749" s="404"/>
      <c r="J749" s="404"/>
      <c r="K749" s="404"/>
      <c r="L749" s="404"/>
      <c r="M749" s="404"/>
      <c r="N749" s="404"/>
      <c r="O749" s="154"/>
      <c r="P749" s="154"/>
      <c r="Q749" s="154"/>
      <c r="R749" s="154"/>
      <c r="S749" s="154"/>
      <c r="T749" s="154"/>
      <c r="U749" s="154"/>
      <c r="V749" s="154"/>
      <c r="W749" s="154"/>
      <c r="X749" s="154"/>
      <c r="Y749" s="154"/>
      <c r="Z749" s="154"/>
    </row>
    <row r="750" spans="2:26" outlineLevel="1">
      <c r="B750" s="165" t="s">
        <v>2335</v>
      </c>
      <c r="C750" s="165" t="s">
        <v>2479</v>
      </c>
      <c r="D750" s="165" t="s">
        <v>3635</v>
      </c>
      <c r="E750" s="404">
        <v>73141669.805512473</v>
      </c>
      <c r="F750" s="165">
        <v>40</v>
      </c>
      <c r="G750" s="405">
        <v>56826</v>
      </c>
      <c r="H750" s="404">
        <v>14610</v>
      </c>
      <c r="I750" s="404">
        <v>3657083.4902756237</v>
      </c>
      <c r="J750" s="404">
        <v>69484586.315236852</v>
      </c>
      <c r="K750" s="404">
        <v>365</v>
      </c>
      <c r="L750" s="404">
        <v>1735926</v>
      </c>
      <c r="M750" s="404">
        <v>11580941</v>
      </c>
      <c r="N750" s="404">
        <v>61560728.805512473</v>
      </c>
      <c r="O750" s="154"/>
      <c r="P750" s="154"/>
      <c r="Q750" s="154"/>
      <c r="R750" s="154"/>
      <c r="S750" s="154"/>
      <c r="T750" s="154"/>
      <c r="U750" s="154"/>
      <c r="V750" s="154"/>
      <c r="W750" s="154"/>
      <c r="X750" s="154"/>
      <c r="Y750" s="154"/>
      <c r="Z750" s="154"/>
    </row>
    <row r="751" spans="2:26" outlineLevel="1">
      <c r="B751" s="165" t="s">
        <v>2335</v>
      </c>
      <c r="C751" s="165" t="s">
        <v>2479</v>
      </c>
      <c r="D751" s="165" t="s">
        <v>3636</v>
      </c>
      <c r="E751" s="404">
        <v>2582400726.3995509</v>
      </c>
      <c r="F751" s="165">
        <v>40</v>
      </c>
      <c r="G751" s="405">
        <v>56826</v>
      </c>
      <c r="H751" s="404">
        <v>14610</v>
      </c>
      <c r="I751" s="404">
        <v>129120036.31997755</v>
      </c>
      <c r="J751" s="404">
        <v>2453280690.0795732</v>
      </c>
      <c r="K751" s="404">
        <v>365</v>
      </c>
      <c r="L751" s="404">
        <v>61290038</v>
      </c>
      <c r="M751" s="404">
        <v>408886288</v>
      </c>
      <c r="N751" s="404">
        <v>2173514438.3995509</v>
      </c>
      <c r="O751" s="154"/>
      <c r="P751" s="154"/>
      <c r="Q751" s="154"/>
      <c r="R751" s="154"/>
      <c r="S751" s="154"/>
      <c r="T751" s="154"/>
      <c r="U751" s="154"/>
      <c r="V751" s="154"/>
      <c r="W751" s="154"/>
      <c r="X751" s="154"/>
      <c r="Y751" s="154"/>
      <c r="Z751" s="154"/>
    </row>
    <row r="752" spans="2:26" outlineLevel="1">
      <c r="B752" s="165" t="s">
        <v>2335</v>
      </c>
      <c r="C752" s="165" t="s">
        <v>2479</v>
      </c>
      <c r="D752" s="165" t="s">
        <v>3637</v>
      </c>
      <c r="E752" s="404">
        <v>14567.977176185519</v>
      </c>
      <c r="F752" s="165">
        <v>40</v>
      </c>
      <c r="G752" s="405">
        <v>56826</v>
      </c>
      <c r="H752" s="404">
        <v>14610</v>
      </c>
      <c r="I752" s="404">
        <v>728.39885880927602</v>
      </c>
      <c r="J752" s="404">
        <v>13839.578317376243</v>
      </c>
      <c r="K752" s="404">
        <v>365</v>
      </c>
      <c r="L752" s="404">
        <v>346</v>
      </c>
      <c r="M752" s="404">
        <v>2308</v>
      </c>
      <c r="N752" s="404">
        <v>12259.977176185519</v>
      </c>
      <c r="O752" s="154"/>
      <c r="P752" s="154"/>
      <c r="Q752" s="154"/>
      <c r="R752" s="154"/>
      <c r="S752" s="154"/>
      <c r="T752" s="154"/>
      <c r="U752" s="154"/>
      <c r="V752" s="154"/>
      <c r="W752" s="154"/>
      <c r="X752" s="154"/>
      <c r="Y752" s="154"/>
      <c r="Z752" s="154"/>
    </row>
    <row r="753" spans="2:26" outlineLevel="1">
      <c r="B753" s="165"/>
      <c r="C753" s="165"/>
      <c r="D753" s="165"/>
      <c r="E753" s="404"/>
      <c r="F753" s="165"/>
      <c r="G753" s="405"/>
      <c r="H753" s="404"/>
      <c r="I753" s="404"/>
      <c r="J753" s="404"/>
      <c r="K753" s="404"/>
      <c r="L753" s="404"/>
      <c r="M753" s="404"/>
      <c r="N753" s="404"/>
    </row>
    <row r="754" spans="2:26" outlineLevel="1">
      <c r="B754" s="165"/>
      <c r="C754" s="165"/>
      <c r="D754" s="165"/>
      <c r="E754" s="404"/>
      <c r="F754" s="165"/>
      <c r="G754" s="405"/>
      <c r="H754" s="404"/>
      <c r="I754" s="404"/>
      <c r="J754" s="404"/>
      <c r="K754" s="404"/>
      <c r="L754" s="404"/>
      <c r="M754" s="404"/>
      <c r="N754" s="404"/>
    </row>
    <row r="755" spans="2:26" outlineLevel="1">
      <c r="B755" s="165"/>
      <c r="C755" s="165"/>
      <c r="D755" s="165"/>
      <c r="E755" s="404"/>
      <c r="F755" s="165"/>
      <c r="G755" s="165"/>
      <c r="H755" s="165"/>
      <c r="I755" s="165"/>
      <c r="J755" s="404"/>
      <c r="K755" s="165"/>
      <c r="L755" s="165"/>
      <c r="M755" s="165"/>
      <c r="N755" s="165"/>
    </row>
    <row r="756" spans="2:26" ht="14.25">
      <c r="B756" s="411" t="s">
        <v>1837</v>
      </c>
      <c r="C756" s="165"/>
      <c r="D756" s="165"/>
      <c r="E756" s="413">
        <f>SUBTOTAL(9,E730:E755)</f>
        <v>7771793541.3192091</v>
      </c>
      <c r="F756" s="165"/>
      <c r="G756" s="165"/>
      <c r="H756" s="413"/>
      <c r="I756" s="413"/>
      <c r="J756" s="413"/>
      <c r="K756" s="165"/>
      <c r="L756" s="413">
        <f t="shared" ref="L756:N756" si="13">SUBTOTAL(9,L730:L755)</f>
        <v>208429564</v>
      </c>
      <c r="M756" s="413">
        <f t="shared" si="13"/>
        <v>1390503146</v>
      </c>
      <c r="N756" s="413">
        <f t="shared" si="13"/>
        <v>6381290395.3192101</v>
      </c>
    </row>
    <row r="757" spans="2:26" ht="14.25">
      <c r="B757" s="411" t="s">
        <v>2417</v>
      </c>
      <c r="C757" s="165"/>
      <c r="D757" s="165"/>
      <c r="E757" s="413">
        <f>7815526377.31921-403976-1326040+22296972.999999-64299793-E756</f>
        <v>0</v>
      </c>
      <c r="F757" s="165"/>
      <c r="G757" s="165"/>
      <c r="H757" s="165"/>
      <c r="I757" s="165"/>
      <c r="J757" s="404"/>
      <c r="K757" s="165"/>
      <c r="L757" s="413"/>
      <c r="M757" s="413"/>
      <c r="N757" s="413"/>
    </row>
    <row r="758" spans="2:26" ht="27">
      <c r="B758" s="165" t="s">
        <v>2949</v>
      </c>
      <c r="C758" s="165"/>
      <c r="D758" s="165"/>
      <c r="E758" s="404">
        <v>3696229</v>
      </c>
      <c r="F758" s="165">
        <v>30</v>
      </c>
      <c r="G758" s="405">
        <v>53174</v>
      </c>
      <c r="H758" s="404">
        <v>10958</v>
      </c>
      <c r="I758" s="404">
        <v>184811.45</v>
      </c>
      <c r="J758" s="404">
        <v>3511417.55</v>
      </c>
      <c r="K758" s="404">
        <v>365</v>
      </c>
      <c r="L758" s="403">
        <v>116962</v>
      </c>
      <c r="M758" s="403">
        <v>780280</v>
      </c>
      <c r="N758" s="403">
        <v>2915949</v>
      </c>
      <c r="O758" s="154"/>
      <c r="P758" s="154"/>
      <c r="Q758" s="154"/>
      <c r="R758" s="154"/>
      <c r="S758" s="154"/>
      <c r="T758" s="154"/>
      <c r="U758" s="154"/>
      <c r="V758" s="154"/>
      <c r="W758" s="154"/>
      <c r="X758" s="154"/>
      <c r="Y758" s="154"/>
      <c r="Z758" s="154"/>
    </row>
    <row r="759" spans="2:26" ht="27">
      <c r="B759" s="165" t="s">
        <v>2985</v>
      </c>
      <c r="C759" s="165"/>
      <c r="D759" s="165"/>
      <c r="E759" s="404">
        <v>8682230</v>
      </c>
      <c r="F759" s="165">
        <v>30</v>
      </c>
      <c r="G759" s="405">
        <v>53174</v>
      </c>
      <c r="H759" s="404">
        <v>10958</v>
      </c>
      <c r="I759" s="404">
        <v>434111.5</v>
      </c>
      <c r="J759" s="404">
        <v>8248118.5</v>
      </c>
      <c r="K759" s="404">
        <v>365</v>
      </c>
      <c r="L759" s="403">
        <v>274737</v>
      </c>
      <c r="M759" s="403">
        <v>1832834</v>
      </c>
      <c r="N759" s="403">
        <v>6849396</v>
      </c>
      <c r="O759" s="154"/>
      <c r="P759" s="154"/>
      <c r="Q759" s="154"/>
      <c r="R759" s="154"/>
      <c r="S759" s="154"/>
      <c r="T759" s="154"/>
      <c r="U759" s="154"/>
      <c r="V759" s="154"/>
      <c r="W759" s="154"/>
      <c r="X759" s="154"/>
      <c r="Y759" s="154"/>
      <c r="Z759" s="154"/>
    </row>
    <row r="760" spans="2:26" ht="27">
      <c r="B760" s="165" t="s">
        <v>3004</v>
      </c>
      <c r="C760" s="165"/>
      <c r="D760" s="165"/>
      <c r="E760" s="403">
        <v>-3293652</v>
      </c>
      <c r="F760" s="165">
        <v>30</v>
      </c>
      <c r="G760" s="405">
        <v>53174</v>
      </c>
      <c r="H760" s="404">
        <v>10958</v>
      </c>
      <c r="I760" s="403">
        <v>-164682.6</v>
      </c>
      <c r="J760" s="403">
        <v>-3128969.4</v>
      </c>
      <c r="K760" s="404">
        <v>365</v>
      </c>
      <c r="L760" s="403">
        <v>-104223</v>
      </c>
      <c r="M760" s="403">
        <v>-695295</v>
      </c>
      <c r="N760" s="403">
        <v>-2598357</v>
      </c>
      <c r="O760" s="154"/>
      <c r="P760" s="154"/>
      <c r="Q760" s="154"/>
      <c r="R760" s="154"/>
      <c r="S760" s="154"/>
      <c r="T760" s="154"/>
      <c r="U760" s="154"/>
      <c r="V760" s="154"/>
      <c r="W760" s="154"/>
      <c r="X760" s="154"/>
      <c r="Y760" s="154"/>
      <c r="Z760" s="154"/>
    </row>
    <row r="761" spans="2:26" ht="27">
      <c r="B761" s="165" t="s">
        <v>3901</v>
      </c>
      <c r="C761" s="165"/>
      <c r="D761" s="165"/>
      <c r="E761" s="403">
        <v>-232481</v>
      </c>
      <c r="F761" s="165">
        <v>30</v>
      </c>
      <c r="G761" s="405">
        <v>53174</v>
      </c>
      <c r="H761" s="404">
        <v>10958</v>
      </c>
      <c r="I761" s="403">
        <v>-11624.050000000001</v>
      </c>
      <c r="J761" s="403">
        <v>-220856.95</v>
      </c>
      <c r="K761" s="404">
        <v>365</v>
      </c>
      <c r="L761" s="403">
        <v>-7357</v>
      </c>
      <c r="M761" s="403">
        <v>-44162</v>
      </c>
      <c r="N761" s="403">
        <v>-188319</v>
      </c>
      <c r="O761" s="154"/>
      <c r="P761" s="154"/>
      <c r="Q761" s="154"/>
      <c r="R761" s="154"/>
      <c r="S761" s="154"/>
      <c r="T761" s="154"/>
      <c r="U761" s="154"/>
      <c r="V761" s="154"/>
      <c r="W761" s="154"/>
      <c r="X761" s="154"/>
      <c r="Y761" s="154"/>
      <c r="Z761" s="154"/>
    </row>
    <row r="762" spans="2:26" ht="27">
      <c r="B762" s="165" t="s">
        <v>2985</v>
      </c>
      <c r="C762" s="165"/>
      <c r="D762" s="165"/>
      <c r="E762" s="403">
        <v>2554152</v>
      </c>
      <c r="F762" s="165">
        <v>30</v>
      </c>
      <c r="G762" s="405">
        <v>53174</v>
      </c>
      <c r="H762" s="404">
        <v>10958</v>
      </c>
      <c r="I762" s="404">
        <v>127707.6</v>
      </c>
      <c r="J762" s="403">
        <v>2426444.4</v>
      </c>
      <c r="K762" s="404">
        <v>365</v>
      </c>
      <c r="L762" s="403">
        <v>80822</v>
      </c>
      <c r="M762" s="403">
        <v>539183</v>
      </c>
      <c r="N762" s="403">
        <v>2014969</v>
      </c>
      <c r="O762" s="154"/>
      <c r="P762" s="154"/>
      <c r="Q762" s="154"/>
      <c r="R762" s="154"/>
      <c r="S762" s="154"/>
      <c r="T762" s="154"/>
      <c r="U762" s="154"/>
      <c r="V762" s="154"/>
      <c r="W762" s="154"/>
      <c r="X762" s="154"/>
      <c r="Y762" s="154"/>
      <c r="Z762" s="154"/>
    </row>
    <row r="763" spans="2:26" ht="27">
      <c r="B763" s="165" t="s">
        <v>3004</v>
      </c>
      <c r="C763" s="165"/>
      <c r="D763" s="165"/>
      <c r="E763" s="403">
        <v>-78968</v>
      </c>
      <c r="F763" s="165">
        <v>30</v>
      </c>
      <c r="G763" s="405">
        <v>53174</v>
      </c>
      <c r="H763" s="404">
        <v>10958</v>
      </c>
      <c r="I763" s="403">
        <v>-3948.4</v>
      </c>
      <c r="J763" s="403">
        <v>-75019.600000000006</v>
      </c>
      <c r="K763" s="404">
        <v>365</v>
      </c>
      <c r="L763" s="403">
        <v>-2499</v>
      </c>
      <c r="M763" s="403">
        <v>-16671</v>
      </c>
      <c r="N763" s="403">
        <v>-62297</v>
      </c>
      <c r="O763" s="154"/>
      <c r="P763" s="154"/>
      <c r="Q763" s="154"/>
      <c r="R763" s="154"/>
      <c r="S763" s="154"/>
      <c r="T763" s="154"/>
      <c r="U763" s="154"/>
      <c r="V763" s="154"/>
      <c r="W763" s="154"/>
      <c r="X763" s="154"/>
      <c r="Y763" s="154"/>
      <c r="Z763" s="154"/>
    </row>
    <row r="764" spans="2:26" ht="27">
      <c r="B764" s="165" t="s">
        <v>3004</v>
      </c>
      <c r="C764" s="165"/>
      <c r="D764" s="165"/>
      <c r="E764" s="403">
        <v>157753</v>
      </c>
      <c r="F764" s="165">
        <v>30</v>
      </c>
      <c r="G764" s="405">
        <v>53174</v>
      </c>
      <c r="H764" s="404">
        <v>10958</v>
      </c>
      <c r="I764" s="404">
        <v>7887.6500000000005</v>
      </c>
      <c r="J764" s="403">
        <v>149865.35</v>
      </c>
      <c r="K764" s="404">
        <v>365</v>
      </c>
      <c r="L764" s="403">
        <v>4992</v>
      </c>
      <c r="M764" s="403">
        <v>29966</v>
      </c>
      <c r="N764" s="403">
        <v>127787</v>
      </c>
      <c r="O764" s="154"/>
      <c r="P764" s="154"/>
      <c r="Q764" s="154"/>
      <c r="R764" s="154"/>
      <c r="S764" s="154"/>
      <c r="T764" s="154"/>
      <c r="U764" s="154"/>
      <c r="V764" s="154"/>
      <c r="W764" s="154"/>
      <c r="X764" s="154"/>
      <c r="Y764" s="154"/>
      <c r="Z764" s="154"/>
    </row>
    <row r="765" spans="2:26" ht="27">
      <c r="B765" s="165" t="s">
        <v>3900</v>
      </c>
      <c r="C765" s="165"/>
      <c r="D765" s="165"/>
      <c r="E765" s="403">
        <v>6081157</v>
      </c>
      <c r="F765" s="165">
        <v>30</v>
      </c>
      <c r="G765" s="405">
        <v>53174</v>
      </c>
      <c r="H765" s="404">
        <v>10958</v>
      </c>
      <c r="I765" s="404">
        <v>304057.85000000003</v>
      </c>
      <c r="J765" s="403">
        <v>5777099.1500000004</v>
      </c>
      <c r="K765" s="404">
        <v>365</v>
      </c>
      <c r="L765" s="403">
        <v>192429</v>
      </c>
      <c r="M765" s="403">
        <v>1107127</v>
      </c>
      <c r="N765" s="403">
        <v>4974030</v>
      </c>
      <c r="O765" s="154"/>
      <c r="P765" s="154"/>
      <c r="Q765" s="154"/>
      <c r="R765" s="154"/>
      <c r="S765" s="154"/>
      <c r="T765" s="154"/>
      <c r="U765" s="154"/>
      <c r="V765" s="154"/>
      <c r="W765" s="154"/>
      <c r="X765" s="154"/>
      <c r="Y765" s="154"/>
      <c r="Z765" s="154"/>
    </row>
    <row r="766" spans="2:26" ht="27">
      <c r="B766" s="165" t="s">
        <v>3916</v>
      </c>
      <c r="C766" s="165"/>
      <c r="D766" s="165"/>
      <c r="E766" s="403">
        <v>-2861319</v>
      </c>
      <c r="F766" s="165">
        <v>30</v>
      </c>
      <c r="G766" s="405">
        <v>53174</v>
      </c>
      <c r="H766" s="404">
        <v>10958</v>
      </c>
      <c r="I766" s="403">
        <v>-143065.95000000001</v>
      </c>
      <c r="J766" s="403">
        <v>-2718253.05</v>
      </c>
      <c r="K766" s="404">
        <v>365</v>
      </c>
      <c r="L766" s="403">
        <v>-90542</v>
      </c>
      <c r="M766" s="403">
        <v>-498105</v>
      </c>
      <c r="N766" s="403">
        <v>-2363214</v>
      </c>
      <c r="O766" s="154"/>
      <c r="P766" s="154"/>
      <c r="Q766" s="154"/>
      <c r="R766" s="154"/>
      <c r="S766" s="154"/>
      <c r="T766" s="154"/>
      <c r="U766" s="154"/>
      <c r="V766" s="154"/>
      <c r="W766" s="154"/>
      <c r="X766" s="154"/>
      <c r="Y766" s="154"/>
      <c r="Z766" s="154"/>
    </row>
    <row r="767" spans="2:26" ht="27">
      <c r="B767" s="165" t="s">
        <v>3919</v>
      </c>
      <c r="C767" s="165"/>
      <c r="D767" s="165"/>
      <c r="E767" s="403">
        <v>4301269</v>
      </c>
      <c r="F767" s="165">
        <v>30</v>
      </c>
      <c r="G767" s="405">
        <v>53174</v>
      </c>
      <c r="H767" s="404">
        <v>10958</v>
      </c>
      <c r="I767" s="403">
        <v>215063.45</v>
      </c>
      <c r="J767" s="403">
        <v>4086205.55</v>
      </c>
      <c r="K767" s="404">
        <v>365</v>
      </c>
      <c r="L767" s="403">
        <v>136107</v>
      </c>
      <c r="M767" s="403">
        <v>714469</v>
      </c>
      <c r="N767" s="403">
        <v>3586800</v>
      </c>
      <c r="O767" s="154"/>
      <c r="P767" s="154"/>
      <c r="Q767" s="154"/>
      <c r="R767" s="154"/>
      <c r="S767" s="154"/>
      <c r="T767" s="154"/>
      <c r="U767" s="154"/>
      <c r="V767" s="154"/>
      <c r="W767" s="154"/>
      <c r="X767" s="154"/>
      <c r="Y767" s="154"/>
      <c r="Z767" s="154"/>
    </row>
    <row r="768" spans="2:26" ht="27">
      <c r="B768" s="165" t="s">
        <v>4047</v>
      </c>
      <c r="C768" s="165"/>
      <c r="D768" s="165"/>
      <c r="E768" s="403">
        <v>-7800559</v>
      </c>
      <c r="F768" s="165">
        <v>30</v>
      </c>
      <c r="G768" s="405">
        <v>53174</v>
      </c>
      <c r="H768" s="404">
        <v>10958</v>
      </c>
      <c r="I768" s="403">
        <v>-390027.95</v>
      </c>
      <c r="J768" s="403">
        <v>-7410531.0499999998</v>
      </c>
      <c r="K768" s="404">
        <v>365</v>
      </c>
      <c r="L768" s="403">
        <v>-246837</v>
      </c>
      <c r="M768" s="403">
        <v>-1234862</v>
      </c>
      <c r="N768" s="403">
        <v>-6565697</v>
      </c>
      <c r="O768" s="154"/>
      <c r="P768" s="154"/>
      <c r="Q768" s="154"/>
      <c r="R768" s="154"/>
      <c r="S768" s="154"/>
      <c r="T768" s="154"/>
      <c r="U768" s="154"/>
      <c r="V768" s="154"/>
      <c r="W768" s="154"/>
      <c r="X768" s="154"/>
      <c r="Y768" s="154"/>
      <c r="Z768" s="154"/>
    </row>
    <row r="769" spans="2:26" ht="27">
      <c r="B769" s="165" t="s">
        <v>4072</v>
      </c>
      <c r="C769" s="165"/>
      <c r="D769" s="165"/>
      <c r="E769" s="403">
        <v>-48374</v>
      </c>
      <c r="F769" s="165">
        <v>30</v>
      </c>
      <c r="G769" s="405">
        <v>53174</v>
      </c>
      <c r="H769" s="404">
        <v>10958</v>
      </c>
      <c r="I769" s="403">
        <v>-2418.7000000000003</v>
      </c>
      <c r="J769" s="403">
        <v>-45955.3</v>
      </c>
      <c r="K769" s="404">
        <v>365</v>
      </c>
      <c r="L769" s="403">
        <v>-1531</v>
      </c>
      <c r="M769" s="403">
        <v>-7338</v>
      </c>
      <c r="N769" s="403">
        <v>-41036</v>
      </c>
      <c r="O769" s="154"/>
      <c r="P769" s="154"/>
      <c r="Q769" s="154"/>
      <c r="R769" s="154"/>
      <c r="S769" s="154"/>
      <c r="T769" s="154"/>
      <c r="U769" s="154"/>
      <c r="V769" s="154"/>
      <c r="W769" s="154"/>
      <c r="X769" s="154"/>
      <c r="Y769" s="154"/>
      <c r="Z769" s="154"/>
    </row>
    <row r="770" spans="2:26" ht="27">
      <c r="B770" s="165" t="s">
        <v>4079</v>
      </c>
      <c r="C770" s="165"/>
      <c r="D770" s="165"/>
      <c r="E770" s="403">
        <v>948110</v>
      </c>
      <c r="F770" s="165">
        <v>30</v>
      </c>
      <c r="G770" s="405">
        <v>53174</v>
      </c>
      <c r="H770" s="404">
        <v>10958</v>
      </c>
      <c r="I770" s="403">
        <v>47405.5</v>
      </c>
      <c r="J770" s="403">
        <v>900704.5</v>
      </c>
      <c r="K770" s="404">
        <v>365</v>
      </c>
      <c r="L770" s="403">
        <v>30002</v>
      </c>
      <c r="M770" s="403">
        <v>135845</v>
      </c>
      <c r="N770" s="403">
        <v>812265</v>
      </c>
      <c r="O770" s="154"/>
      <c r="P770" s="154"/>
      <c r="Q770" s="154"/>
      <c r="R770" s="154"/>
      <c r="S770" s="154"/>
      <c r="T770" s="154"/>
      <c r="U770" s="154"/>
      <c r="V770" s="154"/>
      <c r="W770" s="154"/>
      <c r="X770" s="154"/>
      <c r="Y770" s="154"/>
      <c r="Z770" s="154"/>
    </row>
    <row r="771" spans="2:26" ht="27">
      <c r="B771" s="165" t="s">
        <v>4257</v>
      </c>
      <c r="C771" s="165"/>
      <c r="D771" s="165"/>
      <c r="E771" s="403">
        <v>-2598038</v>
      </c>
      <c r="F771" s="165">
        <v>30</v>
      </c>
      <c r="G771" s="405">
        <v>53174</v>
      </c>
      <c r="H771" s="404">
        <v>10958</v>
      </c>
      <c r="I771" s="403">
        <v>-129901.90000000001</v>
      </c>
      <c r="J771" s="403">
        <v>-2468136.1</v>
      </c>
      <c r="K771" s="404">
        <v>365</v>
      </c>
      <c r="L771" s="403">
        <v>-82211</v>
      </c>
      <c r="M771" s="403">
        <v>-350433</v>
      </c>
      <c r="N771" s="403">
        <v>-2247605</v>
      </c>
      <c r="O771" s="154"/>
      <c r="P771" s="154"/>
      <c r="Q771" s="154"/>
      <c r="R771" s="154"/>
      <c r="S771" s="154"/>
      <c r="T771" s="154"/>
      <c r="U771" s="154"/>
      <c r="V771" s="154"/>
      <c r="W771" s="154"/>
      <c r="X771" s="154"/>
      <c r="Y771" s="154"/>
      <c r="Z771" s="154"/>
    </row>
    <row r="772" spans="2:26" ht="27">
      <c r="B772" s="165" t="s">
        <v>4275</v>
      </c>
      <c r="C772" s="419"/>
      <c r="D772" s="419"/>
      <c r="E772" s="421">
        <v>2467125</v>
      </c>
      <c r="F772" s="165">
        <v>30</v>
      </c>
      <c r="G772" s="405">
        <v>53174</v>
      </c>
      <c r="H772" s="404">
        <v>10958</v>
      </c>
      <c r="I772" s="403">
        <v>123356.25</v>
      </c>
      <c r="J772" s="403">
        <v>2343768.75</v>
      </c>
      <c r="K772" s="404">
        <v>365</v>
      </c>
      <c r="L772" s="403">
        <v>78069</v>
      </c>
      <c r="M772" s="403">
        <v>312489</v>
      </c>
      <c r="N772" s="403">
        <v>2154636</v>
      </c>
      <c r="O772" s="154"/>
      <c r="P772" s="154"/>
      <c r="Q772" s="154"/>
      <c r="R772" s="154"/>
      <c r="S772" s="154"/>
      <c r="T772" s="154"/>
      <c r="U772" s="154"/>
      <c r="V772" s="154"/>
      <c r="W772" s="154"/>
      <c r="X772" s="154"/>
      <c r="Y772" s="154"/>
      <c r="Z772" s="154"/>
    </row>
    <row r="773" spans="2:26" ht="27">
      <c r="B773" s="165" t="s">
        <v>4306</v>
      </c>
      <c r="C773" s="419"/>
      <c r="D773" s="419"/>
      <c r="E773" s="429">
        <v>140</v>
      </c>
      <c r="F773" s="165">
        <v>30</v>
      </c>
      <c r="G773" s="405">
        <v>53174</v>
      </c>
      <c r="H773" s="404">
        <v>10958</v>
      </c>
      <c r="I773" s="403">
        <v>7</v>
      </c>
      <c r="J773" s="403">
        <v>133</v>
      </c>
      <c r="K773" s="404">
        <v>365</v>
      </c>
      <c r="L773" s="403">
        <v>4</v>
      </c>
      <c r="M773" s="403">
        <v>14</v>
      </c>
      <c r="N773" s="403">
        <v>126</v>
      </c>
      <c r="O773" s="154"/>
      <c r="P773" s="154"/>
      <c r="Q773" s="154"/>
      <c r="R773" s="154"/>
      <c r="S773" s="154"/>
      <c r="T773" s="154"/>
      <c r="U773" s="154"/>
      <c r="V773" s="154"/>
      <c r="W773" s="154"/>
      <c r="X773" s="154"/>
      <c r="Y773" s="154"/>
      <c r="Z773" s="154"/>
    </row>
    <row r="774" spans="2:26" ht="27">
      <c r="B774" s="165" t="s">
        <v>4332</v>
      </c>
      <c r="C774" s="419"/>
      <c r="D774" s="419"/>
      <c r="E774" s="429">
        <v>11195356</v>
      </c>
      <c r="F774" s="165">
        <v>30</v>
      </c>
      <c r="G774" s="405">
        <v>53174</v>
      </c>
      <c r="H774" s="404">
        <v>10958</v>
      </c>
      <c r="I774" s="403">
        <v>559767.80000000005</v>
      </c>
      <c r="J774" s="403">
        <v>10635588.199999999</v>
      </c>
      <c r="K774" s="404">
        <v>365</v>
      </c>
      <c r="L774" s="403">
        <v>354261</v>
      </c>
      <c r="M774" s="403">
        <v>1063753</v>
      </c>
      <c r="N774" s="403">
        <v>10131603</v>
      </c>
      <c r="O774" s="154"/>
      <c r="P774" s="154"/>
      <c r="Q774" s="154"/>
      <c r="R774" s="154"/>
      <c r="S774" s="154"/>
      <c r="T774" s="154"/>
      <c r="U774" s="154"/>
      <c r="V774" s="154"/>
      <c r="W774" s="154"/>
      <c r="X774" s="154"/>
      <c r="Y774" s="154"/>
      <c r="Z774" s="154"/>
    </row>
    <row r="775" spans="2:26" ht="27">
      <c r="B775" s="165" t="s">
        <v>4413</v>
      </c>
      <c r="C775" s="422"/>
      <c r="D775" s="422"/>
      <c r="E775" s="427">
        <v>13209922</v>
      </c>
      <c r="F775" s="165">
        <v>30</v>
      </c>
      <c r="G775" s="405">
        <v>53174</v>
      </c>
      <c r="H775" s="404">
        <v>10958</v>
      </c>
      <c r="I775" s="403">
        <v>660496.10000000009</v>
      </c>
      <c r="J775" s="403">
        <v>12549425.9</v>
      </c>
      <c r="K775" s="404">
        <v>365</v>
      </c>
      <c r="L775" s="403">
        <v>418009</v>
      </c>
      <c r="M775" s="403">
        <v>836056</v>
      </c>
      <c r="N775" s="403">
        <v>12373866</v>
      </c>
      <c r="O775" s="154"/>
      <c r="P775" s="154"/>
      <c r="Q775" s="154"/>
      <c r="R775" s="154"/>
      <c r="S775" s="154"/>
      <c r="T775" s="154"/>
      <c r="U775" s="154"/>
      <c r="V775" s="154"/>
      <c r="W775" s="154"/>
      <c r="X775" s="154"/>
      <c r="Y775" s="154"/>
      <c r="Z775" s="154"/>
    </row>
    <row r="776" spans="2:26" ht="27">
      <c r="B776" s="165" t="s">
        <v>4429</v>
      </c>
      <c r="C776" s="422"/>
      <c r="D776" s="422"/>
      <c r="E776" s="427">
        <v>1189401</v>
      </c>
      <c r="F776" s="165">
        <v>30</v>
      </c>
      <c r="G776" s="405">
        <v>53174</v>
      </c>
      <c r="H776" s="404">
        <v>10958</v>
      </c>
      <c r="I776" s="403">
        <v>59470.05</v>
      </c>
      <c r="J776" s="403">
        <v>1129930.95</v>
      </c>
      <c r="K776" s="404">
        <v>365</v>
      </c>
      <c r="L776" s="403">
        <v>37637</v>
      </c>
      <c r="M776" s="403">
        <v>65893</v>
      </c>
      <c r="N776" s="403">
        <v>1123508</v>
      </c>
      <c r="O776" s="154"/>
      <c r="P776" s="154"/>
      <c r="Q776" s="154"/>
      <c r="R776" s="154"/>
      <c r="S776" s="154"/>
      <c r="T776" s="154"/>
      <c r="U776" s="154"/>
      <c r="V776" s="154"/>
      <c r="W776" s="154"/>
      <c r="X776" s="154"/>
      <c r="Y776" s="154"/>
      <c r="Z776" s="154"/>
    </row>
    <row r="777" spans="2:26" ht="27">
      <c r="B777" s="165" t="s">
        <v>4461</v>
      </c>
      <c r="C777" s="422"/>
      <c r="D777" s="422"/>
      <c r="E777" s="427">
        <v>-4121790</v>
      </c>
      <c r="F777" s="165">
        <v>30</v>
      </c>
      <c r="G777" s="405">
        <v>53174</v>
      </c>
      <c r="H777" s="404">
        <v>10958</v>
      </c>
      <c r="I777" s="403">
        <v>-206089.5</v>
      </c>
      <c r="J777" s="403">
        <v>-3915700.5</v>
      </c>
      <c r="K777" s="404">
        <v>365</v>
      </c>
      <c r="L777" s="403">
        <v>-130428</v>
      </c>
      <c r="M777" s="403">
        <v>-195469</v>
      </c>
      <c r="N777" s="403">
        <v>-3926321</v>
      </c>
      <c r="O777" s="154"/>
      <c r="P777" s="154"/>
      <c r="Q777" s="154"/>
      <c r="R777" s="154"/>
      <c r="S777" s="154"/>
      <c r="T777" s="154"/>
      <c r="U777" s="154"/>
      <c r="V777" s="154"/>
      <c r="W777" s="154"/>
      <c r="X777" s="154"/>
      <c r="Y777" s="154"/>
      <c r="Z777" s="154"/>
    </row>
    <row r="778" spans="2:26" ht="27">
      <c r="B778" s="165" t="s">
        <v>4537</v>
      </c>
      <c r="C778" s="422"/>
      <c r="D778" s="422"/>
      <c r="E778" s="427">
        <v>-1529076</v>
      </c>
      <c r="F778" s="165">
        <v>30</v>
      </c>
      <c r="G778" s="405">
        <v>53174</v>
      </c>
      <c r="H778" s="404">
        <v>10958</v>
      </c>
      <c r="I778" s="403">
        <v>-76453.8</v>
      </c>
      <c r="J778" s="403">
        <v>-1452622.2</v>
      </c>
      <c r="K778" s="404">
        <v>365</v>
      </c>
      <c r="L778" s="403">
        <v>-48385</v>
      </c>
      <c r="M778" s="403">
        <v>-60317</v>
      </c>
      <c r="N778" s="403">
        <v>-1468759</v>
      </c>
      <c r="O778" s="154"/>
      <c r="P778" s="154"/>
      <c r="Q778" s="154"/>
      <c r="R778" s="154"/>
      <c r="S778" s="154"/>
      <c r="T778" s="154"/>
      <c r="U778" s="154"/>
      <c r="V778" s="154"/>
      <c r="W778" s="154"/>
      <c r="X778" s="154"/>
      <c r="Y778" s="154"/>
      <c r="Z778" s="154"/>
    </row>
    <row r="779" spans="2:26" ht="27">
      <c r="B779" s="165" t="s">
        <v>4566</v>
      </c>
      <c r="C779" s="422"/>
      <c r="D779" s="422"/>
      <c r="E779" s="427">
        <v>694172</v>
      </c>
      <c r="F779" s="165">
        <v>30</v>
      </c>
      <c r="G779" s="405">
        <v>53174</v>
      </c>
      <c r="H779" s="404">
        <v>10958</v>
      </c>
      <c r="I779" s="403">
        <v>34708.6</v>
      </c>
      <c r="J779" s="403">
        <v>659463.4</v>
      </c>
      <c r="K779" s="404">
        <v>365</v>
      </c>
      <c r="L779" s="403">
        <v>21966</v>
      </c>
      <c r="M779" s="403">
        <v>21966</v>
      </c>
      <c r="N779" s="403">
        <v>672206</v>
      </c>
      <c r="O779" s="154"/>
      <c r="P779" s="154"/>
      <c r="Q779" s="154"/>
      <c r="R779" s="154"/>
      <c r="S779" s="154"/>
      <c r="T779" s="154"/>
      <c r="U779" s="154"/>
      <c r="V779" s="154"/>
      <c r="W779" s="154"/>
      <c r="X779" s="154"/>
      <c r="Y779" s="154"/>
      <c r="Z779" s="154"/>
    </row>
    <row r="780" spans="2:26" ht="27">
      <c r="B780" s="165" t="s">
        <v>4596</v>
      </c>
      <c r="C780" s="422"/>
      <c r="D780" s="422"/>
      <c r="E780" s="427">
        <v>2456607</v>
      </c>
      <c r="F780" s="165">
        <v>30</v>
      </c>
      <c r="G780" s="405">
        <v>53174</v>
      </c>
      <c r="H780" s="404">
        <v>10958</v>
      </c>
      <c r="I780" s="403">
        <v>122830.35</v>
      </c>
      <c r="J780" s="403">
        <v>2333776.65</v>
      </c>
      <c r="K780" s="404">
        <v>274</v>
      </c>
      <c r="L780" s="403">
        <v>58355</v>
      </c>
      <c r="M780" s="403">
        <v>58355</v>
      </c>
      <c r="N780" s="403">
        <v>2398252</v>
      </c>
      <c r="O780" s="154"/>
      <c r="P780" s="154"/>
      <c r="Q780" s="154"/>
      <c r="R780" s="154"/>
      <c r="S780" s="154"/>
      <c r="T780" s="154"/>
      <c r="U780" s="154"/>
      <c r="V780" s="154"/>
      <c r="W780" s="154"/>
      <c r="X780" s="154"/>
      <c r="Y780" s="154"/>
      <c r="Z780" s="154"/>
    </row>
    <row r="781" spans="2:26" ht="27">
      <c r="B781" s="165" t="s">
        <v>4621</v>
      </c>
      <c r="C781" s="422"/>
      <c r="D781" s="422"/>
      <c r="E781" s="427">
        <v>-183437</v>
      </c>
      <c r="F781" s="165">
        <v>30</v>
      </c>
      <c r="G781" s="405">
        <v>53174</v>
      </c>
      <c r="H781" s="404">
        <v>10958</v>
      </c>
      <c r="I781" s="403">
        <v>-9171.85</v>
      </c>
      <c r="J781" s="403">
        <v>-174265.15</v>
      </c>
      <c r="K781" s="404">
        <v>182</v>
      </c>
      <c r="L781" s="403">
        <v>-2894</v>
      </c>
      <c r="M781" s="403">
        <v>-2894</v>
      </c>
      <c r="N781" s="403">
        <v>-180543</v>
      </c>
      <c r="O781" s="154"/>
      <c r="P781" s="154"/>
      <c r="Q781" s="154"/>
      <c r="R781" s="154"/>
      <c r="S781" s="154"/>
      <c r="T781" s="154"/>
      <c r="U781" s="154"/>
      <c r="V781" s="154"/>
      <c r="W781" s="154"/>
      <c r="X781" s="154"/>
      <c r="Y781" s="154"/>
      <c r="Z781" s="154"/>
    </row>
    <row r="782" spans="2:26" ht="27">
      <c r="B782" s="165" t="s">
        <v>4634</v>
      </c>
      <c r="C782" s="422"/>
      <c r="D782" s="422"/>
      <c r="E782" s="427">
        <v>378322</v>
      </c>
      <c r="F782" s="165">
        <v>30</v>
      </c>
      <c r="G782" s="405">
        <v>53174</v>
      </c>
      <c r="H782" s="404">
        <v>10958</v>
      </c>
      <c r="I782" s="403">
        <v>18916.100000000002</v>
      </c>
      <c r="J782" s="403">
        <v>359405.9</v>
      </c>
      <c r="K782" s="404">
        <v>90</v>
      </c>
      <c r="L782" s="403">
        <v>2952</v>
      </c>
      <c r="M782" s="403">
        <v>2952</v>
      </c>
      <c r="N782" s="403">
        <v>375370</v>
      </c>
      <c r="O782" s="154"/>
      <c r="P782" s="154"/>
      <c r="Q782" s="154"/>
      <c r="R782" s="154"/>
      <c r="S782" s="154"/>
      <c r="T782" s="154"/>
      <c r="U782" s="154"/>
      <c r="V782" s="154"/>
      <c r="W782" s="154"/>
      <c r="X782" s="154"/>
      <c r="Y782" s="154"/>
      <c r="Z782" s="154"/>
    </row>
    <row r="783" spans="2:26" ht="27">
      <c r="B783" s="165" t="s">
        <v>4653</v>
      </c>
      <c r="C783" s="422"/>
      <c r="D783" s="422"/>
      <c r="E783" s="427">
        <v>3048482</v>
      </c>
      <c r="F783" s="165">
        <v>30</v>
      </c>
      <c r="G783" s="405">
        <v>53174</v>
      </c>
      <c r="H783" s="404">
        <v>10958</v>
      </c>
      <c r="I783" s="403">
        <v>152424.1</v>
      </c>
      <c r="J783" s="403">
        <v>2896057.9</v>
      </c>
      <c r="K783" s="404">
        <v>0</v>
      </c>
      <c r="L783" s="403">
        <v>0</v>
      </c>
      <c r="M783" s="403">
        <v>0</v>
      </c>
      <c r="N783" s="403">
        <v>3048482</v>
      </c>
      <c r="O783" s="154"/>
      <c r="P783" s="154"/>
      <c r="Q783" s="154"/>
      <c r="R783" s="154"/>
      <c r="S783" s="154"/>
      <c r="T783" s="154"/>
      <c r="U783" s="154"/>
      <c r="V783" s="154"/>
      <c r="W783" s="154"/>
      <c r="X783" s="154"/>
      <c r="Y783" s="154"/>
      <c r="Z783" s="154"/>
    </row>
    <row r="784" spans="2:26">
      <c r="B784" s="422"/>
      <c r="C784" s="422"/>
      <c r="D784" s="422"/>
      <c r="E784" s="427"/>
      <c r="F784" s="422"/>
      <c r="G784" s="426"/>
      <c r="H784" s="425"/>
      <c r="I784" s="427"/>
      <c r="J784" s="427"/>
      <c r="K784" s="425"/>
      <c r="L784" s="425"/>
      <c r="M784" s="425"/>
      <c r="N784" s="425"/>
      <c r="O784" s="154"/>
      <c r="P784" s="154"/>
      <c r="Q784" s="154"/>
      <c r="R784" s="154"/>
      <c r="S784" s="154"/>
      <c r="T784" s="154"/>
      <c r="U784" s="154"/>
      <c r="V784" s="154"/>
      <c r="W784" s="154"/>
      <c r="X784" s="154"/>
      <c r="Y784" s="154"/>
      <c r="Z784" s="154"/>
    </row>
    <row r="785" spans="2:26" ht="14.25">
      <c r="B785" s="411"/>
      <c r="C785" s="165"/>
      <c r="D785" s="165"/>
      <c r="E785" s="413"/>
      <c r="F785" s="165"/>
      <c r="G785" s="165"/>
      <c r="H785" s="165"/>
      <c r="I785" s="165"/>
      <c r="J785" s="404"/>
      <c r="K785" s="165"/>
      <c r="L785" s="412"/>
      <c r="M785" s="412"/>
      <c r="N785" s="412"/>
    </row>
    <row r="786" spans="2:26" ht="14.25">
      <c r="B786" s="411" t="s">
        <v>1837</v>
      </c>
      <c r="C786" s="165"/>
      <c r="D786" s="165"/>
      <c r="E786" s="413">
        <f>SUBTOTAL(9,E758:E785)</f>
        <v>38312733</v>
      </c>
      <c r="F786" s="165"/>
      <c r="G786" s="165"/>
      <c r="H786" s="413"/>
      <c r="I786" s="413"/>
      <c r="J786" s="413"/>
      <c r="K786" s="165"/>
      <c r="L786" s="412">
        <f>SUBTOTAL(9,L758:L785)</f>
        <v>1090397</v>
      </c>
      <c r="M786" s="412">
        <f>SUBTOTAL(9,M758:M785)</f>
        <v>4395636</v>
      </c>
      <c r="N786" s="412">
        <f>SUBTOTAL(9,N758:N785)</f>
        <v>33917097</v>
      </c>
    </row>
    <row r="787" spans="2:26" ht="14.25">
      <c r="B787" s="411" t="s">
        <v>754</v>
      </c>
      <c r="C787" s="165"/>
      <c r="D787" s="165"/>
      <c r="E787" s="413">
        <f>+SUBTOTAL(9,E731:E786)</f>
        <v>7810106274.3192091</v>
      </c>
      <c r="F787" s="165"/>
      <c r="G787" s="165"/>
      <c r="H787" s="413"/>
      <c r="I787" s="413"/>
      <c r="J787" s="413"/>
      <c r="K787" s="165"/>
      <c r="L787" s="413">
        <f>+SUBTOTAL(9,L731:L786)</f>
        <v>209519961</v>
      </c>
      <c r="M787" s="413">
        <f>+SUBTOTAL(9,M731:M786)</f>
        <v>1394898782</v>
      </c>
      <c r="N787" s="413">
        <f>+SUBTOTAL(9,N731:N786)</f>
        <v>6415207492.3192101</v>
      </c>
    </row>
    <row r="788" spans="2:26" ht="14.25">
      <c r="B788" s="165"/>
      <c r="C788" s="165"/>
      <c r="D788" s="165"/>
      <c r="E788" s="413"/>
      <c r="F788" s="165"/>
      <c r="G788" s="165"/>
      <c r="H788" s="165"/>
      <c r="I788" s="165"/>
      <c r="J788" s="404"/>
      <c r="K788" s="165"/>
      <c r="L788" s="165"/>
      <c r="M788" s="165"/>
      <c r="N788" s="165"/>
    </row>
    <row r="789" spans="2:26" ht="14.25">
      <c r="B789" s="411" t="str">
        <f>+B790</f>
        <v>Non plant buildings</v>
      </c>
      <c r="C789" s="165"/>
      <c r="D789" s="165"/>
      <c r="E789" s="418"/>
      <c r="F789" s="165"/>
      <c r="G789" s="165"/>
      <c r="H789" s="165"/>
      <c r="I789" s="165"/>
      <c r="J789" s="404"/>
      <c r="K789" s="165"/>
      <c r="L789" s="165"/>
      <c r="M789" s="165"/>
      <c r="N789" s="165"/>
    </row>
    <row r="790" spans="2:26" outlineLevel="1">
      <c r="B790" s="165" t="s">
        <v>3639</v>
      </c>
      <c r="C790" s="165" t="s">
        <v>2338</v>
      </c>
      <c r="D790" s="165" t="s">
        <v>3811</v>
      </c>
      <c r="E790" s="404">
        <v>2043616.1325572736</v>
      </c>
      <c r="F790" s="165">
        <v>1</v>
      </c>
      <c r="G790" s="405">
        <v>42582</v>
      </c>
      <c r="H790" s="404">
        <v>366</v>
      </c>
      <c r="I790" s="404">
        <v>102180.80662786368</v>
      </c>
      <c r="J790" s="404">
        <v>1941435.3259294098</v>
      </c>
      <c r="K790" s="404">
        <v>0</v>
      </c>
      <c r="L790" s="403">
        <v>0</v>
      </c>
      <c r="M790" s="403">
        <v>2043616</v>
      </c>
      <c r="N790" s="403">
        <v>0.13255727360956371</v>
      </c>
      <c r="O790" s="154"/>
      <c r="P790" s="154"/>
      <c r="Q790" s="154"/>
      <c r="R790" s="154"/>
      <c r="S790" s="154"/>
      <c r="T790" s="154"/>
      <c r="U790" s="154"/>
      <c r="V790" s="154"/>
      <c r="W790" s="154"/>
      <c r="X790" s="154"/>
      <c r="Y790" s="154"/>
      <c r="Z790" s="154"/>
    </row>
    <row r="791" spans="2:26" ht="27" outlineLevel="1">
      <c r="B791" s="165" t="s">
        <v>3639</v>
      </c>
      <c r="C791" s="165" t="s">
        <v>2341</v>
      </c>
      <c r="D791" s="165" t="s">
        <v>3812</v>
      </c>
      <c r="E791" s="404">
        <v>100467.11327575336</v>
      </c>
      <c r="F791" s="165">
        <v>2</v>
      </c>
      <c r="G791" s="405">
        <v>42947</v>
      </c>
      <c r="H791" s="404">
        <v>731</v>
      </c>
      <c r="I791" s="404">
        <v>5023.3556637876682</v>
      </c>
      <c r="J791" s="404">
        <v>95443.757611965702</v>
      </c>
      <c r="K791" s="404">
        <v>0</v>
      </c>
      <c r="L791" s="403">
        <v>0</v>
      </c>
      <c r="M791" s="403">
        <v>100467</v>
      </c>
      <c r="N791" s="403">
        <v>0.11327575336326845</v>
      </c>
      <c r="O791" s="154"/>
      <c r="P791" s="154"/>
      <c r="Q791" s="154"/>
      <c r="R791" s="154"/>
      <c r="S791" s="154"/>
      <c r="T791" s="154"/>
      <c r="U791" s="154"/>
      <c r="V791" s="154"/>
      <c r="W791" s="154"/>
      <c r="X791" s="154"/>
      <c r="Y791" s="154"/>
      <c r="Z791" s="154"/>
    </row>
    <row r="792" spans="2:26" ht="27" outlineLevel="1">
      <c r="B792" s="165" t="s">
        <v>3639</v>
      </c>
      <c r="C792" s="165" t="s">
        <v>2806</v>
      </c>
      <c r="D792" s="165" t="s">
        <v>2806</v>
      </c>
      <c r="E792" s="404">
        <v>5690648.5250803139</v>
      </c>
      <c r="F792" s="165">
        <v>25</v>
      </c>
      <c r="G792" s="405">
        <v>51348</v>
      </c>
      <c r="H792" s="404">
        <v>9132</v>
      </c>
      <c r="I792" s="404">
        <v>284532.42625401571</v>
      </c>
      <c r="J792" s="404">
        <v>5406116.0988262985</v>
      </c>
      <c r="K792" s="404">
        <v>365</v>
      </c>
      <c r="L792" s="403">
        <v>216079</v>
      </c>
      <c r="M792" s="403">
        <v>1441522</v>
      </c>
      <c r="N792" s="403">
        <v>4249126.5250803139</v>
      </c>
      <c r="O792" s="154"/>
      <c r="P792" s="154"/>
      <c r="Q792" s="154"/>
      <c r="R792" s="154"/>
      <c r="S792" s="154"/>
      <c r="T792" s="154"/>
      <c r="U792" s="154"/>
      <c r="V792" s="154"/>
      <c r="W792" s="154"/>
      <c r="X792" s="154"/>
      <c r="Y792" s="154"/>
      <c r="Z792" s="154"/>
    </row>
    <row r="793" spans="2:26" outlineLevel="1">
      <c r="B793" s="165" t="s">
        <v>3639</v>
      </c>
      <c r="C793" s="165" t="s">
        <v>2612</v>
      </c>
      <c r="D793" s="165" t="s">
        <v>2807</v>
      </c>
      <c r="E793" s="404">
        <v>729413.34021695948</v>
      </c>
      <c r="F793" s="165">
        <v>5</v>
      </c>
      <c r="G793" s="405">
        <v>44043</v>
      </c>
      <c r="H793" s="404">
        <v>1827</v>
      </c>
      <c r="I793" s="404">
        <v>36470.667010847974</v>
      </c>
      <c r="J793" s="404">
        <v>692942.67320611153</v>
      </c>
      <c r="K793" s="404">
        <v>0</v>
      </c>
      <c r="L793" s="403">
        <v>0</v>
      </c>
      <c r="M793" s="403">
        <v>729413</v>
      </c>
      <c r="N793" s="403">
        <v>0.34021695947740227</v>
      </c>
      <c r="O793" s="154"/>
      <c r="P793" s="154"/>
      <c r="Q793" s="154"/>
      <c r="R793" s="154"/>
      <c r="S793" s="154"/>
      <c r="T793" s="154"/>
      <c r="U793" s="154"/>
      <c r="V793" s="154"/>
      <c r="W793" s="154"/>
      <c r="X793" s="154"/>
      <c r="Y793" s="154"/>
      <c r="Z793" s="154"/>
    </row>
    <row r="794" spans="2:26" outlineLevel="1">
      <c r="B794" s="165" t="s">
        <v>3639</v>
      </c>
      <c r="C794" s="165" t="s">
        <v>2345</v>
      </c>
      <c r="D794" s="165"/>
      <c r="E794" s="404">
        <v>472399.28570498829</v>
      </c>
      <c r="F794" s="404">
        <v>10</v>
      </c>
      <c r="G794" s="405">
        <v>45869</v>
      </c>
      <c r="H794" s="404">
        <v>3653</v>
      </c>
      <c r="I794" s="404">
        <v>23619.964285249414</v>
      </c>
      <c r="J794" s="404">
        <v>448779.32141973887</v>
      </c>
      <c r="K794" s="404">
        <v>365</v>
      </c>
      <c r="L794" s="403">
        <v>44841</v>
      </c>
      <c r="M794" s="403">
        <v>299147</v>
      </c>
      <c r="N794" s="403">
        <v>173252.28570498829</v>
      </c>
      <c r="O794" s="154"/>
      <c r="P794" s="154"/>
      <c r="Q794" s="154"/>
      <c r="R794" s="154"/>
      <c r="S794" s="154"/>
      <c r="T794" s="154"/>
      <c r="U794" s="154"/>
      <c r="V794" s="154"/>
      <c r="W794" s="154"/>
      <c r="X794" s="154"/>
      <c r="Y794" s="154"/>
      <c r="Z794" s="154"/>
    </row>
    <row r="795" spans="2:26" outlineLevel="1">
      <c r="B795" s="165" t="s">
        <v>3639</v>
      </c>
      <c r="C795" s="165" t="s">
        <v>2346</v>
      </c>
      <c r="D795" s="165"/>
      <c r="E795" s="404">
        <v>885442.55932801799</v>
      </c>
      <c r="F795" s="165">
        <v>3</v>
      </c>
      <c r="G795" s="405">
        <v>43312</v>
      </c>
      <c r="H795" s="404">
        <v>1096</v>
      </c>
      <c r="I795" s="404">
        <v>44272.127966400905</v>
      </c>
      <c r="J795" s="404">
        <v>841170.43136161705</v>
      </c>
      <c r="K795" s="404">
        <v>0</v>
      </c>
      <c r="L795" s="403">
        <v>0</v>
      </c>
      <c r="M795" s="403">
        <v>885443</v>
      </c>
      <c r="N795" s="403">
        <v>-0.44067198201082647</v>
      </c>
      <c r="O795" s="154"/>
      <c r="P795" s="154"/>
      <c r="Q795" s="154"/>
      <c r="R795" s="154"/>
      <c r="S795" s="154"/>
      <c r="T795" s="154"/>
      <c r="U795" s="154"/>
      <c r="V795" s="154"/>
      <c r="W795" s="154"/>
      <c r="X795" s="154"/>
      <c r="Y795" s="154"/>
      <c r="Z795" s="154"/>
    </row>
    <row r="796" spans="2:26" outlineLevel="1">
      <c r="B796" s="165" t="s">
        <v>3639</v>
      </c>
      <c r="C796" s="165" t="s">
        <v>2347</v>
      </c>
      <c r="D796" s="165" t="s">
        <v>3649</v>
      </c>
      <c r="E796" s="404">
        <v>7613273.5850407379</v>
      </c>
      <c r="F796" s="165">
        <v>3</v>
      </c>
      <c r="G796" s="405">
        <v>43312</v>
      </c>
      <c r="H796" s="404">
        <v>1096</v>
      </c>
      <c r="I796" s="404">
        <v>380663.67925203691</v>
      </c>
      <c r="J796" s="404">
        <v>7232609.905788701</v>
      </c>
      <c r="K796" s="404">
        <v>0</v>
      </c>
      <c r="L796" s="403">
        <v>0</v>
      </c>
      <c r="M796" s="403">
        <v>7613274</v>
      </c>
      <c r="N796" s="403">
        <v>-0.41495926212519407</v>
      </c>
      <c r="O796" s="154"/>
      <c r="P796" s="154"/>
      <c r="Q796" s="154"/>
      <c r="R796" s="154"/>
      <c r="S796" s="154"/>
      <c r="T796" s="154"/>
      <c r="U796" s="154"/>
      <c r="V796" s="154"/>
      <c r="W796" s="154"/>
      <c r="X796" s="154"/>
      <c r="Y796" s="154"/>
      <c r="Z796" s="154"/>
    </row>
    <row r="797" spans="2:26" ht="40.5" outlineLevel="1">
      <c r="B797" s="165" t="s">
        <v>3639</v>
      </c>
      <c r="C797" s="165" t="s">
        <v>4382</v>
      </c>
      <c r="D797" s="165" t="s">
        <v>3813</v>
      </c>
      <c r="E797" s="404">
        <v>337240782.14111656</v>
      </c>
      <c r="F797" s="165">
        <v>25</v>
      </c>
      <c r="G797" s="405">
        <v>51348</v>
      </c>
      <c r="H797" s="404">
        <v>9132</v>
      </c>
      <c r="I797" s="404">
        <v>16862039.107055828</v>
      </c>
      <c r="J797" s="404">
        <v>320378743.03406072</v>
      </c>
      <c r="K797" s="404">
        <v>365</v>
      </c>
      <c r="L797" s="403">
        <v>12805326</v>
      </c>
      <c r="M797" s="403">
        <v>85427835</v>
      </c>
      <c r="N797" s="403">
        <v>251812947.14111656</v>
      </c>
      <c r="O797" s="154"/>
      <c r="P797" s="154"/>
      <c r="Q797" s="154"/>
      <c r="R797" s="154"/>
      <c r="S797" s="154"/>
      <c r="T797" s="154"/>
      <c r="U797" s="154"/>
      <c r="V797" s="154"/>
      <c r="W797" s="154"/>
      <c r="X797" s="154"/>
      <c r="Y797" s="154"/>
      <c r="Z797" s="154"/>
    </row>
    <row r="798" spans="2:26" outlineLevel="1">
      <c r="B798" s="165" t="s">
        <v>3639</v>
      </c>
      <c r="C798" s="165" t="s">
        <v>2336</v>
      </c>
      <c r="D798" s="165" t="s">
        <v>3814</v>
      </c>
      <c r="E798" s="404">
        <v>44941100.191158682</v>
      </c>
      <c r="F798" s="165">
        <v>2</v>
      </c>
      <c r="G798" s="405">
        <v>42947</v>
      </c>
      <c r="H798" s="404">
        <v>731</v>
      </c>
      <c r="I798" s="404">
        <v>2247055.009557934</v>
      </c>
      <c r="J798" s="404">
        <v>42694045.181600749</v>
      </c>
      <c r="K798" s="404">
        <v>0</v>
      </c>
      <c r="L798" s="403">
        <v>0</v>
      </c>
      <c r="M798" s="403">
        <v>44941100</v>
      </c>
      <c r="N798" s="403">
        <v>0.19115868210792542</v>
      </c>
      <c r="O798" s="154"/>
      <c r="P798" s="154"/>
      <c r="Q798" s="154"/>
      <c r="R798" s="154"/>
      <c r="S798" s="154"/>
      <c r="T798" s="154"/>
      <c r="U798" s="154"/>
      <c r="V798" s="154"/>
      <c r="W798" s="154"/>
      <c r="X798" s="154"/>
      <c r="Y798" s="154"/>
      <c r="Z798" s="154"/>
    </row>
    <row r="799" spans="2:26" outlineLevel="1">
      <c r="B799" s="165"/>
      <c r="C799" s="165"/>
      <c r="D799" s="165"/>
      <c r="E799" s="404"/>
      <c r="F799" s="165"/>
      <c r="G799" s="405"/>
      <c r="H799" s="404"/>
      <c r="I799" s="404"/>
      <c r="J799" s="404"/>
      <c r="K799" s="404"/>
      <c r="L799" s="404"/>
      <c r="M799" s="404"/>
      <c r="N799" s="404"/>
    </row>
    <row r="800" spans="2:26" ht="14.25">
      <c r="B800" s="411" t="s">
        <v>1837</v>
      </c>
      <c r="C800" s="165"/>
      <c r="D800" s="165"/>
      <c r="E800" s="413">
        <f>SUBTOTAL(9,E789:E799)</f>
        <v>399717142.87347925</v>
      </c>
      <c r="F800" s="165"/>
      <c r="G800" s="165"/>
      <c r="H800" s="413"/>
      <c r="I800" s="413"/>
      <c r="J800" s="413"/>
      <c r="K800" s="165"/>
      <c r="L800" s="413">
        <f>SUBTOTAL(9,L789:L799)</f>
        <v>13066246</v>
      </c>
      <c r="M800" s="413">
        <f>SUBTOTAL(9,M789:M799)</f>
        <v>143481817</v>
      </c>
      <c r="N800" s="413">
        <f>SUBTOTAL(9,N789:N799)</f>
        <v>256235325.87347928</v>
      </c>
    </row>
    <row r="801" spans="2:26" ht="28.5">
      <c r="B801" s="411" t="s">
        <v>2418</v>
      </c>
      <c r="C801" s="165"/>
      <c r="D801" s="165"/>
      <c r="E801" s="413"/>
      <c r="F801" s="165"/>
      <c r="G801" s="165"/>
      <c r="H801" s="165"/>
      <c r="I801" s="165"/>
      <c r="J801" s="404"/>
      <c r="K801" s="165"/>
      <c r="L801" s="413"/>
      <c r="M801" s="413"/>
      <c r="N801" s="413"/>
    </row>
    <row r="802" spans="2:26" ht="27">
      <c r="B802" s="165" t="s">
        <v>2951</v>
      </c>
      <c r="C802" s="165"/>
      <c r="D802" s="165"/>
      <c r="E802" s="404">
        <v>190087</v>
      </c>
      <c r="F802" s="165">
        <v>30</v>
      </c>
      <c r="G802" s="405">
        <v>53174</v>
      </c>
      <c r="H802" s="404">
        <v>10958</v>
      </c>
      <c r="I802" s="404">
        <v>9504.35</v>
      </c>
      <c r="J802" s="404">
        <v>180582.65</v>
      </c>
      <c r="K802" s="404">
        <v>365</v>
      </c>
      <c r="L802" s="403">
        <v>6015</v>
      </c>
      <c r="M802" s="403">
        <v>40128</v>
      </c>
      <c r="N802" s="403">
        <v>149959</v>
      </c>
      <c r="O802" s="154"/>
      <c r="P802" s="154"/>
      <c r="Q802" s="154"/>
      <c r="R802" s="154"/>
      <c r="S802" s="154"/>
      <c r="T802" s="154"/>
      <c r="U802" s="154"/>
      <c r="V802" s="154"/>
      <c r="W802" s="154"/>
      <c r="X802" s="154"/>
      <c r="Y802" s="154"/>
      <c r="Z802" s="154"/>
    </row>
    <row r="803" spans="2:26" ht="27">
      <c r="B803" s="165" t="s">
        <v>2986</v>
      </c>
      <c r="C803" s="165"/>
      <c r="D803" s="165"/>
      <c r="E803" s="404">
        <v>446503</v>
      </c>
      <c r="F803" s="165">
        <v>30</v>
      </c>
      <c r="G803" s="405">
        <v>53174</v>
      </c>
      <c r="H803" s="404">
        <v>10958</v>
      </c>
      <c r="I803" s="404">
        <v>22325.15</v>
      </c>
      <c r="J803" s="404">
        <v>424177.85</v>
      </c>
      <c r="K803" s="404">
        <v>365</v>
      </c>
      <c r="L803" s="403">
        <v>14129</v>
      </c>
      <c r="M803" s="403">
        <v>94258</v>
      </c>
      <c r="N803" s="403">
        <v>352245</v>
      </c>
      <c r="O803" s="154"/>
      <c r="P803" s="154"/>
      <c r="Q803" s="154"/>
      <c r="R803" s="154"/>
      <c r="S803" s="154"/>
      <c r="T803" s="154"/>
      <c r="U803" s="154"/>
      <c r="V803" s="154"/>
      <c r="W803" s="154"/>
      <c r="X803" s="154"/>
      <c r="Y803" s="154"/>
      <c r="Z803" s="154"/>
    </row>
    <row r="804" spans="2:26" ht="27">
      <c r="B804" s="165" t="s">
        <v>3005</v>
      </c>
      <c r="C804" s="165"/>
      <c r="D804" s="165"/>
      <c r="E804" s="403">
        <v>-169384</v>
      </c>
      <c r="F804" s="165">
        <v>30</v>
      </c>
      <c r="G804" s="405">
        <v>53174</v>
      </c>
      <c r="H804" s="404">
        <v>10958</v>
      </c>
      <c r="I804" s="403">
        <v>-8469.2000000000007</v>
      </c>
      <c r="J804" s="403">
        <v>-160914.79999999999</v>
      </c>
      <c r="K804" s="404">
        <v>365</v>
      </c>
      <c r="L804" s="403">
        <v>-5360</v>
      </c>
      <c r="M804" s="403">
        <v>-35758</v>
      </c>
      <c r="N804" s="403">
        <v>-133626</v>
      </c>
      <c r="O804" s="154"/>
      <c r="P804" s="154"/>
      <c r="Q804" s="154"/>
      <c r="R804" s="154"/>
      <c r="S804" s="154"/>
      <c r="T804" s="154"/>
      <c r="U804" s="154"/>
      <c r="V804" s="154"/>
      <c r="W804" s="154"/>
      <c r="X804" s="154"/>
      <c r="Y804" s="154"/>
      <c r="Z804" s="154"/>
    </row>
    <row r="805" spans="2:26" ht="27">
      <c r="B805" s="165" t="s">
        <v>3005</v>
      </c>
      <c r="C805" s="165"/>
      <c r="D805" s="165"/>
      <c r="E805" s="403">
        <v>-11956</v>
      </c>
      <c r="F805" s="165">
        <v>30</v>
      </c>
      <c r="G805" s="405">
        <v>53174</v>
      </c>
      <c r="H805" s="404">
        <v>10958</v>
      </c>
      <c r="I805" s="403">
        <v>-597.80000000000007</v>
      </c>
      <c r="J805" s="403">
        <v>-11358.2</v>
      </c>
      <c r="K805" s="404">
        <v>365</v>
      </c>
      <c r="L805" s="403">
        <v>-378</v>
      </c>
      <c r="M805" s="403">
        <v>-2269</v>
      </c>
      <c r="N805" s="403">
        <v>-9687</v>
      </c>
      <c r="O805" s="154"/>
      <c r="P805" s="154"/>
      <c r="Q805" s="154"/>
      <c r="R805" s="154"/>
      <c r="S805" s="154"/>
      <c r="T805" s="154"/>
      <c r="U805" s="154"/>
      <c r="V805" s="154"/>
      <c r="W805" s="154"/>
      <c r="X805" s="154"/>
      <c r="Y805" s="154"/>
      <c r="Z805" s="154"/>
    </row>
    <row r="806" spans="2:26" ht="27">
      <c r="B806" s="165" t="s">
        <v>2986</v>
      </c>
      <c r="C806" s="165"/>
      <c r="D806" s="165"/>
      <c r="E806" s="403">
        <v>131353</v>
      </c>
      <c r="F806" s="165">
        <v>30</v>
      </c>
      <c r="G806" s="405">
        <v>53174</v>
      </c>
      <c r="H806" s="404">
        <v>10958</v>
      </c>
      <c r="I806" s="403">
        <v>6567.6500000000005</v>
      </c>
      <c r="J806" s="403">
        <v>124785.35</v>
      </c>
      <c r="K806" s="404">
        <v>365</v>
      </c>
      <c r="L806" s="403">
        <v>4156</v>
      </c>
      <c r="M806" s="403">
        <v>27727</v>
      </c>
      <c r="N806" s="403">
        <v>103626</v>
      </c>
      <c r="O806" s="154"/>
      <c r="P806" s="154"/>
      <c r="Q806" s="154"/>
      <c r="R806" s="154"/>
      <c r="S806" s="154"/>
      <c r="T806" s="154"/>
      <c r="U806" s="154"/>
      <c r="V806" s="154"/>
      <c r="W806" s="154"/>
      <c r="X806" s="154"/>
      <c r="Y806" s="154"/>
      <c r="Z806" s="154"/>
    </row>
    <row r="807" spans="2:26" ht="27">
      <c r="B807" s="165" t="s">
        <v>3005</v>
      </c>
      <c r="C807" s="165"/>
      <c r="D807" s="165"/>
      <c r="E807" s="403">
        <v>-4061</v>
      </c>
      <c r="F807" s="165">
        <v>30</v>
      </c>
      <c r="G807" s="405">
        <v>53174</v>
      </c>
      <c r="H807" s="404">
        <v>10958</v>
      </c>
      <c r="I807" s="403">
        <v>-203.05</v>
      </c>
      <c r="J807" s="403">
        <v>-3857.95</v>
      </c>
      <c r="K807" s="404">
        <v>365</v>
      </c>
      <c r="L807" s="403">
        <v>-129</v>
      </c>
      <c r="M807" s="403">
        <v>-860</v>
      </c>
      <c r="N807" s="403">
        <v>-3201</v>
      </c>
      <c r="O807" s="154"/>
      <c r="P807" s="154"/>
      <c r="Q807" s="154"/>
      <c r="R807" s="154"/>
      <c r="S807" s="154"/>
      <c r="T807" s="154"/>
      <c r="U807" s="154"/>
      <c r="V807" s="154"/>
      <c r="W807" s="154"/>
      <c r="X807" s="154"/>
      <c r="Y807" s="154"/>
      <c r="Z807" s="154"/>
    </row>
    <row r="808" spans="2:26" ht="27">
      <c r="B808" s="165" t="s">
        <v>3005</v>
      </c>
      <c r="C808" s="165"/>
      <c r="D808" s="165"/>
      <c r="E808" s="403">
        <v>8113</v>
      </c>
      <c r="F808" s="165">
        <v>30</v>
      </c>
      <c r="G808" s="405">
        <v>53174</v>
      </c>
      <c r="H808" s="404">
        <v>10958</v>
      </c>
      <c r="I808" s="403">
        <v>405.65000000000003</v>
      </c>
      <c r="J808" s="403">
        <v>7707.35</v>
      </c>
      <c r="K808" s="404">
        <v>365</v>
      </c>
      <c r="L808" s="403">
        <v>257</v>
      </c>
      <c r="M808" s="403">
        <v>1542</v>
      </c>
      <c r="N808" s="403">
        <v>6571</v>
      </c>
      <c r="O808" s="154"/>
      <c r="P808" s="154"/>
      <c r="Q808" s="154"/>
      <c r="R808" s="154"/>
      <c r="S808" s="154"/>
      <c r="T808" s="154"/>
      <c r="U808" s="154"/>
      <c r="V808" s="154"/>
      <c r="W808" s="154"/>
      <c r="X808" s="154"/>
      <c r="Y808" s="154"/>
      <c r="Z808" s="154"/>
    </row>
    <row r="809" spans="2:26" ht="27">
      <c r="B809" s="165" t="s">
        <v>3902</v>
      </c>
      <c r="C809" s="165"/>
      <c r="D809" s="165"/>
      <c r="E809" s="403">
        <v>312736</v>
      </c>
      <c r="F809" s="165">
        <v>30</v>
      </c>
      <c r="G809" s="405">
        <v>53174</v>
      </c>
      <c r="H809" s="404">
        <v>10958</v>
      </c>
      <c r="I809" s="403">
        <v>15636.800000000001</v>
      </c>
      <c r="J809" s="403">
        <v>297099.2</v>
      </c>
      <c r="K809" s="404">
        <v>365</v>
      </c>
      <c r="L809" s="403">
        <v>9896</v>
      </c>
      <c r="M809" s="403">
        <v>56936</v>
      </c>
      <c r="N809" s="403">
        <v>255800</v>
      </c>
      <c r="O809" s="154"/>
      <c r="P809" s="154"/>
      <c r="Q809" s="154"/>
      <c r="R809" s="154"/>
      <c r="S809" s="154"/>
      <c r="T809" s="154"/>
      <c r="U809" s="154"/>
      <c r="V809" s="154"/>
      <c r="W809" s="154"/>
      <c r="X809" s="154"/>
      <c r="Y809" s="154"/>
      <c r="Z809" s="154"/>
    </row>
    <row r="810" spans="2:26" ht="27">
      <c r="B810" s="165" t="s">
        <v>3917</v>
      </c>
      <c r="C810" s="165"/>
      <c r="D810" s="165"/>
      <c r="E810" s="403">
        <v>-147150</v>
      </c>
      <c r="F810" s="165">
        <v>30</v>
      </c>
      <c r="G810" s="405">
        <v>53174</v>
      </c>
      <c r="H810" s="404">
        <v>10958</v>
      </c>
      <c r="I810" s="403">
        <v>-7357.5</v>
      </c>
      <c r="J810" s="403">
        <v>-139792.5</v>
      </c>
      <c r="K810" s="404">
        <v>365</v>
      </c>
      <c r="L810" s="403">
        <v>-4656</v>
      </c>
      <c r="M810" s="403">
        <v>-25615</v>
      </c>
      <c r="N810" s="403">
        <v>-121535</v>
      </c>
      <c r="O810" s="154"/>
      <c r="P810" s="154"/>
      <c r="Q810" s="154"/>
      <c r="R810" s="154"/>
      <c r="S810" s="154"/>
      <c r="T810" s="154"/>
      <c r="U810" s="154"/>
      <c r="V810" s="154"/>
      <c r="W810" s="154"/>
      <c r="X810" s="154"/>
      <c r="Y810" s="154"/>
      <c r="Z810" s="154"/>
    </row>
    <row r="811" spans="2:26" ht="27">
      <c r="B811" s="165" t="s">
        <v>3920</v>
      </c>
      <c r="C811" s="165"/>
      <c r="D811" s="165"/>
      <c r="E811" s="403">
        <v>221202</v>
      </c>
      <c r="F811" s="165">
        <v>30</v>
      </c>
      <c r="G811" s="405">
        <v>53174</v>
      </c>
      <c r="H811" s="404">
        <v>10958</v>
      </c>
      <c r="I811" s="403">
        <v>11060.1</v>
      </c>
      <c r="J811" s="403">
        <v>210141.9</v>
      </c>
      <c r="K811" s="404">
        <v>365</v>
      </c>
      <c r="L811" s="403">
        <v>7000</v>
      </c>
      <c r="M811" s="403">
        <v>36745</v>
      </c>
      <c r="N811" s="403">
        <v>184457</v>
      </c>
      <c r="O811" s="154"/>
      <c r="P811" s="154"/>
      <c r="Q811" s="154"/>
      <c r="R811" s="154"/>
      <c r="S811" s="154"/>
      <c r="T811" s="154"/>
      <c r="U811" s="154"/>
      <c r="V811" s="154"/>
      <c r="W811" s="154"/>
      <c r="X811" s="154"/>
      <c r="Y811" s="154"/>
      <c r="Z811" s="154"/>
    </row>
    <row r="812" spans="2:26" ht="27">
      <c r="B812" s="165" t="s">
        <v>4048</v>
      </c>
      <c r="C812" s="165"/>
      <c r="D812" s="165"/>
      <c r="E812" s="403">
        <v>-401161</v>
      </c>
      <c r="F812" s="165">
        <v>30</v>
      </c>
      <c r="G812" s="405">
        <v>53174</v>
      </c>
      <c r="H812" s="404">
        <v>10958</v>
      </c>
      <c r="I812" s="403">
        <v>-20058.050000000003</v>
      </c>
      <c r="J812" s="403">
        <v>-381102.95</v>
      </c>
      <c r="K812" s="404">
        <v>365</v>
      </c>
      <c r="L812" s="403">
        <v>-12694</v>
      </c>
      <c r="M812" s="403">
        <v>-63505</v>
      </c>
      <c r="N812" s="403">
        <v>-337656</v>
      </c>
      <c r="O812" s="154"/>
      <c r="P812" s="154"/>
      <c r="Q812" s="154"/>
      <c r="R812" s="154"/>
      <c r="S812" s="154"/>
      <c r="T812" s="154"/>
      <c r="U812" s="154"/>
      <c r="V812" s="154"/>
      <c r="W812" s="154"/>
      <c r="X812" s="154"/>
      <c r="Y812" s="154"/>
      <c r="Z812" s="154"/>
    </row>
    <row r="813" spans="2:26" ht="27">
      <c r="B813" s="165" t="s">
        <v>4073</v>
      </c>
      <c r="C813" s="165"/>
      <c r="D813" s="165"/>
      <c r="E813" s="403">
        <v>-2488</v>
      </c>
      <c r="F813" s="165">
        <v>30</v>
      </c>
      <c r="G813" s="405">
        <v>53174</v>
      </c>
      <c r="H813" s="404">
        <v>10958</v>
      </c>
      <c r="I813" s="403">
        <v>-124.4</v>
      </c>
      <c r="J813" s="403">
        <v>-2363.6</v>
      </c>
      <c r="K813" s="404">
        <v>365</v>
      </c>
      <c r="L813" s="403">
        <v>-79</v>
      </c>
      <c r="M813" s="403">
        <v>-378</v>
      </c>
      <c r="N813" s="403">
        <v>-2110</v>
      </c>
      <c r="O813" s="154"/>
      <c r="P813" s="154"/>
      <c r="Q813" s="154"/>
      <c r="R813" s="154"/>
      <c r="S813" s="154"/>
      <c r="T813" s="154"/>
      <c r="U813" s="154"/>
      <c r="V813" s="154"/>
      <c r="W813" s="154"/>
      <c r="X813" s="154"/>
      <c r="Y813" s="154"/>
      <c r="Z813" s="154"/>
    </row>
    <row r="814" spans="2:26" ht="27">
      <c r="B814" s="165" t="s">
        <v>4080</v>
      </c>
      <c r="C814" s="165"/>
      <c r="D814" s="165"/>
      <c r="E814" s="403">
        <v>48759</v>
      </c>
      <c r="F814" s="165">
        <v>30</v>
      </c>
      <c r="G814" s="405">
        <v>53174</v>
      </c>
      <c r="H814" s="404">
        <v>10958</v>
      </c>
      <c r="I814" s="403">
        <v>2437.9500000000003</v>
      </c>
      <c r="J814" s="403">
        <v>46321.05</v>
      </c>
      <c r="K814" s="404">
        <v>365</v>
      </c>
      <c r="L814" s="403">
        <v>1543</v>
      </c>
      <c r="M814" s="403">
        <v>6986</v>
      </c>
      <c r="N814" s="403">
        <v>41773</v>
      </c>
      <c r="O814" s="154"/>
      <c r="P814" s="154"/>
      <c r="Q814" s="154"/>
      <c r="R814" s="154"/>
      <c r="S814" s="154"/>
      <c r="T814" s="154"/>
      <c r="U814" s="154"/>
      <c r="V814" s="154"/>
      <c r="W814" s="154"/>
      <c r="X814" s="154"/>
      <c r="Y814" s="154"/>
      <c r="Z814" s="154"/>
    </row>
    <row r="815" spans="2:26" ht="27">
      <c r="B815" s="165" t="s">
        <v>4258</v>
      </c>
      <c r="C815" s="165"/>
      <c r="D815" s="165"/>
      <c r="E815" s="403">
        <v>-133610</v>
      </c>
      <c r="F815" s="165">
        <v>30</v>
      </c>
      <c r="G815" s="405">
        <v>53174</v>
      </c>
      <c r="H815" s="404">
        <v>10958</v>
      </c>
      <c r="I815" s="403">
        <v>-6680.5</v>
      </c>
      <c r="J815" s="403">
        <v>-126929.5</v>
      </c>
      <c r="K815" s="404">
        <v>365</v>
      </c>
      <c r="L815" s="403">
        <v>-4228</v>
      </c>
      <c r="M815" s="403">
        <v>-18021</v>
      </c>
      <c r="N815" s="403">
        <v>-115589</v>
      </c>
      <c r="O815" s="154"/>
      <c r="P815" s="154"/>
      <c r="Q815" s="154"/>
      <c r="R815" s="154"/>
      <c r="S815" s="154"/>
      <c r="T815" s="154"/>
      <c r="U815" s="154"/>
      <c r="V815" s="154"/>
      <c r="W815" s="154"/>
      <c r="X815" s="154"/>
      <c r="Y815" s="154"/>
      <c r="Z815" s="154"/>
    </row>
    <row r="816" spans="2:26" ht="27">
      <c r="B816" s="165" t="s">
        <v>4277</v>
      </c>
      <c r="C816" s="419"/>
      <c r="D816" s="419"/>
      <c r="E816" s="421">
        <v>126877</v>
      </c>
      <c r="F816" s="165">
        <v>30</v>
      </c>
      <c r="G816" s="405">
        <v>53174</v>
      </c>
      <c r="H816" s="404">
        <v>10958</v>
      </c>
      <c r="I816" s="403">
        <v>6343.85</v>
      </c>
      <c r="J816" s="403">
        <v>120533.15</v>
      </c>
      <c r="K816" s="404">
        <v>365</v>
      </c>
      <c r="L816" s="403">
        <v>4015</v>
      </c>
      <c r="M816" s="403">
        <v>16071</v>
      </c>
      <c r="N816" s="403">
        <v>110806</v>
      </c>
      <c r="O816" s="154"/>
      <c r="P816" s="154"/>
      <c r="Q816" s="154"/>
      <c r="R816" s="154"/>
      <c r="S816" s="154"/>
      <c r="T816" s="154"/>
      <c r="U816" s="154"/>
      <c r="V816" s="154"/>
      <c r="W816" s="154"/>
      <c r="X816" s="154"/>
      <c r="Y816" s="154"/>
      <c r="Z816" s="154"/>
    </row>
    <row r="817" spans="2:26" ht="27">
      <c r="B817" s="165" t="s">
        <v>4307</v>
      </c>
      <c r="C817" s="419"/>
      <c r="D817" s="419"/>
      <c r="E817" s="429">
        <v>7</v>
      </c>
      <c r="F817" s="165">
        <v>30</v>
      </c>
      <c r="G817" s="405">
        <v>53174</v>
      </c>
      <c r="H817" s="404">
        <v>10958</v>
      </c>
      <c r="I817" s="403">
        <v>0.35000000000000003</v>
      </c>
      <c r="J817" s="403">
        <v>6.65</v>
      </c>
      <c r="K817" s="404">
        <v>365</v>
      </c>
      <c r="L817" s="403">
        <v>0</v>
      </c>
      <c r="M817" s="403">
        <v>0</v>
      </c>
      <c r="N817" s="403">
        <v>7</v>
      </c>
      <c r="O817" s="154"/>
      <c r="P817" s="154"/>
      <c r="Q817" s="154"/>
      <c r="R817" s="154"/>
      <c r="S817" s="154"/>
      <c r="T817" s="154"/>
      <c r="U817" s="154"/>
      <c r="V817" s="154"/>
      <c r="W817" s="154"/>
      <c r="X817" s="154"/>
      <c r="Y817" s="154"/>
      <c r="Z817" s="154"/>
    </row>
    <row r="818" spans="2:26" ht="27">
      <c r="B818" s="165" t="s">
        <v>4333</v>
      </c>
      <c r="C818" s="419"/>
      <c r="D818" s="419"/>
      <c r="E818" s="429">
        <v>575745</v>
      </c>
      <c r="F818" s="165">
        <v>30</v>
      </c>
      <c r="G818" s="405">
        <v>53174</v>
      </c>
      <c r="H818" s="404">
        <v>10958</v>
      </c>
      <c r="I818" s="403">
        <v>28787.25</v>
      </c>
      <c r="J818" s="403">
        <v>546957.75</v>
      </c>
      <c r="K818" s="404">
        <v>365</v>
      </c>
      <c r="L818" s="403">
        <v>18219</v>
      </c>
      <c r="M818" s="403">
        <v>54707</v>
      </c>
      <c r="N818" s="403">
        <v>521038</v>
      </c>
      <c r="O818" s="154"/>
      <c r="P818" s="154"/>
      <c r="Q818" s="154"/>
      <c r="R818" s="154"/>
      <c r="S818" s="154"/>
      <c r="T818" s="154"/>
      <c r="U818" s="154"/>
      <c r="V818" s="154"/>
      <c r="W818" s="154"/>
      <c r="X818" s="154"/>
      <c r="Y818" s="154"/>
      <c r="Z818" s="154"/>
    </row>
    <row r="819" spans="2:26" ht="27">
      <c r="B819" s="165" t="s">
        <v>4412</v>
      </c>
      <c r="C819" s="422"/>
      <c r="D819" s="422"/>
      <c r="E819" s="427">
        <v>679349</v>
      </c>
      <c r="F819" s="165">
        <v>30</v>
      </c>
      <c r="G819" s="405">
        <v>53174</v>
      </c>
      <c r="H819" s="404">
        <v>10958</v>
      </c>
      <c r="I819" s="403">
        <v>33967.450000000004</v>
      </c>
      <c r="J819" s="403">
        <v>645381.55000000005</v>
      </c>
      <c r="K819" s="404">
        <v>365</v>
      </c>
      <c r="L819" s="403">
        <v>21497</v>
      </c>
      <c r="M819" s="403">
        <v>42996</v>
      </c>
      <c r="N819" s="403">
        <v>636353</v>
      </c>
      <c r="O819" s="154"/>
      <c r="P819" s="154"/>
      <c r="Q819" s="154"/>
      <c r="R819" s="154"/>
      <c r="S819" s="154"/>
      <c r="T819" s="154"/>
      <c r="U819" s="154"/>
      <c r="V819" s="154"/>
      <c r="W819" s="154"/>
      <c r="X819" s="154"/>
      <c r="Y819" s="154"/>
      <c r="Z819" s="154"/>
    </row>
    <row r="820" spans="2:26" ht="27">
      <c r="B820" s="165" t="s">
        <v>4430</v>
      </c>
      <c r="C820" s="422"/>
      <c r="D820" s="422"/>
      <c r="E820" s="427">
        <v>61168</v>
      </c>
      <c r="F820" s="165">
        <v>30</v>
      </c>
      <c r="G820" s="405">
        <v>53174</v>
      </c>
      <c r="H820" s="404">
        <v>10958</v>
      </c>
      <c r="I820" s="403">
        <v>3058.4</v>
      </c>
      <c r="J820" s="403">
        <v>58109.599999999999</v>
      </c>
      <c r="K820" s="404">
        <v>365</v>
      </c>
      <c r="L820" s="403">
        <v>1936</v>
      </c>
      <c r="M820" s="403">
        <v>3389</v>
      </c>
      <c r="N820" s="403">
        <v>57779</v>
      </c>
      <c r="O820" s="154"/>
      <c r="P820" s="154"/>
      <c r="Q820" s="154"/>
      <c r="R820" s="154"/>
      <c r="S820" s="154"/>
      <c r="T820" s="154"/>
      <c r="U820" s="154"/>
      <c r="V820" s="154"/>
      <c r="W820" s="154"/>
      <c r="X820" s="154"/>
      <c r="Y820" s="154"/>
      <c r="Z820" s="154"/>
    </row>
    <row r="821" spans="2:26" ht="27">
      <c r="B821" s="165" t="s">
        <v>4462</v>
      </c>
      <c r="C821" s="422"/>
      <c r="D821" s="422"/>
      <c r="E821" s="427">
        <v>-211972</v>
      </c>
      <c r="F821" s="165">
        <v>30</v>
      </c>
      <c r="G821" s="405">
        <v>53174</v>
      </c>
      <c r="H821" s="404">
        <v>10958</v>
      </c>
      <c r="I821" s="403">
        <v>-10598.6</v>
      </c>
      <c r="J821" s="403">
        <v>-201373.4</v>
      </c>
      <c r="K821" s="404">
        <v>365</v>
      </c>
      <c r="L821" s="403">
        <v>-6708</v>
      </c>
      <c r="M821" s="403">
        <v>-10053</v>
      </c>
      <c r="N821" s="403">
        <v>-201919</v>
      </c>
      <c r="O821" s="154"/>
      <c r="P821" s="154"/>
      <c r="Q821" s="154"/>
      <c r="R821" s="154"/>
      <c r="S821" s="154"/>
      <c r="T821" s="154"/>
      <c r="U821" s="154"/>
      <c r="V821" s="154"/>
      <c r="W821" s="154"/>
      <c r="X821" s="154"/>
      <c r="Y821" s="154"/>
      <c r="Z821" s="154"/>
    </row>
    <row r="822" spans="2:26" ht="27">
      <c r="B822" s="165" t="s">
        <v>4538</v>
      </c>
      <c r="C822" s="422"/>
      <c r="D822" s="422"/>
      <c r="E822" s="427">
        <v>-78636</v>
      </c>
      <c r="F822" s="165">
        <v>30</v>
      </c>
      <c r="G822" s="405">
        <v>53174</v>
      </c>
      <c r="H822" s="404">
        <v>10958</v>
      </c>
      <c r="I822" s="403">
        <v>-3931.8</v>
      </c>
      <c r="J822" s="403">
        <v>-74704.2</v>
      </c>
      <c r="K822" s="404">
        <v>365</v>
      </c>
      <c r="L822" s="403">
        <v>-2488</v>
      </c>
      <c r="M822" s="403">
        <v>-3102</v>
      </c>
      <c r="N822" s="403">
        <v>-75534</v>
      </c>
      <c r="O822" s="154"/>
      <c r="P822" s="154"/>
      <c r="Q822" s="154"/>
      <c r="R822" s="154"/>
      <c r="S822" s="154"/>
      <c r="T822" s="154"/>
      <c r="U822" s="154"/>
      <c r="V822" s="154"/>
      <c r="W822" s="154"/>
      <c r="X822" s="154"/>
      <c r="Y822" s="154"/>
      <c r="Z822" s="154"/>
    </row>
    <row r="823" spans="2:26" ht="27">
      <c r="B823" s="165" t="s">
        <v>4567</v>
      </c>
      <c r="C823" s="422"/>
      <c r="D823" s="422"/>
      <c r="E823" s="427">
        <v>35699</v>
      </c>
      <c r="F823" s="165">
        <v>30</v>
      </c>
      <c r="G823" s="405">
        <v>53174</v>
      </c>
      <c r="H823" s="404">
        <v>10958</v>
      </c>
      <c r="I823" s="403">
        <v>1784.95</v>
      </c>
      <c r="J823" s="403">
        <v>33914.050000000003</v>
      </c>
      <c r="K823" s="404">
        <v>365</v>
      </c>
      <c r="L823" s="403">
        <v>1130</v>
      </c>
      <c r="M823" s="403">
        <v>1130</v>
      </c>
      <c r="N823" s="403">
        <v>34569</v>
      </c>
      <c r="O823" s="154"/>
      <c r="P823" s="154"/>
      <c r="Q823" s="154"/>
      <c r="R823" s="154"/>
      <c r="S823" s="154"/>
      <c r="T823" s="154"/>
      <c r="U823" s="154"/>
      <c r="V823" s="154"/>
      <c r="W823" s="154"/>
      <c r="X823" s="154"/>
      <c r="Y823" s="154"/>
      <c r="Z823" s="154"/>
    </row>
    <row r="824" spans="2:26" ht="27">
      <c r="B824" s="165" t="s">
        <v>4597</v>
      </c>
      <c r="C824" s="422"/>
      <c r="D824" s="422"/>
      <c r="E824" s="427">
        <v>126336</v>
      </c>
      <c r="F824" s="165">
        <v>30</v>
      </c>
      <c r="G824" s="405">
        <v>53174</v>
      </c>
      <c r="H824" s="404">
        <v>10958</v>
      </c>
      <c r="I824" s="403">
        <v>6316.8</v>
      </c>
      <c r="J824" s="403">
        <v>120019.2</v>
      </c>
      <c r="K824" s="404">
        <v>274</v>
      </c>
      <c r="L824" s="403">
        <v>3001</v>
      </c>
      <c r="M824" s="403">
        <v>3001</v>
      </c>
      <c r="N824" s="403">
        <v>123335</v>
      </c>
      <c r="O824" s="154"/>
      <c r="P824" s="154"/>
      <c r="Q824" s="154"/>
      <c r="R824" s="154"/>
      <c r="S824" s="154"/>
      <c r="T824" s="154"/>
      <c r="U824" s="154"/>
      <c r="V824" s="154"/>
      <c r="W824" s="154"/>
      <c r="X824" s="154"/>
      <c r="Y824" s="154"/>
      <c r="Z824" s="154"/>
    </row>
    <row r="825" spans="2:26" ht="27">
      <c r="B825" s="165" t="s">
        <v>4622</v>
      </c>
      <c r="C825" s="422"/>
      <c r="D825" s="422"/>
      <c r="E825" s="427">
        <v>-9434</v>
      </c>
      <c r="F825" s="165">
        <v>30</v>
      </c>
      <c r="G825" s="405">
        <v>53174</v>
      </c>
      <c r="H825" s="404">
        <v>10958</v>
      </c>
      <c r="I825" s="403">
        <v>-471.70000000000005</v>
      </c>
      <c r="J825" s="403">
        <v>-8962.2999999999993</v>
      </c>
      <c r="K825" s="404">
        <v>182</v>
      </c>
      <c r="L825" s="403">
        <v>-149</v>
      </c>
      <c r="M825" s="403">
        <v>-149</v>
      </c>
      <c r="N825" s="403">
        <v>-9285</v>
      </c>
      <c r="O825" s="154"/>
      <c r="P825" s="154"/>
      <c r="Q825" s="154"/>
      <c r="R825" s="154"/>
      <c r="S825" s="154"/>
      <c r="T825" s="154"/>
      <c r="U825" s="154"/>
      <c r="V825" s="154"/>
      <c r="W825" s="154"/>
      <c r="X825" s="154"/>
      <c r="Y825" s="154"/>
      <c r="Z825" s="154"/>
    </row>
    <row r="826" spans="2:26" ht="27">
      <c r="B826" s="165" t="s">
        <v>4635</v>
      </c>
      <c r="C826" s="422"/>
      <c r="D826" s="422"/>
      <c r="E826" s="427">
        <v>19456</v>
      </c>
      <c r="F826" s="165">
        <v>30</v>
      </c>
      <c r="G826" s="405">
        <v>53174</v>
      </c>
      <c r="H826" s="404">
        <v>10958</v>
      </c>
      <c r="I826" s="403">
        <v>972.80000000000007</v>
      </c>
      <c r="J826" s="403">
        <v>18483.2</v>
      </c>
      <c r="K826" s="404">
        <v>90</v>
      </c>
      <c r="L826" s="403">
        <v>152</v>
      </c>
      <c r="M826" s="403">
        <v>152</v>
      </c>
      <c r="N826" s="403">
        <v>19304</v>
      </c>
      <c r="O826" s="154"/>
      <c r="P826" s="154"/>
      <c r="Q826" s="154"/>
      <c r="R826" s="154"/>
      <c r="S826" s="154"/>
      <c r="T826" s="154"/>
      <c r="U826" s="154"/>
      <c r="V826" s="154"/>
      <c r="W826" s="154"/>
      <c r="X826" s="154"/>
      <c r="Y826" s="154"/>
      <c r="Z826" s="154"/>
    </row>
    <row r="827" spans="2:26" ht="27">
      <c r="B827" s="165" t="s">
        <v>4652</v>
      </c>
      <c r="C827" s="422"/>
      <c r="D827" s="422"/>
      <c r="E827" s="427">
        <v>156775</v>
      </c>
      <c r="F827" s="165">
        <v>30</v>
      </c>
      <c r="G827" s="405">
        <v>53174</v>
      </c>
      <c r="H827" s="404">
        <v>10958</v>
      </c>
      <c r="I827" s="403">
        <v>7838.75</v>
      </c>
      <c r="J827" s="403">
        <v>148936.25</v>
      </c>
      <c r="K827" s="404">
        <v>0</v>
      </c>
      <c r="L827" s="403">
        <v>0</v>
      </c>
      <c r="M827" s="403">
        <v>0</v>
      </c>
      <c r="N827" s="403">
        <v>156775</v>
      </c>
      <c r="O827" s="154"/>
      <c r="P827" s="154"/>
      <c r="Q827" s="154"/>
      <c r="R827" s="154"/>
      <c r="S827" s="154"/>
      <c r="T827" s="154"/>
      <c r="U827" s="154"/>
      <c r="V827" s="154"/>
      <c r="W827" s="154"/>
      <c r="X827" s="154"/>
      <c r="Y827" s="154"/>
      <c r="Z827" s="154"/>
    </row>
    <row r="828" spans="2:26">
      <c r="B828" s="422"/>
      <c r="C828" s="422"/>
      <c r="D828" s="422"/>
      <c r="E828" s="427"/>
      <c r="F828" s="422"/>
      <c r="G828" s="426"/>
      <c r="H828" s="425"/>
      <c r="I828" s="427"/>
      <c r="J828" s="427"/>
      <c r="K828" s="425"/>
      <c r="L828" s="425"/>
      <c r="M828" s="425"/>
      <c r="N828" s="425"/>
      <c r="O828" s="154"/>
      <c r="P828" s="154"/>
      <c r="Q828" s="154"/>
      <c r="R828" s="154"/>
      <c r="S828" s="154"/>
      <c r="T828" s="154"/>
      <c r="U828" s="154"/>
      <c r="V828" s="154"/>
      <c r="W828" s="154"/>
      <c r="X828" s="154"/>
      <c r="Y828" s="154"/>
      <c r="Z828" s="154"/>
    </row>
    <row r="829" spans="2:26" ht="14.25">
      <c r="B829" s="411"/>
      <c r="C829" s="165"/>
      <c r="D829" s="165"/>
      <c r="E829" s="413"/>
      <c r="F829" s="165"/>
      <c r="G829" s="165"/>
      <c r="H829" s="165"/>
      <c r="I829" s="165"/>
      <c r="J829" s="404"/>
      <c r="K829" s="165"/>
      <c r="L829" s="413"/>
      <c r="M829" s="413"/>
      <c r="N829" s="413"/>
    </row>
    <row r="830" spans="2:26" ht="14.25">
      <c r="B830" s="411" t="s">
        <v>1837</v>
      </c>
      <c r="C830" s="165"/>
      <c r="D830" s="165"/>
      <c r="E830" s="413">
        <f>SUBTOTAL(9,E802:E829)</f>
        <v>1970313</v>
      </c>
      <c r="F830" s="165"/>
      <c r="G830" s="165"/>
      <c r="H830" s="413"/>
      <c r="I830" s="413"/>
      <c r="J830" s="413"/>
      <c r="K830" s="165"/>
      <c r="L830" s="412">
        <f>SUBTOTAL(9,L802:L829)</f>
        <v>56077</v>
      </c>
      <c r="M830" s="412">
        <f>SUBTOTAL(9,M802:M829)</f>
        <v>226058</v>
      </c>
      <c r="N830" s="412">
        <f>SUBTOTAL(9,N802:N829)</f>
        <v>1744255</v>
      </c>
    </row>
    <row r="831" spans="2:26" ht="14.25">
      <c r="B831" s="411" t="s">
        <v>754</v>
      </c>
      <c r="C831" s="165"/>
      <c r="D831" s="165"/>
      <c r="E831" s="413">
        <f>+SUBTOTAL(9,E790:E830)</f>
        <v>401687455.87347925</v>
      </c>
      <c r="F831" s="165"/>
      <c r="G831" s="165"/>
      <c r="H831" s="413"/>
      <c r="I831" s="413"/>
      <c r="J831" s="413"/>
      <c r="K831" s="165"/>
      <c r="L831" s="413">
        <f>+SUBTOTAL(9,L790:L830)</f>
        <v>13122323</v>
      </c>
      <c r="M831" s="413">
        <f>+SUBTOTAL(9,M790:M830)</f>
        <v>143707875</v>
      </c>
      <c r="N831" s="413">
        <f>+SUBTOTAL(9,N790:N830)</f>
        <v>257979580.87347928</v>
      </c>
    </row>
    <row r="832" spans="2:26" ht="14.25">
      <c r="B832" s="165"/>
      <c r="C832" s="165"/>
      <c r="D832" s="165"/>
      <c r="E832" s="413"/>
      <c r="F832" s="165"/>
      <c r="G832" s="165"/>
      <c r="H832" s="165"/>
      <c r="I832" s="165"/>
      <c r="J832" s="404"/>
      <c r="K832" s="165"/>
      <c r="L832" s="165"/>
      <c r="M832" s="165"/>
      <c r="N832" s="165"/>
    </row>
    <row r="833" spans="2:26">
      <c r="B833" s="165"/>
      <c r="C833" s="165"/>
      <c r="D833" s="165"/>
      <c r="E833" s="404">
        <f>E831+E787</f>
        <v>8211793730.192688</v>
      </c>
      <c r="F833" s="165"/>
      <c r="G833" s="165"/>
      <c r="H833" s="165"/>
      <c r="I833" s="165"/>
      <c r="J833" s="404"/>
      <c r="K833" s="165"/>
      <c r="L833" s="165"/>
      <c r="M833" s="165"/>
      <c r="N833" s="404">
        <f>N831+N787</f>
        <v>6673187073.1926889</v>
      </c>
    </row>
    <row r="834" spans="2:26" ht="28.5">
      <c r="B834" s="411" t="str">
        <f>+B835</f>
        <v xml:space="preserve">Railway Siding - Construction of Railway Siding </v>
      </c>
      <c r="C834" s="165"/>
      <c r="D834" s="165"/>
      <c r="E834" s="404"/>
      <c r="F834" s="165"/>
      <c r="G834" s="165"/>
      <c r="H834" s="165"/>
      <c r="I834" s="165"/>
      <c r="J834" s="404"/>
      <c r="K834" s="165"/>
      <c r="L834" s="165"/>
      <c r="M834" s="165"/>
      <c r="N834" s="165"/>
    </row>
    <row r="835" spans="2:26" ht="27" outlineLevel="1">
      <c r="B835" s="165" t="s">
        <v>2811</v>
      </c>
      <c r="C835" s="165" t="s">
        <v>3815</v>
      </c>
      <c r="D835" s="165"/>
      <c r="E835" s="404">
        <v>430772145.12394404</v>
      </c>
      <c r="F835" s="165">
        <v>30</v>
      </c>
      <c r="G835" s="405">
        <v>53174</v>
      </c>
      <c r="H835" s="404">
        <v>10958</v>
      </c>
      <c r="I835" s="404">
        <v>21538607.256197203</v>
      </c>
      <c r="J835" s="404">
        <v>409233537.86774683</v>
      </c>
      <c r="K835" s="404">
        <v>365</v>
      </c>
      <c r="L835" s="403">
        <v>13631159</v>
      </c>
      <c r="M835" s="403">
        <v>90938728</v>
      </c>
      <c r="N835" s="403">
        <v>339833417.12394404</v>
      </c>
      <c r="O835" s="154"/>
      <c r="P835" s="154"/>
      <c r="Q835" s="154"/>
      <c r="R835" s="154"/>
      <c r="S835" s="154"/>
      <c r="T835" s="154"/>
      <c r="U835" s="154"/>
      <c r="V835" s="154"/>
      <c r="W835" s="154"/>
      <c r="X835" s="154"/>
      <c r="Y835" s="154"/>
      <c r="Z835" s="154"/>
    </row>
    <row r="836" spans="2:26" ht="27" outlineLevel="1">
      <c r="B836" s="165" t="s">
        <v>2811</v>
      </c>
      <c r="C836" s="165" t="s">
        <v>3816</v>
      </c>
      <c r="D836" s="165"/>
      <c r="E836" s="404">
        <v>214349859.65632021</v>
      </c>
      <c r="F836" s="165">
        <v>60</v>
      </c>
      <c r="G836" s="405">
        <v>64131</v>
      </c>
      <c r="H836" s="404">
        <v>21915</v>
      </c>
      <c r="I836" s="404">
        <v>10717492.982816011</v>
      </c>
      <c r="J836" s="404">
        <v>203632366.6735042</v>
      </c>
      <c r="K836" s="404">
        <v>365</v>
      </c>
      <c r="L836" s="403">
        <v>3391550</v>
      </c>
      <c r="M836" s="403">
        <v>22626340</v>
      </c>
      <c r="N836" s="403">
        <v>191723519.65632021</v>
      </c>
      <c r="O836" s="154"/>
      <c r="P836" s="154"/>
      <c r="Q836" s="154"/>
      <c r="R836" s="154"/>
      <c r="S836" s="154"/>
      <c r="T836" s="154"/>
      <c r="U836" s="154"/>
      <c r="V836" s="154"/>
      <c r="W836" s="154"/>
      <c r="X836" s="154"/>
      <c r="Y836" s="154"/>
      <c r="Z836" s="154"/>
    </row>
    <row r="837" spans="2:26" ht="27" outlineLevel="1">
      <c r="B837" s="165" t="s">
        <v>2811</v>
      </c>
      <c r="C837" s="165" t="s">
        <v>3817</v>
      </c>
      <c r="D837" s="165"/>
      <c r="E837" s="404">
        <v>14462173.545996414</v>
      </c>
      <c r="F837" s="165">
        <v>10</v>
      </c>
      <c r="G837" s="405">
        <v>45869</v>
      </c>
      <c r="H837" s="404">
        <v>3653</v>
      </c>
      <c r="I837" s="404">
        <v>723108.67729982082</v>
      </c>
      <c r="J837" s="404">
        <v>13739064.868696593</v>
      </c>
      <c r="K837" s="404">
        <v>365</v>
      </c>
      <c r="L837" s="403">
        <v>1372778</v>
      </c>
      <c r="M837" s="403">
        <v>9158332</v>
      </c>
      <c r="N837" s="403">
        <v>5303841.5459964145</v>
      </c>
      <c r="O837" s="154"/>
      <c r="P837" s="154"/>
      <c r="Q837" s="154"/>
      <c r="R837" s="154"/>
      <c r="S837" s="154"/>
      <c r="T837" s="154"/>
      <c r="U837" s="154"/>
      <c r="V837" s="154"/>
      <c r="W837" s="154"/>
      <c r="X837" s="154"/>
      <c r="Y837" s="154"/>
      <c r="Z837" s="154"/>
    </row>
    <row r="838" spans="2:26" ht="27" outlineLevel="1">
      <c r="B838" s="165" t="s">
        <v>2811</v>
      </c>
      <c r="C838" s="165" t="s">
        <v>3818</v>
      </c>
      <c r="D838" s="165"/>
      <c r="E838" s="404">
        <v>367437993.2417053</v>
      </c>
      <c r="F838" s="165">
        <v>30</v>
      </c>
      <c r="G838" s="405">
        <v>53174</v>
      </c>
      <c r="H838" s="404">
        <v>10958</v>
      </c>
      <c r="I838" s="404">
        <v>18371899.662085265</v>
      </c>
      <c r="J838" s="404">
        <v>349066093.57962</v>
      </c>
      <c r="K838" s="404">
        <v>365</v>
      </c>
      <c r="L838" s="403">
        <v>11627042</v>
      </c>
      <c r="M838" s="403">
        <v>77568488</v>
      </c>
      <c r="N838" s="403">
        <v>289869505.2417053</v>
      </c>
      <c r="O838" s="154"/>
      <c r="P838" s="154"/>
      <c r="Q838" s="154"/>
      <c r="R838" s="154"/>
      <c r="S838" s="154"/>
      <c r="T838" s="154"/>
      <c r="U838" s="154"/>
      <c r="V838" s="154"/>
      <c r="W838" s="154"/>
      <c r="X838" s="154"/>
      <c r="Y838" s="154"/>
      <c r="Z838" s="154"/>
    </row>
    <row r="839" spans="2:26" ht="27" outlineLevel="1">
      <c r="B839" s="165" t="s">
        <v>2811</v>
      </c>
      <c r="C839" s="165" t="s">
        <v>3819</v>
      </c>
      <c r="D839" s="165"/>
      <c r="E839" s="404">
        <v>9037176.6455931086</v>
      </c>
      <c r="F839" s="165">
        <v>30</v>
      </c>
      <c r="G839" s="405">
        <v>53174</v>
      </c>
      <c r="H839" s="404">
        <v>10958</v>
      </c>
      <c r="I839" s="404">
        <v>451858.83227965544</v>
      </c>
      <c r="J839" s="404">
        <v>8585317.8133134525</v>
      </c>
      <c r="K839" s="404">
        <v>365</v>
      </c>
      <c r="L839" s="403">
        <v>285968</v>
      </c>
      <c r="M839" s="403">
        <v>1907804</v>
      </c>
      <c r="N839" s="403">
        <v>7129372.6455931086</v>
      </c>
      <c r="O839" s="154"/>
      <c r="P839" s="154"/>
      <c r="Q839" s="154"/>
      <c r="R839" s="154"/>
      <c r="S839" s="154"/>
      <c r="T839" s="154"/>
      <c r="U839" s="154"/>
      <c r="V839" s="154"/>
      <c r="W839" s="154"/>
      <c r="X839" s="154"/>
      <c r="Y839" s="154"/>
      <c r="Z839" s="154"/>
    </row>
    <row r="840" spans="2:26" ht="27" outlineLevel="1">
      <c r="B840" s="165" t="s">
        <v>2811</v>
      </c>
      <c r="C840" s="165" t="s">
        <v>3820</v>
      </c>
      <c r="D840" s="165"/>
      <c r="E840" s="404">
        <v>22495438.026674904</v>
      </c>
      <c r="F840" s="165">
        <v>30</v>
      </c>
      <c r="G840" s="405">
        <v>53174</v>
      </c>
      <c r="H840" s="404">
        <v>10958</v>
      </c>
      <c r="I840" s="404">
        <v>1124771.9013337453</v>
      </c>
      <c r="J840" s="404">
        <v>21370666.125341158</v>
      </c>
      <c r="K840" s="404">
        <v>365</v>
      </c>
      <c r="L840" s="403">
        <v>711835</v>
      </c>
      <c r="M840" s="403">
        <v>4748927</v>
      </c>
      <c r="N840" s="403">
        <v>17746511.026674904</v>
      </c>
      <c r="O840" s="154"/>
      <c r="P840" s="154"/>
      <c r="Q840" s="154"/>
      <c r="R840" s="154"/>
      <c r="S840" s="154"/>
      <c r="T840" s="154"/>
      <c r="U840" s="154"/>
      <c r="V840" s="154"/>
      <c r="W840" s="154"/>
      <c r="X840" s="154"/>
      <c r="Y840" s="154"/>
      <c r="Z840" s="154"/>
    </row>
    <row r="841" spans="2:26" ht="27" outlineLevel="1">
      <c r="B841" s="165" t="s">
        <v>2811</v>
      </c>
      <c r="C841" s="165" t="s">
        <v>3821</v>
      </c>
      <c r="D841" s="165"/>
      <c r="E841" s="404">
        <v>156079297.19432402</v>
      </c>
      <c r="F841" s="165">
        <v>30</v>
      </c>
      <c r="G841" s="405">
        <v>53174</v>
      </c>
      <c r="H841" s="404">
        <v>10958</v>
      </c>
      <c r="I841" s="404">
        <v>7803964.8597162012</v>
      </c>
      <c r="J841" s="404">
        <v>148275332.33460781</v>
      </c>
      <c r="K841" s="404">
        <v>365</v>
      </c>
      <c r="L841" s="403">
        <v>4938903</v>
      </c>
      <c r="M841" s="403">
        <v>32949329</v>
      </c>
      <c r="N841" s="403">
        <v>123129968.19432402</v>
      </c>
      <c r="O841" s="154"/>
      <c r="P841" s="154"/>
      <c r="Q841" s="154"/>
      <c r="R841" s="154"/>
      <c r="S841" s="154"/>
      <c r="T841" s="154"/>
      <c r="U841" s="154"/>
      <c r="V841" s="154"/>
      <c r="W841" s="154"/>
      <c r="X841" s="154"/>
      <c r="Y841" s="154"/>
      <c r="Z841" s="154"/>
    </row>
    <row r="842" spans="2:26" ht="27" outlineLevel="1">
      <c r="B842" s="165" t="s">
        <v>2811</v>
      </c>
      <c r="C842" s="165" t="s">
        <v>3822</v>
      </c>
      <c r="D842" s="165"/>
      <c r="E842" s="404">
        <v>35317110.749997139</v>
      </c>
      <c r="F842" s="165">
        <v>5</v>
      </c>
      <c r="G842" s="405">
        <v>44043</v>
      </c>
      <c r="H842" s="404">
        <v>1827</v>
      </c>
      <c r="I842" s="404">
        <v>1765855.5374998571</v>
      </c>
      <c r="J842" s="404">
        <v>33551255.212497283</v>
      </c>
      <c r="K842" s="404">
        <v>0</v>
      </c>
      <c r="L842" s="403">
        <v>0</v>
      </c>
      <c r="M842" s="403">
        <v>35317111</v>
      </c>
      <c r="N842" s="403">
        <v>-0.25000286102294922</v>
      </c>
      <c r="O842" s="154"/>
      <c r="P842" s="154"/>
      <c r="Q842" s="154"/>
      <c r="R842" s="154"/>
      <c r="S842" s="154"/>
      <c r="T842" s="154"/>
      <c r="U842" s="154"/>
      <c r="V842" s="154"/>
      <c r="W842" s="154"/>
      <c r="X842" s="154"/>
      <c r="Y842" s="154"/>
      <c r="Z842" s="154"/>
    </row>
    <row r="843" spans="2:26" ht="27" outlineLevel="1">
      <c r="B843" s="165" t="s">
        <v>2811</v>
      </c>
      <c r="C843" s="165" t="s">
        <v>3823</v>
      </c>
      <c r="D843" s="165"/>
      <c r="E843" s="404">
        <v>265210250.24928269</v>
      </c>
      <c r="F843" s="165">
        <v>40</v>
      </c>
      <c r="G843" s="405">
        <v>56826</v>
      </c>
      <c r="H843" s="404">
        <v>14610</v>
      </c>
      <c r="I843" s="404">
        <v>13260512.512464136</v>
      </c>
      <c r="J843" s="404">
        <v>251949737.73681855</v>
      </c>
      <c r="K843" s="404">
        <v>365</v>
      </c>
      <c r="L843" s="403">
        <v>6294432</v>
      </c>
      <c r="M843" s="403">
        <v>41992587</v>
      </c>
      <c r="N843" s="403">
        <v>223217663.24928269</v>
      </c>
      <c r="O843" s="154"/>
      <c r="P843" s="154"/>
      <c r="Q843" s="154"/>
      <c r="R843" s="154"/>
      <c r="S843" s="154"/>
      <c r="T843" s="154"/>
      <c r="U843" s="154"/>
      <c r="V843" s="154"/>
      <c r="W843" s="154"/>
      <c r="X843" s="154"/>
      <c r="Y843" s="154"/>
      <c r="Z843" s="154"/>
    </row>
    <row r="844" spans="2:26" ht="27" outlineLevel="1">
      <c r="B844" s="165" t="s">
        <v>2811</v>
      </c>
      <c r="C844" s="165" t="s">
        <v>3824</v>
      </c>
      <c r="D844" s="165"/>
      <c r="E844" s="404">
        <v>2200916.7568146968</v>
      </c>
      <c r="F844" s="165">
        <v>20</v>
      </c>
      <c r="G844" s="405">
        <v>49521</v>
      </c>
      <c r="H844" s="404">
        <v>7305</v>
      </c>
      <c r="I844" s="404">
        <v>110045.83784073485</v>
      </c>
      <c r="J844" s="404">
        <v>2090870.9189739621</v>
      </c>
      <c r="K844" s="404">
        <v>365</v>
      </c>
      <c r="L844" s="403">
        <v>104472</v>
      </c>
      <c r="M844" s="403">
        <v>696973</v>
      </c>
      <c r="N844" s="403">
        <v>1503943.7568146968</v>
      </c>
      <c r="O844" s="154"/>
      <c r="P844" s="154"/>
      <c r="Q844" s="154"/>
      <c r="R844" s="154"/>
      <c r="S844" s="154"/>
      <c r="T844" s="154"/>
      <c r="U844" s="154"/>
      <c r="V844" s="154"/>
      <c r="W844" s="154"/>
      <c r="X844" s="154"/>
      <c r="Y844" s="154"/>
      <c r="Z844" s="154"/>
    </row>
    <row r="845" spans="2:26" ht="27" outlineLevel="1">
      <c r="B845" s="165" t="s">
        <v>2811</v>
      </c>
      <c r="C845" s="165" t="s">
        <v>3825</v>
      </c>
      <c r="D845" s="165"/>
      <c r="E845" s="404">
        <v>34299856.260061398</v>
      </c>
      <c r="F845" s="165">
        <v>10</v>
      </c>
      <c r="G845" s="405">
        <v>45869</v>
      </c>
      <c r="H845" s="404">
        <v>3653</v>
      </c>
      <c r="I845" s="404">
        <v>1714992.81300307</v>
      </c>
      <c r="J845" s="404">
        <v>32584863.447058327</v>
      </c>
      <c r="K845" s="404">
        <v>365</v>
      </c>
      <c r="L845" s="403">
        <v>3255810</v>
      </c>
      <c r="M845" s="403">
        <v>21720766</v>
      </c>
      <c r="N845" s="403">
        <v>12579090.260061398</v>
      </c>
      <c r="O845" s="154"/>
      <c r="P845" s="154"/>
      <c r="Q845" s="154"/>
      <c r="R845" s="154"/>
      <c r="S845" s="154"/>
      <c r="T845" s="154"/>
      <c r="U845" s="154"/>
      <c r="V845" s="154"/>
      <c r="W845" s="154"/>
      <c r="X845" s="154"/>
      <c r="Y845" s="154"/>
      <c r="Z845" s="154"/>
    </row>
    <row r="846" spans="2:26" ht="27" outlineLevel="1">
      <c r="B846" s="165" t="s">
        <v>2811</v>
      </c>
      <c r="C846" s="165" t="s">
        <v>3826</v>
      </c>
      <c r="D846" s="165"/>
      <c r="E846" s="404">
        <v>26793537.382622533</v>
      </c>
      <c r="F846" s="165">
        <v>9</v>
      </c>
      <c r="G846" s="405">
        <v>45504</v>
      </c>
      <c r="H846" s="404">
        <v>3288</v>
      </c>
      <c r="I846" s="404">
        <v>1339676.8691311267</v>
      </c>
      <c r="J846" s="404">
        <v>25453860.513491407</v>
      </c>
      <c r="K846" s="404">
        <v>365</v>
      </c>
      <c r="L846" s="403">
        <v>2825626</v>
      </c>
      <c r="M846" s="403">
        <v>18850843</v>
      </c>
      <c r="N846" s="403">
        <v>7942694.3826225325</v>
      </c>
      <c r="O846" s="154"/>
      <c r="P846" s="154"/>
      <c r="Q846" s="154"/>
      <c r="R846" s="154"/>
      <c r="S846" s="154"/>
      <c r="T846" s="154"/>
      <c r="U846" s="154"/>
      <c r="V846" s="154"/>
      <c r="W846" s="154"/>
      <c r="X846" s="154"/>
      <c r="Y846" s="154"/>
      <c r="Z846" s="154"/>
    </row>
    <row r="847" spans="2:26" ht="27" outlineLevel="1">
      <c r="B847" s="165" t="s">
        <v>2811</v>
      </c>
      <c r="C847" s="165" t="s">
        <v>3827</v>
      </c>
      <c r="D847" s="165"/>
      <c r="E847" s="404">
        <v>36310350.237325221</v>
      </c>
      <c r="F847" s="165">
        <v>8</v>
      </c>
      <c r="G847" s="405">
        <v>45138</v>
      </c>
      <c r="H847" s="404">
        <v>2922</v>
      </c>
      <c r="I847" s="404">
        <v>1815517.5118662613</v>
      </c>
      <c r="J847" s="404">
        <v>34494832.725458957</v>
      </c>
      <c r="K847" s="404">
        <v>365</v>
      </c>
      <c r="L847" s="403">
        <v>4308903</v>
      </c>
      <c r="M847" s="403">
        <v>28746356</v>
      </c>
      <c r="N847" s="403">
        <v>7563994.2373252213</v>
      </c>
      <c r="O847" s="154"/>
      <c r="P847" s="154"/>
      <c r="Q847" s="154"/>
      <c r="R847" s="154"/>
      <c r="S847" s="154"/>
      <c r="T847" s="154"/>
      <c r="U847" s="154"/>
      <c r="V847" s="154"/>
      <c r="W847" s="154"/>
      <c r="X847" s="154"/>
      <c r="Y847" s="154"/>
      <c r="Z847" s="154"/>
    </row>
    <row r="848" spans="2:26" ht="27" outlineLevel="1">
      <c r="B848" s="165" t="s">
        <v>2811</v>
      </c>
      <c r="C848" s="165" t="s">
        <v>3828</v>
      </c>
      <c r="D848" s="165"/>
      <c r="E848" s="404">
        <v>8387758.3755999096</v>
      </c>
      <c r="F848" s="165">
        <v>6</v>
      </c>
      <c r="G848" s="405">
        <v>44408</v>
      </c>
      <c r="H848" s="404">
        <v>2192</v>
      </c>
      <c r="I848" s="404">
        <v>419387.91877999553</v>
      </c>
      <c r="J848" s="404">
        <v>7968370.4568199143</v>
      </c>
      <c r="K848" s="404">
        <v>122</v>
      </c>
      <c r="L848" s="403">
        <v>862679</v>
      </c>
      <c r="M848" s="403">
        <v>8387758</v>
      </c>
      <c r="N848" s="403">
        <v>0.37559990957379341</v>
      </c>
      <c r="O848" s="154"/>
      <c r="P848" s="154"/>
      <c r="Q848" s="154"/>
      <c r="R848" s="154"/>
      <c r="S848" s="154"/>
      <c r="T848" s="154"/>
      <c r="U848" s="154"/>
      <c r="V848" s="154"/>
      <c r="W848" s="154"/>
      <c r="X848" s="154"/>
      <c r="Y848" s="154"/>
      <c r="Z848" s="154"/>
    </row>
    <row r="849" spans="2:26" ht="27" outlineLevel="1">
      <c r="B849" s="165" t="s">
        <v>2811</v>
      </c>
      <c r="C849" s="165" t="s">
        <v>3829</v>
      </c>
      <c r="D849" s="165"/>
      <c r="E849" s="404">
        <v>44811811.819972672</v>
      </c>
      <c r="F849" s="165">
        <v>5</v>
      </c>
      <c r="G849" s="405">
        <v>44043</v>
      </c>
      <c r="H849" s="404">
        <v>1827</v>
      </c>
      <c r="I849" s="404">
        <v>2240590.5909986338</v>
      </c>
      <c r="J849" s="404">
        <v>42571221.228974037</v>
      </c>
      <c r="K849" s="404">
        <v>0</v>
      </c>
      <c r="L849" s="403">
        <v>0</v>
      </c>
      <c r="M849" s="403">
        <v>44811812</v>
      </c>
      <c r="N849" s="403">
        <v>-0.18002732843160629</v>
      </c>
      <c r="O849" s="154"/>
      <c r="P849" s="154"/>
      <c r="Q849" s="154"/>
      <c r="R849" s="154"/>
      <c r="S849" s="154"/>
      <c r="T849" s="154"/>
      <c r="U849" s="154"/>
      <c r="V849" s="154"/>
      <c r="W849" s="154"/>
      <c r="X849" s="154"/>
      <c r="Y849" s="154"/>
      <c r="Z849" s="154"/>
    </row>
    <row r="850" spans="2:26" ht="27" outlineLevel="1">
      <c r="B850" s="165" t="s">
        <v>2811</v>
      </c>
      <c r="C850" s="165" t="s">
        <v>3830</v>
      </c>
      <c r="D850" s="165"/>
      <c r="E850" s="404">
        <v>10262603.881213497</v>
      </c>
      <c r="F850" s="165">
        <v>4</v>
      </c>
      <c r="G850" s="405">
        <v>43677</v>
      </c>
      <c r="H850" s="404">
        <v>1461</v>
      </c>
      <c r="I850" s="404">
        <v>513130.19406067487</v>
      </c>
      <c r="J850" s="404">
        <v>9749473.6871528216</v>
      </c>
      <c r="K850" s="404">
        <v>0</v>
      </c>
      <c r="L850" s="403">
        <v>0</v>
      </c>
      <c r="M850" s="403">
        <v>10262604</v>
      </c>
      <c r="N850" s="403">
        <v>-0.11878650262951851</v>
      </c>
      <c r="O850" s="154"/>
      <c r="P850" s="154"/>
      <c r="Q850" s="154"/>
      <c r="R850" s="154"/>
      <c r="S850" s="154"/>
      <c r="T850" s="154"/>
      <c r="U850" s="154"/>
      <c r="V850" s="154"/>
      <c r="W850" s="154"/>
      <c r="X850" s="154"/>
      <c r="Y850" s="154"/>
      <c r="Z850" s="154"/>
    </row>
    <row r="851" spans="2:26" ht="40.5" outlineLevel="1">
      <c r="B851" s="165" t="s">
        <v>2811</v>
      </c>
      <c r="C851" s="165" t="s">
        <v>3831</v>
      </c>
      <c r="D851" s="165"/>
      <c r="E851" s="404">
        <v>72799485.13022159</v>
      </c>
      <c r="F851" s="165">
        <v>80</v>
      </c>
      <c r="G851" s="405">
        <v>71436</v>
      </c>
      <c r="H851" s="404">
        <v>29220</v>
      </c>
      <c r="I851" s="404">
        <v>3639974.2565110796</v>
      </c>
      <c r="J851" s="404">
        <v>69159510.873710513</v>
      </c>
      <c r="K851" s="404">
        <v>365</v>
      </c>
      <c r="L851" s="403">
        <v>863902</v>
      </c>
      <c r="M851" s="403">
        <v>5763424</v>
      </c>
      <c r="N851" s="403">
        <v>67036061.13022159</v>
      </c>
      <c r="O851" s="154"/>
      <c r="P851" s="154"/>
      <c r="Q851" s="154"/>
      <c r="R851" s="154"/>
      <c r="S851" s="154"/>
      <c r="T851" s="154"/>
      <c r="U851" s="154"/>
      <c r="V851" s="154"/>
      <c r="W851" s="154"/>
      <c r="X851" s="154"/>
      <c r="Y851" s="154"/>
      <c r="Z851" s="154"/>
    </row>
    <row r="852" spans="2:26" ht="40.5" outlineLevel="1">
      <c r="B852" s="165" t="s">
        <v>2811</v>
      </c>
      <c r="C852" s="165" t="s">
        <v>3832</v>
      </c>
      <c r="D852" s="165"/>
      <c r="E852" s="404">
        <v>66439946.648507304</v>
      </c>
      <c r="F852" s="165">
        <v>60</v>
      </c>
      <c r="G852" s="405">
        <v>64131</v>
      </c>
      <c r="H852" s="404">
        <v>21915</v>
      </c>
      <c r="I852" s="404">
        <v>3321997.3324253652</v>
      </c>
      <c r="J852" s="404">
        <v>63117949.316081941</v>
      </c>
      <c r="K852" s="404">
        <v>365</v>
      </c>
      <c r="L852" s="403">
        <v>1051246</v>
      </c>
      <c r="M852" s="403">
        <v>7013268</v>
      </c>
      <c r="N852" s="403">
        <v>59426678.648507304</v>
      </c>
      <c r="O852" s="154"/>
      <c r="P852" s="154"/>
      <c r="Q852" s="154"/>
      <c r="R852" s="154"/>
      <c r="S852" s="154"/>
      <c r="T852" s="154"/>
      <c r="U852" s="154"/>
      <c r="V852" s="154"/>
      <c r="W852" s="154"/>
      <c r="X852" s="154"/>
      <c r="Y852" s="154"/>
      <c r="Z852" s="154"/>
    </row>
    <row r="853" spans="2:26" ht="27" outlineLevel="1">
      <c r="B853" s="165" t="s">
        <v>2811</v>
      </c>
      <c r="C853" s="165" t="s">
        <v>3833</v>
      </c>
      <c r="D853" s="165"/>
      <c r="E853" s="404">
        <v>26217601.713147342</v>
      </c>
      <c r="F853" s="165">
        <v>40</v>
      </c>
      <c r="G853" s="405">
        <v>56826</v>
      </c>
      <c r="H853" s="404">
        <v>14610</v>
      </c>
      <c r="I853" s="404">
        <v>1310880.0856573672</v>
      </c>
      <c r="J853" s="404">
        <v>24906721.627489977</v>
      </c>
      <c r="K853" s="404">
        <v>365</v>
      </c>
      <c r="L853" s="403">
        <v>622242</v>
      </c>
      <c r="M853" s="403">
        <v>4151217</v>
      </c>
      <c r="N853" s="403">
        <v>22066384.713147342</v>
      </c>
      <c r="O853" s="154"/>
      <c r="P853" s="154"/>
      <c r="Q853" s="154"/>
      <c r="R853" s="154"/>
      <c r="S853" s="154"/>
      <c r="T853" s="154"/>
      <c r="U853" s="154"/>
      <c r="V853" s="154"/>
      <c r="W853" s="154"/>
      <c r="X853" s="154"/>
      <c r="Y853" s="154"/>
      <c r="Z853" s="154"/>
    </row>
    <row r="854" spans="2:26" ht="27" outlineLevel="1">
      <c r="B854" s="165" t="s">
        <v>2811</v>
      </c>
      <c r="C854" s="165" t="s">
        <v>3834</v>
      </c>
      <c r="D854" s="165"/>
      <c r="E854" s="404">
        <v>9214223.373290861</v>
      </c>
      <c r="F854" s="165">
        <v>30</v>
      </c>
      <c r="G854" s="405">
        <v>53174</v>
      </c>
      <c r="H854" s="404">
        <v>10958</v>
      </c>
      <c r="I854" s="404">
        <v>460711.16866454307</v>
      </c>
      <c r="J854" s="404">
        <v>8753512.2046263181</v>
      </c>
      <c r="K854" s="404">
        <v>365</v>
      </c>
      <c r="L854" s="403">
        <v>291571</v>
      </c>
      <c r="M854" s="403">
        <v>1945183</v>
      </c>
      <c r="N854" s="403">
        <v>7269040.373290861</v>
      </c>
      <c r="O854" s="154"/>
      <c r="P854" s="154"/>
      <c r="Q854" s="154"/>
      <c r="R854" s="154"/>
      <c r="S854" s="154"/>
      <c r="T854" s="154"/>
      <c r="U854" s="154"/>
      <c r="V854" s="154"/>
      <c r="W854" s="154"/>
      <c r="X854" s="154"/>
      <c r="Y854" s="154"/>
      <c r="Z854" s="154"/>
    </row>
    <row r="855" spans="2:26" ht="27" outlineLevel="1">
      <c r="B855" s="165" t="s">
        <v>2811</v>
      </c>
      <c r="C855" s="165" t="s">
        <v>3835</v>
      </c>
      <c r="D855" s="165"/>
      <c r="E855" s="404">
        <v>19808270.611461136</v>
      </c>
      <c r="F855" s="165">
        <v>10</v>
      </c>
      <c r="G855" s="405">
        <v>45869</v>
      </c>
      <c r="H855" s="404">
        <v>3653</v>
      </c>
      <c r="I855" s="404">
        <v>990413.53057305689</v>
      </c>
      <c r="J855" s="404">
        <v>18817857.080888081</v>
      </c>
      <c r="K855" s="404">
        <v>365</v>
      </c>
      <c r="L855" s="403">
        <v>1880240</v>
      </c>
      <c r="M855" s="403">
        <v>12543808</v>
      </c>
      <c r="N855" s="403">
        <v>7264462.6114611365</v>
      </c>
      <c r="O855" s="154"/>
      <c r="P855" s="154"/>
      <c r="Q855" s="154"/>
      <c r="R855" s="154"/>
      <c r="S855" s="154"/>
      <c r="T855" s="154"/>
      <c r="U855" s="154"/>
      <c r="V855" s="154"/>
      <c r="W855" s="154"/>
      <c r="X855" s="154"/>
      <c r="Y855" s="154"/>
      <c r="Z855" s="154"/>
    </row>
    <row r="856" spans="2:26" ht="27" outlineLevel="1">
      <c r="B856" s="165" t="s">
        <v>2811</v>
      </c>
      <c r="C856" s="165" t="s">
        <v>4415</v>
      </c>
      <c r="D856" s="165"/>
      <c r="E856" s="404">
        <v>805892596.75033629</v>
      </c>
      <c r="F856" s="165">
        <v>34</v>
      </c>
      <c r="G856" s="405">
        <v>54635</v>
      </c>
      <c r="H856" s="404">
        <v>12419</v>
      </c>
      <c r="I856" s="404">
        <v>40294629.837516814</v>
      </c>
      <c r="J856" s="404">
        <v>765597966.9128195</v>
      </c>
      <c r="K856" s="404">
        <v>365</v>
      </c>
      <c r="L856" s="403">
        <v>22501269</v>
      </c>
      <c r="M856" s="403">
        <v>150114657</v>
      </c>
      <c r="N856" s="403">
        <v>655777939.75033629</v>
      </c>
      <c r="O856" s="154"/>
      <c r="P856" s="154"/>
      <c r="Q856" s="154"/>
      <c r="R856" s="154"/>
      <c r="S856" s="154"/>
      <c r="T856" s="154"/>
      <c r="U856" s="154"/>
      <c r="V856" s="154"/>
      <c r="W856" s="154"/>
      <c r="X856" s="154"/>
      <c r="Y856" s="154"/>
      <c r="Z856" s="154"/>
    </row>
    <row r="857" spans="2:26" outlineLevel="1">
      <c r="B857" s="165"/>
      <c r="C857" s="165"/>
      <c r="D857" s="165"/>
      <c r="E857" s="404"/>
      <c r="F857" s="165"/>
      <c r="G857" s="405"/>
      <c r="H857" s="404"/>
      <c r="I857" s="404"/>
      <c r="J857" s="404"/>
      <c r="K857" s="404"/>
      <c r="L857" s="403"/>
      <c r="M857" s="403"/>
      <c r="N857" s="403"/>
      <c r="O857" s="154"/>
      <c r="P857" s="154"/>
      <c r="Q857" s="154"/>
      <c r="R857" s="154"/>
      <c r="S857" s="154"/>
      <c r="T857" s="154"/>
      <c r="U857" s="154"/>
      <c r="V857" s="154"/>
      <c r="W857" s="154"/>
      <c r="X857" s="154"/>
      <c r="Y857" s="154"/>
      <c r="Z857" s="154"/>
    </row>
    <row r="858" spans="2:26" ht="27" outlineLevel="1">
      <c r="B858" s="165" t="s">
        <v>2811</v>
      </c>
      <c r="C858" s="165" t="s">
        <v>2812</v>
      </c>
      <c r="D858" s="165"/>
      <c r="E858" s="404">
        <v>209416280.50338647</v>
      </c>
      <c r="F858" s="165">
        <v>34</v>
      </c>
      <c r="G858" s="405">
        <v>54635</v>
      </c>
      <c r="H858" s="404">
        <v>12419</v>
      </c>
      <c r="I858" s="404">
        <v>10470814.025169324</v>
      </c>
      <c r="J858" s="404">
        <v>198945466.47821715</v>
      </c>
      <c r="K858" s="404">
        <v>365</v>
      </c>
      <c r="L858" s="403">
        <v>5847097</v>
      </c>
      <c r="M858" s="403">
        <v>39008242</v>
      </c>
      <c r="N858" s="403">
        <v>170408038.50338647</v>
      </c>
      <c r="O858" s="154"/>
      <c r="P858" s="154"/>
      <c r="Q858" s="154"/>
      <c r="R858" s="154"/>
      <c r="S858" s="154"/>
      <c r="T858" s="154"/>
      <c r="U858" s="154"/>
      <c r="V858" s="154"/>
      <c r="W858" s="154"/>
      <c r="X858" s="154"/>
      <c r="Y858" s="154"/>
      <c r="Z858" s="154"/>
    </row>
    <row r="859" spans="2:26" outlineLevel="1">
      <c r="B859" s="165"/>
      <c r="C859" s="165"/>
      <c r="D859" s="165"/>
      <c r="E859" s="404"/>
      <c r="F859" s="165"/>
      <c r="G859" s="405"/>
      <c r="H859" s="404"/>
      <c r="I859" s="404"/>
      <c r="J859" s="404"/>
      <c r="K859" s="404"/>
      <c r="L859" s="403"/>
      <c r="M859" s="403"/>
      <c r="N859" s="403"/>
      <c r="O859" s="154"/>
      <c r="P859" s="154"/>
      <c r="Q859" s="154"/>
      <c r="R859" s="154"/>
      <c r="S859" s="154"/>
      <c r="T859" s="154"/>
      <c r="U859" s="154"/>
      <c r="V859" s="154"/>
      <c r="W859" s="154"/>
      <c r="X859" s="154"/>
      <c r="Y859" s="154"/>
      <c r="Z859" s="154"/>
    </row>
    <row r="860" spans="2:26" ht="67.5" outlineLevel="1">
      <c r="B860" s="165" t="s">
        <v>2813</v>
      </c>
      <c r="C860" s="165" t="s">
        <v>3836</v>
      </c>
      <c r="D860" s="165"/>
      <c r="E860" s="404">
        <v>75017740.286079392</v>
      </c>
      <c r="F860" s="165">
        <v>20</v>
      </c>
      <c r="G860" s="405">
        <v>49521</v>
      </c>
      <c r="H860" s="404">
        <v>7305</v>
      </c>
      <c r="I860" s="404">
        <v>3750887.0143039697</v>
      </c>
      <c r="J860" s="404">
        <v>71266853.271775424</v>
      </c>
      <c r="K860" s="404">
        <v>365</v>
      </c>
      <c r="L860" s="403">
        <v>3560904</v>
      </c>
      <c r="M860" s="403">
        <v>23756166</v>
      </c>
      <c r="N860" s="403">
        <v>51261574.286079392</v>
      </c>
      <c r="O860" s="154"/>
      <c r="P860" s="154"/>
      <c r="Q860" s="154"/>
      <c r="R860" s="154"/>
      <c r="S860" s="154"/>
      <c r="T860" s="154"/>
      <c r="U860" s="154"/>
      <c r="V860" s="154"/>
      <c r="W860" s="154"/>
      <c r="X860" s="154"/>
      <c r="Y860" s="154"/>
      <c r="Z860" s="154"/>
    </row>
    <row r="861" spans="2:26" ht="94.5" outlineLevel="1">
      <c r="B861" s="165" t="s">
        <v>2813</v>
      </c>
      <c r="C861" s="165" t="s">
        <v>3837</v>
      </c>
      <c r="D861" s="165"/>
      <c r="E861" s="404">
        <v>65495690.172406934</v>
      </c>
      <c r="F861" s="165">
        <v>15</v>
      </c>
      <c r="G861" s="405">
        <v>47695</v>
      </c>
      <c r="H861" s="404">
        <v>5479</v>
      </c>
      <c r="I861" s="404">
        <v>3274784.5086203469</v>
      </c>
      <c r="J861" s="404">
        <v>62220905.66378659</v>
      </c>
      <c r="K861" s="404">
        <v>365</v>
      </c>
      <c r="L861" s="403">
        <v>4145032</v>
      </c>
      <c r="M861" s="403">
        <v>27653109</v>
      </c>
      <c r="N861" s="403">
        <v>37842581.172406934</v>
      </c>
      <c r="O861" s="154"/>
      <c r="P861" s="154"/>
      <c r="Q861" s="154"/>
      <c r="R861" s="154"/>
      <c r="S861" s="154"/>
      <c r="T861" s="154"/>
      <c r="U861" s="154"/>
      <c r="V861" s="154"/>
      <c r="W861" s="154"/>
      <c r="X861" s="154"/>
      <c r="Y861" s="154"/>
      <c r="Z861" s="154"/>
    </row>
    <row r="862" spans="2:26" ht="81" outlineLevel="1">
      <c r="B862" s="165" t="s">
        <v>2813</v>
      </c>
      <c r="C862" s="165" t="s">
        <v>3838</v>
      </c>
      <c r="D862" s="165"/>
      <c r="E862" s="404">
        <v>10548716.166955657</v>
      </c>
      <c r="F862" s="165">
        <v>10</v>
      </c>
      <c r="G862" s="405">
        <v>45869</v>
      </c>
      <c r="H862" s="404">
        <v>3653</v>
      </c>
      <c r="I862" s="404">
        <v>527435.80834778294</v>
      </c>
      <c r="J862" s="404">
        <v>10021280.358607875</v>
      </c>
      <c r="K862" s="404">
        <v>365</v>
      </c>
      <c r="L862" s="403">
        <v>1001305</v>
      </c>
      <c r="M862" s="403">
        <v>6680092</v>
      </c>
      <c r="N862" s="403">
        <v>3868624.1669556573</v>
      </c>
      <c r="O862" s="154"/>
      <c r="P862" s="154"/>
      <c r="Q862" s="154"/>
      <c r="R862" s="154"/>
      <c r="S862" s="154"/>
      <c r="T862" s="154"/>
      <c r="U862" s="154"/>
      <c r="V862" s="154"/>
      <c r="W862" s="154"/>
      <c r="X862" s="154"/>
      <c r="Y862" s="154"/>
      <c r="Z862" s="154"/>
    </row>
    <row r="863" spans="2:26" ht="54" outlineLevel="1">
      <c r="B863" s="165" t="s">
        <v>2813</v>
      </c>
      <c r="C863" s="165" t="s">
        <v>3839</v>
      </c>
      <c r="D863" s="165"/>
      <c r="E863" s="404">
        <v>5329505.8952962542</v>
      </c>
      <c r="F863" s="165">
        <v>8</v>
      </c>
      <c r="G863" s="405">
        <v>45138</v>
      </c>
      <c r="H863" s="404">
        <v>2922</v>
      </c>
      <c r="I863" s="404">
        <v>266475.29476481274</v>
      </c>
      <c r="J863" s="404">
        <v>5063030.6005314412</v>
      </c>
      <c r="K863" s="404">
        <v>365</v>
      </c>
      <c r="L863" s="403">
        <v>632446</v>
      </c>
      <c r="M863" s="403">
        <v>4219291</v>
      </c>
      <c r="N863" s="403">
        <v>1110214.8952962542</v>
      </c>
      <c r="O863" s="154"/>
      <c r="P863" s="154">
        <v>1855</v>
      </c>
      <c r="Q863" s="154"/>
      <c r="R863" s="154"/>
      <c r="S863" s="154"/>
      <c r="T863" s="154"/>
      <c r="U863" s="154"/>
      <c r="V863" s="154"/>
      <c r="W863" s="154"/>
      <c r="X863" s="154"/>
      <c r="Y863" s="154"/>
      <c r="Z863" s="154"/>
    </row>
    <row r="864" spans="2:26" ht="27" outlineLevel="1">
      <c r="B864" s="165" t="s">
        <v>2813</v>
      </c>
      <c r="C864" s="165" t="s">
        <v>3840</v>
      </c>
      <c r="D864" s="165"/>
      <c r="E864" s="404">
        <v>1512959.3226348253</v>
      </c>
      <c r="F864" s="165">
        <v>5</v>
      </c>
      <c r="G864" s="405">
        <v>44043</v>
      </c>
      <c r="H864" s="404">
        <v>1827</v>
      </c>
      <c r="I864" s="404">
        <v>75647.966131741268</v>
      </c>
      <c r="J864" s="404">
        <v>1437311.3565030841</v>
      </c>
      <c r="K864" s="404">
        <v>0</v>
      </c>
      <c r="L864" s="403">
        <v>0</v>
      </c>
      <c r="M864" s="403">
        <v>1512959</v>
      </c>
      <c r="N864" s="403">
        <v>0.32263482525013387</v>
      </c>
      <c r="O864" s="154"/>
      <c r="P864" s="154">
        <v>2014</v>
      </c>
      <c r="Q864" s="154"/>
      <c r="R864" s="154"/>
      <c r="S864" s="154"/>
      <c r="T864" s="154"/>
      <c r="U864" s="154"/>
      <c r="V864" s="154"/>
      <c r="W864" s="154"/>
      <c r="X864" s="154"/>
      <c r="Y864" s="154"/>
      <c r="Z864" s="154"/>
    </row>
    <row r="865" spans="2:26" ht="40.5" outlineLevel="1">
      <c r="B865" s="165" t="s">
        <v>2813</v>
      </c>
      <c r="C865" s="165" t="s">
        <v>3841</v>
      </c>
      <c r="D865" s="165"/>
      <c r="E865" s="404">
        <v>483125.79605245253</v>
      </c>
      <c r="F865" s="165">
        <v>2</v>
      </c>
      <c r="G865" s="405">
        <v>42947</v>
      </c>
      <c r="H865" s="404">
        <v>731</v>
      </c>
      <c r="I865" s="404">
        <v>24156.289802622628</v>
      </c>
      <c r="J865" s="404">
        <v>458969.50624982989</v>
      </c>
      <c r="K865" s="404">
        <v>0</v>
      </c>
      <c r="L865" s="403">
        <v>0</v>
      </c>
      <c r="M865" s="403">
        <v>483126</v>
      </c>
      <c r="N865" s="403">
        <v>-0.20394754747394472</v>
      </c>
      <c r="O865" s="154"/>
      <c r="P865" s="154">
        <v>2303</v>
      </c>
      <c r="Q865" s="154"/>
      <c r="R865" s="154"/>
      <c r="S865" s="154">
        <v>12830</v>
      </c>
      <c r="T865" s="154"/>
      <c r="U865" s="154"/>
      <c r="V865" s="154"/>
      <c r="W865" s="154"/>
      <c r="X865" s="154"/>
      <c r="Y865" s="154"/>
      <c r="Z865" s="154"/>
    </row>
    <row r="866" spans="2:26" outlineLevel="1">
      <c r="B866" s="165" t="s">
        <v>2813</v>
      </c>
      <c r="C866" s="165" t="s">
        <v>3842</v>
      </c>
      <c r="D866" s="165"/>
      <c r="E866" s="404">
        <v>3467094.7472485299</v>
      </c>
      <c r="F866" s="165">
        <v>30</v>
      </c>
      <c r="G866" s="405">
        <v>53174</v>
      </c>
      <c r="H866" s="404">
        <v>10958</v>
      </c>
      <c r="I866" s="404">
        <v>173354.7373624265</v>
      </c>
      <c r="J866" s="404">
        <v>3293740.0098861032</v>
      </c>
      <c r="K866" s="404">
        <v>365</v>
      </c>
      <c r="L866" s="403">
        <v>109711</v>
      </c>
      <c r="M866" s="403">
        <v>731925</v>
      </c>
      <c r="N866" s="403">
        <v>2735169.7472485299</v>
      </c>
      <c r="O866" s="154"/>
      <c r="P866" s="154">
        <f>SUM(P863:P865)</f>
        <v>6172</v>
      </c>
      <c r="Q866" s="154"/>
      <c r="R866" s="154"/>
      <c r="T866" s="154"/>
      <c r="U866" s="154"/>
      <c r="V866" s="154"/>
      <c r="W866" s="154"/>
      <c r="X866" s="154"/>
      <c r="Y866" s="154"/>
      <c r="Z866" s="154"/>
    </row>
    <row r="867" spans="2:26" outlineLevel="1">
      <c r="B867" s="165" t="s">
        <v>2813</v>
      </c>
      <c r="C867" s="165" t="s">
        <v>3843</v>
      </c>
      <c r="D867" s="165"/>
      <c r="E867" s="404">
        <v>4266576.7455971083</v>
      </c>
      <c r="F867" s="165">
        <v>10</v>
      </c>
      <c r="G867" s="405">
        <v>45869</v>
      </c>
      <c r="H867" s="404">
        <v>3653</v>
      </c>
      <c r="I867" s="404">
        <v>213328.83727985542</v>
      </c>
      <c r="J867" s="404">
        <v>4053247.908317253</v>
      </c>
      <c r="K867" s="404">
        <v>365</v>
      </c>
      <c r="L867" s="403">
        <v>404992</v>
      </c>
      <c r="M867" s="403">
        <v>2701857</v>
      </c>
      <c r="N867" s="403">
        <v>1564719.7455971083</v>
      </c>
      <c r="O867" s="154"/>
      <c r="P867" s="154"/>
      <c r="Q867" s="154"/>
      <c r="R867" s="154"/>
      <c r="S867" s="154">
        <v>434</v>
      </c>
      <c r="T867" s="154"/>
      <c r="U867" s="154"/>
      <c r="V867" s="154"/>
      <c r="W867" s="154"/>
      <c r="X867" s="154"/>
      <c r="Y867" s="154"/>
      <c r="Z867" s="154"/>
    </row>
    <row r="868" spans="2:26" outlineLevel="1">
      <c r="B868" s="165"/>
      <c r="C868" s="165"/>
      <c r="D868" s="165"/>
      <c r="E868" s="404"/>
      <c r="F868" s="165"/>
      <c r="G868" s="405"/>
      <c r="H868" s="404"/>
      <c r="I868" s="404"/>
      <c r="J868" s="404"/>
      <c r="K868" s="404"/>
      <c r="L868" s="403"/>
      <c r="M868" s="403"/>
      <c r="N868" s="403"/>
      <c r="O868" s="154"/>
      <c r="P868" s="154"/>
      <c r="Q868" s="154"/>
      <c r="R868" s="154"/>
      <c r="S868" s="154">
        <v>1173</v>
      </c>
      <c r="T868" s="154"/>
      <c r="U868" s="154"/>
      <c r="V868" s="154"/>
      <c r="W868" s="154"/>
      <c r="X868" s="154"/>
      <c r="Y868" s="154"/>
      <c r="Z868" s="154"/>
    </row>
    <row r="869" spans="2:26" outlineLevel="1">
      <c r="B869" s="165" t="s">
        <v>3006</v>
      </c>
      <c r="C869" s="165" t="s">
        <v>3006</v>
      </c>
      <c r="D869" s="165"/>
      <c r="E869" s="404">
        <v>115686174.15003675</v>
      </c>
      <c r="F869" s="165">
        <v>36</v>
      </c>
      <c r="G869" s="405">
        <v>55365</v>
      </c>
      <c r="H869" s="404">
        <v>13149</v>
      </c>
      <c r="I869" s="404">
        <v>5784308.707501838</v>
      </c>
      <c r="J869" s="404">
        <v>109901865.44253491</v>
      </c>
      <c r="K869" s="404">
        <v>365</v>
      </c>
      <c r="L869" s="403">
        <v>3050740</v>
      </c>
      <c r="M869" s="403">
        <v>20352665</v>
      </c>
      <c r="N869" s="403">
        <v>95333509.150036752</v>
      </c>
      <c r="O869" s="154"/>
      <c r="P869" s="154"/>
      <c r="Q869" s="154"/>
      <c r="R869" s="154"/>
      <c r="S869" s="154">
        <v>1559</v>
      </c>
      <c r="T869" s="154"/>
      <c r="U869" s="154"/>
      <c r="V869" s="154"/>
      <c r="W869" s="154"/>
      <c r="X869" s="154"/>
      <c r="Y869" s="154"/>
      <c r="Z869" s="154"/>
    </row>
    <row r="870" spans="2:26" outlineLevel="1">
      <c r="B870" s="165"/>
      <c r="C870" s="165"/>
      <c r="D870" s="165"/>
      <c r="E870" s="404"/>
      <c r="F870" s="165"/>
      <c r="G870" s="405"/>
      <c r="H870" s="404"/>
      <c r="I870" s="404"/>
      <c r="J870" s="404"/>
      <c r="K870" s="404"/>
      <c r="L870" s="404"/>
      <c r="M870" s="404"/>
      <c r="N870" s="404"/>
      <c r="S870" s="1">
        <v>377</v>
      </c>
    </row>
    <row r="871" spans="2:26" outlineLevel="1">
      <c r="B871" s="165"/>
      <c r="C871" s="165"/>
      <c r="D871" s="165"/>
      <c r="E871" s="404"/>
      <c r="F871" s="165"/>
      <c r="G871" s="405"/>
      <c r="H871" s="404"/>
      <c r="I871" s="404"/>
      <c r="J871" s="404"/>
      <c r="K871" s="404"/>
      <c r="L871" s="404"/>
      <c r="M871" s="404"/>
      <c r="N871" s="404"/>
      <c r="S871" s="1">
        <v>236</v>
      </c>
    </row>
    <row r="872" spans="2:26" ht="14.25">
      <c r="B872" s="411" t="s">
        <v>1837</v>
      </c>
      <c r="C872" s="165"/>
      <c r="D872" s="165"/>
      <c r="E872" s="413">
        <f>SUBTOTAL(9,E835:E871)</f>
        <v>3169824267.1601062</v>
      </c>
      <c r="F872" s="165"/>
      <c r="G872" s="165"/>
      <c r="H872" s="413"/>
      <c r="I872" s="413"/>
      <c r="J872" s="413"/>
      <c r="K872" s="165"/>
      <c r="L872" s="413">
        <f>SUBTOTAL(9,L835:L871)</f>
        <v>99573854</v>
      </c>
      <c r="M872" s="413">
        <f>SUBTOTAL(9,M835:M871)</f>
        <v>759315747</v>
      </c>
      <c r="N872" s="413">
        <f>SUBTOTAL(9,N835:N871)</f>
        <v>2410508520.1601067</v>
      </c>
      <c r="S872" s="1">
        <v>185</v>
      </c>
    </row>
    <row r="873" spans="2:26" ht="28.5">
      <c r="B873" s="411" t="s">
        <v>3844</v>
      </c>
      <c r="C873" s="165"/>
      <c r="D873" s="165"/>
      <c r="E873" s="413"/>
      <c r="F873" s="165"/>
      <c r="G873" s="165"/>
      <c r="H873" s="165"/>
      <c r="I873" s="165"/>
      <c r="J873" s="404"/>
      <c r="K873" s="165"/>
      <c r="L873" s="413"/>
      <c r="M873" s="413"/>
      <c r="N873" s="413"/>
      <c r="S873" s="152">
        <f>SUM(S867:S872)</f>
        <v>3964</v>
      </c>
      <c r="T873" s="152">
        <f>S865-S873</f>
        <v>8866</v>
      </c>
    </row>
    <row r="874" spans="2:26" ht="27">
      <c r="B874" s="165" t="s">
        <v>2950</v>
      </c>
      <c r="C874" s="165"/>
      <c r="D874" s="165"/>
      <c r="E874" s="404">
        <v>1507672</v>
      </c>
      <c r="F874" s="165">
        <v>15</v>
      </c>
      <c r="G874" s="405">
        <v>47695</v>
      </c>
      <c r="H874" s="404">
        <v>5479</v>
      </c>
      <c r="I874" s="404">
        <v>75383.600000000006</v>
      </c>
      <c r="J874" s="404">
        <v>1432288.4</v>
      </c>
      <c r="K874" s="404">
        <v>365</v>
      </c>
      <c r="L874" s="403">
        <v>95416</v>
      </c>
      <c r="M874" s="403">
        <v>636543</v>
      </c>
      <c r="N874" s="403">
        <v>871129</v>
      </c>
      <c r="O874" s="154"/>
      <c r="P874" s="154"/>
      <c r="Q874" s="154"/>
      <c r="R874" s="154"/>
      <c r="S874" s="154"/>
      <c r="T874" s="154"/>
      <c r="U874" s="154"/>
      <c r="V874" s="154"/>
      <c r="W874" s="154"/>
      <c r="X874" s="154"/>
      <c r="Y874" s="154"/>
      <c r="Z874" s="154"/>
    </row>
    <row r="875" spans="2:26" ht="27">
      <c r="B875" s="165" t="s">
        <v>2984</v>
      </c>
      <c r="C875" s="165"/>
      <c r="D875" s="165"/>
      <c r="E875" s="404">
        <v>3541437</v>
      </c>
      <c r="F875" s="165">
        <v>15</v>
      </c>
      <c r="G875" s="405">
        <v>47695</v>
      </c>
      <c r="H875" s="404">
        <v>5479</v>
      </c>
      <c r="I875" s="404">
        <v>177071.85</v>
      </c>
      <c r="J875" s="404">
        <v>3364365.15</v>
      </c>
      <c r="K875" s="404">
        <v>365</v>
      </c>
      <c r="L875" s="403">
        <v>224127</v>
      </c>
      <c r="M875" s="403">
        <v>1495204</v>
      </c>
      <c r="N875" s="403">
        <v>2046233</v>
      </c>
      <c r="O875" s="154"/>
      <c r="P875" s="154"/>
      <c r="Q875" s="154"/>
      <c r="R875" s="154"/>
      <c r="S875" s="154"/>
      <c r="T875" s="154"/>
      <c r="U875" s="154"/>
      <c r="V875" s="154"/>
      <c r="W875" s="154"/>
      <c r="X875" s="154"/>
      <c r="Y875" s="154"/>
      <c r="Z875" s="154"/>
    </row>
    <row r="876" spans="2:26" ht="27">
      <c r="B876" s="165" t="s">
        <v>3003</v>
      </c>
      <c r="C876" s="165"/>
      <c r="D876" s="165"/>
      <c r="E876" s="403">
        <v>-1343462</v>
      </c>
      <c r="F876" s="165">
        <v>15</v>
      </c>
      <c r="G876" s="405">
        <v>47695</v>
      </c>
      <c r="H876" s="404">
        <v>5479</v>
      </c>
      <c r="I876" s="403">
        <v>-67173.100000000006</v>
      </c>
      <c r="J876" s="403">
        <v>-1276288.8999999999</v>
      </c>
      <c r="K876" s="404">
        <v>365</v>
      </c>
      <c r="L876" s="403">
        <v>-85024</v>
      </c>
      <c r="M876" s="403">
        <v>-567215</v>
      </c>
      <c r="N876" s="403">
        <v>-776247</v>
      </c>
      <c r="O876" s="154"/>
      <c r="P876" s="154"/>
      <c r="Q876" s="154"/>
      <c r="R876" s="154"/>
      <c r="S876" s="154"/>
      <c r="T876" s="154"/>
      <c r="U876" s="154"/>
      <c r="V876" s="154"/>
      <c r="W876" s="154"/>
      <c r="X876" s="154"/>
      <c r="Y876" s="154"/>
      <c r="Z876" s="154"/>
    </row>
    <row r="877" spans="2:26" ht="27">
      <c r="B877" s="165" t="s">
        <v>3003</v>
      </c>
      <c r="C877" s="165"/>
      <c r="D877" s="165"/>
      <c r="E877" s="403">
        <v>-94828</v>
      </c>
      <c r="F877" s="165">
        <v>15</v>
      </c>
      <c r="G877" s="405">
        <v>47695</v>
      </c>
      <c r="H877" s="404">
        <v>5479</v>
      </c>
      <c r="I877" s="403">
        <v>-4741.4000000000005</v>
      </c>
      <c r="J877" s="403">
        <v>-90086.6</v>
      </c>
      <c r="K877" s="404">
        <v>365</v>
      </c>
      <c r="L877" s="403">
        <v>-6001</v>
      </c>
      <c r="M877" s="403">
        <v>-36023</v>
      </c>
      <c r="N877" s="403">
        <v>-58805</v>
      </c>
      <c r="O877" s="154"/>
      <c r="P877" s="154"/>
      <c r="Q877" s="154"/>
      <c r="R877" s="154"/>
      <c r="S877" s="154"/>
      <c r="T877" s="154"/>
      <c r="U877" s="154"/>
      <c r="V877" s="154"/>
      <c r="W877" s="154"/>
      <c r="X877" s="154"/>
      <c r="Y877" s="154"/>
      <c r="Z877" s="154"/>
    </row>
    <row r="878" spans="2:26" ht="27">
      <c r="B878" s="165" t="s">
        <v>2984</v>
      </c>
      <c r="C878" s="165"/>
      <c r="D878" s="165"/>
      <c r="E878" s="403">
        <v>1041825</v>
      </c>
      <c r="F878" s="165">
        <v>15</v>
      </c>
      <c r="G878" s="405">
        <v>47695</v>
      </c>
      <c r="H878" s="404">
        <v>5479</v>
      </c>
      <c r="I878" s="404">
        <v>52091.25</v>
      </c>
      <c r="J878" s="404">
        <v>989733.75</v>
      </c>
      <c r="K878" s="404">
        <v>365</v>
      </c>
      <c r="L878" s="403">
        <v>65934</v>
      </c>
      <c r="M878" s="403">
        <v>439861</v>
      </c>
      <c r="N878" s="403">
        <v>601964</v>
      </c>
      <c r="O878" s="154"/>
      <c r="P878" s="154"/>
      <c r="Q878" s="154"/>
      <c r="R878" s="154"/>
      <c r="S878" s="154"/>
      <c r="T878" s="154"/>
      <c r="U878" s="154"/>
      <c r="V878" s="154"/>
      <c r="W878" s="154"/>
      <c r="X878" s="154"/>
      <c r="Y878" s="154"/>
      <c r="Z878" s="154"/>
    </row>
    <row r="879" spans="2:26" ht="27">
      <c r="B879" s="165" t="s">
        <v>3003</v>
      </c>
      <c r="C879" s="165"/>
      <c r="D879" s="165"/>
      <c r="E879" s="403">
        <v>-32209</v>
      </c>
      <c r="F879" s="165">
        <v>15</v>
      </c>
      <c r="G879" s="405">
        <v>47695</v>
      </c>
      <c r="H879" s="404">
        <v>5479</v>
      </c>
      <c r="I879" s="403">
        <v>-1610.45</v>
      </c>
      <c r="J879" s="403">
        <v>-30598.55</v>
      </c>
      <c r="K879" s="404">
        <v>365</v>
      </c>
      <c r="L879" s="403">
        <v>-2038</v>
      </c>
      <c r="M879" s="403">
        <v>-13597</v>
      </c>
      <c r="N879" s="403">
        <v>-18612</v>
      </c>
      <c r="O879" s="154"/>
      <c r="P879" s="154"/>
      <c r="Q879" s="154"/>
      <c r="R879" s="154"/>
      <c r="S879" s="154"/>
      <c r="T879" s="154"/>
      <c r="U879" s="154"/>
      <c r="V879" s="154"/>
      <c r="W879" s="154"/>
      <c r="X879" s="154"/>
      <c r="Y879" s="154"/>
      <c r="Z879" s="154"/>
    </row>
    <row r="880" spans="2:26" ht="27">
      <c r="B880" s="165" t="s">
        <v>3003</v>
      </c>
      <c r="C880" s="165"/>
      <c r="D880" s="165"/>
      <c r="E880" s="403">
        <v>64347</v>
      </c>
      <c r="F880" s="165">
        <v>15</v>
      </c>
      <c r="G880" s="405">
        <v>47695</v>
      </c>
      <c r="H880" s="404">
        <v>5479</v>
      </c>
      <c r="I880" s="404">
        <v>3217.3500000000004</v>
      </c>
      <c r="J880" s="404">
        <v>61129.65</v>
      </c>
      <c r="K880" s="404">
        <v>365</v>
      </c>
      <c r="L880" s="403">
        <v>4072</v>
      </c>
      <c r="M880" s="403">
        <v>24443</v>
      </c>
      <c r="N880" s="403">
        <v>39904</v>
      </c>
      <c r="O880" s="154"/>
      <c r="P880" s="154"/>
      <c r="Q880" s="154"/>
      <c r="R880" s="154"/>
      <c r="S880" s="154"/>
      <c r="T880" s="154"/>
      <c r="U880" s="154"/>
      <c r="V880" s="154"/>
      <c r="W880" s="154"/>
      <c r="X880" s="154"/>
      <c r="Y880" s="154"/>
      <c r="Z880" s="154"/>
    </row>
    <row r="881" spans="2:26" ht="27">
      <c r="B881" s="165" t="s">
        <v>3899</v>
      </c>
      <c r="C881" s="165"/>
      <c r="D881" s="165"/>
      <c r="E881" s="403">
        <v>2480473</v>
      </c>
      <c r="F881" s="165">
        <v>15</v>
      </c>
      <c r="G881" s="405">
        <v>47695</v>
      </c>
      <c r="H881" s="404">
        <v>5479</v>
      </c>
      <c r="I881" s="404">
        <v>124023.65000000001</v>
      </c>
      <c r="J881" s="404">
        <v>2356449.35</v>
      </c>
      <c r="K881" s="404">
        <v>365</v>
      </c>
      <c r="L881" s="403">
        <v>156982</v>
      </c>
      <c r="M881" s="403">
        <v>903184</v>
      </c>
      <c r="N881" s="403">
        <v>1577289</v>
      </c>
      <c r="O881" s="154"/>
      <c r="P881" s="154"/>
      <c r="Q881" s="154"/>
      <c r="R881" s="154"/>
      <c r="S881" s="154"/>
      <c r="T881" s="154"/>
      <c r="U881" s="154"/>
      <c r="V881" s="154"/>
      <c r="W881" s="154"/>
      <c r="X881" s="154"/>
      <c r="Y881" s="154"/>
      <c r="Z881" s="154"/>
    </row>
    <row r="882" spans="2:26" ht="27">
      <c r="B882" s="165" t="s">
        <v>3915</v>
      </c>
      <c r="C882" s="165"/>
      <c r="D882" s="165"/>
      <c r="E882" s="403">
        <v>-1167117</v>
      </c>
      <c r="F882" s="165">
        <v>15</v>
      </c>
      <c r="G882" s="405">
        <v>47695</v>
      </c>
      <c r="H882" s="404">
        <v>5479</v>
      </c>
      <c r="I882" s="403">
        <v>-58355.850000000006</v>
      </c>
      <c r="J882" s="403">
        <v>-1108761.1499999999</v>
      </c>
      <c r="K882" s="404">
        <v>365</v>
      </c>
      <c r="L882" s="403">
        <v>-73863</v>
      </c>
      <c r="M882" s="403">
        <v>-406349</v>
      </c>
      <c r="N882" s="403">
        <v>-760768</v>
      </c>
      <c r="O882" s="154"/>
      <c r="P882" s="154"/>
      <c r="Q882" s="154"/>
      <c r="R882" s="154"/>
      <c r="S882" s="154"/>
      <c r="T882" s="154"/>
      <c r="U882" s="154"/>
      <c r="V882" s="154"/>
      <c r="W882" s="154"/>
      <c r="X882" s="154"/>
      <c r="Y882" s="154"/>
      <c r="Z882" s="154"/>
    </row>
    <row r="883" spans="2:26" ht="27">
      <c r="B883" s="165" t="s">
        <v>3918</v>
      </c>
      <c r="C883" s="165"/>
      <c r="D883" s="165"/>
      <c r="E883" s="403">
        <v>1754465</v>
      </c>
      <c r="F883" s="165">
        <v>15</v>
      </c>
      <c r="G883" s="405">
        <v>47695</v>
      </c>
      <c r="H883" s="404">
        <v>5479</v>
      </c>
      <c r="I883" s="403">
        <v>87723.25</v>
      </c>
      <c r="J883" s="403">
        <v>1666741.75</v>
      </c>
      <c r="K883" s="404">
        <v>365</v>
      </c>
      <c r="L883" s="403">
        <v>111035</v>
      </c>
      <c r="M883" s="403">
        <v>582857</v>
      </c>
      <c r="N883" s="403">
        <v>1171608</v>
      </c>
      <c r="O883" s="154"/>
      <c r="P883" s="154"/>
      <c r="Q883" s="154"/>
      <c r="R883" s="154"/>
      <c r="S883" s="154"/>
      <c r="T883" s="154"/>
      <c r="U883" s="154"/>
      <c r="V883" s="154"/>
      <c r="W883" s="154"/>
      <c r="X883" s="154"/>
      <c r="Y883" s="154"/>
      <c r="Z883" s="154"/>
    </row>
    <row r="884" spans="2:26" ht="27">
      <c r="B884" s="165" t="s">
        <v>4046</v>
      </c>
      <c r="C884" s="165"/>
      <c r="D884" s="165"/>
      <c r="E884" s="403">
        <v>-3181807</v>
      </c>
      <c r="F884" s="165">
        <v>15</v>
      </c>
      <c r="G884" s="405">
        <v>47695</v>
      </c>
      <c r="H884" s="404">
        <v>5479</v>
      </c>
      <c r="I884" s="403">
        <v>-159090.35</v>
      </c>
      <c r="J884" s="403">
        <v>-3022716.65</v>
      </c>
      <c r="K884" s="404">
        <v>365</v>
      </c>
      <c r="L884" s="403">
        <v>-201367</v>
      </c>
      <c r="M884" s="403">
        <v>-1007387</v>
      </c>
      <c r="N884" s="403">
        <v>-2174420</v>
      </c>
      <c r="O884" s="154"/>
      <c r="P884" s="154"/>
      <c r="Q884" s="154"/>
      <c r="R884" s="154"/>
      <c r="S884" s="154"/>
      <c r="T884" s="154"/>
      <c r="U884" s="154"/>
      <c r="V884" s="154"/>
      <c r="W884" s="154"/>
      <c r="X884" s="154"/>
      <c r="Y884" s="154"/>
      <c r="Z884" s="154"/>
    </row>
    <row r="885" spans="2:26" ht="27">
      <c r="B885" s="165" t="s">
        <v>4071</v>
      </c>
      <c r="C885" s="165"/>
      <c r="D885" s="165"/>
      <c r="E885" s="403">
        <v>-19732</v>
      </c>
      <c r="F885" s="165">
        <v>15</v>
      </c>
      <c r="G885" s="405">
        <v>47695</v>
      </c>
      <c r="H885" s="404">
        <v>5479</v>
      </c>
      <c r="I885" s="403">
        <v>-986.6</v>
      </c>
      <c r="J885" s="403">
        <v>-18745.400000000001</v>
      </c>
      <c r="K885" s="404">
        <v>365</v>
      </c>
      <c r="L885" s="403">
        <v>-1249</v>
      </c>
      <c r="M885" s="403">
        <v>-5986</v>
      </c>
      <c r="N885" s="403">
        <v>-13746</v>
      </c>
      <c r="O885" s="154"/>
      <c r="P885" s="154"/>
      <c r="Q885" s="154"/>
      <c r="R885" s="154"/>
      <c r="S885" s="154"/>
      <c r="T885" s="154"/>
      <c r="U885" s="154"/>
      <c r="V885" s="154"/>
      <c r="W885" s="154"/>
      <c r="X885" s="154"/>
      <c r="Y885" s="154"/>
      <c r="Z885" s="154"/>
    </row>
    <row r="886" spans="2:26" ht="27">
      <c r="B886" s="165" t="s">
        <v>4078</v>
      </c>
      <c r="C886" s="165"/>
      <c r="D886" s="165"/>
      <c r="E886" s="403">
        <v>386729</v>
      </c>
      <c r="F886" s="165">
        <v>15</v>
      </c>
      <c r="G886" s="405">
        <v>47695</v>
      </c>
      <c r="H886" s="404">
        <v>5479</v>
      </c>
      <c r="I886" s="403">
        <v>19336.45</v>
      </c>
      <c r="J886" s="403">
        <v>367392.55</v>
      </c>
      <c r="K886" s="404">
        <v>365</v>
      </c>
      <c r="L886" s="403">
        <v>24475</v>
      </c>
      <c r="M886" s="403">
        <v>110813</v>
      </c>
      <c r="N886" s="403">
        <v>275916</v>
      </c>
      <c r="O886" s="154"/>
      <c r="P886" s="154"/>
      <c r="Q886" s="154"/>
      <c r="R886" s="154"/>
      <c r="S886" s="154"/>
      <c r="T886" s="154"/>
      <c r="U886" s="154"/>
      <c r="V886" s="154"/>
      <c r="W886" s="154"/>
      <c r="X886" s="154"/>
      <c r="Y886" s="154"/>
      <c r="Z886" s="154"/>
    </row>
    <row r="887" spans="2:26" ht="27">
      <c r="B887" s="165" t="s">
        <v>4256</v>
      </c>
      <c r="C887" s="165"/>
      <c r="D887" s="165"/>
      <c r="E887" s="403">
        <v>-1059726</v>
      </c>
      <c r="F887" s="165">
        <v>15</v>
      </c>
      <c r="G887" s="405">
        <v>47695</v>
      </c>
      <c r="H887" s="404">
        <v>5479</v>
      </c>
      <c r="I887" s="403">
        <v>-52986.3</v>
      </c>
      <c r="J887" s="403">
        <v>-1006739.7</v>
      </c>
      <c r="K887" s="404">
        <v>365</v>
      </c>
      <c r="L887" s="403">
        <v>-67067</v>
      </c>
      <c r="M887" s="403">
        <v>-285859</v>
      </c>
      <c r="N887" s="403">
        <v>-773867</v>
      </c>
      <c r="O887" s="154"/>
      <c r="P887" s="154"/>
      <c r="Q887" s="154"/>
      <c r="R887" s="154"/>
      <c r="S887" s="154"/>
      <c r="T887" s="154"/>
      <c r="U887" s="154"/>
      <c r="V887" s="154"/>
      <c r="W887" s="154"/>
      <c r="X887" s="154"/>
      <c r="Y887" s="154"/>
      <c r="Z887" s="154"/>
    </row>
    <row r="888" spans="2:26" ht="27">
      <c r="B888" s="165" t="s">
        <v>4276</v>
      </c>
      <c r="C888" s="419"/>
      <c r="D888" s="419"/>
      <c r="E888" s="421">
        <v>1006327</v>
      </c>
      <c r="F888" s="165">
        <v>15</v>
      </c>
      <c r="G888" s="405">
        <v>47695</v>
      </c>
      <c r="H888" s="404">
        <v>5479</v>
      </c>
      <c r="I888" s="403">
        <v>50316.350000000006</v>
      </c>
      <c r="J888" s="403">
        <v>956010.65</v>
      </c>
      <c r="K888" s="404">
        <v>365</v>
      </c>
      <c r="L888" s="403">
        <v>63688</v>
      </c>
      <c r="M888" s="403">
        <v>254926</v>
      </c>
      <c r="N888" s="403">
        <v>751401</v>
      </c>
      <c r="O888" s="154"/>
      <c r="P888" s="154"/>
      <c r="Q888" s="154"/>
      <c r="R888" s="154"/>
      <c r="S888" s="154"/>
      <c r="T888" s="154"/>
      <c r="U888" s="154"/>
      <c r="V888" s="154"/>
      <c r="W888" s="154"/>
      <c r="X888" s="154"/>
      <c r="Y888" s="154"/>
      <c r="Z888" s="154"/>
    </row>
    <row r="889" spans="2:26" ht="27">
      <c r="B889" s="165" t="s">
        <v>4305</v>
      </c>
      <c r="C889" s="419"/>
      <c r="D889" s="419"/>
      <c r="E889" s="429">
        <v>57</v>
      </c>
      <c r="F889" s="165">
        <v>15</v>
      </c>
      <c r="G889" s="405">
        <v>47695</v>
      </c>
      <c r="H889" s="404">
        <v>5479</v>
      </c>
      <c r="I889" s="403">
        <v>2.85</v>
      </c>
      <c r="J889" s="403">
        <v>54.15</v>
      </c>
      <c r="K889" s="404">
        <v>365</v>
      </c>
      <c r="L889" s="403">
        <v>4</v>
      </c>
      <c r="M889" s="403">
        <v>14</v>
      </c>
      <c r="N889" s="403">
        <v>43</v>
      </c>
      <c r="O889" s="154"/>
      <c r="P889" s="154"/>
      <c r="Q889" s="154"/>
      <c r="R889" s="154"/>
      <c r="S889" s="154"/>
      <c r="T889" s="154"/>
      <c r="U889" s="154"/>
      <c r="V889" s="154"/>
      <c r="W889" s="154"/>
      <c r="X889" s="154"/>
      <c r="Y889" s="154"/>
      <c r="Z889" s="154"/>
    </row>
    <row r="890" spans="2:26" ht="27">
      <c r="B890" s="165" t="s">
        <v>4331</v>
      </c>
      <c r="C890" s="419"/>
      <c r="D890" s="419"/>
      <c r="E890" s="429">
        <v>4566527</v>
      </c>
      <c r="F890" s="165">
        <v>15</v>
      </c>
      <c r="G890" s="405">
        <v>47695</v>
      </c>
      <c r="H890" s="404">
        <v>5479</v>
      </c>
      <c r="I890" s="403">
        <v>228326.35</v>
      </c>
      <c r="J890" s="403">
        <v>4338200.6500000004</v>
      </c>
      <c r="K890" s="404">
        <v>365</v>
      </c>
      <c r="L890" s="403">
        <v>289002</v>
      </c>
      <c r="M890" s="403">
        <v>867798</v>
      </c>
      <c r="N890" s="403">
        <v>3698729</v>
      </c>
      <c r="O890" s="154"/>
      <c r="P890" s="154"/>
      <c r="Q890" s="154"/>
      <c r="R890" s="154"/>
      <c r="S890" s="154"/>
      <c r="T890" s="154"/>
      <c r="U890" s="154"/>
      <c r="V890" s="154"/>
      <c r="W890" s="154"/>
      <c r="X890" s="154"/>
      <c r="Y890" s="154"/>
      <c r="Z890" s="154"/>
    </row>
    <row r="891" spans="2:26" ht="27">
      <c r="B891" s="165" t="s">
        <v>4414</v>
      </c>
      <c r="C891" s="422"/>
      <c r="D891" s="422"/>
      <c r="E891" s="427">
        <v>5388259</v>
      </c>
      <c r="F891" s="165">
        <v>15</v>
      </c>
      <c r="G891" s="405">
        <v>47695</v>
      </c>
      <c r="H891" s="404">
        <v>5479</v>
      </c>
      <c r="I891" s="403">
        <v>269412.95</v>
      </c>
      <c r="J891" s="403">
        <v>5118846.05</v>
      </c>
      <c r="K891" s="404">
        <v>365</v>
      </c>
      <c r="L891" s="403">
        <v>341007</v>
      </c>
      <c r="M891" s="403">
        <v>682077</v>
      </c>
      <c r="N891" s="403">
        <v>4706182</v>
      </c>
      <c r="O891" s="154"/>
      <c r="P891" s="154"/>
      <c r="Q891" s="154"/>
      <c r="R891" s="154"/>
      <c r="S891" s="154"/>
      <c r="T891" s="154"/>
      <c r="U891" s="154"/>
      <c r="V891" s="154"/>
      <c r="W891" s="154"/>
      <c r="X891" s="154"/>
      <c r="Y891" s="154"/>
      <c r="Z891" s="154"/>
    </row>
    <row r="892" spans="2:26" ht="27">
      <c r="B892" s="165" t="s">
        <v>4416</v>
      </c>
      <c r="C892" s="422"/>
      <c r="D892" s="422"/>
      <c r="E892" s="427">
        <v>485150</v>
      </c>
      <c r="F892" s="165">
        <v>15</v>
      </c>
      <c r="G892" s="405">
        <v>47695</v>
      </c>
      <c r="H892" s="404">
        <v>5479</v>
      </c>
      <c r="I892" s="403">
        <v>24257.5</v>
      </c>
      <c r="J892" s="403">
        <v>460892.5</v>
      </c>
      <c r="K892" s="404">
        <v>365</v>
      </c>
      <c r="L892" s="403">
        <v>30704</v>
      </c>
      <c r="M892" s="403">
        <v>53757</v>
      </c>
      <c r="N892" s="403">
        <v>431393</v>
      </c>
      <c r="O892" s="154"/>
      <c r="P892" s="154"/>
      <c r="Q892" s="154"/>
      <c r="R892" s="154"/>
      <c r="S892" s="154"/>
      <c r="T892" s="154"/>
      <c r="U892" s="154"/>
      <c r="V892" s="154"/>
      <c r="W892" s="154"/>
      <c r="X892" s="154"/>
      <c r="Y892" s="154"/>
      <c r="Z892" s="154"/>
    </row>
    <row r="893" spans="2:26" ht="27">
      <c r="B893" s="165" t="s">
        <v>4460</v>
      </c>
      <c r="C893" s="422"/>
      <c r="D893" s="422"/>
      <c r="E893" s="427">
        <v>-1681257</v>
      </c>
      <c r="F893" s="165">
        <v>15</v>
      </c>
      <c r="G893" s="405">
        <v>47695</v>
      </c>
      <c r="H893" s="404">
        <v>5479</v>
      </c>
      <c r="I893" s="403">
        <v>-84062.85</v>
      </c>
      <c r="J893" s="403">
        <v>-1597194.15</v>
      </c>
      <c r="K893" s="404">
        <v>365</v>
      </c>
      <c r="L893" s="403">
        <v>-106402</v>
      </c>
      <c r="M893" s="403">
        <v>-159467</v>
      </c>
      <c r="N893" s="403">
        <v>-1521790</v>
      </c>
      <c r="O893" s="154"/>
      <c r="P893" s="154"/>
      <c r="Q893" s="154"/>
      <c r="R893" s="154"/>
      <c r="S893" s="154"/>
      <c r="T893" s="154"/>
      <c r="U893" s="154"/>
      <c r="V893" s="154"/>
      <c r="W893" s="154"/>
      <c r="X893" s="154"/>
      <c r="Y893" s="154"/>
      <c r="Z893" s="154"/>
    </row>
    <row r="894" spans="2:26" ht="27">
      <c r="B894" s="165" t="s">
        <v>4536</v>
      </c>
      <c r="C894" s="422"/>
      <c r="D894" s="422"/>
      <c r="E894" s="427">
        <v>-623703</v>
      </c>
      <c r="F894" s="165">
        <v>15</v>
      </c>
      <c r="G894" s="405">
        <v>47695</v>
      </c>
      <c r="H894" s="404">
        <v>5479</v>
      </c>
      <c r="I894" s="403">
        <v>-31185.15</v>
      </c>
      <c r="J894" s="403">
        <v>-592517.85</v>
      </c>
      <c r="K894" s="404">
        <v>365</v>
      </c>
      <c r="L894" s="403">
        <v>-39472</v>
      </c>
      <c r="M894" s="403">
        <v>-49207</v>
      </c>
      <c r="N894" s="403">
        <v>-574496</v>
      </c>
      <c r="O894" s="154"/>
      <c r="P894" s="154"/>
      <c r="Q894" s="154"/>
      <c r="R894" s="154"/>
      <c r="S894" s="154"/>
      <c r="T894" s="154"/>
      <c r="U894" s="154"/>
      <c r="V894" s="154"/>
      <c r="W894" s="154"/>
      <c r="X894" s="154"/>
      <c r="Y894" s="154"/>
      <c r="Z894" s="154"/>
    </row>
    <row r="895" spans="2:26" ht="27">
      <c r="B895" s="165" t="s">
        <v>4565</v>
      </c>
      <c r="C895" s="422"/>
      <c r="D895" s="422"/>
      <c r="E895" s="427">
        <v>283149</v>
      </c>
      <c r="F895" s="165">
        <v>15</v>
      </c>
      <c r="G895" s="405">
        <v>47695</v>
      </c>
      <c r="H895" s="404">
        <v>5479</v>
      </c>
      <c r="I895" s="403">
        <v>14157.45</v>
      </c>
      <c r="J895" s="403">
        <v>268991.55</v>
      </c>
      <c r="K895" s="404">
        <v>365</v>
      </c>
      <c r="L895" s="403">
        <v>17920</v>
      </c>
      <c r="M895" s="403">
        <v>17920</v>
      </c>
      <c r="N895" s="403">
        <v>265229</v>
      </c>
      <c r="O895" s="154"/>
      <c r="P895" s="154"/>
      <c r="Q895" s="154"/>
      <c r="R895" s="154"/>
      <c r="S895" s="154"/>
      <c r="T895" s="154"/>
      <c r="U895" s="154"/>
      <c r="V895" s="154"/>
      <c r="W895" s="154"/>
      <c r="X895" s="154"/>
      <c r="Y895" s="154"/>
      <c r="Z895" s="154"/>
    </row>
    <row r="896" spans="2:26" ht="27">
      <c r="B896" s="165" t="s">
        <v>4595</v>
      </c>
      <c r="C896" s="422"/>
      <c r="D896" s="422"/>
      <c r="E896" s="427">
        <v>1002037</v>
      </c>
      <c r="F896" s="165">
        <v>15</v>
      </c>
      <c r="G896" s="405">
        <v>47695</v>
      </c>
      <c r="H896" s="404">
        <v>5479</v>
      </c>
      <c r="I896" s="403">
        <v>50101.850000000006</v>
      </c>
      <c r="J896" s="403">
        <v>951935.15</v>
      </c>
      <c r="K896" s="404">
        <v>274</v>
      </c>
      <c r="L896" s="403">
        <v>47605</v>
      </c>
      <c r="M896" s="403">
        <v>47605</v>
      </c>
      <c r="N896" s="403">
        <v>954432</v>
      </c>
      <c r="O896" s="154"/>
      <c r="P896" s="154"/>
      <c r="Q896" s="154"/>
      <c r="R896" s="154"/>
      <c r="S896" s="154"/>
      <c r="T896" s="154"/>
      <c r="U896" s="154"/>
      <c r="V896" s="154"/>
      <c r="W896" s="154"/>
      <c r="X896" s="154"/>
      <c r="Y896" s="154"/>
      <c r="Z896" s="154"/>
    </row>
    <row r="897" spans="2:26" ht="27">
      <c r="B897" s="165" t="s">
        <v>4620</v>
      </c>
      <c r="C897" s="422"/>
      <c r="D897" s="422"/>
      <c r="E897" s="427">
        <v>-74822</v>
      </c>
      <c r="F897" s="165">
        <v>15</v>
      </c>
      <c r="G897" s="405">
        <v>47695</v>
      </c>
      <c r="H897" s="404">
        <v>5479</v>
      </c>
      <c r="I897" s="403">
        <v>-3741.1000000000004</v>
      </c>
      <c r="J897" s="403">
        <v>-71080.899999999994</v>
      </c>
      <c r="K897" s="404">
        <v>182</v>
      </c>
      <c r="L897" s="403">
        <v>-2361</v>
      </c>
      <c r="M897" s="403">
        <v>-2361</v>
      </c>
      <c r="N897" s="403">
        <v>-72461</v>
      </c>
      <c r="O897" s="154"/>
      <c r="P897" s="154"/>
      <c r="Q897" s="154"/>
      <c r="R897" s="154"/>
      <c r="S897" s="154"/>
      <c r="T897" s="154"/>
      <c r="U897" s="154"/>
      <c r="V897" s="154"/>
      <c r="W897" s="154"/>
      <c r="X897" s="154"/>
      <c r="Y897" s="154"/>
      <c r="Z897" s="154"/>
    </row>
    <row r="898" spans="2:26" ht="27">
      <c r="B898" s="165" t="s">
        <v>4633</v>
      </c>
      <c r="C898" s="422"/>
      <c r="D898" s="422"/>
      <c r="E898" s="427">
        <v>154317</v>
      </c>
      <c r="F898" s="165">
        <v>15</v>
      </c>
      <c r="G898" s="405">
        <v>47695</v>
      </c>
      <c r="H898" s="404">
        <v>5479</v>
      </c>
      <c r="I898" s="403">
        <v>7715.85</v>
      </c>
      <c r="J898" s="403">
        <v>146601.15</v>
      </c>
      <c r="K898" s="404">
        <v>90</v>
      </c>
      <c r="L898" s="403">
        <v>2408</v>
      </c>
      <c r="M898" s="403">
        <v>2408</v>
      </c>
      <c r="N898" s="403">
        <v>151909</v>
      </c>
      <c r="O898" s="154"/>
      <c r="P898" s="154"/>
      <c r="Q898" s="154"/>
      <c r="R898" s="154"/>
      <c r="S898" s="154"/>
      <c r="T898" s="154"/>
      <c r="U898" s="154"/>
      <c r="V898" s="154"/>
      <c r="W898" s="154"/>
      <c r="X898" s="154"/>
      <c r="Y898" s="154"/>
      <c r="Z898" s="154"/>
    </row>
    <row r="899" spans="2:26" ht="27">
      <c r="B899" s="165" t="s">
        <v>4654</v>
      </c>
      <c r="C899" s="422"/>
      <c r="D899" s="422"/>
      <c r="E899" s="427">
        <v>1243461</v>
      </c>
      <c r="F899" s="165">
        <v>15</v>
      </c>
      <c r="G899" s="405">
        <v>47695</v>
      </c>
      <c r="H899" s="404">
        <v>5479</v>
      </c>
      <c r="I899" s="403">
        <v>62173.05</v>
      </c>
      <c r="J899" s="403">
        <v>1181287.95</v>
      </c>
      <c r="K899" s="404">
        <v>0</v>
      </c>
      <c r="L899" s="403">
        <v>0</v>
      </c>
      <c r="M899" s="403">
        <v>0</v>
      </c>
      <c r="N899" s="403">
        <v>1243461</v>
      </c>
      <c r="O899" s="154"/>
      <c r="P899" s="154"/>
      <c r="Q899" s="154"/>
      <c r="R899" s="154"/>
      <c r="S899" s="154"/>
      <c r="T899" s="154"/>
      <c r="U899" s="154"/>
      <c r="V899" s="154"/>
      <c r="W899" s="154"/>
      <c r="X899" s="154"/>
      <c r="Y899" s="154"/>
      <c r="Z899" s="154"/>
    </row>
    <row r="900" spans="2:26">
      <c r="B900" s="422"/>
      <c r="C900" s="422"/>
      <c r="D900" s="422"/>
      <c r="E900" s="427"/>
      <c r="F900" s="422"/>
      <c r="G900" s="426"/>
      <c r="H900" s="425"/>
      <c r="I900" s="427"/>
      <c r="J900" s="427"/>
      <c r="K900" s="425"/>
      <c r="L900" s="425"/>
      <c r="M900" s="425"/>
      <c r="N900" s="425"/>
      <c r="O900" s="154"/>
      <c r="P900" s="154"/>
      <c r="Q900" s="154"/>
      <c r="R900" s="154"/>
      <c r="S900" s="154"/>
      <c r="T900" s="154"/>
      <c r="U900" s="154"/>
      <c r="V900" s="154"/>
      <c r="W900" s="154"/>
      <c r="X900" s="154"/>
      <c r="Y900" s="154"/>
      <c r="Z900" s="154"/>
    </row>
    <row r="901" spans="2:26" ht="14.25">
      <c r="B901" s="411"/>
      <c r="C901" s="165"/>
      <c r="D901" s="165"/>
      <c r="E901" s="413"/>
      <c r="F901" s="165"/>
      <c r="G901" s="165"/>
      <c r="H901" s="165"/>
      <c r="I901" s="165"/>
      <c r="J901" s="404"/>
      <c r="K901" s="165"/>
      <c r="L901" s="413"/>
      <c r="M901" s="413"/>
      <c r="N901" s="413"/>
    </row>
    <row r="902" spans="2:26" ht="14.25">
      <c r="B902" s="411" t="s">
        <v>1837</v>
      </c>
      <c r="C902" s="165"/>
      <c r="D902" s="165"/>
      <c r="E902" s="413">
        <f>SUBTOTAL(9,E874:E901)</f>
        <v>15627569</v>
      </c>
      <c r="F902" s="165"/>
      <c r="G902" s="165"/>
      <c r="H902" s="413"/>
      <c r="I902" s="413"/>
      <c r="J902" s="413"/>
      <c r="K902" s="165"/>
      <c r="L902" s="412">
        <f>SUBTOTAL(9,L874:L901)</f>
        <v>889535</v>
      </c>
      <c r="M902" s="412">
        <f>SUBTOTAL(9,M874:M901)</f>
        <v>3585959</v>
      </c>
      <c r="N902" s="412">
        <f>SUBTOTAL(9,N874:N901)</f>
        <v>12041610</v>
      </c>
    </row>
    <row r="903" spans="2:26" ht="14.25">
      <c r="B903" s="411" t="s">
        <v>754</v>
      </c>
      <c r="C903" s="165"/>
      <c r="D903" s="165"/>
      <c r="E903" s="413">
        <f>+SUBTOTAL(9,E835:E902)</f>
        <v>3185451836.1601062</v>
      </c>
      <c r="F903" s="165"/>
      <c r="G903" s="165"/>
      <c r="H903" s="413"/>
      <c r="I903" s="413"/>
      <c r="J903" s="413"/>
      <c r="K903" s="165"/>
      <c r="L903" s="413">
        <f>+SUBTOTAL(9,L835:L902)</f>
        <v>100463389</v>
      </c>
      <c r="M903" s="413">
        <f>+SUBTOTAL(9,M835:M902)</f>
        <v>762901706</v>
      </c>
      <c r="N903" s="413">
        <f>+SUBTOTAL(9,N835:N902)</f>
        <v>2422550130.1601067</v>
      </c>
    </row>
    <row r="904" spans="2:26">
      <c r="B904" s="147"/>
      <c r="C904" s="147"/>
      <c r="D904" s="147"/>
      <c r="E904" s="152"/>
      <c r="F904" s="147"/>
      <c r="G904" s="147"/>
      <c r="H904" s="147"/>
      <c r="I904" s="147"/>
      <c r="J904" s="121"/>
      <c r="K904" s="147"/>
      <c r="L904" s="121"/>
      <c r="M904" s="121"/>
      <c r="N904" s="152"/>
    </row>
    <row r="905" spans="2:26" ht="15" thickBot="1">
      <c r="B905" s="161" t="s">
        <v>754</v>
      </c>
      <c r="C905" s="161"/>
      <c r="D905" s="161"/>
      <c r="E905" s="162">
        <f>+SUBTOTAL(9,E9:E904)</f>
        <v>65435363428.445541</v>
      </c>
      <c r="F905" s="161"/>
      <c r="G905" s="161"/>
      <c r="H905" s="162"/>
      <c r="I905" s="162"/>
      <c r="J905" s="162"/>
      <c r="K905" s="161"/>
      <c r="L905" s="162">
        <f>+SUBTOTAL(9,L9:L904)</f>
        <v>2237730558</v>
      </c>
      <c r="M905" s="162">
        <f>+SUBTOTAL(9,M9:M904)</f>
        <v>15612021131</v>
      </c>
      <c r="N905" s="162">
        <f>+SUBTOTAL(9,N9:N904)</f>
        <v>48284735640.445587</v>
      </c>
      <c r="O905" s="2"/>
      <c r="P905" s="2"/>
      <c r="Q905" s="2"/>
      <c r="R905" s="2"/>
      <c r="S905" s="2"/>
      <c r="T905" s="2"/>
      <c r="U905" s="2"/>
      <c r="V905" s="2"/>
      <c r="W905" s="2"/>
      <c r="X905" s="2"/>
      <c r="Y905" s="2"/>
      <c r="Z905" s="2"/>
    </row>
    <row r="906" spans="2:26" ht="14.25" thickTop="1">
      <c r="E906" s="152">
        <f>57223569698.2529-E905</f>
        <v>-8211793730.1926422</v>
      </c>
      <c r="L906" s="152">
        <f>2237730558-L905</f>
        <v>0</v>
      </c>
      <c r="M906" s="152">
        <f>15612021131-M905</f>
        <v>0</v>
      </c>
      <c r="N906" s="440">
        <f>41611548567.2529-N905</f>
        <v>-6673187073.192688</v>
      </c>
      <c r="O906" s="132"/>
      <c r="P906" s="132"/>
      <c r="Q906" s="132"/>
      <c r="R906" s="132"/>
      <c r="S906" s="132"/>
      <c r="T906" s="132"/>
      <c r="U906" s="132"/>
      <c r="V906" s="132"/>
      <c r="W906" s="132"/>
      <c r="X906" s="132"/>
      <c r="Y906" s="132"/>
      <c r="Z906" s="132"/>
    </row>
  </sheetData>
  <autoFilter ref="B5:N905"/>
  <mergeCells count="1">
    <mergeCell ref="K1:N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6"/>
  <sheetViews>
    <sheetView zoomScaleNormal="100" workbookViewId="0">
      <pane xSplit="2" ySplit="5" topLeftCell="C271" activePane="bottomRight" state="frozen"/>
      <selection pane="topRight" activeCell="F1" sqref="F1"/>
      <selection pane="bottomLeft" activeCell="A9" sqref="A9"/>
      <selection pane="bottomRight" activeCell="E170" sqref="E170:E282"/>
    </sheetView>
  </sheetViews>
  <sheetFormatPr defaultColWidth="9" defaultRowHeight="13.5"/>
  <cols>
    <col min="1" max="1" width="3" style="5" customWidth="1"/>
    <col min="2" max="2" width="4.625" style="5" customWidth="1"/>
    <col min="3" max="3" width="47.125" style="20" customWidth="1"/>
    <col min="4" max="4" width="4.75" style="9" customWidth="1"/>
    <col min="5" max="5" width="11.375" style="3" customWidth="1"/>
    <col min="6" max="6" width="22.625" style="29" customWidth="1"/>
    <col min="7" max="7" width="8.625" style="5" customWidth="1"/>
    <col min="8" max="8" width="8.625" style="20" customWidth="1"/>
    <col min="9" max="9" width="8.25" style="5" customWidth="1"/>
    <col min="10" max="10" width="7.625" style="5" customWidth="1"/>
    <col min="11" max="11" width="8" style="5" customWidth="1"/>
    <col min="12" max="12" width="6.125" style="5" customWidth="1"/>
    <col min="13" max="13" width="8.75" style="5" customWidth="1"/>
    <col min="14" max="14" width="9.5" style="5" customWidth="1"/>
    <col min="15" max="15" width="12.75" style="5" customWidth="1"/>
    <col min="16" max="16" width="6.75" style="5" customWidth="1"/>
    <col min="17" max="17" width="10.625" style="5" customWidth="1"/>
    <col min="18" max="18" width="4.375" style="5" customWidth="1"/>
    <col min="19" max="19" width="9.75" style="5" bestFit="1" customWidth="1"/>
    <col min="20" max="20" width="9.75" style="5" customWidth="1"/>
    <col min="21" max="21" width="10.5" style="5" bestFit="1" customWidth="1"/>
    <col min="22" max="16384" width="9" style="5"/>
  </cols>
  <sheetData>
    <row r="1" spans="1:22">
      <c r="A1" s="12"/>
      <c r="B1" s="12"/>
      <c r="C1" s="219"/>
      <c r="D1" s="220"/>
      <c r="F1" s="181"/>
      <c r="G1" s="12"/>
      <c r="H1" s="219"/>
      <c r="I1" s="111"/>
      <c r="J1" s="263"/>
      <c r="M1" s="113"/>
    </row>
    <row r="2" spans="1:22" ht="14.25">
      <c r="B2" s="19" t="s">
        <v>436</v>
      </c>
    </row>
    <row r="3" spans="1:22" ht="14.25">
      <c r="B3" s="19" t="s">
        <v>4648</v>
      </c>
      <c r="R3" s="610" t="s">
        <v>4569</v>
      </c>
      <c r="S3" s="610"/>
      <c r="T3" s="610"/>
      <c r="U3" s="610"/>
    </row>
    <row r="4" spans="1:22" ht="54">
      <c r="B4" s="82" t="s">
        <v>56</v>
      </c>
      <c r="C4" s="82" t="s">
        <v>397</v>
      </c>
      <c r="D4" s="82" t="s">
        <v>398</v>
      </c>
      <c r="E4" s="85" t="s">
        <v>2623</v>
      </c>
      <c r="F4" s="82" t="s">
        <v>400</v>
      </c>
      <c r="G4" s="82" t="s">
        <v>401</v>
      </c>
      <c r="H4" s="82" t="s">
        <v>402</v>
      </c>
      <c r="I4" s="190" t="s">
        <v>2471</v>
      </c>
      <c r="J4" s="190" t="s">
        <v>2470</v>
      </c>
      <c r="K4" s="190" t="s">
        <v>2468</v>
      </c>
      <c r="L4" s="190" t="s">
        <v>2469</v>
      </c>
      <c r="M4" s="190" t="s">
        <v>2473</v>
      </c>
      <c r="N4" s="190" t="s">
        <v>2474</v>
      </c>
      <c r="O4" s="191" t="s">
        <v>4050</v>
      </c>
      <c r="P4" s="192" t="s">
        <v>3883</v>
      </c>
      <c r="Q4" s="192" t="s">
        <v>3024</v>
      </c>
      <c r="R4" s="179" t="s">
        <v>403</v>
      </c>
      <c r="S4" s="184" t="s">
        <v>405</v>
      </c>
      <c r="T4" s="184" t="s">
        <v>3886</v>
      </c>
      <c r="U4" s="184" t="s">
        <v>404</v>
      </c>
    </row>
    <row r="5" spans="1:22" s="22" customFormat="1" ht="14.25">
      <c r="B5" s="64" t="s">
        <v>630</v>
      </c>
      <c r="C5" s="64"/>
      <c r="D5" s="13"/>
      <c r="E5" s="14"/>
      <c r="F5" s="103"/>
      <c r="G5" s="65"/>
      <c r="H5" s="65"/>
      <c r="I5" s="57"/>
      <c r="J5" s="53" t="s">
        <v>2229</v>
      </c>
      <c r="K5" s="53" t="s">
        <v>2229</v>
      </c>
      <c r="L5" s="53" t="s">
        <v>2229</v>
      </c>
      <c r="M5" s="53" t="s">
        <v>2478</v>
      </c>
      <c r="N5" s="53" t="s">
        <v>2478</v>
      </c>
      <c r="O5" s="57"/>
      <c r="P5" s="57"/>
      <c r="Q5" s="57"/>
      <c r="R5" s="57"/>
      <c r="S5" s="57"/>
      <c r="T5" s="57"/>
      <c r="U5" s="57"/>
    </row>
    <row r="6" spans="1:22" s="22" customFormat="1" ht="14.25">
      <c r="B6" s="32" t="s">
        <v>631</v>
      </c>
      <c r="C6" s="25"/>
      <c r="D6" s="15"/>
      <c r="E6" s="24"/>
      <c r="F6" s="15"/>
      <c r="G6" s="15"/>
      <c r="H6" s="25"/>
      <c r="I6" s="25"/>
      <c r="J6" s="25"/>
      <c r="K6" s="72"/>
      <c r="L6" s="25"/>
      <c r="M6" s="25"/>
      <c r="N6" s="25"/>
      <c r="O6" s="25"/>
      <c r="P6" s="25"/>
      <c r="Q6" s="72"/>
      <c r="R6" s="25"/>
      <c r="S6" s="25"/>
      <c r="T6" s="25"/>
      <c r="U6" s="25"/>
    </row>
    <row r="7" spans="1:22" s="22" customFormat="1">
      <c r="B7" s="15">
        <v>1</v>
      </c>
      <c r="C7" s="249" t="s">
        <v>860</v>
      </c>
      <c r="D7" s="230">
        <v>1</v>
      </c>
      <c r="E7" s="250">
        <f>(11708)+11708*5/100</f>
        <v>12293.4</v>
      </c>
      <c r="F7" s="254" t="s">
        <v>855</v>
      </c>
      <c r="G7" s="233">
        <v>40381</v>
      </c>
      <c r="H7" s="228" t="s">
        <v>160</v>
      </c>
      <c r="I7" s="270">
        <v>44033</v>
      </c>
      <c r="J7" s="242">
        <v>3653</v>
      </c>
      <c r="K7" s="242">
        <v>1349</v>
      </c>
      <c r="L7" s="242">
        <v>2304</v>
      </c>
      <c r="M7" s="242">
        <v>615</v>
      </c>
      <c r="N7" s="242">
        <v>9521.4</v>
      </c>
      <c r="O7" s="242">
        <v>8628.4</v>
      </c>
      <c r="P7" s="242">
        <v>1939</v>
      </c>
      <c r="Q7" s="242">
        <v>8014</v>
      </c>
      <c r="R7" s="250">
        <v>0</v>
      </c>
      <c r="S7" s="242">
        <v>0</v>
      </c>
      <c r="T7" s="242">
        <v>8628</v>
      </c>
      <c r="U7" s="242">
        <v>0.3999999999996362</v>
      </c>
    </row>
    <row r="8" spans="1:22" s="22" customFormat="1">
      <c r="B8" s="15">
        <v>2</v>
      </c>
      <c r="C8" s="249" t="s">
        <v>861</v>
      </c>
      <c r="D8" s="230">
        <v>1</v>
      </c>
      <c r="E8" s="250">
        <f>(1500)+1500*5/100</f>
        <v>1575</v>
      </c>
      <c r="F8" s="254" t="s">
        <v>855</v>
      </c>
      <c r="G8" s="233">
        <v>40381</v>
      </c>
      <c r="H8" s="228" t="s">
        <v>160</v>
      </c>
      <c r="I8" s="242"/>
      <c r="J8" s="242"/>
      <c r="K8" s="242"/>
      <c r="L8" s="242"/>
      <c r="M8" s="242"/>
      <c r="N8" s="242"/>
      <c r="O8" s="242">
        <v>0</v>
      </c>
      <c r="P8" s="242">
        <v>0</v>
      </c>
      <c r="Q8" s="242"/>
      <c r="R8" s="250">
        <v>0</v>
      </c>
      <c r="S8" s="242">
        <v>0</v>
      </c>
      <c r="T8" s="242">
        <v>0</v>
      </c>
      <c r="U8" s="242">
        <v>0</v>
      </c>
    </row>
    <row r="9" spans="1:22" s="22" customFormat="1" ht="27">
      <c r="B9" s="15">
        <v>3</v>
      </c>
      <c r="C9" s="249" t="s">
        <v>862</v>
      </c>
      <c r="D9" s="230">
        <v>1</v>
      </c>
      <c r="E9" s="250">
        <f>(2550)+2550*5/100</f>
        <v>2677.5</v>
      </c>
      <c r="F9" s="254" t="s">
        <v>855</v>
      </c>
      <c r="G9" s="233">
        <v>40381</v>
      </c>
      <c r="H9" s="228" t="s">
        <v>160</v>
      </c>
      <c r="I9" s="242"/>
      <c r="J9" s="242"/>
      <c r="K9" s="242"/>
      <c r="L9" s="242"/>
      <c r="M9" s="242"/>
      <c r="N9" s="242"/>
      <c r="O9" s="242">
        <v>0</v>
      </c>
      <c r="P9" s="242">
        <v>0</v>
      </c>
      <c r="Q9" s="242"/>
      <c r="R9" s="250">
        <v>0</v>
      </c>
      <c r="S9" s="242">
        <v>0</v>
      </c>
      <c r="T9" s="242">
        <v>0</v>
      </c>
      <c r="U9" s="242">
        <v>0</v>
      </c>
    </row>
    <row r="10" spans="1:22" s="22" customFormat="1">
      <c r="B10" s="15">
        <v>4</v>
      </c>
      <c r="C10" s="249" t="s">
        <v>856</v>
      </c>
      <c r="D10" s="230">
        <v>1</v>
      </c>
      <c r="E10" s="250">
        <v>1710</v>
      </c>
      <c r="F10" s="254" t="s">
        <v>858</v>
      </c>
      <c r="G10" s="233">
        <v>40381</v>
      </c>
      <c r="H10" s="228" t="s">
        <v>160</v>
      </c>
      <c r="I10" s="242"/>
      <c r="J10" s="242"/>
      <c r="K10" s="242"/>
      <c r="L10" s="242"/>
      <c r="M10" s="242"/>
      <c r="N10" s="242"/>
      <c r="O10" s="242">
        <v>0</v>
      </c>
      <c r="P10" s="242">
        <v>0</v>
      </c>
      <c r="Q10" s="242"/>
      <c r="R10" s="250">
        <v>0</v>
      </c>
      <c r="S10" s="242">
        <v>0</v>
      </c>
      <c r="T10" s="242">
        <v>0</v>
      </c>
      <c r="U10" s="242">
        <v>0</v>
      </c>
    </row>
    <row r="11" spans="1:22" s="22" customFormat="1" ht="27">
      <c r="B11" s="15">
        <v>5</v>
      </c>
      <c r="C11" s="249" t="s">
        <v>857</v>
      </c>
      <c r="D11" s="230">
        <v>1</v>
      </c>
      <c r="E11" s="250">
        <v>18979</v>
      </c>
      <c r="F11" s="254" t="s">
        <v>859</v>
      </c>
      <c r="G11" s="233">
        <v>40381</v>
      </c>
      <c r="H11" s="228" t="s">
        <v>160</v>
      </c>
      <c r="I11" s="270">
        <v>44033</v>
      </c>
      <c r="J11" s="242">
        <v>3653</v>
      </c>
      <c r="K11" s="242">
        <v>1349</v>
      </c>
      <c r="L11" s="242">
        <v>2304</v>
      </c>
      <c r="M11" s="242">
        <v>949</v>
      </c>
      <c r="N11" s="242">
        <v>14700</v>
      </c>
      <c r="O11" s="242">
        <v>13320</v>
      </c>
      <c r="P11" s="242">
        <v>1939</v>
      </c>
      <c r="Q11" s="242">
        <v>12371</v>
      </c>
      <c r="R11" s="250">
        <v>0</v>
      </c>
      <c r="S11" s="242">
        <v>0</v>
      </c>
      <c r="T11" s="242">
        <v>13320</v>
      </c>
      <c r="U11" s="242">
        <v>0</v>
      </c>
    </row>
    <row r="12" spans="1:22" s="22" customFormat="1" ht="27">
      <c r="B12" s="15">
        <v>6</v>
      </c>
      <c r="C12" s="249" t="s">
        <v>863</v>
      </c>
      <c r="D12" s="230">
        <v>1</v>
      </c>
      <c r="E12" s="250">
        <v>7875</v>
      </c>
      <c r="F12" s="254" t="s">
        <v>864</v>
      </c>
      <c r="G12" s="233">
        <v>40404</v>
      </c>
      <c r="H12" s="228" t="s">
        <v>160</v>
      </c>
      <c r="I12" s="270">
        <v>44056</v>
      </c>
      <c r="J12" s="242">
        <v>3653</v>
      </c>
      <c r="K12" s="242">
        <v>1326</v>
      </c>
      <c r="L12" s="242">
        <v>2327</v>
      </c>
      <c r="M12" s="242">
        <v>394</v>
      </c>
      <c r="N12" s="242">
        <v>6124</v>
      </c>
      <c r="O12" s="242">
        <v>5557</v>
      </c>
      <c r="P12" s="242">
        <v>1962</v>
      </c>
      <c r="Q12" s="242">
        <v>5163</v>
      </c>
      <c r="R12" s="250">
        <v>0</v>
      </c>
      <c r="S12" s="242">
        <v>0</v>
      </c>
      <c r="T12" s="242">
        <v>5557</v>
      </c>
      <c r="U12" s="242">
        <v>0</v>
      </c>
    </row>
    <row r="13" spans="1:22" s="22" customFormat="1" ht="54">
      <c r="B13" s="15">
        <v>7</v>
      </c>
      <c r="C13" s="249" t="s">
        <v>514</v>
      </c>
      <c r="D13" s="230">
        <v>8</v>
      </c>
      <c r="E13" s="250">
        <v>25200</v>
      </c>
      <c r="F13" s="254" t="s">
        <v>691</v>
      </c>
      <c r="G13" s="233">
        <v>40460</v>
      </c>
      <c r="H13" s="228" t="s">
        <v>368</v>
      </c>
      <c r="I13" s="242"/>
      <c r="J13" s="242"/>
      <c r="K13" s="242"/>
      <c r="L13" s="242"/>
      <c r="M13" s="242"/>
      <c r="N13" s="242"/>
      <c r="O13" s="242">
        <v>0</v>
      </c>
      <c r="P13" s="242">
        <v>0</v>
      </c>
      <c r="Q13" s="242"/>
      <c r="R13" s="250">
        <v>0</v>
      </c>
      <c r="S13" s="242">
        <v>0</v>
      </c>
      <c r="T13" s="242">
        <v>0</v>
      </c>
      <c r="U13" s="242">
        <v>0</v>
      </c>
    </row>
    <row r="14" spans="1:22" s="22" customFormat="1">
      <c r="B14" s="15">
        <v>8</v>
      </c>
      <c r="C14" s="249" t="s">
        <v>1873</v>
      </c>
      <c r="D14" s="230">
        <v>24</v>
      </c>
      <c r="E14" s="250">
        <v>13860</v>
      </c>
      <c r="F14" s="254" t="s">
        <v>563</v>
      </c>
      <c r="G14" s="233">
        <v>41000</v>
      </c>
      <c r="H14" s="228" t="s">
        <v>368</v>
      </c>
      <c r="I14" s="242"/>
      <c r="J14" s="242"/>
      <c r="K14" s="242"/>
      <c r="L14" s="242"/>
      <c r="M14" s="242"/>
      <c r="N14" s="242"/>
      <c r="O14" s="242">
        <v>0</v>
      </c>
      <c r="P14" s="242">
        <v>0</v>
      </c>
      <c r="Q14" s="242"/>
      <c r="R14" s="250">
        <v>0</v>
      </c>
      <c r="S14" s="242">
        <v>0</v>
      </c>
      <c r="T14" s="242">
        <v>0</v>
      </c>
      <c r="U14" s="242">
        <v>0</v>
      </c>
    </row>
    <row r="15" spans="1:22" s="22" customFormat="1" ht="14.25">
      <c r="B15" s="51" t="s">
        <v>867</v>
      </c>
      <c r="C15" s="244"/>
      <c r="D15" s="234"/>
      <c r="E15" s="248"/>
      <c r="F15" s="234"/>
      <c r="G15" s="238"/>
      <c r="H15" s="239"/>
      <c r="I15" s="228"/>
      <c r="J15" s="228"/>
      <c r="K15" s="228"/>
      <c r="L15" s="228"/>
      <c r="M15" s="228"/>
      <c r="N15" s="228"/>
      <c r="O15" s="242"/>
      <c r="P15" s="228"/>
      <c r="Q15" s="228"/>
      <c r="R15" s="250"/>
      <c r="S15" s="242"/>
      <c r="T15" s="242"/>
      <c r="U15" s="228"/>
    </row>
    <row r="16" spans="1:22" s="22" customFormat="1">
      <c r="B16" s="8">
        <v>1</v>
      </c>
      <c r="C16" s="249" t="s">
        <v>868</v>
      </c>
      <c r="D16" s="234"/>
      <c r="E16" s="231">
        <v>610119</v>
      </c>
      <c r="F16" s="254" t="s">
        <v>869</v>
      </c>
      <c r="G16" s="233">
        <v>40287</v>
      </c>
      <c r="H16" s="239" t="s">
        <v>368</v>
      </c>
      <c r="I16" s="270">
        <v>49417</v>
      </c>
      <c r="J16" s="242">
        <v>9131</v>
      </c>
      <c r="K16" s="242">
        <v>1443</v>
      </c>
      <c r="L16" s="242">
        <v>7688</v>
      </c>
      <c r="M16" s="242">
        <v>30506</v>
      </c>
      <c r="N16" s="242">
        <v>452345</v>
      </c>
      <c r="O16" s="242">
        <v>461375</v>
      </c>
      <c r="P16" s="242">
        <v>7323</v>
      </c>
      <c r="Q16" s="242">
        <v>430869</v>
      </c>
      <c r="R16" s="250">
        <v>365</v>
      </c>
      <c r="S16" s="242">
        <v>21476</v>
      </c>
      <c r="T16" s="242">
        <v>150450</v>
      </c>
      <c r="U16" s="242">
        <v>310925</v>
      </c>
      <c r="V16" s="11"/>
    </row>
    <row r="17" spans="2:22" s="22" customFormat="1">
      <c r="B17" s="8">
        <v>2</v>
      </c>
      <c r="C17" s="249" t="s">
        <v>868</v>
      </c>
      <c r="D17" s="234"/>
      <c r="E17" s="231">
        <v>1823552</v>
      </c>
      <c r="F17" s="254" t="s">
        <v>870</v>
      </c>
      <c r="G17" s="233">
        <v>40287</v>
      </c>
      <c r="H17" s="239" t="s">
        <v>368</v>
      </c>
      <c r="I17" s="270">
        <v>49417</v>
      </c>
      <c r="J17" s="242">
        <v>9131</v>
      </c>
      <c r="K17" s="242">
        <v>1443</v>
      </c>
      <c r="L17" s="242">
        <v>7688</v>
      </c>
      <c r="M17" s="242">
        <v>91178</v>
      </c>
      <c r="N17" s="242">
        <v>1351987</v>
      </c>
      <c r="O17" s="242">
        <v>1378977</v>
      </c>
      <c r="P17" s="242">
        <v>7323</v>
      </c>
      <c r="Q17" s="242">
        <v>1287799</v>
      </c>
      <c r="R17" s="250">
        <v>365</v>
      </c>
      <c r="S17" s="242">
        <v>64188</v>
      </c>
      <c r="T17" s="242">
        <v>449668</v>
      </c>
      <c r="U17" s="242">
        <v>929309</v>
      </c>
      <c r="V17" s="11"/>
    </row>
    <row r="18" spans="2:22" s="22" customFormat="1">
      <c r="B18" s="8">
        <v>3</v>
      </c>
      <c r="C18" s="249" t="s">
        <v>868</v>
      </c>
      <c r="D18" s="234"/>
      <c r="E18" s="231">
        <v>3049768</v>
      </c>
      <c r="F18" s="254" t="s">
        <v>871</v>
      </c>
      <c r="G18" s="233">
        <v>40287</v>
      </c>
      <c r="H18" s="239" t="s">
        <v>368</v>
      </c>
      <c r="I18" s="270">
        <v>49417</v>
      </c>
      <c r="J18" s="242">
        <v>9131</v>
      </c>
      <c r="K18" s="242">
        <v>1443</v>
      </c>
      <c r="L18" s="242">
        <v>7688</v>
      </c>
      <c r="M18" s="242">
        <v>152488</v>
      </c>
      <c r="N18" s="242">
        <v>2261109</v>
      </c>
      <c r="O18" s="242">
        <v>2306247</v>
      </c>
      <c r="P18" s="242">
        <v>7323</v>
      </c>
      <c r="Q18" s="242">
        <v>2153759</v>
      </c>
      <c r="R18" s="250">
        <v>365</v>
      </c>
      <c r="S18" s="242">
        <v>107350</v>
      </c>
      <c r="T18" s="242">
        <v>752038</v>
      </c>
      <c r="U18" s="242">
        <v>1554209</v>
      </c>
      <c r="V18" s="11"/>
    </row>
    <row r="19" spans="2:22" s="22" customFormat="1">
      <c r="B19" s="8">
        <v>4</v>
      </c>
      <c r="C19" s="249" t="s">
        <v>868</v>
      </c>
      <c r="D19" s="234"/>
      <c r="E19" s="231">
        <v>2500859</v>
      </c>
      <c r="F19" s="254" t="s">
        <v>872</v>
      </c>
      <c r="G19" s="233">
        <v>40287</v>
      </c>
      <c r="H19" s="239" t="s">
        <v>368</v>
      </c>
      <c r="I19" s="270">
        <v>49417</v>
      </c>
      <c r="J19" s="242">
        <v>9131</v>
      </c>
      <c r="K19" s="242">
        <v>1443</v>
      </c>
      <c r="L19" s="242">
        <v>7688</v>
      </c>
      <c r="M19" s="242">
        <v>125043</v>
      </c>
      <c r="N19" s="242">
        <v>1854147</v>
      </c>
      <c r="O19" s="242">
        <v>1891161</v>
      </c>
      <c r="P19" s="242">
        <v>7323</v>
      </c>
      <c r="Q19" s="242">
        <v>1766118</v>
      </c>
      <c r="R19" s="250">
        <v>365</v>
      </c>
      <c r="S19" s="242">
        <v>88029</v>
      </c>
      <c r="T19" s="242">
        <v>616685</v>
      </c>
      <c r="U19" s="242">
        <v>1274476</v>
      </c>
      <c r="V19" s="11"/>
    </row>
    <row r="20" spans="2:22" s="22" customFormat="1">
      <c r="B20" s="8">
        <v>5</v>
      </c>
      <c r="C20" s="249" t="s">
        <v>868</v>
      </c>
      <c r="D20" s="234"/>
      <c r="E20" s="231">
        <v>297545</v>
      </c>
      <c r="F20" s="254" t="s">
        <v>873</v>
      </c>
      <c r="G20" s="233">
        <v>40287</v>
      </c>
      <c r="H20" s="239" t="s">
        <v>368</v>
      </c>
      <c r="I20" s="270">
        <v>49417</v>
      </c>
      <c r="J20" s="242">
        <v>9131</v>
      </c>
      <c r="K20" s="242">
        <v>1443</v>
      </c>
      <c r="L20" s="242">
        <v>7688</v>
      </c>
      <c r="M20" s="242">
        <v>14877</v>
      </c>
      <c r="N20" s="242">
        <v>220602</v>
      </c>
      <c r="O20" s="242">
        <v>225006</v>
      </c>
      <c r="P20" s="242">
        <v>7323</v>
      </c>
      <c r="Q20" s="242">
        <v>210129</v>
      </c>
      <c r="R20" s="250">
        <v>365</v>
      </c>
      <c r="S20" s="242">
        <v>10473</v>
      </c>
      <c r="T20" s="242">
        <v>73369</v>
      </c>
      <c r="U20" s="242">
        <v>151637</v>
      </c>
      <c r="V20" s="11"/>
    </row>
    <row r="21" spans="2:22" s="22" customFormat="1">
      <c r="B21" s="8">
        <v>6</v>
      </c>
      <c r="C21" s="249" t="s">
        <v>868</v>
      </c>
      <c r="D21" s="234"/>
      <c r="E21" s="231">
        <v>64370</v>
      </c>
      <c r="F21" s="254" t="s">
        <v>874</v>
      </c>
      <c r="G21" s="233">
        <v>40287</v>
      </c>
      <c r="H21" s="239" t="s">
        <v>368</v>
      </c>
      <c r="I21" s="270">
        <v>49417</v>
      </c>
      <c r="J21" s="242">
        <v>9131</v>
      </c>
      <c r="K21" s="242">
        <v>1443</v>
      </c>
      <c r="L21" s="242">
        <v>7688</v>
      </c>
      <c r="M21" s="242">
        <v>3219</v>
      </c>
      <c r="N21" s="242">
        <v>47723</v>
      </c>
      <c r="O21" s="242">
        <v>48676</v>
      </c>
      <c r="P21" s="242">
        <v>7323</v>
      </c>
      <c r="Q21" s="242">
        <v>45458</v>
      </c>
      <c r="R21" s="250">
        <v>365</v>
      </c>
      <c r="S21" s="242">
        <v>2266</v>
      </c>
      <c r="T21" s="242">
        <v>15874</v>
      </c>
      <c r="U21" s="242">
        <v>32802</v>
      </c>
      <c r="V21" s="11"/>
    </row>
    <row r="22" spans="2:22" s="22" customFormat="1" ht="27">
      <c r="B22" s="8">
        <v>7</v>
      </c>
      <c r="C22" s="249" t="s">
        <v>564</v>
      </c>
      <c r="D22" s="234"/>
      <c r="E22" s="231">
        <v>1163720</v>
      </c>
      <c r="F22" s="254" t="s">
        <v>565</v>
      </c>
      <c r="G22" s="233">
        <v>40287</v>
      </c>
      <c r="H22" s="239" t="s">
        <v>368</v>
      </c>
      <c r="I22" s="270">
        <v>49417</v>
      </c>
      <c r="J22" s="242">
        <v>9131</v>
      </c>
      <c r="K22" s="242">
        <v>1443</v>
      </c>
      <c r="L22" s="242">
        <v>7688</v>
      </c>
      <c r="M22" s="242">
        <v>58186</v>
      </c>
      <c r="N22" s="242">
        <v>862788</v>
      </c>
      <c r="O22" s="242">
        <v>880012</v>
      </c>
      <c r="P22" s="242">
        <v>7323</v>
      </c>
      <c r="Q22" s="242">
        <v>821826</v>
      </c>
      <c r="R22" s="250">
        <v>365</v>
      </c>
      <c r="S22" s="242">
        <v>40962</v>
      </c>
      <c r="T22" s="242">
        <v>286958</v>
      </c>
      <c r="U22" s="242">
        <v>593054</v>
      </c>
      <c r="V22" s="11"/>
    </row>
    <row r="23" spans="2:22" s="22" customFormat="1" ht="27">
      <c r="B23" s="8">
        <v>8</v>
      </c>
      <c r="C23" s="249" t="s">
        <v>564</v>
      </c>
      <c r="D23" s="234"/>
      <c r="E23" s="231">
        <v>387560</v>
      </c>
      <c r="F23" s="254" t="s">
        <v>566</v>
      </c>
      <c r="G23" s="233">
        <v>40287</v>
      </c>
      <c r="H23" s="239" t="s">
        <v>368</v>
      </c>
      <c r="I23" s="270">
        <v>49417</v>
      </c>
      <c r="J23" s="242">
        <v>9131</v>
      </c>
      <c r="K23" s="242">
        <v>1443</v>
      </c>
      <c r="L23" s="242">
        <v>7688</v>
      </c>
      <c r="M23" s="242">
        <v>19378</v>
      </c>
      <c r="N23" s="242">
        <v>287339</v>
      </c>
      <c r="O23" s="242">
        <v>293075</v>
      </c>
      <c r="P23" s="242">
        <v>7323</v>
      </c>
      <c r="Q23" s="242">
        <v>273697</v>
      </c>
      <c r="R23" s="250">
        <v>365</v>
      </c>
      <c r="S23" s="242">
        <v>13642</v>
      </c>
      <c r="T23" s="242">
        <v>95568</v>
      </c>
      <c r="U23" s="242">
        <v>197507</v>
      </c>
      <c r="V23" s="11"/>
    </row>
    <row r="24" spans="2:22" s="22" customFormat="1">
      <c r="B24" s="8">
        <v>9</v>
      </c>
      <c r="C24" s="249" t="s">
        <v>1119</v>
      </c>
      <c r="D24" s="234"/>
      <c r="E24" s="231">
        <v>78458</v>
      </c>
      <c r="F24" s="254" t="s">
        <v>566</v>
      </c>
      <c r="G24" s="233">
        <v>40287</v>
      </c>
      <c r="H24" s="239" t="s">
        <v>368</v>
      </c>
      <c r="I24" s="270">
        <v>49417</v>
      </c>
      <c r="J24" s="242">
        <v>9131</v>
      </c>
      <c r="K24" s="242">
        <v>1443</v>
      </c>
      <c r="L24" s="242">
        <v>7688</v>
      </c>
      <c r="M24" s="242">
        <v>3923</v>
      </c>
      <c r="N24" s="242">
        <v>58168</v>
      </c>
      <c r="O24" s="242">
        <v>59329</v>
      </c>
      <c r="P24" s="242">
        <v>7323</v>
      </c>
      <c r="Q24" s="242">
        <v>55406</v>
      </c>
      <c r="R24" s="250">
        <v>365</v>
      </c>
      <c r="S24" s="242">
        <v>2762</v>
      </c>
      <c r="T24" s="242">
        <v>19348</v>
      </c>
      <c r="U24" s="242">
        <v>39981</v>
      </c>
      <c r="V24" s="11"/>
    </row>
    <row r="25" spans="2:22" s="22" customFormat="1" ht="27">
      <c r="B25" s="8">
        <v>10</v>
      </c>
      <c r="C25" s="249" t="s">
        <v>567</v>
      </c>
      <c r="D25" s="234"/>
      <c r="E25" s="231">
        <v>4352603</v>
      </c>
      <c r="F25" s="254" t="s">
        <v>869</v>
      </c>
      <c r="G25" s="233">
        <v>40287</v>
      </c>
      <c r="H25" s="239" t="s">
        <v>368</v>
      </c>
      <c r="I25" s="270">
        <v>49417</v>
      </c>
      <c r="J25" s="242">
        <v>9131</v>
      </c>
      <c r="K25" s="242">
        <v>1443</v>
      </c>
      <c r="L25" s="242">
        <v>7688</v>
      </c>
      <c r="M25" s="242">
        <v>217630</v>
      </c>
      <c r="N25" s="242">
        <v>3227038</v>
      </c>
      <c r="O25" s="242">
        <v>3291459</v>
      </c>
      <c r="P25" s="242">
        <v>7323</v>
      </c>
      <c r="Q25" s="242">
        <v>3073829</v>
      </c>
      <c r="R25" s="250">
        <v>365</v>
      </c>
      <c r="S25" s="242">
        <v>153209</v>
      </c>
      <c r="T25" s="242">
        <v>1073301</v>
      </c>
      <c r="U25" s="242">
        <v>2218158</v>
      </c>
      <c r="V25" s="11"/>
    </row>
    <row r="26" spans="2:22" s="22" customFormat="1" ht="27">
      <c r="B26" s="8">
        <v>11</v>
      </c>
      <c r="C26" s="249" t="s">
        <v>581</v>
      </c>
      <c r="D26" s="234"/>
      <c r="E26" s="231">
        <v>340439</v>
      </c>
      <c r="F26" s="254" t="s">
        <v>568</v>
      </c>
      <c r="G26" s="233">
        <v>40287</v>
      </c>
      <c r="H26" s="239" t="s">
        <v>368</v>
      </c>
      <c r="I26" s="270">
        <v>49417</v>
      </c>
      <c r="J26" s="242">
        <v>9131</v>
      </c>
      <c r="K26" s="242">
        <v>1443</v>
      </c>
      <c r="L26" s="242">
        <v>7688</v>
      </c>
      <c r="M26" s="242">
        <v>17022</v>
      </c>
      <c r="N26" s="242">
        <v>252403</v>
      </c>
      <c r="O26" s="242">
        <v>257442</v>
      </c>
      <c r="P26" s="242">
        <v>7323</v>
      </c>
      <c r="Q26" s="242">
        <v>240420</v>
      </c>
      <c r="R26" s="250">
        <v>365</v>
      </c>
      <c r="S26" s="242">
        <v>11983</v>
      </c>
      <c r="T26" s="242">
        <v>83947</v>
      </c>
      <c r="U26" s="242">
        <v>173495</v>
      </c>
      <c r="V26" s="11"/>
    </row>
    <row r="27" spans="2:22" s="22" customFormat="1" ht="40.5">
      <c r="B27" s="8">
        <v>12</v>
      </c>
      <c r="C27" s="249" t="s">
        <v>582</v>
      </c>
      <c r="D27" s="234"/>
      <c r="E27" s="231">
        <v>485218</v>
      </c>
      <c r="F27" s="254" t="s">
        <v>569</v>
      </c>
      <c r="G27" s="233">
        <v>40287</v>
      </c>
      <c r="H27" s="239" t="s">
        <v>368</v>
      </c>
      <c r="I27" s="270">
        <v>49417</v>
      </c>
      <c r="J27" s="242">
        <v>9131</v>
      </c>
      <c r="K27" s="242">
        <v>1443</v>
      </c>
      <c r="L27" s="242">
        <v>7688</v>
      </c>
      <c r="M27" s="242">
        <v>24261</v>
      </c>
      <c r="N27" s="242">
        <v>359741</v>
      </c>
      <c r="O27" s="242">
        <v>366923</v>
      </c>
      <c r="P27" s="242">
        <v>7323</v>
      </c>
      <c r="Q27" s="242">
        <v>342662</v>
      </c>
      <c r="R27" s="250">
        <v>365</v>
      </c>
      <c r="S27" s="242">
        <v>17079</v>
      </c>
      <c r="T27" s="242">
        <v>119647</v>
      </c>
      <c r="U27" s="242">
        <v>247276</v>
      </c>
      <c r="V27" s="11"/>
    </row>
    <row r="28" spans="2:22" s="22" customFormat="1" ht="40.5">
      <c r="B28" s="8">
        <v>13</v>
      </c>
      <c r="C28" s="249" t="s">
        <v>582</v>
      </c>
      <c r="D28" s="234"/>
      <c r="E28" s="231">
        <v>25230</v>
      </c>
      <c r="F28" s="254" t="s">
        <v>570</v>
      </c>
      <c r="G28" s="233">
        <v>40287</v>
      </c>
      <c r="H28" s="239" t="s">
        <v>368</v>
      </c>
      <c r="I28" s="270">
        <v>49417</v>
      </c>
      <c r="J28" s="242">
        <v>9131</v>
      </c>
      <c r="K28" s="242">
        <v>1443</v>
      </c>
      <c r="L28" s="242">
        <v>7688</v>
      </c>
      <c r="M28" s="242">
        <v>1262</v>
      </c>
      <c r="N28" s="242">
        <v>18706</v>
      </c>
      <c r="O28" s="242">
        <v>19080</v>
      </c>
      <c r="P28" s="242">
        <v>7323</v>
      </c>
      <c r="Q28" s="242">
        <v>17819</v>
      </c>
      <c r="R28" s="250">
        <v>365</v>
      </c>
      <c r="S28" s="242">
        <v>888</v>
      </c>
      <c r="T28" s="242">
        <v>6222</v>
      </c>
      <c r="U28" s="242">
        <v>12858</v>
      </c>
      <c r="V28" s="11"/>
    </row>
    <row r="29" spans="2:22" s="22" customFormat="1">
      <c r="B29" s="8">
        <v>14</v>
      </c>
      <c r="C29" s="249" t="s">
        <v>343</v>
      </c>
      <c r="D29" s="234"/>
      <c r="E29" s="231">
        <v>150464</v>
      </c>
      <c r="F29" s="254" t="s">
        <v>1115</v>
      </c>
      <c r="G29" s="233">
        <v>40287</v>
      </c>
      <c r="H29" s="239" t="s">
        <v>368</v>
      </c>
      <c r="I29" s="270">
        <v>49417</v>
      </c>
      <c r="J29" s="242">
        <v>9131</v>
      </c>
      <c r="K29" s="242">
        <v>1443</v>
      </c>
      <c r="L29" s="242">
        <v>7688</v>
      </c>
      <c r="M29" s="242">
        <v>7523</v>
      </c>
      <c r="N29" s="242">
        <v>111556</v>
      </c>
      <c r="O29" s="242">
        <v>113783</v>
      </c>
      <c r="P29" s="242">
        <v>7323</v>
      </c>
      <c r="Q29" s="242">
        <v>106260</v>
      </c>
      <c r="R29" s="250">
        <v>365</v>
      </c>
      <c r="S29" s="242">
        <v>5296</v>
      </c>
      <c r="T29" s="242">
        <v>37102</v>
      </c>
      <c r="U29" s="242">
        <v>76681</v>
      </c>
      <c r="V29" s="11"/>
    </row>
    <row r="30" spans="2:22" s="22" customFormat="1" ht="40.5">
      <c r="B30" s="8">
        <v>15</v>
      </c>
      <c r="C30" s="249" t="s">
        <v>1113</v>
      </c>
      <c r="D30" s="234"/>
      <c r="E30" s="231">
        <v>111499</v>
      </c>
      <c r="F30" s="254" t="s">
        <v>1116</v>
      </c>
      <c r="G30" s="233">
        <v>40287</v>
      </c>
      <c r="H30" s="239" t="s">
        <v>368</v>
      </c>
      <c r="I30" s="270">
        <v>49417</v>
      </c>
      <c r="J30" s="242">
        <v>9131</v>
      </c>
      <c r="K30" s="242">
        <v>1443</v>
      </c>
      <c r="L30" s="242">
        <v>7688</v>
      </c>
      <c r="M30" s="242">
        <v>5575</v>
      </c>
      <c r="N30" s="242">
        <v>82666</v>
      </c>
      <c r="O30" s="242">
        <v>84316</v>
      </c>
      <c r="P30" s="242">
        <v>7323</v>
      </c>
      <c r="Q30" s="242">
        <v>78741</v>
      </c>
      <c r="R30" s="250">
        <v>365</v>
      </c>
      <c r="S30" s="242">
        <v>3925</v>
      </c>
      <c r="T30" s="242">
        <v>27495</v>
      </c>
      <c r="U30" s="242">
        <v>56821</v>
      </c>
      <c r="V30" s="11"/>
    </row>
    <row r="31" spans="2:22" s="22" customFormat="1" ht="40.5">
      <c r="B31" s="8">
        <v>16</v>
      </c>
      <c r="C31" s="249" t="s">
        <v>1114</v>
      </c>
      <c r="D31" s="234"/>
      <c r="E31" s="231">
        <v>9300</v>
      </c>
      <c r="F31" s="254" t="s">
        <v>1117</v>
      </c>
      <c r="G31" s="233">
        <v>40287</v>
      </c>
      <c r="H31" s="239" t="s">
        <v>368</v>
      </c>
      <c r="I31" s="270">
        <v>49417</v>
      </c>
      <c r="J31" s="242">
        <v>9131</v>
      </c>
      <c r="K31" s="242">
        <v>1443</v>
      </c>
      <c r="L31" s="242">
        <v>7688</v>
      </c>
      <c r="M31" s="242">
        <v>465</v>
      </c>
      <c r="N31" s="242">
        <v>6895</v>
      </c>
      <c r="O31" s="242">
        <v>7033</v>
      </c>
      <c r="P31" s="242">
        <v>7323</v>
      </c>
      <c r="Q31" s="242">
        <v>6568</v>
      </c>
      <c r="R31" s="250">
        <v>365</v>
      </c>
      <c r="S31" s="242">
        <v>327</v>
      </c>
      <c r="T31" s="242">
        <v>2291</v>
      </c>
      <c r="U31" s="242">
        <v>4742</v>
      </c>
      <c r="V31" s="11"/>
    </row>
    <row r="32" spans="2:22" s="22" customFormat="1">
      <c r="B32" s="8">
        <v>17</v>
      </c>
      <c r="C32" s="249" t="s">
        <v>1118</v>
      </c>
      <c r="D32" s="234">
        <v>1</v>
      </c>
      <c r="E32" s="231">
        <f>3190988+870738</f>
        <v>4061726</v>
      </c>
      <c r="F32" s="254" t="s">
        <v>42</v>
      </c>
      <c r="G32" s="233">
        <v>40287</v>
      </c>
      <c r="H32" s="239" t="s">
        <v>368</v>
      </c>
      <c r="I32" s="270">
        <v>49417</v>
      </c>
      <c r="J32" s="242">
        <v>9131</v>
      </c>
      <c r="K32" s="242">
        <v>1443</v>
      </c>
      <c r="L32" s="242">
        <v>7688</v>
      </c>
      <c r="M32" s="242">
        <v>203086</v>
      </c>
      <c r="N32" s="242">
        <v>3011380</v>
      </c>
      <c r="O32" s="242">
        <v>3071496</v>
      </c>
      <c r="P32" s="242">
        <v>7323</v>
      </c>
      <c r="Q32" s="242">
        <v>2868410</v>
      </c>
      <c r="R32" s="250">
        <v>365</v>
      </c>
      <c r="S32" s="242">
        <v>142970</v>
      </c>
      <c r="T32" s="242">
        <v>1001574</v>
      </c>
      <c r="U32" s="242">
        <v>2069922</v>
      </c>
      <c r="V32" s="11"/>
    </row>
    <row r="33" spans="2:22" s="22" customFormat="1" ht="27">
      <c r="B33" s="8">
        <v>18</v>
      </c>
      <c r="C33" s="245" t="s">
        <v>1863</v>
      </c>
      <c r="D33" s="234" t="s">
        <v>314</v>
      </c>
      <c r="E33" s="231">
        <v>41769</v>
      </c>
      <c r="F33" s="237" t="s">
        <v>1864</v>
      </c>
      <c r="G33" s="238">
        <v>41000</v>
      </c>
      <c r="H33" s="239" t="s">
        <v>368</v>
      </c>
      <c r="I33" s="270">
        <v>50130</v>
      </c>
      <c r="J33" s="242">
        <v>9131</v>
      </c>
      <c r="K33" s="242">
        <v>730</v>
      </c>
      <c r="L33" s="242">
        <v>8401</v>
      </c>
      <c r="M33" s="242">
        <v>2088</v>
      </c>
      <c r="N33" s="242">
        <v>35271</v>
      </c>
      <c r="O33" s="242">
        <v>35827</v>
      </c>
      <c r="P33" s="242">
        <v>8036</v>
      </c>
      <c r="Q33" s="242">
        <v>33739</v>
      </c>
      <c r="R33" s="250">
        <v>365</v>
      </c>
      <c r="S33" s="242">
        <v>1532</v>
      </c>
      <c r="T33" s="242">
        <v>10734</v>
      </c>
      <c r="U33" s="242">
        <v>25093</v>
      </c>
      <c r="V33" s="11"/>
    </row>
    <row r="34" spans="2:22" s="22" customFormat="1">
      <c r="B34" s="8">
        <v>19</v>
      </c>
      <c r="C34" s="239" t="s">
        <v>4409</v>
      </c>
      <c r="D34" s="234">
        <v>1</v>
      </c>
      <c r="E34" s="231">
        <v>253700</v>
      </c>
      <c r="F34" s="234" t="s">
        <v>4410</v>
      </c>
      <c r="G34" s="238">
        <v>43556</v>
      </c>
      <c r="H34" s="239" t="s">
        <v>368</v>
      </c>
      <c r="I34" s="398">
        <v>47208</v>
      </c>
      <c r="J34" s="242">
        <v>3653</v>
      </c>
      <c r="K34" s="242">
        <v>0</v>
      </c>
      <c r="L34" s="242">
        <v>3653</v>
      </c>
      <c r="M34" s="242">
        <v>12685</v>
      </c>
      <c r="N34" s="242">
        <v>241015</v>
      </c>
      <c r="O34" s="242">
        <v>253700</v>
      </c>
      <c r="P34" s="242">
        <v>0</v>
      </c>
      <c r="Q34" s="242">
        <v>0</v>
      </c>
      <c r="R34" s="251">
        <v>365</v>
      </c>
      <c r="S34" s="250">
        <v>24082</v>
      </c>
      <c r="T34" s="242">
        <v>72312</v>
      </c>
      <c r="U34" s="242">
        <v>181388</v>
      </c>
      <c r="V34" s="11"/>
    </row>
    <row r="35" spans="2:22" s="22" customFormat="1">
      <c r="B35" s="8"/>
      <c r="C35" s="239"/>
      <c r="D35" s="234"/>
      <c r="E35" s="231"/>
      <c r="F35" s="234"/>
      <c r="G35" s="238"/>
      <c r="H35" s="239"/>
      <c r="I35" s="398"/>
      <c r="J35" s="242"/>
      <c r="K35" s="242"/>
      <c r="L35" s="242"/>
      <c r="M35" s="242"/>
      <c r="N35" s="242"/>
      <c r="O35" s="242"/>
      <c r="P35" s="242"/>
      <c r="Q35" s="242"/>
      <c r="R35" s="251"/>
      <c r="S35" s="250"/>
      <c r="T35" s="242"/>
      <c r="U35" s="242"/>
      <c r="V35" s="11"/>
    </row>
    <row r="36" spans="2:22" s="22" customFormat="1" ht="14.25">
      <c r="B36" s="51" t="s">
        <v>4404</v>
      </c>
      <c r="C36" s="239"/>
      <c r="D36" s="234"/>
      <c r="E36" s="231"/>
      <c r="F36" s="234"/>
      <c r="G36" s="238"/>
      <c r="H36" s="239"/>
      <c r="I36" s="398"/>
      <c r="J36" s="242"/>
      <c r="K36" s="242"/>
      <c r="L36" s="242"/>
      <c r="M36" s="242"/>
      <c r="N36" s="399"/>
      <c r="O36" s="242"/>
      <c r="P36" s="242"/>
      <c r="Q36" s="242"/>
      <c r="R36" s="251"/>
      <c r="S36" s="250"/>
      <c r="T36" s="242"/>
      <c r="U36" s="242"/>
      <c r="V36" s="11"/>
    </row>
    <row r="37" spans="2:22" s="22" customFormat="1" ht="27">
      <c r="B37" s="8">
        <v>1</v>
      </c>
      <c r="C37" s="239" t="s">
        <v>4405</v>
      </c>
      <c r="D37" s="234">
        <v>1</v>
      </c>
      <c r="E37" s="231">
        <v>234600</v>
      </c>
      <c r="F37" s="234">
        <v>111010979</v>
      </c>
      <c r="G37" s="238">
        <v>43556</v>
      </c>
      <c r="H37" s="239" t="s">
        <v>368</v>
      </c>
      <c r="I37" s="398">
        <v>47208</v>
      </c>
      <c r="J37" s="242">
        <v>3653</v>
      </c>
      <c r="K37" s="242">
        <v>0</v>
      </c>
      <c r="L37" s="242">
        <v>3653</v>
      </c>
      <c r="M37" s="242">
        <v>11730</v>
      </c>
      <c r="N37" s="399">
        <v>222870</v>
      </c>
      <c r="O37" s="242">
        <v>234600</v>
      </c>
      <c r="P37" s="242">
        <v>3653</v>
      </c>
      <c r="Q37" s="242">
        <v>222870</v>
      </c>
      <c r="R37" s="251">
        <v>365</v>
      </c>
      <c r="S37" s="250">
        <v>22269</v>
      </c>
      <c r="T37" s="242">
        <v>66868</v>
      </c>
      <c r="U37" s="242">
        <v>167732</v>
      </c>
      <c r="V37" s="11"/>
    </row>
    <row r="38" spans="2:22" s="22" customFormat="1" ht="14.25">
      <c r="B38" s="51" t="s">
        <v>456</v>
      </c>
      <c r="C38" s="244"/>
      <c r="D38" s="234"/>
      <c r="E38" s="248"/>
      <c r="F38" s="234"/>
      <c r="G38" s="238"/>
      <c r="H38" s="239"/>
      <c r="I38" s="228"/>
      <c r="J38" s="228"/>
      <c r="K38" s="228"/>
      <c r="L38" s="228"/>
      <c r="M38" s="228"/>
      <c r="N38" s="228"/>
      <c r="O38" s="242"/>
      <c r="P38" s="228"/>
      <c r="Q38" s="228"/>
      <c r="R38" s="250"/>
      <c r="S38" s="242"/>
      <c r="T38" s="242"/>
      <c r="U38" s="228"/>
      <c r="V38" s="11"/>
    </row>
    <row r="39" spans="2:22" s="22" customFormat="1" ht="27">
      <c r="B39" s="8">
        <v>1</v>
      </c>
      <c r="C39" s="249" t="s">
        <v>854</v>
      </c>
      <c r="D39" s="234">
        <v>3</v>
      </c>
      <c r="E39" s="231">
        <f>1510625/5*3</f>
        <v>906375</v>
      </c>
      <c r="F39" s="254" t="s">
        <v>1120</v>
      </c>
      <c r="G39" s="233">
        <v>40478</v>
      </c>
      <c r="H39" s="239" t="s">
        <v>368</v>
      </c>
      <c r="I39" s="270">
        <v>44130</v>
      </c>
      <c r="J39" s="242">
        <v>3653</v>
      </c>
      <c r="K39" s="242">
        <v>1252</v>
      </c>
      <c r="L39" s="242">
        <v>2401</v>
      </c>
      <c r="M39" s="242">
        <v>45319</v>
      </c>
      <c r="N39" s="242">
        <v>713497</v>
      </c>
      <c r="O39" s="242">
        <v>650350</v>
      </c>
      <c r="P39" s="242">
        <v>2036</v>
      </c>
      <c r="Q39" s="242">
        <v>605031</v>
      </c>
      <c r="R39" s="250">
        <v>0</v>
      </c>
      <c r="S39" s="242">
        <v>0</v>
      </c>
      <c r="T39" s="242">
        <v>650350</v>
      </c>
      <c r="U39" s="242">
        <v>0</v>
      </c>
    </row>
    <row r="40" spans="2:22" s="22" customFormat="1" ht="40.5">
      <c r="B40" s="8">
        <f>+B39+1</f>
        <v>2</v>
      </c>
      <c r="C40" s="249" t="s">
        <v>779</v>
      </c>
      <c r="D40" s="234">
        <v>3</v>
      </c>
      <c r="E40" s="231">
        <f>198540/5*3</f>
        <v>119124</v>
      </c>
      <c r="F40" s="254" t="s">
        <v>1121</v>
      </c>
      <c r="G40" s="233">
        <v>40478</v>
      </c>
      <c r="H40" s="239" t="s">
        <v>368</v>
      </c>
      <c r="I40" s="270">
        <v>44130</v>
      </c>
      <c r="J40" s="242">
        <v>3653</v>
      </c>
      <c r="K40" s="242">
        <v>1252</v>
      </c>
      <c r="L40" s="242">
        <v>2401</v>
      </c>
      <c r="M40" s="242">
        <v>5956</v>
      </c>
      <c r="N40" s="242">
        <v>93776</v>
      </c>
      <c r="O40" s="242">
        <v>85476</v>
      </c>
      <c r="P40" s="242">
        <v>2036</v>
      </c>
      <c r="Q40" s="242">
        <v>79520</v>
      </c>
      <c r="R40" s="250">
        <v>0</v>
      </c>
      <c r="S40" s="242">
        <v>0</v>
      </c>
      <c r="T40" s="242">
        <v>85476</v>
      </c>
      <c r="U40" s="242">
        <v>0</v>
      </c>
    </row>
    <row r="41" spans="2:22" s="22" customFormat="1" ht="27">
      <c r="B41" s="8">
        <f t="shared" ref="B41:B88" si="0">+B40+1</f>
        <v>3</v>
      </c>
      <c r="C41" s="249" t="s">
        <v>253</v>
      </c>
      <c r="D41" s="234">
        <v>3</v>
      </c>
      <c r="E41" s="231">
        <f>297810/5*3</f>
        <v>178686</v>
      </c>
      <c r="F41" s="254" t="s">
        <v>1121</v>
      </c>
      <c r="G41" s="233">
        <v>40478</v>
      </c>
      <c r="H41" s="239" t="s">
        <v>368</v>
      </c>
      <c r="I41" s="270">
        <v>44130</v>
      </c>
      <c r="J41" s="242">
        <v>3653</v>
      </c>
      <c r="K41" s="242">
        <v>1252</v>
      </c>
      <c r="L41" s="242">
        <v>2401</v>
      </c>
      <c r="M41" s="242">
        <v>8934</v>
      </c>
      <c r="N41" s="242">
        <v>140662</v>
      </c>
      <c r="O41" s="242">
        <v>128213</v>
      </c>
      <c r="P41" s="242">
        <v>2036</v>
      </c>
      <c r="Q41" s="242">
        <v>119279</v>
      </c>
      <c r="R41" s="250">
        <v>0</v>
      </c>
      <c r="S41" s="242">
        <v>0</v>
      </c>
      <c r="T41" s="242">
        <v>128213</v>
      </c>
      <c r="U41" s="242">
        <v>0</v>
      </c>
    </row>
    <row r="42" spans="2:22" s="22" customFormat="1" ht="27">
      <c r="B42" s="8">
        <f t="shared" si="0"/>
        <v>4</v>
      </c>
      <c r="C42" s="249" t="s">
        <v>428</v>
      </c>
      <c r="D42" s="234">
        <v>3</v>
      </c>
      <c r="E42" s="231">
        <f>256620/55*3</f>
        <v>13997.454545454546</v>
      </c>
      <c r="F42" s="254">
        <v>14</v>
      </c>
      <c r="G42" s="233">
        <v>40478</v>
      </c>
      <c r="H42" s="239" t="s">
        <v>368</v>
      </c>
      <c r="I42" s="270">
        <v>44130</v>
      </c>
      <c r="J42" s="242">
        <v>3653</v>
      </c>
      <c r="K42" s="242">
        <v>1252</v>
      </c>
      <c r="L42" s="242">
        <v>2401</v>
      </c>
      <c r="M42" s="242">
        <v>700</v>
      </c>
      <c r="N42" s="242">
        <v>11019.454545454546</v>
      </c>
      <c r="O42" s="242">
        <v>10044.454545454546</v>
      </c>
      <c r="P42" s="242">
        <v>2036</v>
      </c>
      <c r="Q42" s="242">
        <v>9345</v>
      </c>
      <c r="R42" s="250">
        <v>0</v>
      </c>
      <c r="S42" s="242">
        <v>0</v>
      </c>
      <c r="T42" s="242">
        <v>10044</v>
      </c>
      <c r="U42" s="242">
        <v>0.45454545454595063</v>
      </c>
    </row>
    <row r="43" spans="2:22" s="22" customFormat="1" ht="40.5">
      <c r="B43" s="8">
        <f t="shared" si="0"/>
        <v>5</v>
      </c>
      <c r="C43" s="249" t="s">
        <v>427</v>
      </c>
      <c r="D43" s="234">
        <v>3</v>
      </c>
      <c r="E43" s="227">
        <f>783110/55*3</f>
        <v>42715.090909090912</v>
      </c>
      <c r="F43" s="254" t="s">
        <v>499</v>
      </c>
      <c r="G43" s="233">
        <v>40478</v>
      </c>
      <c r="H43" s="239" t="s">
        <v>368</v>
      </c>
      <c r="I43" s="270">
        <v>44130</v>
      </c>
      <c r="J43" s="242">
        <v>3653</v>
      </c>
      <c r="K43" s="242">
        <v>1252</v>
      </c>
      <c r="L43" s="242">
        <v>2401</v>
      </c>
      <c r="M43" s="242">
        <v>2136</v>
      </c>
      <c r="N43" s="242">
        <v>33626.090909090912</v>
      </c>
      <c r="O43" s="242">
        <v>30650.090909090912</v>
      </c>
      <c r="P43" s="242">
        <v>2036</v>
      </c>
      <c r="Q43" s="242">
        <v>28514</v>
      </c>
      <c r="R43" s="250">
        <v>0</v>
      </c>
      <c r="S43" s="242">
        <v>0</v>
      </c>
      <c r="T43" s="242">
        <v>30650</v>
      </c>
      <c r="U43" s="242">
        <v>9.0909090911736712E-2</v>
      </c>
    </row>
    <row r="44" spans="2:22" s="22" customFormat="1" ht="27">
      <c r="B44" s="8">
        <f t="shared" si="0"/>
        <v>6</v>
      </c>
      <c r="C44" s="249" t="s">
        <v>136</v>
      </c>
      <c r="D44" s="234">
        <v>3</v>
      </c>
      <c r="E44" s="231">
        <f>762998/55*3</f>
        <v>41618.072727272724</v>
      </c>
      <c r="F44" s="254" t="s">
        <v>254</v>
      </c>
      <c r="G44" s="233">
        <v>40478</v>
      </c>
      <c r="H44" s="239" t="s">
        <v>368</v>
      </c>
      <c r="I44" s="270">
        <v>44130</v>
      </c>
      <c r="J44" s="242">
        <v>3653</v>
      </c>
      <c r="K44" s="242">
        <v>1252</v>
      </c>
      <c r="L44" s="242">
        <v>2401</v>
      </c>
      <c r="M44" s="242">
        <v>2081</v>
      </c>
      <c r="N44" s="242">
        <v>32761.072727272724</v>
      </c>
      <c r="O44" s="242">
        <v>29862.072727272724</v>
      </c>
      <c r="P44" s="242">
        <v>2036</v>
      </c>
      <c r="Q44" s="242">
        <v>27781</v>
      </c>
      <c r="R44" s="250">
        <v>0</v>
      </c>
      <c r="S44" s="242">
        <v>0</v>
      </c>
      <c r="T44" s="242">
        <v>29862</v>
      </c>
      <c r="U44" s="242">
        <v>7.2727272723568603E-2</v>
      </c>
    </row>
    <row r="45" spans="2:22" s="22" customFormat="1" ht="27">
      <c r="B45" s="8">
        <f t="shared" si="0"/>
        <v>7</v>
      </c>
      <c r="C45" s="249" t="s">
        <v>136</v>
      </c>
      <c r="D45" s="234">
        <v>3</v>
      </c>
      <c r="E45" s="231">
        <f>1215797/55*3</f>
        <v>66316.200000000012</v>
      </c>
      <c r="F45" s="254" t="s">
        <v>255</v>
      </c>
      <c r="G45" s="233">
        <v>40478</v>
      </c>
      <c r="H45" s="239" t="s">
        <v>368</v>
      </c>
      <c r="I45" s="270">
        <v>44130</v>
      </c>
      <c r="J45" s="242">
        <v>3653</v>
      </c>
      <c r="K45" s="242">
        <v>1252</v>
      </c>
      <c r="L45" s="242">
        <v>2401</v>
      </c>
      <c r="M45" s="242">
        <v>3316</v>
      </c>
      <c r="N45" s="242">
        <v>52203.200000000012</v>
      </c>
      <c r="O45" s="242">
        <v>47583.200000000012</v>
      </c>
      <c r="P45" s="242">
        <v>2036</v>
      </c>
      <c r="Q45" s="242">
        <v>44267</v>
      </c>
      <c r="R45" s="250">
        <v>0</v>
      </c>
      <c r="S45" s="242">
        <v>0</v>
      </c>
      <c r="T45" s="242">
        <v>47583</v>
      </c>
      <c r="U45" s="242">
        <v>0.20000000001164153</v>
      </c>
    </row>
    <row r="46" spans="2:22" s="22" customFormat="1" ht="27">
      <c r="B46" s="8">
        <f t="shared" si="0"/>
        <v>8</v>
      </c>
      <c r="C46" s="249" t="s">
        <v>135</v>
      </c>
      <c r="D46" s="234">
        <v>3</v>
      </c>
      <c r="E46" s="231">
        <f>13860/55*3</f>
        <v>756</v>
      </c>
      <c r="F46" s="254" t="s">
        <v>563</v>
      </c>
      <c r="G46" s="233">
        <v>40478</v>
      </c>
      <c r="H46" s="239" t="s">
        <v>368</v>
      </c>
      <c r="I46" s="270">
        <v>44130</v>
      </c>
      <c r="J46" s="242">
        <v>3653</v>
      </c>
      <c r="K46" s="242">
        <v>1252</v>
      </c>
      <c r="L46" s="242">
        <v>2401</v>
      </c>
      <c r="M46" s="242">
        <v>0</v>
      </c>
      <c r="N46" s="242">
        <v>0</v>
      </c>
      <c r="O46" s="242">
        <v>0</v>
      </c>
      <c r="P46" s="242"/>
      <c r="Q46" s="242"/>
      <c r="R46" s="250">
        <v>0</v>
      </c>
      <c r="S46" s="242">
        <v>0</v>
      </c>
      <c r="T46" s="242">
        <v>0</v>
      </c>
      <c r="U46" s="242">
        <v>0</v>
      </c>
    </row>
    <row r="47" spans="2:22" s="22" customFormat="1" ht="54">
      <c r="B47" s="8">
        <f t="shared" si="0"/>
        <v>9</v>
      </c>
      <c r="C47" s="249" t="s">
        <v>134</v>
      </c>
      <c r="D47" s="234">
        <v>3</v>
      </c>
      <c r="E47" s="231">
        <f>366630/55*3</f>
        <v>19998</v>
      </c>
      <c r="F47" s="254" t="s">
        <v>1122</v>
      </c>
      <c r="G47" s="233">
        <v>40478</v>
      </c>
      <c r="H47" s="239" t="s">
        <v>368</v>
      </c>
      <c r="I47" s="270">
        <v>44130</v>
      </c>
      <c r="J47" s="242">
        <v>3653</v>
      </c>
      <c r="K47" s="242">
        <v>1252</v>
      </c>
      <c r="L47" s="242">
        <v>2401</v>
      </c>
      <c r="M47" s="242">
        <v>1000</v>
      </c>
      <c r="N47" s="242">
        <v>15742</v>
      </c>
      <c r="O47" s="242">
        <v>14349</v>
      </c>
      <c r="P47" s="242">
        <v>2036</v>
      </c>
      <c r="Q47" s="242">
        <v>13349</v>
      </c>
      <c r="R47" s="250">
        <v>0</v>
      </c>
      <c r="S47" s="242">
        <v>0</v>
      </c>
      <c r="T47" s="242">
        <v>14349</v>
      </c>
      <c r="U47" s="242">
        <v>0</v>
      </c>
    </row>
    <row r="48" spans="2:22" s="22" customFormat="1" ht="40.5">
      <c r="B48" s="8">
        <f t="shared" si="0"/>
        <v>10</v>
      </c>
      <c r="C48" s="249" t="s">
        <v>1003</v>
      </c>
      <c r="D48" s="234">
        <v>3</v>
      </c>
      <c r="E48" s="231">
        <f>121917/55*3</f>
        <v>6650.0181818181809</v>
      </c>
      <c r="F48" s="254" t="s">
        <v>1123</v>
      </c>
      <c r="G48" s="233">
        <v>40478</v>
      </c>
      <c r="H48" s="239" t="s">
        <v>368</v>
      </c>
      <c r="I48" s="270">
        <v>44130</v>
      </c>
      <c r="J48" s="242">
        <v>3653</v>
      </c>
      <c r="K48" s="242">
        <v>1252</v>
      </c>
      <c r="L48" s="242">
        <v>2401</v>
      </c>
      <c r="M48" s="242">
        <v>333</v>
      </c>
      <c r="N48" s="242">
        <v>5234.0181818181809</v>
      </c>
      <c r="O48" s="242">
        <v>4771.0181818181809</v>
      </c>
      <c r="P48" s="242">
        <v>2036</v>
      </c>
      <c r="Q48" s="242">
        <v>4439</v>
      </c>
      <c r="R48" s="250">
        <v>0</v>
      </c>
      <c r="S48" s="242">
        <v>0</v>
      </c>
      <c r="T48" s="242">
        <v>4771</v>
      </c>
      <c r="U48" s="242">
        <v>1.8181818180892151E-2</v>
      </c>
    </row>
    <row r="49" spans="2:21" s="22" customFormat="1" ht="54">
      <c r="B49" s="8">
        <f t="shared" si="0"/>
        <v>11</v>
      </c>
      <c r="C49" s="249" t="s">
        <v>594</v>
      </c>
      <c r="D49" s="234">
        <v>15</v>
      </c>
      <c r="E49" s="231">
        <f>366630/55*15</f>
        <v>99990</v>
      </c>
      <c r="F49" s="254" t="s">
        <v>1122</v>
      </c>
      <c r="G49" s="233">
        <v>40478</v>
      </c>
      <c r="H49" s="239" t="s">
        <v>368</v>
      </c>
      <c r="I49" s="270">
        <v>44130</v>
      </c>
      <c r="J49" s="242">
        <v>3653</v>
      </c>
      <c r="K49" s="242">
        <v>1252</v>
      </c>
      <c r="L49" s="242">
        <v>2401</v>
      </c>
      <c r="M49" s="242">
        <v>5000</v>
      </c>
      <c r="N49" s="242">
        <v>78710</v>
      </c>
      <c r="O49" s="242">
        <v>71745</v>
      </c>
      <c r="P49" s="242">
        <v>2036</v>
      </c>
      <c r="Q49" s="242">
        <v>66746</v>
      </c>
      <c r="R49" s="250">
        <v>0</v>
      </c>
      <c r="S49" s="242">
        <v>0</v>
      </c>
      <c r="T49" s="242">
        <v>71745</v>
      </c>
      <c r="U49" s="242">
        <v>0</v>
      </c>
    </row>
    <row r="50" spans="2:21" s="22" customFormat="1" ht="40.5">
      <c r="B50" s="8">
        <f t="shared" si="0"/>
        <v>12</v>
      </c>
      <c r="C50" s="249" t="s">
        <v>429</v>
      </c>
      <c r="D50" s="234">
        <v>15</v>
      </c>
      <c r="E50" s="231">
        <f>121917/55*15</f>
        <v>33250.090909090904</v>
      </c>
      <c r="F50" s="254" t="s">
        <v>1123</v>
      </c>
      <c r="G50" s="233">
        <v>40478</v>
      </c>
      <c r="H50" s="239" t="s">
        <v>368</v>
      </c>
      <c r="I50" s="270">
        <v>44130</v>
      </c>
      <c r="J50" s="242">
        <v>3653</v>
      </c>
      <c r="K50" s="242">
        <v>1252</v>
      </c>
      <c r="L50" s="242">
        <v>2401</v>
      </c>
      <c r="M50" s="242">
        <v>1663</v>
      </c>
      <c r="N50" s="242">
        <v>26174.090909090904</v>
      </c>
      <c r="O50" s="242">
        <v>23858.090909090904</v>
      </c>
      <c r="P50" s="242">
        <v>2036</v>
      </c>
      <c r="Q50" s="242">
        <v>22196</v>
      </c>
      <c r="R50" s="250">
        <v>0</v>
      </c>
      <c r="S50" s="242">
        <v>0</v>
      </c>
      <c r="T50" s="242">
        <v>23858</v>
      </c>
      <c r="U50" s="242">
        <v>9.0909090904460754E-2</v>
      </c>
    </row>
    <row r="51" spans="2:21" s="22" customFormat="1" ht="67.5">
      <c r="B51" s="8">
        <f t="shared" si="0"/>
        <v>13</v>
      </c>
      <c r="C51" s="249" t="s">
        <v>775</v>
      </c>
      <c r="D51" s="234">
        <v>15</v>
      </c>
      <c r="E51" s="231">
        <f>2598268/25*15</f>
        <v>1558960.8</v>
      </c>
      <c r="F51" s="254" t="s">
        <v>1124</v>
      </c>
      <c r="G51" s="233">
        <v>40478</v>
      </c>
      <c r="H51" s="239" t="s">
        <v>368</v>
      </c>
      <c r="I51" s="270">
        <v>44130</v>
      </c>
      <c r="J51" s="242">
        <v>3653</v>
      </c>
      <c r="K51" s="242">
        <v>1252</v>
      </c>
      <c r="L51" s="242">
        <v>2401</v>
      </c>
      <c r="M51" s="242">
        <v>77948</v>
      </c>
      <c r="N51" s="242">
        <v>1227211.8</v>
      </c>
      <c r="O51" s="242">
        <v>1118598.8</v>
      </c>
      <c r="P51" s="242">
        <v>2036</v>
      </c>
      <c r="Q51" s="242">
        <v>1040651</v>
      </c>
      <c r="R51" s="250">
        <v>0</v>
      </c>
      <c r="S51" s="242">
        <v>0</v>
      </c>
      <c r="T51" s="242">
        <v>1118599</v>
      </c>
      <c r="U51" s="242">
        <v>-0.19999999995343387</v>
      </c>
    </row>
    <row r="52" spans="2:21" s="22" customFormat="1" ht="40.5">
      <c r="B52" s="8">
        <f t="shared" si="0"/>
        <v>14</v>
      </c>
      <c r="C52" s="249" t="s">
        <v>776</v>
      </c>
      <c r="D52" s="234">
        <v>15</v>
      </c>
      <c r="E52" s="231">
        <f>351288/25*15</f>
        <v>210772.80000000002</v>
      </c>
      <c r="F52" s="275" t="s">
        <v>1125</v>
      </c>
      <c r="G52" s="233">
        <v>40478</v>
      </c>
      <c r="H52" s="239" t="s">
        <v>368</v>
      </c>
      <c r="I52" s="270">
        <v>44130</v>
      </c>
      <c r="J52" s="242">
        <v>3653</v>
      </c>
      <c r="K52" s="242">
        <v>1252</v>
      </c>
      <c r="L52" s="242">
        <v>2401</v>
      </c>
      <c r="M52" s="242">
        <v>10539</v>
      </c>
      <c r="N52" s="242">
        <v>165918.80000000002</v>
      </c>
      <c r="O52" s="242">
        <v>151234.80000000002</v>
      </c>
      <c r="P52" s="242">
        <v>2036</v>
      </c>
      <c r="Q52" s="242">
        <v>140696</v>
      </c>
      <c r="R52" s="250">
        <v>0</v>
      </c>
      <c r="S52" s="242">
        <v>0</v>
      </c>
      <c r="T52" s="242">
        <v>151235</v>
      </c>
      <c r="U52" s="242">
        <v>-0.1999999999825377</v>
      </c>
    </row>
    <row r="53" spans="2:21" s="22" customFormat="1" ht="40.5">
      <c r="B53" s="8">
        <f t="shared" si="0"/>
        <v>15</v>
      </c>
      <c r="C53" s="249" t="s">
        <v>777</v>
      </c>
      <c r="D53" s="234">
        <v>15</v>
      </c>
      <c r="E53" s="231">
        <f>1928950/25*15</f>
        <v>1157370</v>
      </c>
      <c r="F53" s="254" t="s">
        <v>1126</v>
      </c>
      <c r="G53" s="233">
        <v>40478</v>
      </c>
      <c r="H53" s="239" t="s">
        <v>368</v>
      </c>
      <c r="I53" s="270">
        <v>44130</v>
      </c>
      <c r="J53" s="242">
        <v>3653</v>
      </c>
      <c r="K53" s="242">
        <v>1252</v>
      </c>
      <c r="L53" s="242">
        <v>2401</v>
      </c>
      <c r="M53" s="242">
        <v>57869</v>
      </c>
      <c r="N53" s="242">
        <v>911079</v>
      </c>
      <c r="O53" s="242">
        <v>830446</v>
      </c>
      <c r="P53" s="242">
        <v>2036</v>
      </c>
      <c r="Q53" s="242">
        <v>772578</v>
      </c>
      <c r="R53" s="250">
        <v>0</v>
      </c>
      <c r="S53" s="242">
        <v>0</v>
      </c>
      <c r="T53" s="242">
        <v>830446</v>
      </c>
      <c r="U53" s="242">
        <v>0</v>
      </c>
    </row>
    <row r="54" spans="2:21" s="22" customFormat="1" ht="40.5">
      <c r="B54" s="8">
        <f t="shared" si="0"/>
        <v>16</v>
      </c>
      <c r="C54" s="249" t="s">
        <v>778</v>
      </c>
      <c r="D54" s="234">
        <v>15</v>
      </c>
      <c r="E54" s="231">
        <f>2009907/25*15</f>
        <v>1205944.2</v>
      </c>
      <c r="F54" s="254" t="s">
        <v>1127</v>
      </c>
      <c r="G54" s="233">
        <v>40478</v>
      </c>
      <c r="H54" s="239" t="s">
        <v>368</v>
      </c>
      <c r="I54" s="270">
        <v>44130</v>
      </c>
      <c r="J54" s="242">
        <v>3653</v>
      </c>
      <c r="K54" s="242">
        <v>1252</v>
      </c>
      <c r="L54" s="242">
        <v>2401</v>
      </c>
      <c r="M54" s="242">
        <v>60297</v>
      </c>
      <c r="N54" s="242">
        <v>949319.2</v>
      </c>
      <c r="O54" s="242">
        <v>865301.2</v>
      </c>
      <c r="P54" s="242">
        <v>2036</v>
      </c>
      <c r="Q54" s="242">
        <v>805004</v>
      </c>
      <c r="R54" s="250">
        <v>0</v>
      </c>
      <c r="S54" s="242">
        <v>0</v>
      </c>
      <c r="T54" s="242">
        <v>865301</v>
      </c>
      <c r="U54" s="242">
        <v>0.19999999995343387</v>
      </c>
    </row>
    <row r="55" spans="2:21" s="22" customFormat="1" ht="27">
      <c r="B55" s="8">
        <f t="shared" si="0"/>
        <v>17</v>
      </c>
      <c r="C55" s="249" t="s">
        <v>430</v>
      </c>
      <c r="D55" s="234">
        <v>15</v>
      </c>
      <c r="E55" s="231">
        <f>256620/55*15</f>
        <v>69987.272727272735</v>
      </c>
      <c r="F55" s="254">
        <v>14</v>
      </c>
      <c r="G55" s="233">
        <v>40478</v>
      </c>
      <c r="H55" s="239" t="s">
        <v>368</v>
      </c>
      <c r="I55" s="270">
        <v>44130</v>
      </c>
      <c r="J55" s="242">
        <v>3653</v>
      </c>
      <c r="K55" s="242">
        <v>1252</v>
      </c>
      <c r="L55" s="242">
        <v>2401</v>
      </c>
      <c r="M55" s="242">
        <v>3499</v>
      </c>
      <c r="N55" s="242">
        <v>55093.272727272735</v>
      </c>
      <c r="O55" s="242">
        <v>50217.272727272735</v>
      </c>
      <c r="P55" s="242">
        <v>2036</v>
      </c>
      <c r="Q55" s="242">
        <v>46718</v>
      </c>
      <c r="R55" s="250">
        <v>0</v>
      </c>
      <c r="S55" s="242">
        <v>0</v>
      </c>
      <c r="T55" s="242">
        <v>50217</v>
      </c>
      <c r="U55" s="242">
        <v>0.27272727273521014</v>
      </c>
    </row>
    <row r="56" spans="2:21" s="22" customFormat="1" ht="40.5">
      <c r="B56" s="8">
        <f t="shared" si="0"/>
        <v>18</v>
      </c>
      <c r="C56" s="249" t="s">
        <v>424</v>
      </c>
      <c r="D56" s="234">
        <v>15</v>
      </c>
      <c r="E56" s="227">
        <f>783110/55*15</f>
        <v>213575.45454545453</v>
      </c>
      <c r="F56" s="254" t="s">
        <v>499</v>
      </c>
      <c r="G56" s="233">
        <v>40478</v>
      </c>
      <c r="H56" s="239" t="s">
        <v>368</v>
      </c>
      <c r="I56" s="270">
        <v>44130</v>
      </c>
      <c r="J56" s="242">
        <v>3653</v>
      </c>
      <c r="K56" s="242">
        <v>1252</v>
      </c>
      <c r="L56" s="242">
        <v>2401</v>
      </c>
      <c r="M56" s="242">
        <v>10679</v>
      </c>
      <c r="N56" s="242">
        <v>168127.45454545453</v>
      </c>
      <c r="O56" s="242">
        <v>153247.45454545453</v>
      </c>
      <c r="P56" s="242">
        <v>2036</v>
      </c>
      <c r="Q56" s="242">
        <v>142569</v>
      </c>
      <c r="R56" s="250">
        <v>0</v>
      </c>
      <c r="S56" s="242">
        <v>0</v>
      </c>
      <c r="T56" s="242">
        <v>153247</v>
      </c>
      <c r="U56" s="242">
        <v>0.45454545452957973</v>
      </c>
    </row>
    <row r="57" spans="2:21" s="22" customFormat="1" ht="27">
      <c r="B57" s="8">
        <f t="shared" si="0"/>
        <v>19</v>
      </c>
      <c r="C57" s="249" t="s">
        <v>425</v>
      </c>
      <c r="D57" s="234">
        <v>15</v>
      </c>
      <c r="E57" s="231">
        <f>762998/55*15</f>
        <v>208090.36363636362</v>
      </c>
      <c r="F57" s="254" t="s">
        <v>254</v>
      </c>
      <c r="G57" s="233">
        <v>40478</v>
      </c>
      <c r="H57" s="239" t="s">
        <v>368</v>
      </c>
      <c r="I57" s="270">
        <v>44130</v>
      </c>
      <c r="J57" s="242">
        <v>3653</v>
      </c>
      <c r="K57" s="242">
        <v>1252</v>
      </c>
      <c r="L57" s="242">
        <v>2401</v>
      </c>
      <c r="M57" s="242">
        <v>10405</v>
      </c>
      <c r="N57" s="242">
        <v>163807.36363636362</v>
      </c>
      <c r="O57" s="242">
        <v>149310.36363636362</v>
      </c>
      <c r="P57" s="242">
        <v>2036</v>
      </c>
      <c r="Q57" s="242">
        <v>138906</v>
      </c>
      <c r="R57" s="250">
        <v>0</v>
      </c>
      <c r="S57" s="242">
        <v>0</v>
      </c>
      <c r="T57" s="242">
        <v>149310</v>
      </c>
      <c r="U57" s="242">
        <v>0.36363636361784302</v>
      </c>
    </row>
    <row r="58" spans="2:21" s="22" customFormat="1" ht="27">
      <c r="B58" s="8">
        <f t="shared" si="0"/>
        <v>20</v>
      </c>
      <c r="C58" s="249" t="s">
        <v>425</v>
      </c>
      <c r="D58" s="234">
        <v>15</v>
      </c>
      <c r="E58" s="231">
        <f>1215797/55*15</f>
        <v>331581</v>
      </c>
      <c r="F58" s="254" t="s">
        <v>255</v>
      </c>
      <c r="G58" s="233">
        <v>40478</v>
      </c>
      <c r="H58" s="239" t="s">
        <v>368</v>
      </c>
      <c r="I58" s="270">
        <v>44130</v>
      </c>
      <c r="J58" s="242">
        <v>3653</v>
      </c>
      <c r="K58" s="242">
        <v>1252</v>
      </c>
      <c r="L58" s="242">
        <v>2401</v>
      </c>
      <c r="M58" s="242">
        <v>16579</v>
      </c>
      <c r="N58" s="242">
        <v>261020</v>
      </c>
      <c r="O58" s="242">
        <v>237919</v>
      </c>
      <c r="P58" s="242">
        <v>2036</v>
      </c>
      <c r="Q58" s="242">
        <v>221340</v>
      </c>
      <c r="R58" s="250">
        <v>0</v>
      </c>
      <c r="S58" s="242">
        <v>0</v>
      </c>
      <c r="T58" s="242">
        <v>237919</v>
      </c>
      <c r="U58" s="242">
        <v>0</v>
      </c>
    </row>
    <row r="59" spans="2:21" s="22" customFormat="1" ht="27">
      <c r="B59" s="8">
        <f t="shared" si="0"/>
        <v>21</v>
      </c>
      <c r="C59" s="249" t="s">
        <v>671</v>
      </c>
      <c r="D59" s="234">
        <v>15</v>
      </c>
      <c r="E59" s="231">
        <f>13860/55*15</f>
        <v>3780</v>
      </c>
      <c r="F59" s="254" t="s">
        <v>563</v>
      </c>
      <c r="G59" s="233">
        <v>40478</v>
      </c>
      <c r="H59" s="239" t="s">
        <v>368</v>
      </c>
      <c r="I59" s="270">
        <v>44130</v>
      </c>
      <c r="J59" s="242">
        <v>3653</v>
      </c>
      <c r="K59" s="242">
        <v>1252</v>
      </c>
      <c r="L59" s="242">
        <v>2401</v>
      </c>
      <c r="M59" s="242">
        <v>189</v>
      </c>
      <c r="N59" s="242">
        <v>2975</v>
      </c>
      <c r="O59" s="242">
        <v>2712</v>
      </c>
      <c r="P59" s="242">
        <v>2036</v>
      </c>
      <c r="Q59" s="242">
        <v>2523</v>
      </c>
      <c r="R59" s="250">
        <v>0</v>
      </c>
      <c r="S59" s="242">
        <v>0</v>
      </c>
      <c r="T59" s="242">
        <v>2712</v>
      </c>
      <c r="U59" s="242">
        <v>0</v>
      </c>
    </row>
    <row r="60" spans="2:21" s="22" customFormat="1" ht="67.5">
      <c r="B60" s="8">
        <f t="shared" si="0"/>
        <v>22</v>
      </c>
      <c r="C60" s="249" t="s">
        <v>19</v>
      </c>
      <c r="D60" s="234">
        <v>11</v>
      </c>
      <c r="E60" s="231">
        <f>366630/55*11</f>
        <v>73326</v>
      </c>
      <c r="F60" s="254" t="s">
        <v>1122</v>
      </c>
      <c r="G60" s="238">
        <v>40630</v>
      </c>
      <c r="H60" s="239" t="s">
        <v>368</v>
      </c>
      <c r="I60" s="270">
        <v>44282</v>
      </c>
      <c r="J60" s="242">
        <v>3653</v>
      </c>
      <c r="K60" s="242">
        <v>1100</v>
      </c>
      <c r="L60" s="242">
        <v>2553</v>
      </c>
      <c r="M60" s="242">
        <v>3666</v>
      </c>
      <c r="N60" s="242">
        <v>59172</v>
      </c>
      <c r="O60" s="242">
        <v>54378</v>
      </c>
      <c r="P60" s="242">
        <v>2188</v>
      </c>
      <c r="Q60" s="242">
        <v>50712</v>
      </c>
      <c r="R60" s="250">
        <v>0</v>
      </c>
      <c r="S60" s="242">
        <v>0</v>
      </c>
      <c r="T60" s="242">
        <v>54378</v>
      </c>
      <c r="U60" s="242">
        <v>0</v>
      </c>
    </row>
    <row r="61" spans="2:21" s="22" customFormat="1" ht="40.5">
      <c r="B61" s="8">
        <f t="shared" si="0"/>
        <v>23</v>
      </c>
      <c r="C61" s="249" t="s">
        <v>20</v>
      </c>
      <c r="D61" s="234">
        <v>15</v>
      </c>
      <c r="E61" s="231">
        <f>121917/55*11</f>
        <v>24383.399999999998</v>
      </c>
      <c r="F61" s="254" t="s">
        <v>21</v>
      </c>
      <c r="G61" s="238">
        <v>40630</v>
      </c>
      <c r="H61" s="239" t="s">
        <v>368</v>
      </c>
      <c r="I61" s="270">
        <v>44282</v>
      </c>
      <c r="J61" s="242">
        <v>3653</v>
      </c>
      <c r="K61" s="242">
        <v>1100</v>
      </c>
      <c r="L61" s="242">
        <v>2553</v>
      </c>
      <c r="M61" s="242">
        <v>1219</v>
      </c>
      <c r="N61" s="242">
        <v>19677.399999999998</v>
      </c>
      <c r="O61" s="242">
        <v>18083.399999999998</v>
      </c>
      <c r="P61" s="242">
        <v>2188</v>
      </c>
      <c r="Q61" s="242">
        <v>16864</v>
      </c>
      <c r="R61" s="250">
        <v>0</v>
      </c>
      <c r="S61" s="242">
        <v>0</v>
      </c>
      <c r="T61" s="242">
        <v>18083</v>
      </c>
      <c r="U61" s="242">
        <v>0.39999999999781721</v>
      </c>
    </row>
    <row r="62" spans="2:21" s="22" customFormat="1" ht="54">
      <c r="B62" s="8">
        <f t="shared" si="0"/>
        <v>24</v>
      </c>
      <c r="C62" s="249" t="s">
        <v>22</v>
      </c>
      <c r="D62" s="234">
        <v>10</v>
      </c>
      <c r="E62" s="231">
        <f>(2598268+351288+1928950+2009907)-(4133048)+(1653720+413430)</f>
        <v>4822515</v>
      </c>
      <c r="F62" s="254" t="s">
        <v>23</v>
      </c>
      <c r="G62" s="238">
        <v>40630</v>
      </c>
      <c r="H62" s="239" t="s">
        <v>368</v>
      </c>
      <c r="I62" s="270">
        <v>44282</v>
      </c>
      <c r="J62" s="242">
        <v>3653</v>
      </c>
      <c r="K62" s="242">
        <v>1100</v>
      </c>
      <c r="L62" s="242">
        <v>2553</v>
      </c>
      <c r="M62" s="242">
        <v>241126</v>
      </c>
      <c r="N62" s="242">
        <v>3891673</v>
      </c>
      <c r="O62" s="242">
        <v>3576410</v>
      </c>
      <c r="P62" s="242">
        <v>2188</v>
      </c>
      <c r="Q62" s="242">
        <v>3335284</v>
      </c>
      <c r="R62" s="250">
        <v>0</v>
      </c>
      <c r="S62" s="242">
        <v>0</v>
      </c>
      <c r="T62" s="242">
        <v>3576410</v>
      </c>
      <c r="U62" s="242">
        <v>0</v>
      </c>
    </row>
    <row r="63" spans="2:21" s="22" customFormat="1" ht="67.5">
      <c r="B63" s="8">
        <f t="shared" si="0"/>
        <v>25</v>
      </c>
      <c r="C63" s="249" t="s">
        <v>25</v>
      </c>
      <c r="D63" s="234">
        <v>1</v>
      </c>
      <c r="E63" s="231">
        <f>6932825/25*1</f>
        <v>277313</v>
      </c>
      <c r="F63" s="254" t="s">
        <v>24</v>
      </c>
      <c r="G63" s="238">
        <v>40630</v>
      </c>
      <c r="H63" s="239" t="s">
        <v>368</v>
      </c>
      <c r="I63" s="270">
        <v>44282</v>
      </c>
      <c r="J63" s="242">
        <v>3653</v>
      </c>
      <c r="K63" s="242">
        <v>1100</v>
      </c>
      <c r="L63" s="242">
        <v>2553</v>
      </c>
      <c r="M63" s="242">
        <v>13866</v>
      </c>
      <c r="N63" s="242">
        <v>223787</v>
      </c>
      <c r="O63" s="242">
        <v>205658</v>
      </c>
      <c r="P63" s="242">
        <v>2188</v>
      </c>
      <c r="Q63" s="242">
        <v>191792</v>
      </c>
      <c r="R63" s="250">
        <v>0</v>
      </c>
      <c r="S63" s="242">
        <v>0</v>
      </c>
      <c r="T63" s="242">
        <v>205658</v>
      </c>
      <c r="U63" s="242">
        <v>0</v>
      </c>
    </row>
    <row r="64" spans="2:21" s="22" customFormat="1" ht="40.5">
      <c r="B64" s="8">
        <f t="shared" si="0"/>
        <v>26</v>
      </c>
      <c r="C64" s="249" t="s">
        <v>26</v>
      </c>
      <c r="D64" s="234">
        <v>11</v>
      </c>
      <c r="E64" s="231">
        <f>256620/55*11</f>
        <v>51324</v>
      </c>
      <c r="F64" s="234" t="s">
        <v>27</v>
      </c>
      <c r="G64" s="238">
        <v>40630</v>
      </c>
      <c r="H64" s="239" t="s">
        <v>368</v>
      </c>
      <c r="I64" s="270">
        <v>44282</v>
      </c>
      <c r="J64" s="242">
        <v>3653</v>
      </c>
      <c r="K64" s="242">
        <v>1100</v>
      </c>
      <c r="L64" s="242">
        <v>2553</v>
      </c>
      <c r="M64" s="242">
        <v>2566</v>
      </c>
      <c r="N64" s="242">
        <v>41417</v>
      </c>
      <c r="O64" s="242">
        <v>38062</v>
      </c>
      <c r="P64" s="242">
        <v>2188</v>
      </c>
      <c r="Q64" s="242">
        <v>35496</v>
      </c>
      <c r="R64" s="250">
        <v>0</v>
      </c>
      <c r="S64" s="242">
        <v>0</v>
      </c>
      <c r="T64" s="242">
        <v>38062</v>
      </c>
      <c r="U64" s="242">
        <v>0</v>
      </c>
    </row>
    <row r="65" spans="2:22" s="22" customFormat="1" ht="40.5">
      <c r="B65" s="8">
        <f t="shared" si="0"/>
        <v>27</v>
      </c>
      <c r="C65" s="249" t="s">
        <v>28</v>
      </c>
      <c r="D65" s="234">
        <v>11</v>
      </c>
      <c r="E65" s="227">
        <f>783110/55*11</f>
        <v>156622</v>
      </c>
      <c r="F65" s="254" t="s">
        <v>499</v>
      </c>
      <c r="G65" s="238">
        <v>40630</v>
      </c>
      <c r="H65" s="239" t="s">
        <v>368</v>
      </c>
      <c r="I65" s="270">
        <v>44282</v>
      </c>
      <c r="J65" s="242">
        <v>3653</v>
      </c>
      <c r="K65" s="242">
        <v>1100</v>
      </c>
      <c r="L65" s="242">
        <v>2553</v>
      </c>
      <c r="M65" s="242">
        <v>7831</v>
      </c>
      <c r="N65" s="242">
        <v>126389</v>
      </c>
      <c r="O65" s="242">
        <v>116150</v>
      </c>
      <c r="P65" s="242">
        <v>2188</v>
      </c>
      <c r="Q65" s="242">
        <v>108319</v>
      </c>
      <c r="R65" s="250">
        <v>0</v>
      </c>
      <c r="S65" s="242">
        <v>0</v>
      </c>
      <c r="T65" s="242">
        <v>116150</v>
      </c>
      <c r="U65" s="242">
        <v>0</v>
      </c>
    </row>
    <row r="66" spans="2:22" s="22" customFormat="1" ht="27">
      <c r="B66" s="8">
        <f t="shared" si="0"/>
        <v>28</v>
      </c>
      <c r="C66" s="249" t="s">
        <v>376</v>
      </c>
      <c r="D66" s="234">
        <v>11</v>
      </c>
      <c r="E66" s="231">
        <f>762998/55*11</f>
        <v>152599.6</v>
      </c>
      <c r="F66" s="254" t="s">
        <v>254</v>
      </c>
      <c r="G66" s="238">
        <v>40630</v>
      </c>
      <c r="H66" s="239" t="s">
        <v>368</v>
      </c>
      <c r="I66" s="270">
        <v>44282</v>
      </c>
      <c r="J66" s="242">
        <v>3653</v>
      </c>
      <c r="K66" s="242">
        <v>1100</v>
      </c>
      <c r="L66" s="242">
        <v>2553</v>
      </c>
      <c r="M66" s="242">
        <v>7630</v>
      </c>
      <c r="N66" s="242">
        <v>123146.6</v>
      </c>
      <c r="O66" s="242">
        <v>113170.6</v>
      </c>
      <c r="P66" s="242">
        <v>2188</v>
      </c>
      <c r="Q66" s="242">
        <v>105541</v>
      </c>
      <c r="R66" s="250">
        <v>0</v>
      </c>
      <c r="S66" s="242">
        <v>0</v>
      </c>
      <c r="T66" s="242">
        <v>113171</v>
      </c>
      <c r="U66" s="242">
        <v>-0.39999999999417923</v>
      </c>
    </row>
    <row r="67" spans="2:22" s="22" customFormat="1" ht="27">
      <c r="B67" s="8">
        <f t="shared" si="0"/>
        <v>29</v>
      </c>
      <c r="C67" s="249" t="s">
        <v>377</v>
      </c>
      <c r="D67" s="234">
        <v>11</v>
      </c>
      <c r="E67" s="231">
        <f>1215797/55*11</f>
        <v>243159.40000000002</v>
      </c>
      <c r="F67" s="254" t="s">
        <v>255</v>
      </c>
      <c r="G67" s="238">
        <v>40630</v>
      </c>
      <c r="H67" s="239" t="s">
        <v>368</v>
      </c>
      <c r="I67" s="270">
        <v>44282</v>
      </c>
      <c r="J67" s="242">
        <v>3653</v>
      </c>
      <c r="K67" s="242">
        <v>1100</v>
      </c>
      <c r="L67" s="242">
        <v>2553</v>
      </c>
      <c r="M67" s="242">
        <v>12158</v>
      </c>
      <c r="N67" s="242">
        <v>196224.40000000002</v>
      </c>
      <c r="O67" s="242">
        <v>180328.40000000002</v>
      </c>
      <c r="P67" s="242">
        <v>2188</v>
      </c>
      <c r="Q67" s="242">
        <v>168170</v>
      </c>
      <c r="R67" s="250">
        <v>0</v>
      </c>
      <c r="S67" s="242">
        <v>0</v>
      </c>
      <c r="T67" s="242">
        <v>180328</v>
      </c>
      <c r="U67" s="242">
        <v>0.40000000002328306</v>
      </c>
    </row>
    <row r="68" spans="2:22" s="22" customFormat="1" ht="27">
      <c r="B68" s="8">
        <f t="shared" si="0"/>
        <v>30</v>
      </c>
      <c r="C68" s="249" t="s">
        <v>378</v>
      </c>
      <c r="D68" s="234">
        <v>11</v>
      </c>
      <c r="E68" s="231">
        <f>13860/55*11</f>
        <v>2772</v>
      </c>
      <c r="F68" s="254" t="s">
        <v>563</v>
      </c>
      <c r="G68" s="238">
        <v>40630</v>
      </c>
      <c r="H68" s="239" t="s">
        <v>368</v>
      </c>
      <c r="I68" s="270">
        <v>44282</v>
      </c>
      <c r="J68" s="242">
        <v>3653</v>
      </c>
      <c r="K68" s="242">
        <v>1100</v>
      </c>
      <c r="L68" s="242">
        <v>2553</v>
      </c>
      <c r="M68" s="242">
        <v>139</v>
      </c>
      <c r="N68" s="242">
        <v>2236</v>
      </c>
      <c r="O68" s="242">
        <v>2055</v>
      </c>
      <c r="P68" s="242">
        <v>2188</v>
      </c>
      <c r="Q68" s="242">
        <v>1916</v>
      </c>
      <c r="R68" s="250">
        <v>0</v>
      </c>
      <c r="S68" s="242">
        <v>0</v>
      </c>
      <c r="T68" s="242">
        <v>2055</v>
      </c>
      <c r="U68" s="242">
        <v>0</v>
      </c>
    </row>
    <row r="69" spans="2:22" s="22" customFormat="1">
      <c r="B69" s="8">
        <f t="shared" si="0"/>
        <v>31</v>
      </c>
      <c r="C69" s="239" t="s">
        <v>2</v>
      </c>
      <c r="D69" s="234" t="s">
        <v>314</v>
      </c>
      <c r="E69" s="231">
        <v>475626</v>
      </c>
      <c r="F69" s="254" t="s">
        <v>1</v>
      </c>
      <c r="G69" s="238">
        <v>40630</v>
      </c>
      <c r="H69" s="239" t="s">
        <v>368</v>
      </c>
      <c r="I69" s="270">
        <v>44282</v>
      </c>
      <c r="J69" s="242">
        <v>3653</v>
      </c>
      <c r="K69" s="242">
        <v>1100</v>
      </c>
      <c r="L69" s="242">
        <v>2553</v>
      </c>
      <c r="M69" s="242">
        <v>23781</v>
      </c>
      <c r="N69" s="242">
        <v>383821</v>
      </c>
      <c r="O69" s="242">
        <v>352727</v>
      </c>
      <c r="P69" s="242">
        <v>2188</v>
      </c>
      <c r="Q69" s="242">
        <v>328946</v>
      </c>
      <c r="R69" s="250">
        <v>0</v>
      </c>
      <c r="S69" s="242">
        <v>0</v>
      </c>
      <c r="T69" s="242">
        <v>352727</v>
      </c>
      <c r="U69" s="242">
        <v>0</v>
      </c>
    </row>
    <row r="70" spans="2:22" s="22" customFormat="1" ht="27">
      <c r="B70" s="8">
        <f t="shared" si="0"/>
        <v>32</v>
      </c>
      <c r="C70" s="245" t="s">
        <v>1227</v>
      </c>
      <c r="D70" s="234">
        <v>37</v>
      </c>
      <c r="E70" s="231">
        <v>1305628</v>
      </c>
      <c r="F70" s="254" t="s">
        <v>1228</v>
      </c>
      <c r="G70" s="238">
        <v>40709</v>
      </c>
      <c r="H70" s="239" t="s">
        <v>368</v>
      </c>
      <c r="I70" s="270">
        <v>44361</v>
      </c>
      <c r="J70" s="242">
        <v>3653</v>
      </c>
      <c r="K70" s="242">
        <v>1021</v>
      </c>
      <c r="L70" s="242">
        <v>2632</v>
      </c>
      <c r="M70" s="242">
        <v>65281</v>
      </c>
      <c r="N70" s="242">
        <v>1067004</v>
      </c>
      <c r="O70" s="242">
        <v>984315</v>
      </c>
      <c r="P70" s="242">
        <v>2267</v>
      </c>
      <c r="Q70" s="242">
        <v>919034</v>
      </c>
      <c r="R70" s="250">
        <v>75</v>
      </c>
      <c r="S70" s="242">
        <v>95685</v>
      </c>
      <c r="T70" s="242">
        <v>984315</v>
      </c>
      <c r="U70" s="242">
        <v>0</v>
      </c>
    </row>
    <row r="71" spans="2:22" s="22" customFormat="1" ht="40.5">
      <c r="B71" s="8">
        <f t="shared" si="0"/>
        <v>33</v>
      </c>
      <c r="C71" s="245" t="s">
        <v>1231</v>
      </c>
      <c r="D71" s="234" t="s">
        <v>314</v>
      </c>
      <c r="E71" s="231">
        <v>193279</v>
      </c>
      <c r="F71" s="254" t="s">
        <v>1232</v>
      </c>
      <c r="G71" s="238">
        <v>40634</v>
      </c>
      <c r="H71" s="239" t="s">
        <v>368</v>
      </c>
      <c r="I71" s="270">
        <v>44286</v>
      </c>
      <c r="J71" s="242">
        <v>3653</v>
      </c>
      <c r="K71" s="242">
        <v>1096</v>
      </c>
      <c r="L71" s="242">
        <v>2557</v>
      </c>
      <c r="M71" s="242">
        <v>9664</v>
      </c>
      <c r="N71" s="242">
        <v>156072</v>
      </c>
      <c r="O71" s="242">
        <v>143457</v>
      </c>
      <c r="P71" s="242">
        <v>2192</v>
      </c>
      <c r="Q71" s="242">
        <v>133793</v>
      </c>
      <c r="R71" s="250">
        <v>0</v>
      </c>
      <c r="S71" s="242">
        <v>9665</v>
      </c>
      <c r="T71" s="242">
        <v>143457</v>
      </c>
      <c r="U71" s="242">
        <v>0</v>
      </c>
    </row>
    <row r="72" spans="2:22" s="22" customFormat="1" ht="81">
      <c r="B72" s="8">
        <f t="shared" si="0"/>
        <v>34</v>
      </c>
      <c r="C72" s="245" t="s">
        <v>1233</v>
      </c>
      <c r="D72" s="234">
        <v>5</v>
      </c>
      <c r="E72" s="231">
        <v>1386565</v>
      </c>
      <c r="F72" s="254" t="s">
        <v>24</v>
      </c>
      <c r="G72" s="238">
        <v>40724</v>
      </c>
      <c r="H72" s="239" t="s">
        <v>368</v>
      </c>
      <c r="I72" s="270">
        <v>44376</v>
      </c>
      <c r="J72" s="242">
        <v>3653</v>
      </c>
      <c r="K72" s="242">
        <v>1006</v>
      </c>
      <c r="L72" s="242">
        <v>2647</v>
      </c>
      <c r="M72" s="242">
        <v>69328</v>
      </c>
      <c r="N72" s="242">
        <v>1135848</v>
      </c>
      <c r="O72" s="242">
        <v>1048552</v>
      </c>
      <c r="P72" s="242">
        <v>2282</v>
      </c>
      <c r="Q72" s="242">
        <v>979224</v>
      </c>
      <c r="R72" s="250">
        <v>90</v>
      </c>
      <c r="S72" s="242">
        <v>107950</v>
      </c>
      <c r="T72" s="242">
        <v>1048552</v>
      </c>
      <c r="U72" s="242">
        <v>0</v>
      </c>
    </row>
    <row r="73" spans="2:22" s="22" customFormat="1" ht="27">
      <c r="B73" s="8">
        <f t="shared" si="0"/>
        <v>35</v>
      </c>
      <c r="C73" s="245" t="s">
        <v>1234</v>
      </c>
      <c r="D73" s="234">
        <v>3</v>
      </c>
      <c r="E73" s="231">
        <v>87000</v>
      </c>
      <c r="F73" s="254" t="s">
        <v>1235</v>
      </c>
      <c r="G73" s="238">
        <v>40724</v>
      </c>
      <c r="H73" s="239" t="s">
        <v>368</v>
      </c>
      <c r="I73" s="270">
        <v>44376</v>
      </c>
      <c r="J73" s="242">
        <v>3653</v>
      </c>
      <c r="K73" s="242">
        <v>1006</v>
      </c>
      <c r="L73" s="242">
        <v>2647</v>
      </c>
      <c r="M73" s="242">
        <v>4350</v>
      </c>
      <c r="N73" s="242">
        <v>71268</v>
      </c>
      <c r="O73" s="242">
        <v>65791</v>
      </c>
      <c r="P73" s="242">
        <v>2282</v>
      </c>
      <c r="Q73" s="242">
        <v>61441</v>
      </c>
      <c r="R73" s="250">
        <v>90</v>
      </c>
      <c r="S73" s="242">
        <v>6775</v>
      </c>
      <c r="T73" s="242">
        <v>65791</v>
      </c>
      <c r="U73" s="242">
        <v>0</v>
      </c>
    </row>
    <row r="74" spans="2:22" s="22" customFormat="1" ht="40.5">
      <c r="B74" s="8">
        <f t="shared" si="0"/>
        <v>36</v>
      </c>
      <c r="C74" s="245" t="s">
        <v>1236</v>
      </c>
      <c r="D74" s="234">
        <v>2</v>
      </c>
      <c r="E74" s="231">
        <f>198540</f>
        <v>198540</v>
      </c>
      <c r="F74" s="254" t="s">
        <v>1121</v>
      </c>
      <c r="G74" s="238">
        <v>40634</v>
      </c>
      <c r="H74" s="239" t="s">
        <v>368</v>
      </c>
      <c r="I74" s="270">
        <v>44286</v>
      </c>
      <c r="J74" s="242">
        <v>3653</v>
      </c>
      <c r="K74" s="242">
        <v>1096</v>
      </c>
      <c r="L74" s="242">
        <v>2557</v>
      </c>
      <c r="M74" s="242">
        <v>9927</v>
      </c>
      <c r="N74" s="242">
        <v>160320</v>
      </c>
      <c r="O74" s="242">
        <v>147362</v>
      </c>
      <c r="P74" s="242">
        <v>2192</v>
      </c>
      <c r="Q74" s="242">
        <v>137435</v>
      </c>
      <c r="R74" s="250">
        <v>0</v>
      </c>
      <c r="S74" s="242">
        <v>9926</v>
      </c>
      <c r="T74" s="242">
        <v>147362</v>
      </c>
      <c r="U74" s="242">
        <v>0</v>
      </c>
    </row>
    <row r="75" spans="2:22" s="22" customFormat="1" ht="67.5">
      <c r="B75" s="8">
        <f t="shared" si="0"/>
        <v>37</v>
      </c>
      <c r="C75" s="245" t="s">
        <v>1237</v>
      </c>
      <c r="D75" s="234">
        <v>26</v>
      </c>
      <c r="E75" s="231">
        <f>366630/55*26</f>
        <v>173316</v>
      </c>
      <c r="F75" s="254" t="s">
        <v>1122</v>
      </c>
      <c r="G75" s="238">
        <v>40634</v>
      </c>
      <c r="H75" s="239" t="s">
        <v>368</v>
      </c>
      <c r="I75" s="270">
        <v>44286</v>
      </c>
      <c r="J75" s="242">
        <v>3653</v>
      </c>
      <c r="K75" s="242">
        <v>1096</v>
      </c>
      <c r="L75" s="242">
        <v>2557</v>
      </c>
      <c r="M75" s="242">
        <v>8666</v>
      </c>
      <c r="N75" s="242">
        <v>139952</v>
      </c>
      <c r="O75" s="242">
        <v>128640</v>
      </c>
      <c r="P75" s="242">
        <v>2192</v>
      </c>
      <c r="Q75" s="242">
        <v>119974</v>
      </c>
      <c r="R75" s="250">
        <v>0</v>
      </c>
      <c r="S75" s="242">
        <v>8668</v>
      </c>
      <c r="T75" s="242">
        <v>128640</v>
      </c>
      <c r="U75" s="242">
        <v>0</v>
      </c>
    </row>
    <row r="76" spans="2:22" s="22" customFormat="1" ht="40.5">
      <c r="B76" s="8">
        <f t="shared" si="0"/>
        <v>38</v>
      </c>
      <c r="C76" s="245" t="s">
        <v>1238</v>
      </c>
      <c r="D76" s="234">
        <v>26</v>
      </c>
      <c r="E76" s="231">
        <f>256620/55*26</f>
        <v>121311.27272727274</v>
      </c>
      <c r="F76" s="254">
        <v>14</v>
      </c>
      <c r="G76" s="238">
        <v>40724</v>
      </c>
      <c r="H76" s="239" t="s">
        <v>368</v>
      </c>
      <c r="I76" s="270">
        <v>44376</v>
      </c>
      <c r="J76" s="242">
        <v>3653</v>
      </c>
      <c r="K76" s="242">
        <v>1006</v>
      </c>
      <c r="L76" s="242">
        <v>2647</v>
      </c>
      <c r="M76" s="242">
        <v>6066</v>
      </c>
      <c r="N76" s="242">
        <v>99376.272727272735</v>
      </c>
      <c r="O76" s="242">
        <v>91739.272727272735</v>
      </c>
      <c r="P76" s="242">
        <v>2282</v>
      </c>
      <c r="Q76" s="242">
        <v>85674</v>
      </c>
      <c r="R76" s="250">
        <v>90</v>
      </c>
      <c r="S76" s="242">
        <v>9445</v>
      </c>
      <c r="T76" s="242">
        <v>91739</v>
      </c>
      <c r="U76" s="242">
        <v>0.27272727273521014</v>
      </c>
    </row>
    <row r="77" spans="2:22" s="22" customFormat="1">
      <c r="B77" s="8">
        <f t="shared" si="0"/>
        <v>39</v>
      </c>
      <c r="C77" s="245" t="s">
        <v>1239</v>
      </c>
      <c r="D77" s="234" t="s">
        <v>314</v>
      </c>
      <c r="E77" s="231">
        <v>130707</v>
      </c>
      <c r="F77" s="254" t="s">
        <v>1240</v>
      </c>
      <c r="G77" s="238">
        <v>40663</v>
      </c>
      <c r="H77" s="239" t="s">
        <v>368</v>
      </c>
      <c r="I77" s="270">
        <v>44315</v>
      </c>
      <c r="J77" s="242">
        <v>3653</v>
      </c>
      <c r="K77" s="242">
        <v>1067</v>
      </c>
      <c r="L77" s="242">
        <v>2586</v>
      </c>
      <c r="M77" s="242">
        <v>6535</v>
      </c>
      <c r="N77" s="242">
        <v>106036</v>
      </c>
      <c r="O77" s="242">
        <v>97605</v>
      </c>
      <c r="P77" s="242">
        <v>2221</v>
      </c>
      <c r="Q77" s="242">
        <v>91070</v>
      </c>
      <c r="R77" s="250">
        <v>29</v>
      </c>
      <c r="S77" s="242">
        <v>7727</v>
      </c>
      <c r="T77" s="242">
        <v>97605</v>
      </c>
      <c r="U77" s="242">
        <v>0</v>
      </c>
    </row>
    <row r="78" spans="2:22" s="22" customFormat="1" ht="27">
      <c r="B78" s="8">
        <f t="shared" si="0"/>
        <v>40</v>
      </c>
      <c r="C78" s="245" t="s">
        <v>1241</v>
      </c>
      <c r="D78" s="234">
        <v>10</v>
      </c>
      <c r="E78" s="231">
        <v>94356</v>
      </c>
      <c r="F78" s="254" t="s">
        <v>1242</v>
      </c>
      <c r="G78" s="238">
        <v>40663</v>
      </c>
      <c r="H78" s="239" t="s">
        <v>368</v>
      </c>
      <c r="I78" s="270">
        <v>44315</v>
      </c>
      <c r="J78" s="242">
        <v>3653</v>
      </c>
      <c r="K78" s="242">
        <v>1067</v>
      </c>
      <c r="L78" s="242">
        <v>2586</v>
      </c>
      <c r="M78" s="242">
        <v>4718</v>
      </c>
      <c r="N78" s="242">
        <v>76547</v>
      </c>
      <c r="O78" s="242">
        <v>70461</v>
      </c>
      <c r="P78" s="242">
        <v>2221</v>
      </c>
      <c r="Q78" s="242">
        <v>65743</v>
      </c>
      <c r="R78" s="250">
        <v>29</v>
      </c>
      <c r="S78" s="242">
        <v>5577</v>
      </c>
      <c r="T78" s="242">
        <v>70461</v>
      </c>
      <c r="U78" s="242">
        <v>0</v>
      </c>
    </row>
    <row r="79" spans="2:22" s="22" customFormat="1" ht="40.5">
      <c r="B79" s="8">
        <f t="shared" si="0"/>
        <v>41</v>
      </c>
      <c r="C79" s="245" t="s">
        <v>1391</v>
      </c>
      <c r="D79" s="234" t="s">
        <v>314</v>
      </c>
      <c r="E79" s="231">
        <f>3062144+4106115+762550+1037542</f>
        <v>8968351</v>
      </c>
      <c r="F79" s="254" t="s">
        <v>1390</v>
      </c>
      <c r="G79" s="238">
        <v>40694</v>
      </c>
      <c r="H79" s="239" t="s">
        <v>368</v>
      </c>
      <c r="I79" s="270">
        <v>44346</v>
      </c>
      <c r="J79" s="242">
        <v>3653</v>
      </c>
      <c r="K79" s="242">
        <v>1036</v>
      </c>
      <c r="L79" s="242">
        <v>2617</v>
      </c>
      <c r="M79" s="242">
        <v>448418</v>
      </c>
      <c r="N79" s="242">
        <v>7311778</v>
      </c>
      <c r="O79" s="242">
        <v>6740403</v>
      </c>
      <c r="P79" s="242">
        <v>2252</v>
      </c>
      <c r="Q79" s="242">
        <v>6291985</v>
      </c>
      <c r="R79" s="250">
        <v>60</v>
      </c>
      <c r="S79" s="242">
        <v>616057</v>
      </c>
      <c r="T79" s="242">
        <v>6740403</v>
      </c>
      <c r="U79" s="242">
        <v>0</v>
      </c>
    </row>
    <row r="80" spans="2:22" s="22" customFormat="1">
      <c r="B80" s="8">
        <f t="shared" si="0"/>
        <v>42</v>
      </c>
      <c r="C80" s="245" t="s">
        <v>1723</v>
      </c>
      <c r="D80" s="234" t="s">
        <v>314</v>
      </c>
      <c r="E80" s="231">
        <v>41800</v>
      </c>
      <c r="F80" s="254" t="s">
        <v>1724</v>
      </c>
      <c r="G80" s="238">
        <v>40909</v>
      </c>
      <c r="H80" s="239" t="s">
        <v>368</v>
      </c>
      <c r="I80" s="270">
        <v>44561</v>
      </c>
      <c r="J80" s="242">
        <v>3653</v>
      </c>
      <c r="K80" s="242">
        <v>821</v>
      </c>
      <c r="L80" s="242">
        <v>2832</v>
      </c>
      <c r="M80" s="242">
        <v>2090</v>
      </c>
      <c r="N80" s="242">
        <v>35244</v>
      </c>
      <c r="O80" s="242">
        <v>32792</v>
      </c>
      <c r="P80" s="242">
        <v>2467</v>
      </c>
      <c r="Q80" s="242">
        <v>30702</v>
      </c>
      <c r="R80" s="250">
        <v>275</v>
      </c>
      <c r="S80" s="242">
        <v>5514</v>
      </c>
      <c r="T80" s="242">
        <v>32792</v>
      </c>
      <c r="U80" s="242">
        <v>0</v>
      </c>
      <c r="V80" s="11"/>
    </row>
    <row r="81" spans="2:22" s="22" customFormat="1" ht="40.5">
      <c r="B81" s="8">
        <f t="shared" si="0"/>
        <v>43</v>
      </c>
      <c r="C81" s="245" t="s">
        <v>1859</v>
      </c>
      <c r="D81" s="234" t="s">
        <v>314</v>
      </c>
      <c r="E81" s="231">
        <v>93480</v>
      </c>
      <c r="F81" s="254" t="s">
        <v>1860</v>
      </c>
      <c r="G81" s="238">
        <v>41000</v>
      </c>
      <c r="H81" s="239" t="s">
        <v>368</v>
      </c>
      <c r="I81" s="270">
        <v>44651</v>
      </c>
      <c r="J81" s="242">
        <v>3652</v>
      </c>
      <c r="K81" s="242">
        <v>730</v>
      </c>
      <c r="L81" s="242">
        <v>2922</v>
      </c>
      <c r="M81" s="242">
        <v>4674</v>
      </c>
      <c r="N81" s="242">
        <v>79926</v>
      </c>
      <c r="O81" s="242">
        <v>74616</v>
      </c>
      <c r="P81" s="242">
        <v>2557</v>
      </c>
      <c r="Q81" s="242">
        <v>69942</v>
      </c>
      <c r="R81" s="250">
        <v>365</v>
      </c>
      <c r="S81" s="242">
        <v>9984</v>
      </c>
      <c r="T81" s="242">
        <v>69942</v>
      </c>
      <c r="U81" s="242">
        <v>4674</v>
      </c>
      <c r="V81" s="11"/>
    </row>
    <row r="82" spans="2:22" s="22" customFormat="1" ht="54">
      <c r="B82" s="8">
        <f t="shared" si="0"/>
        <v>44</v>
      </c>
      <c r="C82" s="245" t="s">
        <v>1861</v>
      </c>
      <c r="D82" s="234" t="s">
        <v>314</v>
      </c>
      <c r="E82" s="231">
        <v>72078</v>
      </c>
      <c r="F82" s="254" t="s">
        <v>1862</v>
      </c>
      <c r="G82" s="238">
        <v>41000</v>
      </c>
      <c r="H82" s="239" t="s">
        <v>368</v>
      </c>
      <c r="I82" s="270">
        <v>44651</v>
      </c>
      <c r="J82" s="242">
        <v>3652</v>
      </c>
      <c r="K82" s="242">
        <v>730</v>
      </c>
      <c r="L82" s="242">
        <v>2922</v>
      </c>
      <c r="M82" s="242">
        <v>3604</v>
      </c>
      <c r="N82" s="242">
        <v>61626</v>
      </c>
      <c r="O82" s="242">
        <v>57532</v>
      </c>
      <c r="P82" s="242">
        <v>2557</v>
      </c>
      <c r="Q82" s="242">
        <v>53928</v>
      </c>
      <c r="R82" s="250">
        <v>365</v>
      </c>
      <c r="S82" s="242">
        <v>7698</v>
      </c>
      <c r="T82" s="242">
        <v>53928</v>
      </c>
      <c r="U82" s="242">
        <v>3604</v>
      </c>
      <c r="V82" s="11"/>
    </row>
    <row r="83" spans="2:22" s="22" customFormat="1" ht="81">
      <c r="B83" s="8">
        <f t="shared" si="0"/>
        <v>45</v>
      </c>
      <c r="C83" s="245" t="s">
        <v>1871</v>
      </c>
      <c r="D83" s="234" t="s">
        <v>314</v>
      </c>
      <c r="E83" s="231">
        <v>68625</v>
      </c>
      <c r="F83" s="254" t="s">
        <v>1872</v>
      </c>
      <c r="G83" s="238">
        <v>41000</v>
      </c>
      <c r="H83" s="239" t="s">
        <v>368</v>
      </c>
      <c r="I83" s="270">
        <v>44651</v>
      </c>
      <c r="J83" s="242">
        <v>3652</v>
      </c>
      <c r="K83" s="242">
        <v>730</v>
      </c>
      <c r="L83" s="242">
        <v>2922</v>
      </c>
      <c r="M83" s="242">
        <v>3431</v>
      </c>
      <c r="N83" s="242">
        <v>58674</v>
      </c>
      <c r="O83" s="242">
        <v>54776</v>
      </c>
      <c r="P83" s="242">
        <v>2557</v>
      </c>
      <c r="Q83" s="242">
        <v>51345</v>
      </c>
      <c r="R83" s="250">
        <v>365</v>
      </c>
      <c r="S83" s="242">
        <v>7329</v>
      </c>
      <c r="T83" s="242">
        <v>51343</v>
      </c>
      <c r="U83" s="242">
        <v>3433</v>
      </c>
      <c r="V83" s="11"/>
    </row>
    <row r="84" spans="2:22" s="22" customFormat="1">
      <c r="B84" s="8">
        <f t="shared" si="0"/>
        <v>46</v>
      </c>
      <c r="C84" s="245" t="s">
        <v>1880</v>
      </c>
      <c r="D84" s="234">
        <v>4</v>
      </c>
      <c r="E84" s="231">
        <v>128800</v>
      </c>
      <c r="F84" s="254" t="s">
        <v>1881</v>
      </c>
      <c r="G84" s="238">
        <v>41000</v>
      </c>
      <c r="H84" s="239" t="s">
        <v>368</v>
      </c>
      <c r="I84" s="270">
        <v>44651</v>
      </c>
      <c r="J84" s="242">
        <v>3652</v>
      </c>
      <c r="K84" s="242">
        <v>730</v>
      </c>
      <c r="L84" s="242">
        <v>2922</v>
      </c>
      <c r="M84" s="242">
        <v>6440</v>
      </c>
      <c r="N84" s="242">
        <v>110124</v>
      </c>
      <c r="O84" s="242">
        <v>102808</v>
      </c>
      <c r="P84" s="242">
        <v>2557</v>
      </c>
      <c r="Q84" s="242">
        <v>96368</v>
      </c>
      <c r="R84" s="250">
        <v>365</v>
      </c>
      <c r="S84" s="242">
        <v>13756</v>
      </c>
      <c r="T84" s="242">
        <v>96368</v>
      </c>
      <c r="U84" s="242">
        <v>6440</v>
      </c>
      <c r="V84" s="11"/>
    </row>
    <row r="85" spans="2:22" s="22" customFormat="1">
      <c r="B85" s="8">
        <f t="shared" si="0"/>
        <v>47</v>
      </c>
      <c r="C85" s="329" t="s">
        <v>2501</v>
      </c>
      <c r="D85" s="234"/>
      <c r="E85" s="231">
        <v>631275</v>
      </c>
      <c r="F85" s="237" t="s">
        <v>1888</v>
      </c>
      <c r="G85" s="238">
        <v>41000</v>
      </c>
      <c r="H85" s="239" t="s">
        <v>368</v>
      </c>
      <c r="I85" s="270">
        <v>44651</v>
      </c>
      <c r="J85" s="242">
        <v>3652</v>
      </c>
      <c r="K85" s="242">
        <v>730</v>
      </c>
      <c r="L85" s="242">
        <v>2922</v>
      </c>
      <c r="M85" s="242">
        <v>31564</v>
      </c>
      <c r="N85" s="242">
        <v>539739</v>
      </c>
      <c r="O85" s="242">
        <v>503882</v>
      </c>
      <c r="P85" s="242">
        <v>2557</v>
      </c>
      <c r="Q85" s="242">
        <v>472318</v>
      </c>
      <c r="R85" s="250">
        <v>365</v>
      </c>
      <c r="S85" s="242">
        <v>67421</v>
      </c>
      <c r="T85" s="242">
        <v>472317</v>
      </c>
      <c r="U85" s="242">
        <v>31565</v>
      </c>
      <c r="V85" s="11"/>
    </row>
    <row r="86" spans="2:22" s="22" customFormat="1">
      <c r="B86" s="8">
        <f t="shared" si="0"/>
        <v>48</v>
      </c>
      <c r="C86" s="329" t="s">
        <v>2536</v>
      </c>
      <c r="D86" s="234"/>
      <c r="E86" s="231">
        <v>48767</v>
      </c>
      <c r="F86" s="237" t="s">
        <v>1889</v>
      </c>
      <c r="G86" s="238">
        <v>41000</v>
      </c>
      <c r="H86" s="239" t="s">
        <v>368</v>
      </c>
      <c r="I86" s="270">
        <v>44651</v>
      </c>
      <c r="J86" s="242">
        <v>3652</v>
      </c>
      <c r="K86" s="242">
        <v>730</v>
      </c>
      <c r="L86" s="242">
        <v>2922</v>
      </c>
      <c r="M86" s="242">
        <v>2438</v>
      </c>
      <c r="N86" s="242">
        <v>41697</v>
      </c>
      <c r="O86" s="242">
        <v>38926</v>
      </c>
      <c r="P86" s="242">
        <v>2557</v>
      </c>
      <c r="Q86" s="242">
        <v>36488</v>
      </c>
      <c r="R86" s="250">
        <v>365</v>
      </c>
      <c r="S86" s="242">
        <v>5208</v>
      </c>
      <c r="T86" s="242">
        <v>36486</v>
      </c>
      <c r="U86" s="242">
        <v>2440</v>
      </c>
      <c r="V86" s="11"/>
    </row>
    <row r="87" spans="2:22" s="22" customFormat="1" ht="40.5">
      <c r="B87" s="8">
        <f t="shared" si="0"/>
        <v>49</v>
      </c>
      <c r="C87" s="329" t="s">
        <v>1890</v>
      </c>
      <c r="D87" s="234"/>
      <c r="E87" s="231">
        <v>4159695</v>
      </c>
      <c r="F87" s="237" t="s">
        <v>24</v>
      </c>
      <c r="G87" s="238">
        <v>41000</v>
      </c>
      <c r="H87" s="239" t="s">
        <v>368</v>
      </c>
      <c r="I87" s="270">
        <v>44651</v>
      </c>
      <c r="J87" s="242">
        <v>3652</v>
      </c>
      <c r="K87" s="242">
        <v>730</v>
      </c>
      <c r="L87" s="242">
        <v>2922</v>
      </c>
      <c r="M87" s="242">
        <v>207985</v>
      </c>
      <c r="N87" s="242">
        <v>3556538</v>
      </c>
      <c r="O87" s="242">
        <v>3320260</v>
      </c>
      <c r="P87" s="242">
        <v>2557</v>
      </c>
      <c r="Q87" s="242">
        <v>3112275</v>
      </c>
      <c r="R87" s="250">
        <v>365</v>
      </c>
      <c r="S87" s="242">
        <v>444263</v>
      </c>
      <c r="T87" s="242">
        <v>3112275</v>
      </c>
      <c r="U87" s="242">
        <v>207985</v>
      </c>
      <c r="V87" s="11"/>
    </row>
    <row r="88" spans="2:22" s="22" customFormat="1">
      <c r="B88" s="8">
        <f t="shared" si="0"/>
        <v>50</v>
      </c>
      <c r="C88" s="330" t="s">
        <v>2770</v>
      </c>
      <c r="D88" s="234">
        <v>50</v>
      </c>
      <c r="E88" s="231">
        <v>107160</v>
      </c>
      <c r="F88" s="237" t="s">
        <v>2771</v>
      </c>
      <c r="G88" s="238">
        <v>42005</v>
      </c>
      <c r="H88" s="239" t="s">
        <v>368</v>
      </c>
      <c r="I88" s="270">
        <v>45657</v>
      </c>
      <c r="J88" s="242">
        <v>3653</v>
      </c>
      <c r="K88" s="242">
        <v>0</v>
      </c>
      <c r="L88" s="242">
        <v>3653</v>
      </c>
      <c r="M88" s="242">
        <v>5358</v>
      </c>
      <c r="N88" s="242">
        <v>101802</v>
      </c>
      <c r="O88" s="242">
        <v>104652</v>
      </c>
      <c r="P88" s="242">
        <v>3563</v>
      </c>
      <c r="Q88" s="242">
        <v>99294</v>
      </c>
      <c r="R88" s="250">
        <v>365</v>
      </c>
      <c r="S88" s="242">
        <v>10172</v>
      </c>
      <c r="T88" s="242">
        <v>71260</v>
      </c>
      <c r="U88" s="242">
        <v>33392</v>
      </c>
      <c r="V88" s="11"/>
    </row>
    <row r="89" spans="2:22" s="22" customFormat="1" ht="14.25">
      <c r="B89" s="51" t="s">
        <v>693</v>
      </c>
      <c r="C89" s="244"/>
      <c r="D89" s="234"/>
      <c r="E89" s="248"/>
      <c r="F89" s="234"/>
      <c r="G89" s="238"/>
      <c r="H89" s="239"/>
      <c r="I89" s="228"/>
      <c r="J89" s="228"/>
      <c r="K89" s="228"/>
      <c r="L89" s="228"/>
      <c r="M89" s="228"/>
      <c r="N89" s="228"/>
      <c r="O89" s="242"/>
      <c r="P89" s="228"/>
      <c r="Q89" s="272"/>
      <c r="R89" s="250"/>
      <c r="S89" s="242"/>
      <c r="T89" s="242"/>
      <c r="U89" s="228"/>
      <c r="V89" s="11"/>
    </row>
    <row r="90" spans="2:22" s="22" customFormat="1" ht="27">
      <c r="B90" s="8">
        <v>1</v>
      </c>
      <c r="C90" s="249" t="s">
        <v>1036</v>
      </c>
      <c r="D90" s="234">
        <v>1</v>
      </c>
      <c r="E90" s="231">
        <f>15750*105/100</f>
        <v>16537.5</v>
      </c>
      <c r="F90" s="254" t="s">
        <v>1038</v>
      </c>
      <c r="G90" s="233">
        <v>40305</v>
      </c>
      <c r="H90" s="239" t="s">
        <v>368</v>
      </c>
      <c r="I90" s="270">
        <v>45783</v>
      </c>
      <c r="J90" s="242">
        <v>5479</v>
      </c>
      <c r="K90" s="242">
        <v>1425</v>
      </c>
      <c r="L90" s="242">
        <v>4054</v>
      </c>
      <c r="M90" s="242">
        <v>827</v>
      </c>
      <c r="N90" s="242">
        <v>12646.5</v>
      </c>
      <c r="O90" s="242">
        <v>12334.5</v>
      </c>
      <c r="P90" s="242">
        <v>3689</v>
      </c>
      <c r="Q90" s="242">
        <v>11508</v>
      </c>
      <c r="R90" s="250">
        <v>365</v>
      </c>
      <c r="S90" s="242">
        <v>1139</v>
      </c>
      <c r="T90" s="242">
        <v>7979</v>
      </c>
      <c r="U90" s="242">
        <v>4355.5</v>
      </c>
      <c r="V90" s="11"/>
    </row>
    <row r="91" spans="2:22" s="22" customFormat="1">
      <c r="B91" s="8">
        <f t="shared" ref="B91:B128" si="1">+B90+1</f>
        <v>2</v>
      </c>
      <c r="C91" s="249" t="s">
        <v>1037</v>
      </c>
      <c r="D91" s="234">
        <v>1</v>
      </c>
      <c r="E91" s="231">
        <f>539*105/100</f>
        <v>565.95000000000005</v>
      </c>
      <c r="F91" s="254" t="s">
        <v>1038</v>
      </c>
      <c r="G91" s="233">
        <v>40305</v>
      </c>
      <c r="H91" s="239" t="s">
        <v>368</v>
      </c>
      <c r="I91" s="270">
        <v>45783</v>
      </c>
      <c r="J91" s="242">
        <v>5479</v>
      </c>
      <c r="K91" s="242">
        <v>1425</v>
      </c>
      <c r="L91" s="242">
        <v>4054</v>
      </c>
      <c r="M91" s="242">
        <v>28</v>
      </c>
      <c r="N91" s="242">
        <v>430.95000000000005</v>
      </c>
      <c r="O91" s="242">
        <v>419.95000000000005</v>
      </c>
      <c r="P91" s="242">
        <v>3689</v>
      </c>
      <c r="Q91" s="242">
        <v>392</v>
      </c>
      <c r="R91" s="250">
        <v>365</v>
      </c>
      <c r="S91" s="242">
        <v>39</v>
      </c>
      <c r="T91" s="242">
        <v>273</v>
      </c>
      <c r="U91" s="242">
        <v>146.95000000000005</v>
      </c>
      <c r="V91" s="11"/>
    </row>
    <row r="92" spans="2:22" s="22" customFormat="1" ht="27">
      <c r="B92" s="8">
        <f t="shared" si="1"/>
        <v>3</v>
      </c>
      <c r="C92" s="249" t="s">
        <v>1039</v>
      </c>
      <c r="D92" s="234">
        <v>1</v>
      </c>
      <c r="E92" s="231">
        <v>20475</v>
      </c>
      <c r="F92" s="254" t="s">
        <v>1040</v>
      </c>
      <c r="G92" s="233">
        <v>40305</v>
      </c>
      <c r="H92" s="239" t="s">
        <v>368</v>
      </c>
      <c r="I92" s="270">
        <v>45783</v>
      </c>
      <c r="J92" s="242">
        <v>5479</v>
      </c>
      <c r="K92" s="242">
        <v>1425</v>
      </c>
      <c r="L92" s="242">
        <v>4054</v>
      </c>
      <c r="M92" s="242">
        <v>1024</v>
      </c>
      <c r="N92" s="242">
        <v>15656</v>
      </c>
      <c r="O92" s="242">
        <v>15270</v>
      </c>
      <c r="P92" s="242">
        <v>3689</v>
      </c>
      <c r="Q92" s="242">
        <v>14246</v>
      </c>
      <c r="R92" s="250">
        <v>365</v>
      </c>
      <c r="S92" s="242">
        <v>1410</v>
      </c>
      <c r="T92" s="242">
        <v>9876</v>
      </c>
      <c r="U92" s="242">
        <v>5394</v>
      </c>
      <c r="V92" s="11"/>
    </row>
    <row r="93" spans="2:22" s="22" customFormat="1">
      <c r="B93" s="8">
        <f t="shared" si="1"/>
        <v>4</v>
      </c>
      <c r="C93" s="249" t="s">
        <v>1042</v>
      </c>
      <c r="D93" s="234">
        <v>1</v>
      </c>
      <c r="E93" s="231">
        <f>4207*105/100</f>
        <v>4417.3500000000004</v>
      </c>
      <c r="F93" s="254" t="s">
        <v>1041</v>
      </c>
      <c r="G93" s="233">
        <v>40295</v>
      </c>
      <c r="H93" s="239" t="s">
        <v>368</v>
      </c>
      <c r="I93" s="270">
        <v>45773</v>
      </c>
      <c r="J93" s="242">
        <v>5479</v>
      </c>
      <c r="K93" s="242">
        <v>1435</v>
      </c>
      <c r="L93" s="242">
        <v>4044</v>
      </c>
      <c r="M93" s="242">
        <v>221</v>
      </c>
      <c r="N93" s="242">
        <v>3371.3500000000004</v>
      </c>
      <c r="O93" s="242">
        <v>3288.3500000000004</v>
      </c>
      <c r="P93" s="242">
        <v>3679</v>
      </c>
      <c r="Q93" s="242">
        <v>3067</v>
      </c>
      <c r="R93" s="250">
        <v>365</v>
      </c>
      <c r="S93" s="242">
        <v>304</v>
      </c>
      <c r="T93" s="242">
        <v>2130</v>
      </c>
      <c r="U93" s="242">
        <v>1158.3500000000004</v>
      </c>
      <c r="V93" s="11"/>
    </row>
    <row r="94" spans="2:22" s="22" customFormat="1" ht="27">
      <c r="B94" s="8">
        <f t="shared" si="1"/>
        <v>5</v>
      </c>
      <c r="C94" s="249" t="s">
        <v>1043</v>
      </c>
      <c r="D94" s="234">
        <v>2</v>
      </c>
      <c r="E94" s="231">
        <f>(2831*2)*105/100</f>
        <v>5945.1</v>
      </c>
      <c r="F94" s="254" t="s">
        <v>1041</v>
      </c>
      <c r="G94" s="233">
        <v>40295</v>
      </c>
      <c r="H94" s="239" t="s">
        <v>368</v>
      </c>
      <c r="I94" s="270">
        <v>45773</v>
      </c>
      <c r="J94" s="242">
        <v>5479</v>
      </c>
      <c r="K94" s="242">
        <v>1435</v>
      </c>
      <c r="L94" s="242">
        <v>4044</v>
      </c>
      <c r="M94" s="242">
        <v>297</v>
      </c>
      <c r="N94" s="242">
        <v>4539.1000000000004</v>
      </c>
      <c r="O94" s="242">
        <v>4426.1000000000004</v>
      </c>
      <c r="P94" s="242">
        <v>3679</v>
      </c>
      <c r="Q94" s="242">
        <v>4129</v>
      </c>
      <c r="R94" s="250">
        <v>365</v>
      </c>
      <c r="S94" s="242">
        <v>410</v>
      </c>
      <c r="T94" s="242">
        <v>2872</v>
      </c>
      <c r="U94" s="242">
        <v>1554.1000000000004</v>
      </c>
      <c r="V94" s="11"/>
    </row>
    <row r="95" spans="2:22" s="22" customFormat="1" ht="135">
      <c r="B95" s="8">
        <f t="shared" si="1"/>
        <v>6</v>
      </c>
      <c r="C95" s="249" t="s">
        <v>180</v>
      </c>
      <c r="D95" s="254" t="s">
        <v>181</v>
      </c>
      <c r="E95" s="250">
        <v>19418</v>
      </c>
      <c r="F95" s="254" t="s">
        <v>432</v>
      </c>
      <c r="G95" s="233">
        <v>40380</v>
      </c>
      <c r="H95" s="228" t="s">
        <v>160</v>
      </c>
      <c r="I95" s="270">
        <v>45858</v>
      </c>
      <c r="J95" s="242">
        <v>5479</v>
      </c>
      <c r="K95" s="242">
        <v>1350</v>
      </c>
      <c r="L95" s="242">
        <v>4129</v>
      </c>
      <c r="M95" s="242">
        <v>0</v>
      </c>
      <c r="N95" s="242">
        <v>0</v>
      </c>
      <c r="O95" s="242">
        <v>0</v>
      </c>
      <c r="P95" s="242"/>
      <c r="Q95" s="242"/>
      <c r="R95" s="250">
        <v>0</v>
      </c>
      <c r="S95" s="242">
        <v>0</v>
      </c>
      <c r="T95" s="242">
        <v>0</v>
      </c>
      <c r="U95" s="242">
        <v>0</v>
      </c>
      <c r="V95" s="11"/>
    </row>
    <row r="96" spans="2:22" s="22" customFormat="1" ht="27">
      <c r="B96" s="8">
        <f t="shared" si="1"/>
        <v>7</v>
      </c>
      <c r="C96" s="249" t="s">
        <v>422</v>
      </c>
      <c r="D96" s="234">
        <v>20</v>
      </c>
      <c r="E96" s="231">
        <v>1619443</v>
      </c>
      <c r="F96" s="254" t="s">
        <v>1193</v>
      </c>
      <c r="G96" s="233">
        <v>40662</v>
      </c>
      <c r="H96" s="239" t="s">
        <v>368</v>
      </c>
      <c r="I96" s="270">
        <v>46140</v>
      </c>
      <c r="J96" s="242">
        <v>5479</v>
      </c>
      <c r="K96" s="242">
        <v>1068</v>
      </c>
      <c r="L96" s="242">
        <v>4411</v>
      </c>
      <c r="M96" s="242">
        <v>80972</v>
      </c>
      <c r="N96" s="242">
        <v>1313794</v>
      </c>
      <c r="O96" s="242">
        <v>1286053</v>
      </c>
      <c r="P96" s="242">
        <v>4046</v>
      </c>
      <c r="Q96" s="242">
        <v>1205081</v>
      </c>
      <c r="R96" s="250">
        <v>365</v>
      </c>
      <c r="S96" s="242">
        <v>108713</v>
      </c>
      <c r="T96" s="242">
        <v>761587</v>
      </c>
      <c r="U96" s="242">
        <v>524466</v>
      </c>
      <c r="V96" s="11"/>
    </row>
    <row r="97" spans="2:22" s="22" customFormat="1">
      <c r="B97" s="8">
        <f t="shared" si="1"/>
        <v>8</v>
      </c>
      <c r="C97" s="228" t="s">
        <v>1205</v>
      </c>
      <c r="D97" s="234" t="s">
        <v>314</v>
      </c>
      <c r="E97" s="231">
        <v>182055</v>
      </c>
      <c r="F97" s="237" t="s">
        <v>29</v>
      </c>
      <c r="G97" s="238">
        <v>40644</v>
      </c>
      <c r="H97" s="239" t="s">
        <v>368</v>
      </c>
      <c r="I97" s="270">
        <v>46122</v>
      </c>
      <c r="J97" s="242">
        <v>5479</v>
      </c>
      <c r="K97" s="242">
        <v>1086</v>
      </c>
      <c r="L97" s="242">
        <v>4393</v>
      </c>
      <c r="M97" s="242">
        <v>9103</v>
      </c>
      <c r="N97" s="242">
        <v>147268</v>
      </c>
      <c r="O97" s="242">
        <v>144135</v>
      </c>
      <c r="P97" s="242">
        <v>4028</v>
      </c>
      <c r="Q97" s="242">
        <v>135032</v>
      </c>
      <c r="R97" s="250">
        <v>365</v>
      </c>
      <c r="S97" s="242">
        <v>12236</v>
      </c>
      <c r="T97" s="242">
        <v>85720</v>
      </c>
      <c r="U97" s="242">
        <v>58415</v>
      </c>
      <c r="V97" s="11"/>
    </row>
    <row r="98" spans="2:22" s="22" customFormat="1" ht="27">
      <c r="B98" s="8">
        <f t="shared" si="1"/>
        <v>9</v>
      </c>
      <c r="C98" s="228" t="s">
        <v>1229</v>
      </c>
      <c r="D98" s="234" t="s">
        <v>314</v>
      </c>
      <c r="E98" s="231">
        <v>17341</v>
      </c>
      <c r="F98" s="237" t="s">
        <v>1230</v>
      </c>
      <c r="G98" s="238">
        <v>40702</v>
      </c>
      <c r="H98" s="239" t="s">
        <v>368</v>
      </c>
      <c r="I98" s="270">
        <v>46180</v>
      </c>
      <c r="J98" s="242">
        <v>5479</v>
      </c>
      <c r="K98" s="242">
        <v>1028</v>
      </c>
      <c r="L98" s="242">
        <v>4451</v>
      </c>
      <c r="M98" s="242">
        <v>867</v>
      </c>
      <c r="N98" s="242">
        <v>14157</v>
      </c>
      <c r="O98" s="242">
        <v>13863</v>
      </c>
      <c r="P98" s="242">
        <v>4086</v>
      </c>
      <c r="Q98" s="242">
        <v>12996</v>
      </c>
      <c r="R98" s="250">
        <v>365</v>
      </c>
      <c r="S98" s="242">
        <v>1161</v>
      </c>
      <c r="T98" s="242">
        <v>8133</v>
      </c>
      <c r="U98" s="242">
        <v>5730</v>
      </c>
      <c r="V98" s="11"/>
    </row>
    <row r="99" spans="2:22" s="22" customFormat="1" ht="27">
      <c r="B99" s="8">
        <f t="shared" si="1"/>
        <v>10</v>
      </c>
      <c r="C99" s="228" t="s">
        <v>1249</v>
      </c>
      <c r="D99" s="234">
        <v>3</v>
      </c>
      <c r="E99" s="231">
        <f>747899+179761</f>
        <v>927660</v>
      </c>
      <c r="F99" s="237" t="s">
        <v>1250</v>
      </c>
      <c r="G99" s="238">
        <v>40683</v>
      </c>
      <c r="H99" s="239" t="s">
        <v>368</v>
      </c>
      <c r="I99" s="270">
        <v>46161</v>
      </c>
      <c r="J99" s="242">
        <v>5479</v>
      </c>
      <c r="K99" s="242">
        <v>1047</v>
      </c>
      <c r="L99" s="242">
        <v>4432</v>
      </c>
      <c r="M99" s="242">
        <v>46383</v>
      </c>
      <c r="N99" s="242">
        <v>755105</v>
      </c>
      <c r="O99" s="242">
        <v>739301</v>
      </c>
      <c r="P99" s="242">
        <v>4067</v>
      </c>
      <c r="Q99" s="242">
        <v>692918</v>
      </c>
      <c r="R99" s="250">
        <v>365</v>
      </c>
      <c r="S99" s="242">
        <v>62187</v>
      </c>
      <c r="T99" s="242">
        <v>435651</v>
      </c>
      <c r="U99" s="242">
        <v>303650</v>
      </c>
      <c r="V99" s="11"/>
    </row>
    <row r="100" spans="2:22" s="22" customFormat="1">
      <c r="B100" s="8">
        <f t="shared" si="1"/>
        <v>11</v>
      </c>
      <c r="C100" s="239" t="s">
        <v>2659</v>
      </c>
      <c r="D100" s="234">
        <v>1</v>
      </c>
      <c r="E100" s="231">
        <f>7410+670</f>
        <v>8080</v>
      </c>
      <c r="F100" s="234" t="s">
        <v>2655</v>
      </c>
      <c r="G100" s="238">
        <v>42036</v>
      </c>
      <c r="H100" s="239" t="s">
        <v>368</v>
      </c>
      <c r="I100" s="270">
        <v>47514</v>
      </c>
      <c r="J100" s="242">
        <v>5479</v>
      </c>
      <c r="K100" s="242">
        <v>0</v>
      </c>
      <c r="L100" s="242">
        <v>5479</v>
      </c>
      <c r="M100" s="242">
        <v>404</v>
      </c>
      <c r="N100" s="242">
        <v>7676</v>
      </c>
      <c r="O100" s="242">
        <v>7997</v>
      </c>
      <c r="P100" s="242">
        <v>5420</v>
      </c>
      <c r="Q100" s="242">
        <v>7593</v>
      </c>
      <c r="R100" s="250">
        <v>365</v>
      </c>
      <c r="S100" s="242">
        <v>511</v>
      </c>
      <c r="T100" s="242">
        <v>3581</v>
      </c>
      <c r="U100" s="242">
        <v>4416</v>
      </c>
      <c r="V100" s="11"/>
    </row>
    <row r="101" spans="2:22" s="22" customFormat="1" ht="27">
      <c r="B101" s="8">
        <f t="shared" si="1"/>
        <v>12</v>
      </c>
      <c r="C101" s="239" t="s">
        <v>2660</v>
      </c>
      <c r="D101" s="234">
        <v>1</v>
      </c>
      <c r="E101" s="231">
        <f>9175+830</f>
        <v>10005</v>
      </c>
      <c r="F101" s="234" t="s">
        <v>2655</v>
      </c>
      <c r="G101" s="238">
        <v>42036</v>
      </c>
      <c r="H101" s="239" t="s">
        <v>368</v>
      </c>
      <c r="I101" s="270">
        <v>47514</v>
      </c>
      <c r="J101" s="242">
        <v>5479</v>
      </c>
      <c r="K101" s="242">
        <v>0</v>
      </c>
      <c r="L101" s="242">
        <v>5479</v>
      </c>
      <c r="M101" s="242">
        <v>500</v>
      </c>
      <c r="N101" s="242">
        <v>9505</v>
      </c>
      <c r="O101" s="242">
        <v>9903</v>
      </c>
      <c r="P101" s="242">
        <v>5420</v>
      </c>
      <c r="Q101" s="242">
        <v>9403</v>
      </c>
      <c r="R101" s="250">
        <v>365</v>
      </c>
      <c r="S101" s="242">
        <v>633</v>
      </c>
      <c r="T101" s="242">
        <v>4435</v>
      </c>
      <c r="U101" s="242">
        <v>5468</v>
      </c>
      <c r="V101" s="11"/>
    </row>
    <row r="102" spans="2:22" s="22" customFormat="1">
      <c r="B102" s="8">
        <f t="shared" si="1"/>
        <v>13</v>
      </c>
      <c r="C102" s="239" t="s">
        <v>2663</v>
      </c>
      <c r="D102" s="234">
        <v>1</v>
      </c>
      <c r="E102" s="231">
        <f>203624+18421</f>
        <v>222045</v>
      </c>
      <c r="F102" s="234" t="s">
        <v>2655</v>
      </c>
      <c r="G102" s="238">
        <v>42036</v>
      </c>
      <c r="H102" s="239" t="s">
        <v>368</v>
      </c>
      <c r="I102" s="270">
        <v>47514</v>
      </c>
      <c r="J102" s="242">
        <v>5479</v>
      </c>
      <c r="K102" s="242">
        <v>0</v>
      </c>
      <c r="L102" s="242">
        <v>5479</v>
      </c>
      <c r="M102" s="242">
        <v>11102</v>
      </c>
      <c r="N102" s="242">
        <v>210943</v>
      </c>
      <c r="O102" s="242">
        <v>219773</v>
      </c>
      <c r="P102" s="242">
        <v>5420</v>
      </c>
      <c r="Q102" s="242">
        <v>208671</v>
      </c>
      <c r="R102" s="250">
        <v>365</v>
      </c>
      <c r="S102" s="242">
        <v>14053</v>
      </c>
      <c r="T102" s="242">
        <v>98447</v>
      </c>
      <c r="U102" s="242">
        <v>121326</v>
      </c>
      <c r="V102" s="11"/>
    </row>
    <row r="103" spans="2:22" s="22" customFormat="1">
      <c r="B103" s="8">
        <f t="shared" si="1"/>
        <v>14</v>
      </c>
      <c r="C103" s="239" t="s">
        <v>2662</v>
      </c>
      <c r="D103" s="234">
        <v>1</v>
      </c>
      <c r="E103" s="231">
        <f>4975+450</f>
        <v>5425</v>
      </c>
      <c r="F103" s="234" t="s">
        <v>2655</v>
      </c>
      <c r="G103" s="238">
        <v>42036</v>
      </c>
      <c r="H103" s="239" t="s">
        <v>368</v>
      </c>
      <c r="I103" s="270">
        <v>47514</v>
      </c>
      <c r="J103" s="242">
        <v>5479</v>
      </c>
      <c r="K103" s="242">
        <v>0</v>
      </c>
      <c r="L103" s="242">
        <v>5479</v>
      </c>
      <c r="M103" s="242">
        <v>271</v>
      </c>
      <c r="N103" s="242">
        <v>5154</v>
      </c>
      <c r="O103" s="242">
        <v>5369</v>
      </c>
      <c r="P103" s="242">
        <v>5420</v>
      </c>
      <c r="Q103" s="242">
        <v>5098</v>
      </c>
      <c r="R103" s="250">
        <v>365</v>
      </c>
      <c r="S103" s="242">
        <v>343</v>
      </c>
      <c r="T103" s="242">
        <v>2403</v>
      </c>
      <c r="U103" s="242">
        <v>2966</v>
      </c>
      <c r="V103" s="11"/>
    </row>
    <row r="104" spans="2:22" s="22" customFormat="1">
      <c r="B104" s="8">
        <f t="shared" si="1"/>
        <v>15</v>
      </c>
      <c r="C104" s="239" t="s">
        <v>2661</v>
      </c>
      <c r="D104" s="234">
        <v>1</v>
      </c>
      <c r="E104" s="231">
        <f>13855+1253</f>
        <v>15108</v>
      </c>
      <c r="F104" s="234" t="s">
        <v>2655</v>
      </c>
      <c r="G104" s="238">
        <v>42036</v>
      </c>
      <c r="H104" s="239" t="s">
        <v>368</v>
      </c>
      <c r="I104" s="270">
        <v>47514</v>
      </c>
      <c r="J104" s="242">
        <v>5479</v>
      </c>
      <c r="K104" s="242">
        <v>0</v>
      </c>
      <c r="L104" s="242">
        <v>5479</v>
      </c>
      <c r="M104" s="242">
        <v>755</v>
      </c>
      <c r="N104" s="242">
        <v>14353</v>
      </c>
      <c r="O104" s="242">
        <v>14953</v>
      </c>
      <c r="P104" s="242">
        <v>5420</v>
      </c>
      <c r="Q104" s="242">
        <v>14198</v>
      </c>
      <c r="R104" s="250">
        <v>365</v>
      </c>
      <c r="S104" s="242">
        <v>956</v>
      </c>
      <c r="T104" s="242">
        <v>6698</v>
      </c>
      <c r="U104" s="242">
        <v>8255</v>
      </c>
      <c r="V104" s="11"/>
    </row>
    <row r="105" spans="2:22" s="22" customFormat="1">
      <c r="B105" s="8">
        <f t="shared" si="1"/>
        <v>16</v>
      </c>
      <c r="C105" s="239" t="s">
        <v>2664</v>
      </c>
      <c r="D105" s="234">
        <v>1</v>
      </c>
      <c r="E105" s="231">
        <f>16177+1463</f>
        <v>17640</v>
      </c>
      <c r="F105" s="234" t="s">
        <v>2655</v>
      </c>
      <c r="G105" s="238">
        <v>42036</v>
      </c>
      <c r="H105" s="239" t="s">
        <v>368</v>
      </c>
      <c r="I105" s="270">
        <v>47514</v>
      </c>
      <c r="J105" s="242">
        <v>5479</v>
      </c>
      <c r="K105" s="242">
        <v>0</v>
      </c>
      <c r="L105" s="242">
        <v>5479</v>
      </c>
      <c r="M105" s="242">
        <v>882</v>
      </c>
      <c r="N105" s="242">
        <v>16758</v>
      </c>
      <c r="O105" s="242">
        <v>17460</v>
      </c>
      <c r="P105" s="242">
        <v>5420</v>
      </c>
      <c r="Q105" s="242">
        <v>16578</v>
      </c>
      <c r="R105" s="250">
        <v>365</v>
      </c>
      <c r="S105" s="242">
        <v>1116</v>
      </c>
      <c r="T105" s="242">
        <v>7818</v>
      </c>
      <c r="U105" s="242">
        <v>9642</v>
      </c>
      <c r="V105" s="11"/>
    </row>
    <row r="106" spans="2:22" s="22" customFormat="1">
      <c r="B106" s="8">
        <f t="shared" si="1"/>
        <v>17</v>
      </c>
      <c r="C106" s="239" t="s">
        <v>2668</v>
      </c>
      <c r="D106" s="234">
        <v>1</v>
      </c>
      <c r="E106" s="231">
        <f>63486+5743</f>
        <v>69229</v>
      </c>
      <c r="F106" s="234" t="s">
        <v>2655</v>
      </c>
      <c r="G106" s="238">
        <v>42036</v>
      </c>
      <c r="H106" s="239" t="s">
        <v>368</v>
      </c>
      <c r="I106" s="270">
        <v>47514</v>
      </c>
      <c r="J106" s="242">
        <v>5479</v>
      </c>
      <c r="K106" s="242">
        <v>0</v>
      </c>
      <c r="L106" s="242">
        <v>5479</v>
      </c>
      <c r="M106" s="242">
        <v>3461</v>
      </c>
      <c r="N106" s="242">
        <v>65768</v>
      </c>
      <c r="O106" s="242">
        <v>68521</v>
      </c>
      <c r="P106" s="242">
        <v>5420</v>
      </c>
      <c r="Q106" s="242">
        <v>65060</v>
      </c>
      <c r="R106" s="250">
        <v>365</v>
      </c>
      <c r="S106" s="242">
        <v>4381</v>
      </c>
      <c r="T106" s="242">
        <v>30691</v>
      </c>
      <c r="U106" s="242">
        <v>37830</v>
      </c>
      <c r="V106" s="11"/>
    </row>
    <row r="107" spans="2:22" s="22" customFormat="1" ht="27">
      <c r="B107" s="8">
        <f t="shared" si="1"/>
        <v>18</v>
      </c>
      <c r="C107" s="239" t="s">
        <v>2669</v>
      </c>
      <c r="D107" s="234">
        <v>1</v>
      </c>
      <c r="E107" s="231">
        <f>9198+832</f>
        <v>10030</v>
      </c>
      <c r="F107" s="234" t="s">
        <v>2655</v>
      </c>
      <c r="G107" s="238">
        <v>42036</v>
      </c>
      <c r="H107" s="239" t="s">
        <v>368</v>
      </c>
      <c r="I107" s="270">
        <v>47514</v>
      </c>
      <c r="J107" s="242">
        <v>5479</v>
      </c>
      <c r="K107" s="242">
        <v>0</v>
      </c>
      <c r="L107" s="242">
        <v>5479</v>
      </c>
      <c r="M107" s="242">
        <v>502</v>
      </c>
      <c r="N107" s="242">
        <v>9528</v>
      </c>
      <c r="O107" s="242">
        <v>9927</v>
      </c>
      <c r="P107" s="242">
        <v>5420</v>
      </c>
      <c r="Q107" s="242">
        <v>9426</v>
      </c>
      <c r="R107" s="250">
        <v>365</v>
      </c>
      <c r="S107" s="242">
        <v>635</v>
      </c>
      <c r="T107" s="242">
        <v>4449</v>
      </c>
      <c r="U107" s="242">
        <v>5478</v>
      </c>
      <c r="V107" s="11"/>
    </row>
    <row r="108" spans="2:22" s="22" customFormat="1">
      <c r="B108" s="8">
        <f t="shared" si="1"/>
        <v>19</v>
      </c>
      <c r="C108" s="239" t="s">
        <v>4369</v>
      </c>
      <c r="D108" s="234" t="s">
        <v>4370</v>
      </c>
      <c r="E108" s="282">
        <f>ROUND((2940000*118%)+(117600/3995362*3469200),)</f>
        <v>3571313</v>
      </c>
      <c r="F108" s="311" t="s">
        <v>4362</v>
      </c>
      <c r="G108" s="238">
        <v>43614</v>
      </c>
      <c r="H108" s="239" t="s">
        <v>368</v>
      </c>
      <c r="I108" s="398">
        <v>49092</v>
      </c>
      <c r="J108" s="242">
        <v>5479</v>
      </c>
      <c r="K108" s="242">
        <v>0</v>
      </c>
      <c r="L108" s="242">
        <v>5479</v>
      </c>
      <c r="M108" s="242">
        <v>178566</v>
      </c>
      <c r="N108" s="399">
        <v>3392747</v>
      </c>
      <c r="O108" s="242">
        <v>3571313</v>
      </c>
      <c r="P108" s="242">
        <v>5479</v>
      </c>
      <c r="Q108" s="242">
        <v>3392747</v>
      </c>
      <c r="R108" s="251">
        <v>365</v>
      </c>
      <c r="S108" s="250">
        <v>226018</v>
      </c>
      <c r="T108" s="242">
        <v>642758</v>
      </c>
      <c r="U108" s="242">
        <v>2928555</v>
      </c>
      <c r="V108" s="11"/>
    </row>
    <row r="109" spans="2:22" s="22" customFormat="1">
      <c r="B109" s="8">
        <f t="shared" si="1"/>
        <v>20</v>
      </c>
      <c r="C109" s="239" t="s">
        <v>4371</v>
      </c>
      <c r="D109" s="234" t="s">
        <v>4372</v>
      </c>
      <c r="E109" s="282">
        <f>+ROUND((382200*118%)+(117600/3995362*450996),)</f>
        <v>464271</v>
      </c>
      <c r="F109" s="311" t="s">
        <v>4362</v>
      </c>
      <c r="G109" s="238">
        <v>43614</v>
      </c>
      <c r="H109" s="239" t="s">
        <v>368</v>
      </c>
      <c r="I109" s="398">
        <v>49092</v>
      </c>
      <c r="J109" s="242">
        <v>5479</v>
      </c>
      <c r="K109" s="242">
        <v>0</v>
      </c>
      <c r="L109" s="242">
        <v>5479</v>
      </c>
      <c r="M109" s="242">
        <v>23214</v>
      </c>
      <c r="N109" s="399">
        <v>441057</v>
      </c>
      <c r="O109" s="242">
        <v>464271</v>
      </c>
      <c r="P109" s="242">
        <v>5479</v>
      </c>
      <c r="Q109" s="242">
        <v>441057</v>
      </c>
      <c r="R109" s="251">
        <v>365</v>
      </c>
      <c r="S109" s="250">
        <v>29382</v>
      </c>
      <c r="T109" s="242">
        <v>83558</v>
      </c>
      <c r="U109" s="242">
        <v>380713</v>
      </c>
      <c r="V109" s="11"/>
    </row>
    <row r="110" spans="2:22" s="22" customFormat="1">
      <c r="B110" s="8">
        <f t="shared" si="1"/>
        <v>21</v>
      </c>
      <c r="C110" s="239" t="s">
        <v>4373</v>
      </c>
      <c r="D110" s="234" t="s">
        <v>4370</v>
      </c>
      <c r="E110" s="282">
        <f>ROUND((24500*118%)+(117600/3995362*28910),)-1</f>
        <v>29760</v>
      </c>
      <c r="F110" s="311" t="s">
        <v>4362</v>
      </c>
      <c r="G110" s="238">
        <v>43614</v>
      </c>
      <c r="H110" s="239" t="s">
        <v>368</v>
      </c>
      <c r="I110" s="398">
        <v>49092</v>
      </c>
      <c r="J110" s="242">
        <v>5479</v>
      </c>
      <c r="K110" s="242">
        <v>0</v>
      </c>
      <c r="L110" s="242">
        <v>5479</v>
      </c>
      <c r="M110" s="242">
        <v>1488</v>
      </c>
      <c r="N110" s="399">
        <v>28272</v>
      </c>
      <c r="O110" s="242">
        <v>29760</v>
      </c>
      <c r="P110" s="242">
        <v>5479</v>
      </c>
      <c r="Q110" s="242">
        <v>28272</v>
      </c>
      <c r="R110" s="251">
        <v>365</v>
      </c>
      <c r="S110" s="250">
        <v>1883</v>
      </c>
      <c r="T110" s="242">
        <v>5355</v>
      </c>
      <c r="U110" s="242">
        <v>24405</v>
      </c>
      <c r="V110" s="11"/>
    </row>
    <row r="111" spans="2:22" s="22" customFormat="1">
      <c r="B111" s="8">
        <f t="shared" si="1"/>
        <v>22</v>
      </c>
      <c r="C111" s="239" t="s">
        <v>4374</v>
      </c>
      <c r="D111" s="234" t="s">
        <v>4370</v>
      </c>
      <c r="E111" s="282">
        <f>+ROUND((39200*118%)+(117600/3995362*46256),)</f>
        <v>47618</v>
      </c>
      <c r="F111" s="311" t="s">
        <v>4362</v>
      </c>
      <c r="G111" s="238">
        <v>43614</v>
      </c>
      <c r="H111" s="239" t="s">
        <v>368</v>
      </c>
      <c r="I111" s="398">
        <v>49092</v>
      </c>
      <c r="J111" s="242">
        <v>5479</v>
      </c>
      <c r="K111" s="242">
        <v>0</v>
      </c>
      <c r="L111" s="242">
        <v>5479</v>
      </c>
      <c r="M111" s="242">
        <v>2381</v>
      </c>
      <c r="N111" s="399">
        <v>45237</v>
      </c>
      <c r="O111" s="242">
        <v>47618</v>
      </c>
      <c r="P111" s="242">
        <v>5479</v>
      </c>
      <c r="Q111" s="242">
        <v>45237</v>
      </c>
      <c r="R111" s="251">
        <v>365</v>
      </c>
      <c r="S111" s="250">
        <v>3014</v>
      </c>
      <c r="T111" s="242">
        <v>8571</v>
      </c>
      <c r="U111" s="242">
        <v>39047</v>
      </c>
      <c r="V111" s="11"/>
    </row>
    <row r="112" spans="2:22" s="22" customFormat="1">
      <c r="B112" s="8">
        <f t="shared" si="1"/>
        <v>23</v>
      </c>
      <c r="C112" s="239" t="s">
        <v>4375</v>
      </c>
      <c r="D112" s="234" t="s">
        <v>4370</v>
      </c>
      <c r="E112" s="282">
        <f>ROUND(1029000*118%,)</f>
        <v>1214220</v>
      </c>
      <c r="F112" s="311" t="s">
        <v>4363</v>
      </c>
      <c r="G112" s="238">
        <v>43754</v>
      </c>
      <c r="H112" s="239" t="s">
        <v>368</v>
      </c>
      <c r="I112" s="398">
        <v>49232</v>
      </c>
      <c r="J112" s="242">
        <v>5479</v>
      </c>
      <c r="K112" s="242">
        <v>0</v>
      </c>
      <c r="L112" s="242">
        <v>5479</v>
      </c>
      <c r="M112" s="242">
        <v>60711</v>
      </c>
      <c r="N112" s="399">
        <v>1153509</v>
      </c>
      <c r="O112" s="242">
        <v>1214220</v>
      </c>
      <c r="P112" s="242">
        <v>5479</v>
      </c>
      <c r="Q112" s="242">
        <v>1153509</v>
      </c>
      <c r="R112" s="251">
        <v>365</v>
      </c>
      <c r="S112" s="250">
        <v>76844</v>
      </c>
      <c r="T112" s="242">
        <v>189058</v>
      </c>
      <c r="U112" s="242">
        <v>1025162</v>
      </c>
      <c r="V112" s="11"/>
    </row>
    <row r="113" spans="2:22" s="22" customFormat="1">
      <c r="B113" s="8">
        <f t="shared" si="1"/>
        <v>24</v>
      </c>
      <c r="C113" s="239" t="s">
        <v>4376</v>
      </c>
      <c r="D113" s="234" t="s">
        <v>4370</v>
      </c>
      <c r="E113" s="282">
        <f>ROUND(2744000*118%,)</f>
        <v>3237920</v>
      </c>
      <c r="F113" s="311" t="s">
        <v>4363</v>
      </c>
      <c r="G113" s="238">
        <v>43754</v>
      </c>
      <c r="H113" s="239" t="s">
        <v>368</v>
      </c>
      <c r="I113" s="398">
        <v>49232</v>
      </c>
      <c r="J113" s="242">
        <v>5479</v>
      </c>
      <c r="K113" s="242">
        <v>0</v>
      </c>
      <c r="L113" s="242">
        <v>5479</v>
      </c>
      <c r="M113" s="242">
        <v>161896</v>
      </c>
      <c r="N113" s="399">
        <v>3076024</v>
      </c>
      <c r="O113" s="242">
        <v>3237920</v>
      </c>
      <c r="P113" s="242">
        <v>5479</v>
      </c>
      <c r="Q113" s="242">
        <v>3076024</v>
      </c>
      <c r="R113" s="251">
        <v>365</v>
      </c>
      <c r="S113" s="250">
        <v>204919</v>
      </c>
      <c r="T113" s="242">
        <v>504157</v>
      </c>
      <c r="U113" s="242">
        <v>2733763</v>
      </c>
      <c r="V113" s="11"/>
    </row>
    <row r="114" spans="2:22" s="22" customFormat="1" ht="27">
      <c r="B114" s="8">
        <f t="shared" si="1"/>
        <v>25</v>
      </c>
      <c r="C114" s="239" t="s">
        <v>4442</v>
      </c>
      <c r="D114" s="234" t="s">
        <v>4370</v>
      </c>
      <c r="E114" s="282">
        <v>294516</v>
      </c>
      <c r="F114" s="311" t="s">
        <v>4458</v>
      </c>
      <c r="G114" s="238">
        <v>44027</v>
      </c>
      <c r="H114" s="239" t="s">
        <v>368</v>
      </c>
      <c r="I114" s="398">
        <v>49504</v>
      </c>
      <c r="J114" s="242">
        <v>5478</v>
      </c>
      <c r="K114" s="242">
        <v>0</v>
      </c>
      <c r="L114" s="242">
        <v>5478</v>
      </c>
      <c r="M114" s="242">
        <v>14726</v>
      </c>
      <c r="N114" s="399">
        <v>279790</v>
      </c>
      <c r="O114" s="242">
        <v>294516</v>
      </c>
      <c r="P114" s="242">
        <v>5478</v>
      </c>
      <c r="Q114" s="242">
        <v>279790</v>
      </c>
      <c r="R114" s="251">
        <v>365</v>
      </c>
      <c r="S114" s="250">
        <v>18642</v>
      </c>
      <c r="T114" s="242">
        <v>31922</v>
      </c>
      <c r="U114" s="242">
        <v>262594</v>
      </c>
      <c r="V114" s="11"/>
    </row>
    <row r="115" spans="2:22" s="22" customFormat="1" ht="27">
      <c r="B115" s="8">
        <f t="shared" si="1"/>
        <v>26</v>
      </c>
      <c r="C115" s="239" t="s">
        <v>4443</v>
      </c>
      <c r="D115" s="234" t="s">
        <v>4456</v>
      </c>
      <c r="E115" s="282">
        <v>117806</v>
      </c>
      <c r="F115" s="311" t="s">
        <v>4458</v>
      </c>
      <c r="G115" s="238">
        <v>44027</v>
      </c>
      <c r="H115" s="239" t="s">
        <v>368</v>
      </c>
      <c r="I115" s="398">
        <v>49504</v>
      </c>
      <c r="J115" s="242">
        <v>5478</v>
      </c>
      <c r="K115" s="242">
        <v>0</v>
      </c>
      <c r="L115" s="242">
        <v>5478</v>
      </c>
      <c r="M115" s="242">
        <v>5890</v>
      </c>
      <c r="N115" s="399">
        <v>111916</v>
      </c>
      <c r="O115" s="242">
        <v>117806</v>
      </c>
      <c r="P115" s="242">
        <v>5478</v>
      </c>
      <c r="Q115" s="242">
        <v>111916</v>
      </c>
      <c r="R115" s="251">
        <v>365</v>
      </c>
      <c r="S115" s="250">
        <v>7457</v>
      </c>
      <c r="T115" s="242">
        <v>12769</v>
      </c>
      <c r="U115" s="242">
        <v>105037</v>
      </c>
      <c r="V115" s="11"/>
    </row>
    <row r="116" spans="2:22" s="22" customFormat="1" ht="27">
      <c r="B116" s="8">
        <f t="shared" si="1"/>
        <v>27</v>
      </c>
      <c r="C116" s="239" t="s">
        <v>4444</v>
      </c>
      <c r="D116" s="234" t="s">
        <v>4370</v>
      </c>
      <c r="E116" s="282">
        <v>353419</v>
      </c>
      <c r="F116" s="311" t="s">
        <v>4458</v>
      </c>
      <c r="G116" s="238">
        <v>44027</v>
      </c>
      <c r="H116" s="239" t="s">
        <v>368</v>
      </c>
      <c r="I116" s="398">
        <v>49504</v>
      </c>
      <c r="J116" s="242">
        <v>5478</v>
      </c>
      <c r="K116" s="242">
        <v>0</v>
      </c>
      <c r="L116" s="242">
        <v>5478</v>
      </c>
      <c r="M116" s="242">
        <v>17671</v>
      </c>
      <c r="N116" s="399">
        <v>335748</v>
      </c>
      <c r="O116" s="242">
        <v>353419</v>
      </c>
      <c r="P116" s="242">
        <v>5478</v>
      </c>
      <c r="Q116" s="242">
        <v>335748</v>
      </c>
      <c r="R116" s="251">
        <v>365</v>
      </c>
      <c r="S116" s="250">
        <v>22371</v>
      </c>
      <c r="T116" s="242">
        <v>38306</v>
      </c>
      <c r="U116" s="242">
        <v>315113</v>
      </c>
      <c r="V116" s="11"/>
    </row>
    <row r="117" spans="2:22" s="22" customFormat="1" ht="27">
      <c r="B117" s="8">
        <f t="shared" si="1"/>
        <v>28</v>
      </c>
      <c r="C117" s="239" t="s">
        <v>4445</v>
      </c>
      <c r="D117" s="234" t="s">
        <v>4370</v>
      </c>
      <c r="E117" s="282">
        <v>11781</v>
      </c>
      <c r="F117" s="311" t="s">
        <v>4458</v>
      </c>
      <c r="G117" s="238">
        <v>44027</v>
      </c>
      <c r="H117" s="239" t="s">
        <v>368</v>
      </c>
      <c r="I117" s="398">
        <v>49504</v>
      </c>
      <c r="J117" s="242">
        <v>5478</v>
      </c>
      <c r="K117" s="242">
        <v>0</v>
      </c>
      <c r="L117" s="242">
        <v>5478</v>
      </c>
      <c r="M117" s="242">
        <v>589</v>
      </c>
      <c r="N117" s="399">
        <v>11192</v>
      </c>
      <c r="O117" s="242">
        <v>11781</v>
      </c>
      <c r="P117" s="242">
        <v>5478</v>
      </c>
      <c r="Q117" s="242">
        <v>11192</v>
      </c>
      <c r="R117" s="251">
        <v>365</v>
      </c>
      <c r="S117" s="250">
        <v>746</v>
      </c>
      <c r="T117" s="242">
        <v>1277</v>
      </c>
      <c r="U117" s="242">
        <v>10504</v>
      </c>
      <c r="V117" s="11"/>
    </row>
    <row r="118" spans="2:22" s="22" customFormat="1" ht="27">
      <c r="B118" s="8">
        <f t="shared" si="1"/>
        <v>29</v>
      </c>
      <c r="C118" s="239" t="s">
        <v>4446</v>
      </c>
      <c r="D118" s="234" t="s">
        <v>4370</v>
      </c>
      <c r="E118" s="282">
        <v>1354774</v>
      </c>
      <c r="F118" s="311" t="s">
        <v>4458</v>
      </c>
      <c r="G118" s="238">
        <v>44027</v>
      </c>
      <c r="H118" s="239" t="s">
        <v>368</v>
      </c>
      <c r="I118" s="398">
        <v>49504</v>
      </c>
      <c r="J118" s="242">
        <v>5478</v>
      </c>
      <c r="K118" s="242">
        <v>0</v>
      </c>
      <c r="L118" s="242">
        <v>5478</v>
      </c>
      <c r="M118" s="242">
        <v>67739</v>
      </c>
      <c r="N118" s="399">
        <v>1287035</v>
      </c>
      <c r="O118" s="242">
        <v>1354774</v>
      </c>
      <c r="P118" s="242">
        <v>5478</v>
      </c>
      <c r="Q118" s="242">
        <v>1287035</v>
      </c>
      <c r="R118" s="251">
        <v>365</v>
      </c>
      <c r="S118" s="250">
        <v>85755</v>
      </c>
      <c r="T118" s="242">
        <v>146841</v>
      </c>
      <c r="U118" s="242">
        <v>1207933</v>
      </c>
      <c r="V118" s="11"/>
    </row>
    <row r="119" spans="2:22" s="22" customFormat="1" ht="27">
      <c r="B119" s="8">
        <f t="shared" si="1"/>
        <v>30</v>
      </c>
      <c r="C119" s="239" t="s">
        <v>4447</v>
      </c>
      <c r="D119" s="234" t="s">
        <v>4457</v>
      </c>
      <c r="E119" s="282">
        <v>29452</v>
      </c>
      <c r="F119" s="311" t="s">
        <v>4458</v>
      </c>
      <c r="G119" s="238">
        <v>44027</v>
      </c>
      <c r="H119" s="239" t="s">
        <v>368</v>
      </c>
      <c r="I119" s="398">
        <v>49504</v>
      </c>
      <c r="J119" s="242">
        <v>5478</v>
      </c>
      <c r="K119" s="242">
        <v>0</v>
      </c>
      <c r="L119" s="242">
        <v>5478</v>
      </c>
      <c r="M119" s="242">
        <v>1473</v>
      </c>
      <c r="N119" s="399">
        <v>27979</v>
      </c>
      <c r="O119" s="242">
        <v>29452</v>
      </c>
      <c r="P119" s="242">
        <v>5478</v>
      </c>
      <c r="Q119" s="242">
        <v>27979</v>
      </c>
      <c r="R119" s="251">
        <v>365</v>
      </c>
      <c r="S119" s="250">
        <v>1864</v>
      </c>
      <c r="T119" s="242">
        <v>3192</v>
      </c>
      <c r="U119" s="242">
        <v>26260</v>
      </c>
      <c r="V119" s="11"/>
    </row>
    <row r="120" spans="2:22" s="22" customFormat="1" ht="27">
      <c r="B120" s="8">
        <f t="shared" si="1"/>
        <v>31</v>
      </c>
      <c r="C120" s="239" t="s">
        <v>4448</v>
      </c>
      <c r="D120" s="234" t="s">
        <v>4457</v>
      </c>
      <c r="E120" s="282">
        <v>29452</v>
      </c>
      <c r="F120" s="311" t="s">
        <v>4458</v>
      </c>
      <c r="G120" s="238">
        <v>44027</v>
      </c>
      <c r="H120" s="239" t="s">
        <v>368</v>
      </c>
      <c r="I120" s="398">
        <v>49504</v>
      </c>
      <c r="J120" s="242">
        <v>5478</v>
      </c>
      <c r="K120" s="242">
        <v>0</v>
      </c>
      <c r="L120" s="242">
        <v>5478</v>
      </c>
      <c r="M120" s="242">
        <v>1473</v>
      </c>
      <c r="N120" s="399">
        <v>27979</v>
      </c>
      <c r="O120" s="242">
        <v>29452</v>
      </c>
      <c r="P120" s="242">
        <v>5478</v>
      </c>
      <c r="Q120" s="242">
        <v>27979</v>
      </c>
      <c r="R120" s="251">
        <v>365</v>
      </c>
      <c r="S120" s="250">
        <v>1864</v>
      </c>
      <c r="T120" s="242">
        <v>3192</v>
      </c>
      <c r="U120" s="242">
        <v>26260</v>
      </c>
      <c r="V120" s="11"/>
    </row>
    <row r="121" spans="2:22" s="22" customFormat="1" ht="27">
      <c r="B121" s="8">
        <f t="shared" si="1"/>
        <v>32</v>
      </c>
      <c r="C121" s="239" t="s">
        <v>4449</v>
      </c>
      <c r="D121" s="234" t="s">
        <v>4456</v>
      </c>
      <c r="E121" s="282">
        <v>47123</v>
      </c>
      <c r="F121" s="311" t="s">
        <v>4458</v>
      </c>
      <c r="G121" s="238">
        <v>44027</v>
      </c>
      <c r="H121" s="239" t="s">
        <v>368</v>
      </c>
      <c r="I121" s="398">
        <v>49504</v>
      </c>
      <c r="J121" s="242">
        <v>5478</v>
      </c>
      <c r="K121" s="242">
        <v>0</v>
      </c>
      <c r="L121" s="242">
        <v>5478</v>
      </c>
      <c r="M121" s="242">
        <v>2356</v>
      </c>
      <c r="N121" s="399">
        <v>44767</v>
      </c>
      <c r="O121" s="242">
        <v>47123</v>
      </c>
      <c r="P121" s="242">
        <v>5478</v>
      </c>
      <c r="Q121" s="242">
        <v>44767</v>
      </c>
      <c r="R121" s="251">
        <v>365</v>
      </c>
      <c r="S121" s="250">
        <v>2983</v>
      </c>
      <c r="T121" s="242">
        <v>5108</v>
      </c>
      <c r="U121" s="242">
        <v>42015</v>
      </c>
      <c r="V121" s="11"/>
    </row>
    <row r="122" spans="2:22" s="22" customFormat="1" ht="27">
      <c r="B122" s="8">
        <f t="shared" si="1"/>
        <v>33</v>
      </c>
      <c r="C122" s="239" t="s">
        <v>4450</v>
      </c>
      <c r="D122" s="234" t="s">
        <v>4456</v>
      </c>
      <c r="E122" s="282">
        <v>636155</v>
      </c>
      <c r="F122" s="311" t="s">
        <v>4458</v>
      </c>
      <c r="G122" s="238">
        <v>44027</v>
      </c>
      <c r="H122" s="239" t="s">
        <v>368</v>
      </c>
      <c r="I122" s="398">
        <v>49504</v>
      </c>
      <c r="J122" s="242">
        <v>5478</v>
      </c>
      <c r="K122" s="242">
        <v>0</v>
      </c>
      <c r="L122" s="242">
        <v>5478</v>
      </c>
      <c r="M122" s="242">
        <v>31808</v>
      </c>
      <c r="N122" s="399">
        <v>604347</v>
      </c>
      <c r="O122" s="242">
        <v>636155</v>
      </c>
      <c r="P122" s="242">
        <v>5478</v>
      </c>
      <c r="Q122" s="242">
        <v>604347</v>
      </c>
      <c r="R122" s="251">
        <v>365</v>
      </c>
      <c r="S122" s="250">
        <v>40268</v>
      </c>
      <c r="T122" s="242">
        <v>68952</v>
      </c>
      <c r="U122" s="242">
        <v>567203</v>
      </c>
      <c r="V122" s="11"/>
    </row>
    <row r="123" spans="2:22" s="22" customFormat="1" ht="27">
      <c r="B123" s="8">
        <f t="shared" si="1"/>
        <v>34</v>
      </c>
      <c r="C123" s="239" t="s">
        <v>4451</v>
      </c>
      <c r="D123" s="234" t="s">
        <v>4456</v>
      </c>
      <c r="E123" s="282">
        <v>117806</v>
      </c>
      <c r="F123" s="311" t="s">
        <v>4458</v>
      </c>
      <c r="G123" s="238">
        <v>44027</v>
      </c>
      <c r="H123" s="239" t="s">
        <v>368</v>
      </c>
      <c r="I123" s="398">
        <v>49504</v>
      </c>
      <c r="J123" s="242">
        <v>5478</v>
      </c>
      <c r="K123" s="242">
        <v>0</v>
      </c>
      <c r="L123" s="242">
        <v>5478</v>
      </c>
      <c r="M123" s="242">
        <v>5890</v>
      </c>
      <c r="N123" s="399">
        <v>111916</v>
      </c>
      <c r="O123" s="242">
        <v>117806</v>
      </c>
      <c r="P123" s="242">
        <v>5478</v>
      </c>
      <c r="Q123" s="242">
        <v>111916</v>
      </c>
      <c r="R123" s="251">
        <v>365</v>
      </c>
      <c r="S123" s="250">
        <v>7457</v>
      </c>
      <c r="T123" s="242">
        <v>12769</v>
      </c>
      <c r="U123" s="242">
        <v>105037</v>
      </c>
      <c r="V123" s="11"/>
    </row>
    <row r="124" spans="2:22" s="22" customFormat="1" ht="27">
      <c r="B124" s="8">
        <f t="shared" si="1"/>
        <v>35</v>
      </c>
      <c r="C124" s="239" t="s">
        <v>4452</v>
      </c>
      <c r="D124" s="234" t="s">
        <v>4456</v>
      </c>
      <c r="E124" s="282">
        <v>23561</v>
      </c>
      <c r="F124" s="311" t="s">
        <v>4458</v>
      </c>
      <c r="G124" s="238">
        <v>44027</v>
      </c>
      <c r="H124" s="239" t="s">
        <v>368</v>
      </c>
      <c r="I124" s="398">
        <v>49504</v>
      </c>
      <c r="J124" s="242">
        <v>5478</v>
      </c>
      <c r="K124" s="242">
        <v>0</v>
      </c>
      <c r="L124" s="242">
        <v>5478</v>
      </c>
      <c r="M124" s="242">
        <v>1178</v>
      </c>
      <c r="N124" s="399">
        <v>22383</v>
      </c>
      <c r="O124" s="242">
        <v>23561</v>
      </c>
      <c r="P124" s="242">
        <v>5478</v>
      </c>
      <c r="Q124" s="242">
        <v>22383</v>
      </c>
      <c r="R124" s="251">
        <v>365</v>
      </c>
      <c r="S124" s="250">
        <v>1491</v>
      </c>
      <c r="T124" s="242">
        <v>2553</v>
      </c>
      <c r="U124" s="242">
        <v>21008</v>
      </c>
      <c r="V124" s="11"/>
    </row>
    <row r="125" spans="2:22" s="22" customFormat="1" ht="27">
      <c r="B125" s="8">
        <f t="shared" si="1"/>
        <v>36</v>
      </c>
      <c r="C125" s="239" t="s">
        <v>4453</v>
      </c>
      <c r="D125" s="234" t="s">
        <v>4370</v>
      </c>
      <c r="E125" s="282">
        <v>41232</v>
      </c>
      <c r="F125" s="311" t="s">
        <v>4458</v>
      </c>
      <c r="G125" s="238">
        <v>44027</v>
      </c>
      <c r="H125" s="239" t="s">
        <v>368</v>
      </c>
      <c r="I125" s="398">
        <v>49504</v>
      </c>
      <c r="J125" s="242">
        <v>5478</v>
      </c>
      <c r="K125" s="242">
        <v>0</v>
      </c>
      <c r="L125" s="242">
        <v>5478</v>
      </c>
      <c r="M125" s="242">
        <v>2062</v>
      </c>
      <c r="N125" s="399">
        <v>39170</v>
      </c>
      <c r="O125" s="242">
        <v>41232</v>
      </c>
      <c r="P125" s="242">
        <v>5478</v>
      </c>
      <c r="Q125" s="242">
        <v>39170</v>
      </c>
      <c r="R125" s="251">
        <v>365</v>
      </c>
      <c r="S125" s="250">
        <v>2610</v>
      </c>
      <c r="T125" s="242">
        <v>4469</v>
      </c>
      <c r="U125" s="242">
        <v>36763</v>
      </c>
      <c r="V125" s="11"/>
    </row>
    <row r="126" spans="2:22" s="22" customFormat="1" ht="27">
      <c r="B126" s="8">
        <f t="shared" si="1"/>
        <v>37</v>
      </c>
      <c r="C126" s="239" t="s">
        <v>4454</v>
      </c>
      <c r="D126" s="234" t="s">
        <v>4370</v>
      </c>
      <c r="E126" s="282">
        <v>15315</v>
      </c>
      <c r="F126" s="311" t="s">
        <v>4458</v>
      </c>
      <c r="G126" s="238">
        <v>44027</v>
      </c>
      <c r="H126" s="239" t="s">
        <v>368</v>
      </c>
      <c r="I126" s="398">
        <v>49504</v>
      </c>
      <c r="J126" s="242">
        <v>5478</v>
      </c>
      <c r="K126" s="242">
        <v>0</v>
      </c>
      <c r="L126" s="242">
        <v>5478</v>
      </c>
      <c r="M126" s="242">
        <v>766</v>
      </c>
      <c r="N126" s="399">
        <v>14549</v>
      </c>
      <c r="O126" s="242">
        <v>15315</v>
      </c>
      <c r="P126" s="242">
        <v>5478</v>
      </c>
      <c r="Q126" s="242">
        <v>14549</v>
      </c>
      <c r="R126" s="251">
        <v>365</v>
      </c>
      <c r="S126" s="250">
        <v>969</v>
      </c>
      <c r="T126" s="242">
        <v>1660</v>
      </c>
      <c r="U126" s="242">
        <v>13655</v>
      </c>
      <c r="V126" s="11"/>
    </row>
    <row r="127" spans="2:22" s="22" customFormat="1" ht="27">
      <c r="B127" s="8">
        <f t="shared" si="1"/>
        <v>38</v>
      </c>
      <c r="C127" s="239" t="s">
        <v>4455</v>
      </c>
      <c r="D127" s="234" t="s">
        <v>4370</v>
      </c>
      <c r="E127" s="282">
        <v>353419</v>
      </c>
      <c r="F127" s="311" t="s">
        <v>4458</v>
      </c>
      <c r="G127" s="238">
        <v>44027</v>
      </c>
      <c r="H127" s="239" t="s">
        <v>368</v>
      </c>
      <c r="I127" s="398">
        <v>49504</v>
      </c>
      <c r="J127" s="242">
        <v>5478</v>
      </c>
      <c r="K127" s="242">
        <v>0</v>
      </c>
      <c r="L127" s="242">
        <v>5478</v>
      </c>
      <c r="M127" s="242">
        <v>17671</v>
      </c>
      <c r="N127" s="399">
        <v>335748</v>
      </c>
      <c r="O127" s="242">
        <v>353419</v>
      </c>
      <c r="P127" s="242">
        <v>5478</v>
      </c>
      <c r="Q127" s="242">
        <v>335748</v>
      </c>
      <c r="R127" s="251">
        <v>365</v>
      </c>
      <c r="S127" s="250">
        <v>22371</v>
      </c>
      <c r="T127" s="242">
        <v>38306</v>
      </c>
      <c r="U127" s="242">
        <v>315113</v>
      </c>
      <c r="V127" s="11"/>
    </row>
    <row r="128" spans="2:22" s="22" customFormat="1" ht="81">
      <c r="B128" s="8">
        <f t="shared" si="1"/>
        <v>39</v>
      </c>
      <c r="C128" s="239" t="s">
        <v>4640</v>
      </c>
      <c r="D128" s="234">
        <v>1</v>
      </c>
      <c r="E128" s="282">
        <f>(306918+22576)</f>
        <v>329494</v>
      </c>
      <c r="F128" s="311" t="s">
        <v>4641</v>
      </c>
      <c r="G128" s="238">
        <v>44609</v>
      </c>
      <c r="H128" s="239" t="s">
        <v>368</v>
      </c>
      <c r="I128" s="398">
        <v>50087</v>
      </c>
      <c r="J128" s="242">
        <v>5479</v>
      </c>
      <c r="K128" s="242">
        <v>0</v>
      </c>
      <c r="L128" s="242">
        <v>5479</v>
      </c>
      <c r="M128" s="242">
        <v>16475</v>
      </c>
      <c r="N128" s="399">
        <v>313019</v>
      </c>
      <c r="O128" s="242">
        <v>329494</v>
      </c>
      <c r="P128" s="242">
        <v>5479</v>
      </c>
      <c r="Q128" s="242">
        <v>313019</v>
      </c>
      <c r="R128" s="251">
        <v>43</v>
      </c>
      <c r="S128" s="250">
        <v>2457</v>
      </c>
      <c r="T128" s="242">
        <v>2457</v>
      </c>
      <c r="U128" s="242">
        <v>327037</v>
      </c>
      <c r="V128" s="11"/>
    </row>
    <row r="129" spans="2:22" s="22" customFormat="1">
      <c r="B129" s="8"/>
      <c r="C129" s="239"/>
      <c r="D129" s="234"/>
      <c r="E129" s="231"/>
      <c r="F129" s="234"/>
      <c r="G129" s="238"/>
      <c r="H129" s="239"/>
      <c r="I129" s="270"/>
      <c r="J129" s="242"/>
      <c r="K129" s="242"/>
      <c r="L129" s="242"/>
      <c r="M129" s="242"/>
      <c r="N129" s="242"/>
      <c r="O129" s="242"/>
      <c r="P129" s="242"/>
      <c r="Q129" s="242"/>
      <c r="R129" s="250"/>
      <c r="S129" s="242"/>
      <c r="T129" s="242"/>
      <c r="U129" s="242"/>
      <c r="V129" s="11"/>
    </row>
    <row r="130" spans="2:22" s="22" customFormat="1" ht="14.25">
      <c r="B130" s="51" t="s">
        <v>905</v>
      </c>
      <c r="C130" s="244"/>
      <c r="D130" s="234"/>
      <c r="E130" s="248"/>
      <c r="F130" s="331"/>
      <c r="G130" s="238"/>
      <c r="H130" s="239"/>
      <c r="I130" s="228"/>
      <c r="J130" s="228"/>
      <c r="K130" s="228"/>
      <c r="L130" s="228"/>
      <c r="M130" s="228"/>
      <c r="N130" s="228"/>
      <c r="O130" s="242"/>
      <c r="P130" s="228"/>
      <c r="Q130" s="228"/>
      <c r="R130" s="250"/>
      <c r="S130" s="242"/>
      <c r="T130" s="242"/>
      <c r="U130" s="228"/>
      <c r="V130" s="11"/>
    </row>
    <row r="131" spans="2:22" s="22" customFormat="1">
      <c r="B131" s="8">
        <v>1</v>
      </c>
      <c r="C131" s="228" t="s">
        <v>906</v>
      </c>
      <c r="D131" s="234" t="s">
        <v>314</v>
      </c>
      <c r="E131" s="231">
        <v>6000333</v>
      </c>
      <c r="F131" s="254" t="s">
        <v>907</v>
      </c>
      <c r="G131" s="233">
        <v>40449</v>
      </c>
      <c r="H131" s="239" t="s">
        <v>368</v>
      </c>
      <c r="I131" s="270">
        <v>49579</v>
      </c>
      <c r="J131" s="242">
        <v>9131</v>
      </c>
      <c r="K131" s="242">
        <v>1281</v>
      </c>
      <c r="L131" s="242">
        <v>7850</v>
      </c>
      <c r="M131" s="242">
        <v>300017</v>
      </c>
      <c r="N131" s="242">
        <v>4589283</v>
      </c>
      <c r="O131" s="242">
        <v>4675913</v>
      </c>
      <c r="P131" s="242">
        <v>7485</v>
      </c>
      <c r="Q131" s="242">
        <v>4375896</v>
      </c>
      <c r="R131" s="250">
        <v>365</v>
      </c>
      <c r="S131" s="242">
        <v>213387</v>
      </c>
      <c r="T131" s="242">
        <v>1494879</v>
      </c>
      <c r="U131" s="242">
        <v>3181034</v>
      </c>
      <c r="V131" s="11"/>
    </row>
    <row r="132" spans="2:22" s="22" customFormat="1" ht="27">
      <c r="B132" s="8">
        <f t="shared" ref="B132:B166" si="2">+B131+1</f>
        <v>2</v>
      </c>
      <c r="C132" s="332" t="s">
        <v>908</v>
      </c>
      <c r="D132" s="234" t="s">
        <v>314</v>
      </c>
      <c r="E132" s="231">
        <v>500160</v>
      </c>
      <c r="F132" s="254" t="s">
        <v>909</v>
      </c>
      <c r="G132" s="238">
        <v>40449</v>
      </c>
      <c r="H132" s="239" t="s">
        <v>368</v>
      </c>
      <c r="I132" s="270">
        <v>49579</v>
      </c>
      <c r="J132" s="242">
        <v>9131</v>
      </c>
      <c r="K132" s="242">
        <v>1281</v>
      </c>
      <c r="L132" s="242">
        <v>7850</v>
      </c>
      <c r="M132" s="242">
        <v>25008</v>
      </c>
      <c r="N132" s="242">
        <v>382543</v>
      </c>
      <c r="O132" s="242">
        <v>389764</v>
      </c>
      <c r="P132" s="242">
        <v>7485</v>
      </c>
      <c r="Q132" s="242">
        <v>364756</v>
      </c>
      <c r="R132" s="250">
        <v>365</v>
      </c>
      <c r="S132" s="242">
        <v>17787</v>
      </c>
      <c r="T132" s="242">
        <v>124607</v>
      </c>
      <c r="U132" s="242">
        <v>265157</v>
      </c>
      <c r="V132" s="11"/>
    </row>
    <row r="133" spans="2:22" s="22" customFormat="1" ht="27">
      <c r="B133" s="8">
        <f t="shared" si="2"/>
        <v>3</v>
      </c>
      <c r="C133" s="332" t="s">
        <v>908</v>
      </c>
      <c r="D133" s="234" t="s">
        <v>314</v>
      </c>
      <c r="E133" s="231">
        <v>11742</v>
      </c>
      <c r="F133" s="254" t="s">
        <v>910</v>
      </c>
      <c r="G133" s="238">
        <v>40449</v>
      </c>
      <c r="H133" s="239" t="s">
        <v>368</v>
      </c>
      <c r="I133" s="270">
        <v>49579</v>
      </c>
      <c r="J133" s="242">
        <v>9131</v>
      </c>
      <c r="K133" s="242">
        <v>1281</v>
      </c>
      <c r="L133" s="242">
        <v>7850</v>
      </c>
      <c r="M133" s="242">
        <v>587</v>
      </c>
      <c r="N133" s="242">
        <v>8981</v>
      </c>
      <c r="O133" s="242">
        <v>9150</v>
      </c>
      <c r="P133" s="242">
        <v>7485</v>
      </c>
      <c r="Q133" s="242">
        <v>8563</v>
      </c>
      <c r="R133" s="250">
        <v>365</v>
      </c>
      <c r="S133" s="242">
        <v>418</v>
      </c>
      <c r="T133" s="242">
        <v>2928</v>
      </c>
      <c r="U133" s="242">
        <v>6222</v>
      </c>
      <c r="V133" s="11"/>
    </row>
    <row r="134" spans="2:22" s="22" customFormat="1" ht="27">
      <c r="B134" s="8">
        <f t="shared" si="2"/>
        <v>4</v>
      </c>
      <c r="C134" s="332" t="s">
        <v>908</v>
      </c>
      <c r="D134" s="234" t="s">
        <v>314</v>
      </c>
      <c r="E134" s="231">
        <v>105677</v>
      </c>
      <c r="F134" s="254" t="s">
        <v>911</v>
      </c>
      <c r="G134" s="238">
        <v>40449</v>
      </c>
      <c r="H134" s="239" t="s">
        <v>368</v>
      </c>
      <c r="I134" s="270">
        <v>49579</v>
      </c>
      <c r="J134" s="242">
        <v>9131</v>
      </c>
      <c r="K134" s="242">
        <v>1281</v>
      </c>
      <c r="L134" s="242">
        <v>7850</v>
      </c>
      <c r="M134" s="242">
        <v>5284</v>
      </c>
      <c r="N134" s="242">
        <v>80825</v>
      </c>
      <c r="O134" s="242">
        <v>82351</v>
      </c>
      <c r="P134" s="242">
        <v>7485</v>
      </c>
      <c r="Q134" s="242">
        <v>77067</v>
      </c>
      <c r="R134" s="250">
        <v>365</v>
      </c>
      <c r="S134" s="242">
        <v>3758</v>
      </c>
      <c r="T134" s="242">
        <v>26326</v>
      </c>
      <c r="U134" s="242">
        <v>56025</v>
      </c>
      <c r="V134" s="11"/>
    </row>
    <row r="135" spans="2:22" s="22" customFormat="1" ht="27">
      <c r="B135" s="8">
        <f t="shared" si="2"/>
        <v>5</v>
      </c>
      <c r="C135" s="332" t="s">
        <v>678</v>
      </c>
      <c r="D135" s="234" t="s">
        <v>314</v>
      </c>
      <c r="E135" s="231">
        <v>211246</v>
      </c>
      <c r="F135" s="254" t="s">
        <v>679</v>
      </c>
      <c r="G135" s="238">
        <v>40546</v>
      </c>
      <c r="H135" s="239" t="s">
        <v>368</v>
      </c>
      <c r="I135" s="270">
        <v>49676</v>
      </c>
      <c r="J135" s="242">
        <v>9131</v>
      </c>
      <c r="K135" s="242">
        <v>1184</v>
      </c>
      <c r="L135" s="242">
        <v>7947</v>
      </c>
      <c r="M135" s="242">
        <v>10562</v>
      </c>
      <c r="N135" s="242">
        <v>164533</v>
      </c>
      <c r="O135" s="242">
        <v>167538</v>
      </c>
      <c r="P135" s="242">
        <v>7582</v>
      </c>
      <c r="Q135" s="242">
        <v>156976</v>
      </c>
      <c r="R135" s="250">
        <v>365</v>
      </c>
      <c r="S135" s="242">
        <v>7557</v>
      </c>
      <c r="T135" s="242">
        <v>52941</v>
      </c>
      <c r="U135" s="242">
        <v>114597</v>
      </c>
      <c r="V135" s="11"/>
    </row>
    <row r="136" spans="2:22" s="22" customFormat="1" ht="27">
      <c r="B136" s="8">
        <f t="shared" si="2"/>
        <v>6</v>
      </c>
      <c r="C136" s="332" t="s">
        <v>680</v>
      </c>
      <c r="D136" s="234" t="s">
        <v>314</v>
      </c>
      <c r="E136" s="231">
        <v>1688754</v>
      </c>
      <c r="F136" s="254" t="s">
        <v>681</v>
      </c>
      <c r="G136" s="238">
        <v>40546</v>
      </c>
      <c r="H136" s="239" t="s">
        <v>368</v>
      </c>
      <c r="I136" s="270">
        <v>49676</v>
      </c>
      <c r="J136" s="242">
        <v>9131</v>
      </c>
      <c r="K136" s="242">
        <v>1184</v>
      </c>
      <c r="L136" s="242">
        <v>7947</v>
      </c>
      <c r="M136" s="242">
        <v>84438</v>
      </c>
      <c r="N136" s="242">
        <v>1315320</v>
      </c>
      <c r="O136" s="242">
        <v>1339346</v>
      </c>
      <c r="P136" s="242">
        <v>7582</v>
      </c>
      <c r="Q136" s="242">
        <v>1254908</v>
      </c>
      <c r="R136" s="250">
        <v>365</v>
      </c>
      <c r="S136" s="242">
        <v>60412</v>
      </c>
      <c r="T136" s="242">
        <v>423214</v>
      </c>
      <c r="U136" s="242">
        <v>916132</v>
      </c>
      <c r="V136" s="11"/>
    </row>
    <row r="137" spans="2:22" s="22" customFormat="1" ht="27">
      <c r="B137" s="8">
        <f t="shared" si="2"/>
        <v>7</v>
      </c>
      <c r="C137" s="332" t="s">
        <v>676</v>
      </c>
      <c r="D137" s="234" t="s">
        <v>314</v>
      </c>
      <c r="E137" s="231">
        <v>272717</v>
      </c>
      <c r="F137" s="234" t="s">
        <v>677</v>
      </c>
      <c r="G137" s="238">
        <v>40057</v>
      </c>
      <c r="H137" s="239" t="s">
        <v>368</v>
      </c>
      <c r="I137" s="270">
        <v>49187</v>
      </c>
      <c r="J137" s="242">
        <v>9131</v>
      </c>
      <c r="K137" s="242">
        <v>1673</v>
      </c>
      <c r="L137" s="242">
        <v>7458</v>
      </c>
      <c r="M137" s="242">
        <v>13636</v>
      </c>
      <c r="N137" s="242">
        <v>193121</v>
      </c>
      <c r="O137" s="242">
        <v>197306</v>
      </c>
      <c r="P137" s="242">
        <v>7093</v>
      </c>
      <c r="Q137" s="242">
        <v>183670</v>
      </c>
      <c r="R137" s="250">
        <v>365</v>
      </c>
      <c r="S137" s="242">
        <v>9452</v>
      </c>
      <c r="T137" s="242">
        <v>66214</v>
      </c>
      <c r="U137" s="242">
        <v>131092</v>
      </c>
      <c r="V137" s="11"/>
    </row>
    <row r="138" spans="2:22" s="22" customFormat="1" ht="27">
      <c r="B138" s="8">
        <f t="shared" si="2"/>
        <v>8</v>
      </c>
      <c r="C138" s="332" t="s">
        <v>2962</v>
      </c>
      <c r="D138" s="234" t="s">
        <v>314</v>
      </c>
      <c r="E138" s="231">
        <f>248494047</f>
        <v>248494047</v>
      </c>
      <c r="F138" s="234" t="s">
        <v>2963</v>
      </c>
      <c r="G138" s="238">
        <v>42095</v>
      </c>
      <c r="H138" s="239" t="s">
        <v>368</v>
      </c>
      <c r="I138" s="270">
        <v>51226</v>
      </c>
      <c r="J138" s="242">
        <v>9132</v>
      </c>
      <c r="K138" s="242">
        <v>0</v>
      </c>
      <c r="L138" s="242">
        <v>9132</v>
      </c>
      <c r="M138" s="242">
        <v>12424702</v>
      </c>
      <c r="N138" s="242">
        <v>236069345</v>
      </c>
      <c r="O138" s="242">
        <v>248494047</v>
      </c>
      <c r="P138" s="242">
        <v>9132</v>
      </c>
      <c r="Q138" s="242">
        <v>236069345</v>
      </c>
      <c r="R138" s="250">
        <v>365</v>
      </c>
      <c r="S138" s="242">
        <v>9435536</v>
      </c>
      <c r="T138" s="242">
        <v>66100452</v>
      </c>
      <c r="U138" s="242">
        <v>182393595</v>
      </c>
      <c r="V138" s="11"/>
    </row>
    <row r="139" spans="2:22" s="22" customFormat="1" ht="27">
      <c r="B139" s="8">
        <f t="shared" si="2"/>
        <v>9</v>
      </c>
      <c r="C139" s="332" t="s">
        <v>2964</v>
      </c>
      <c r="D139" s="234" t="s">
        <v>314</v>
      </c>
      <c r="E139" s="231">
        <f>188853584</f>
        <v>188853584</v>
      </c>
      <c r="F139" s="234" t="s">
        <v>2963</v>
      </c>
      <c r="G139" s="238">
        <v>42095</v>
      </c>
      <c r="H139" s="239" t="s">
        <v>368</v>
      </c>
      <c r="I139" s="270">
        <v>51226</v>
      </c>
      <c r="J139" s="242">
        <v>9132</v>
      </c>
      <c r="K139" s="242">
        <v>0</v>
      </c>
      <c r="L139" s="242">
        <v>9132</v>
      </c>
      <c r="M139" s="242">
        <v>9442679</v>
      </c>
      <c r="N139" s="242">
        <v>179410905</v>
      </c>
      <c r="O139" s="242">
        <v>188853584</v>
      </c>
      <c r="P139" s="242">
        <v>9132</v>
      </c>
      <c r="Q139" s="242">
        <v>179410905</v>
      </c>
      <c r="R139" s="250">
        <v>365</v>
      </c>
      <c r="S139" s="242">
        <v>7170935</v>
      </c>
      <c r="T139" s="242">
        <v>50235839</v>
      </c>
      <c r="U139" s="242">
        <v>138617745</v>
      </c>
      <c r="V139" s="11"/>
    </row>
    <row r="140" spans="2:22" s="22" customFormat="1" ht="27">
      <c r="B140" s="8">
        <f t="shared" si="2"/>
        <v>10</v>
      </c>
      <c r="C140" s="332" t="s">
        <v>2964</v>
      </c>
      <c r="D140" s="234" t="s">
        <v>314</v>
      </c>
      <c r="E140" s="231">
        <f>50541627-44859114</f>
        <v>5682513</v>
      </c>
      <c r="F140" s="234" t="s">
        <v>2963</v>
      </c>
      <c r="G140" s="238">
        <v>42647</v>
      </c>
      <c r="H140" s="239" t="s">
        <v>368</v>
      </c>
      <c r="I140" s="270">
        <v>51777</v>
      </c>
      <c r="J140" s="242">
        <v>9131</v>
      </c>
      <c r="K140" s="242">
        <v>0</v>
      </c>
      <c r="L140" s="242">
        <v>9131</v>
      </c>
      <c r="M140" s="242">
        <v>284126</v>
      </c>
      <c r="N140" s="242">
        <v>5398387</v>
      </c>
      <c r="O140" s="242">
        <v>5682513</v>
      </c>
      <c r="P140" s="242">
        <v>9131</v>
      </c>
      <c r="Q140" s="242">
        <v>5398387</v>
      </c>
      <c r="R140" s="250">
        <v>365</v>
      </c>
      <c r="S140" s="242">
        <v>215794</v>
      </c>
      <c r="T140" s="242">
        <v>1185389</v>
      </c>
      <c r="U140" s="242">
        <v>4497124</v>
      </c>
      <c r="V140" s="11"/>
    </row>
    <row r="141" spans="2:22" s="22" customFormat="1" ht="40.5">
      <c r="B141" s="8">
        <f t="shared" si="2"/>
        <v>11</v>
      </c>
      <c r="C141" s="332" t="s">
        <v>4008</v>
      </c>
      <c r="D141" s="234" t="s">
        <v>314</v>
      </c>
      <c r="E141" s="231">
        <v>471912</v>
      </c>
      <c r="F141" s="234" t="s">
        <v>2963</v>
      </c>
      <c r="G141" s="238">
        <v>42647</v>
      </c>
      <c r="H141" s="239" t="s">
        <v>368</v>
      </c>
      <c r="I141" s="270">
        <v>51777</v>
      </c>
      <c r="J141" s="242">
        <v>9131</v>
      </c>
      <c r="K141" s="242">
        <v>0</v>
      </c>
      <c r="L141" s="242">
        <v>9131</v>
      </c>
      <c r="M141" s="242">
        <v>23596</v>
      </c>
      <c r="N141" s="242">
        <v>448316</v>
      </c>
      <c r="O141" s="242">
        <v>471912</v>
      </c>
      <c r="P141" s="242">
        <v>9131</v>
      </c>
      <c r="Q141" s="242">
        <v>448316</v>
      </c>
      <c r="R141" s="250">
        <v>365</v>
      </c>
      <c r="S141" s="242">
        <v>17921</v>
      </c>
      <c r="T141" s="242">
        <v>98443</v>
      </c>
      <c r="U141" s="242">
        <v>373469</v>
      </c>
      <c r="V141" s="11"/>
    </row>
    <row r="142" spans="2:22" s="22" customFormat="1" ht="27">
      <c r="B142" s="8">
        <f t="shared" si="2"/>
        <v>12</v>
      </c>
      <c r="C142" s="332" t="s">
        <v>4009</v>
      </c>
      <c r="D142" s="234" t="s">
        <v>314</v>
      </c>
      <c r="E142" s="231">
        <v>1020900</v>
      </c>
      <c r="F142" s="234" t="s">
        <v>2963</v>
      </c>
      <c r="G142" s="238">
        <v>42647</v>
      </c>
      <c r="H142" s="239" t="s">
        <v>368</v>
      </c>
      <c r="I142" s="270">
        <v>51777</v>
      </c>
      <c r="J142" s="242">
        <v>9131</v>
      </c>
      <c r="K142" s="242">
        <v>0</v>
      </c>
      <c r="L142" s="242">
        <v>9131</v>
      </c>
      <c r="M142" s="242">
        <v>51045</v>
      </c>
      <c r="N142" s="242">
        <v>969855</v>
      </c>
      <c r="O142" s="242">
        <v>1020900</v>
      </c>
      <c r="P142" s="242">
        <v>9131</v>
      </c>
      <c r="Q142" s="242">
        <v>969855</v>
      </c>
      <c r="R142" s="250">
        <v>365</v>
      </c>
      <c r="S142" s="242">
        <v>38769</v>
      </c>
      <c r="T142" s="242">
        <v>212964</v>
      </c>
      <c r="U142" s="242">
        <v>807936</v>
      </c>
      <c r="V142" s="11"/>
    </row>
    <row r="143" spans="2:22" s="22" customFormat="1" ht="40.5">
      <c r="B143" s="8">
        <f t="shared" si="2"/>
        <v>13</v>
      </c>
      <c r="C143" s="332" t="s">
        <v>4010</v>
      </c>
      <c r="D143" s="234" t="s">
        <v>314</v>
      </c>
      <c r="E143" s="231">
        <v>758344</v>
      </c>
      <c r="F143" s="234" t="s">
        <v>2963</v>
      </c>
      <c r="G143" s="238">
        <v>42647</v>
      </c>
      <c r="H143" s="239" t="s">
        <v>368</v>
      </c>
      <c r="I143" s="270">
        <v>51777</v>
      </c>
      <c r="J143" s="242">
        <v>9131</v>
      </c>
      <c r="K143" s="242">
        <v>0</v>
      </c>
      <c r="L143" s="242">
        <v>9131</v>
      </c>
      <c r="M143" s="242">
        <v>37917</v>
      </c>
      <c r="N143" s="242">
        <v>720427</v>
      </c>
      <c r="O143" s="242">
        <v>758344</v>
      </c>
      <c r="P143" s="242">
        <v>9131</v>
      </c>
      <c r="Q143" s="242">
        <v>720427</v>
      </c>
      <c r="R143" s="250">
        <v>365</v>
      </c>
      <c r="S143" s="242">
        <v>28798</v>
      </c>
      <c r="T143" s="242">
        <v>158192</v>
      </c>
      <c r="U143" s="242">
        <v>600152</v>
      </c>
      <c r="V143" s="11"/>
    </row>
    <row r="144" spans="2:22" s="22" customFormat="1" ht="27">
      <c r="B144" s="8">
        <f t="shared" si="2"/>
        <v>14</v>
      </c>
      <c r="C144" s="332" t="s">
        <v>4011</v>
      </c>
      <c r="D144" s="234" t="s">
        <v>314</v>
      </c>
      <c r="E144" s="231">
        <v>7475607</v>
      </c>
      <c r="F144" s="234" t="s">
        <v>2963</v>
      </c>
      <c r="G144" s="238">
        <v>42647</v>
      </c>
      <c r="H144" s="239" t="s">
        <v>368</v>
      </c>
      <c r="I144" s="270">
        <v>51777</v>
      </c>
      <c r="J144" s="242">
        <v>9131</v>
      </c>
      <c r="K144" s="242">
        <v>0</v>
      </c>
      <c r="L144" s="242">
        <v>9131</v>
      </c>
      <c r="M144" s="242">
        <v>373780</v>
      </c>
      <c r="N144" s="242">
        <v>7101827</v>
      </c>
      <c r="O144" s="242">
        <v>7475607</v>
      </c>
      <c r="P144" s="242">
        <v>9131</v>
      </c>
      <c r="Q144" s="242">
        <v>7101827</v>
      </c>
      <c r="R144" s="250">
        <v>365</v>
      </c>
      <c r="S144" s="242">
        <v>283886</v>
      </c>
      <c r="T144" s="242">
        <v>1559429</v>
      </c>
      <c r="U144" s="242">
        <v>5916178</v>
      </c>
      <c r="V144" s="11"/>
    </row>
    <row r="145" spans="2:22" s="22" customFormat="1" ht="54">
      <c r="B145" s="8">
        <f t="shared" si="2"/>
        <v>15</v>
      </c>
      <c r="C145" s="332" t="s">
        <v>4012</v>
      </c>
      <c r="D145" s="234" t="s">
        <v>314</v>
      </c>
      <c r="E145" s="231">
        <v>843836</v>
      </c>
      <c r="F145" s="234" t="s">
        <v>2963</v>
      </c>
      <c r="G145" s="238">
        <v>42647</v>
      </c>
      <c r="H145" s="239" t="s">
        <v>368</v>
      </c>
      <c r="I145" s="270">
        <v>51777</v>
      </c>
      <c r="J145" s="242">
        <v>9131</v>
      </c>
      <c r="K145" s="242">
        <v>0</v>
      </c>
      <c r="L145" s="242">
        <v>9131</v>
      </c>
      <c r="M145" s="242">
        <v>42192</v>
      </c>
      <c r="N145" s="242">
        <v>801644</v>
      </c>
      <c r="O145" s="242">
        <v>843836</v>
      </c>
      <c r="P145" s="242">
        <v>9131</v>
      </c>
      <c r="Q145" s="242">
        <v>801644</v>
      </c>
      <c r="R145" s="250">
        <v>365</v>
      </c>
      <c r="S145" s="242">
        <v>32045</v>
      </c>
      <c r="T145" s="242">
        <v>176027</v>
      </c>
      <c r="U145" s="242">
        <v>667809</v>
      </c>
      <c r="V145" s="11"/>
    </row>
    <row r="146" spans="2:22" s="22" customFormat="1" ht="27">
      <c r="B146" s="8">
        <f t="shared" si="2"/>
        <v>16</v>
      </c>
      <c r="C146" s="332" t="s">
        <v>4013</v>
      </c>
      <c r="D146" s="234" t="s">
        <v>314</v>
      </c>
      <c r="E146" s="231">
        <v>4194055</v>
      </c>
      <c r="F146" s="234" t="s">
        <v>2963</v>
      </c>
      <c r="G146" s="238">
        <v>42647</v>
      </c>
      <c r="H146" s="239" t="s">
        <v>368</v>
      </c>
      <c r="I146" s="270">
        <v>51777</v>
      </c>
      <c r="J146" s="242">
        <v>9131</v>
      </c>
      <c r="K146" s="242">
        <v>0</v>
      </c>
      <c r="L146" s="242">
        <v>9131</v>
      </c>
      <c r="M146" s="242">
        <v>209703</v>
      </c>
      <c r="N146" s="242">
        <v>3984352</v>
      </c>
      <c r="O146" s="242">
        <v>4194055</v>
      </c>
      <c r="P146" s="242">
        <v>9131</v>
      </c>
      <c r="Q146" s="242">
        <v>3984352</v>
      </c>
      <c r="R146" s="250">
        <v>365</v>
      </c>
      <c r="S146" s="242">
        <v>159269</v>
      </c>
      <c r="T146" s="242">
        <v>874889</v>
      </c>
      <c r="U146" s="242">
        <v>3319166</v>
      </c>
      <c r="V146" s="11"/>
    </row>
    <row r="147" spans="2:22" s="22" customFormat="1" ht="27">
      <c r="B147" s="8">
        <f t="shared" si="2"/>
        <v>17</v>
      </c>
      <c r="C147" s="332" t="s">
        <v>4014</v>
      </c>
      <c r="D147" s="234" t="s">
        <v>314</v>
      </c>
      <c r="E147" s="231">
        <v>126638</v>
      </c>
      <c r="F147" s="234" t="s">
        <v>2963</v>
      </c>
      <c r="G147" s="238">
        <v>42647</v>
      </c>
      <c r="H147" s="239" t="s">
        <v>368</v>
      </c>
      <c r="I147" s="270">
        <v>51777</v>
      </c>
      <c r="J147" s="242">
        <v>9131</v>
      </c>
      <c r="K147" s="242">
        <v>0</v>
      </c>
      <c r="L147" s="242">
        <v>9131</v>
      </c>
      <c r="M147" s="242">
        <v>6332</v>
      </c>
      <c r="N147" s="242">
        <v>120306</v>
      </c>
      <c r="O147" s="242">
        <v>126638</v>
      </c>
      <c r="P147" s="242">
        <v>9131</v>
      </c>
      <c r="Q147" s="242">
        <v>120306</v>
      </c>
      <c r="R147" s="250">
        <v>365</v>
      </c>
      <c r="S147" s="242">
        <v>4809</v>
      </c>
      <c r="T147" s="242">
        <v>26416</v>
      </c>
      <c r="U147" s="242">
        <v>100222</v>
      </c>
      <c r="V147" s="11"/>
    </row>
    <row r="148" spans="2:22" s="22" customFormat="1" ht="27">
      <c r="B148" s="8">
        <f t="shared" si="2"/>
        <v>18</v>
      </c>
      <c r="C148" s="332" t="s">
        <v>4015</v>
      </c>
      <c r="D148" s="234" t="s">
        <v>314</v>
      </c>
      <c r="E148" s="231">
        <v>310372</v>
      </c>
      <c r="F148" s="234" t="s">
        <v>4016</v>
      </c>
      <c r="G148" s="238">
        <v>42647</v>
      </c>
      <c r="H148" s="239" t="s">
        <v>368</v>
      </c>
      <c r="I148" s="270">
        <v>51777</v>
      </c>
      <c r="J148" s="242">
        <v>9131</v>
      </c>
      <c r="K148" s="242">
        <v>0</v>
      </c>
      <c r="L148" s="242">
        <v>9131</v>
      </c>
      <c r="M148" s="242">
        <v>15519</v>
      </c>
      <c r="N148" s="242">
        <v>294853</v>
      </c>
      <c r="O148" s="242">
        <v>310372</v>
      </c>
      <c r="P148" s="242">
        <v>9131</v>
      </c>
      <c r="Q148" s="242">
        <v>294853</v>
      </c>
      <c r="R148" s="250">
        <v>365</v>
      </c>
      <c r="S148" s="242">
        <v>11786</v>
      </c>
      <c r="T148" s="242">
        <v>64743</v>
      </c>
      <c r="U148" s="242">
        <v>245629</v>
      </c>
      <c r="V148" s="11"/>
    </row>
    <row r="149" spans="2:22" s="22" customFormat="1" ht="27">
      <c r="B149" s="8">
        <f t="shared" si="2"/>
        <v>19</v>
      </c>
      <c r="C149" s="332" t="s">
        <v>4017</v>
      </c>
      <c r="D149" s="234" t="s">
        <v>314</v>
      </c>
      <c r="E149" s="231">
        <v>184046</v>
      </c>
      <c r="F149" s="234">
        <v>1445204210</v>
      </c>
      <c r="G149" s="238">
        <v>42647</v>
      </c>
      <c r="H149" s="239" t="s">
        <v>368</v>
      </c>
      <c r="I149" s="270">
        <v>51777</v>
      </c>
      <c r="J149" s="242">
        <v>9131</v>
      </c>
      <c r="K149" s="242">
        <v>0</v>
      </c>
      <c r="L149" s="242">
        <v>9131</v>
      </c>
      <c r="M149" s="242">
        <v>9202</v>
      </c>
      <c r="N149" s="242">
        <v>174844</v>
      </c>
      <c r="O149" s="242">
        <v>184046</v>
      </c>
      <c r="P149" s="242">
        <v>9131</v>
      </c>
      <c r="Q149" s="242">
        <v>174844</v>
      </c>
      <c r="R149" s="250">
        <v>365</v>
      </c>
      <c r="S149" s="242">
        <v>6989</v>
      </c>
      <c r="T149" s="242">
        <v>38392</v>
      </c>
      <c r="U149" s="242">
        <v>145654</v>
      </c>
      <c r="V149" s="11"/>
    </row>
    <row r="150" spans="2:22" s="22" customFormat="1" ht="27">
      <c r="B150" s="8">
        <f t="shared" si="2"/>
        <v>20</v>
      </c>
      <c r="C150" s="332" t="s">
        <v>4018</v>
      </c>
      <c r="D150" s="234" t="s">
        <v>314</v>
      </c>
      <c r="E150" s="231">
        <v>129195739</v>
      </c>
      <c r="F150" s="234" t="s">
        <v>2963</v>
      </c>
      <c r="G150" s="238">
        <v>42647</v>
      </c>
      <c r="H150" s="239" t="s">
        <v>368</v>
      </c>
      <c r="I150" s="270">
        <v>51777</v>
      </c>
      <c r="J150" s="242">
        <v>9131</v>
      </c>
      <c r="K150" s="242">
        <v>0</v>
      </c>
      <c r="L150" s="242">
        <v>9131</v>
      </c>
      <c r="M150" s="242">
        <v>6459787</v>
      </c>
      <c r="N150" s="242">
        <v>122735952</v>
      </c>
      <c r="O150" s="242">
        <v>129195739</v>
      </c>
      <c r="P150" s="242">
        <v>9131</v>
      </c>
      <c r="Q150" s="242">
        <v>122735952</v>
      </c>
      <c r="R150" s="250">
        <v>365</v>
      </c>
      <c r="S150" s="242">
        <v>4906212</v>
      </c>
      <c r="T150" s="242">
        <v>26950562</v>
      </c>
      <c r="U150" s="242">
        <v>102245177</v>
      </c>
      <c r="V150" s="11"/>
    </row>
    <row r="151" spans="2:22" s="22" customFormat="1">
      <c r="B151" s="8">
        <f t="shared" si="2"/>
        <v>21</v>
      </c>
      <c r="C151" s="332" t="s">
        <v>4019</v>
      </c>
      <c r="D151" s="234" t="s">
        <v>314</v>
      </c>
      <c r="E151" s="231">
        <v>51769799</v>
      </c>
      <c r="F151" s="234" t="s">
        <v>2963</v>
      </c>
      <c r="G151" s="238">
        <v>42647</v>
      </c>
      <c r="H151" s="239" t="s">
        <v>368</v>
      </c>
      <c r="I151" s="270">
        <v>51777</v>
      </c>
      <c r="J151" s="242">
        <v>9131</v>
      </c>
      <c r="K151" s="242">
        <v>0</v>
      </c>
      <c r="L151" s="242">
        <v>9131</v>
      </c>
      <c r="M151" s="242">
        <v>2588490</v>
      </c>
      <c r="N151" s="242">
        <v>49181309</v>
      </c>
      <c r="O151" s="242">
        <v>51769799</v>
      </c>
      <c r="P151" s="242">
        <v>9131</v>
      </c>
      <c r="Q151" s="242">
        <v>49181309</v>
      </c>
      <c r="R151" s="250">
        <v>365</v>
      </c>
      <c r="S151" s="242">
        <v>1965960</v>
      </c>
      <c r="T151" s="242">
        <v>10799314</v>
      </c>
      <c r="U151" s="242">
        <v>40970485</v>
      </c>
      <c r="V151" s="11"/>
    </row>
    <row r="152" spans="2:22" s="22" customFormat="1" ht="27">
      <c r="B152" s="8">
        <f t="shared" si="2"/>
        <v>22</v>
      </c>
      <c r="C152" s="332" t="s">
        <v>4020</v>
      </c>
      <c r="D152" s="234" t="s">
        <v>314</v>
      </c>
      <c r="E152" s="231">
        <v>753568426</v>
      </c>
      <c r="F152" s="234" t="s">
        <v>2963</v>
      </c>
      <c r="G152" s="238">
        <v>42647</v>
      </c>
      <c r="H152" s="239" t="s">
        <v>368</v>
      </c>
      <c r="I152" s="270">
        <v>51777</v>
      </c>
      <c r="J152" s="242">
        <v>9131</v>
      </c>
      <c r="K152" s="242">
        <v>0</v>
      </c>
      <c r="L152" s="242">
        <v>9131</v>
      </c>
      <c r="M152" s="242">
        <v>37678421</v>
      </c>
      <c r="N152" s="242">
        <v>715890005</v>
      </c>
      <c r="O152" s="242">
        <v>753568426</v>
      </c>
      <c r="P152" s="242">
        <v>9131</v>
      </c>
      <c r="Q152" s="242">
        <v>715890005</v>
      </c>
      <c r="R152" s="250">
        <v>365</v>
      </c>
      <c r="S152" s="242">
        <v>28616784</v>
      </c>
      <c r="T152" s="242">
        <v>157196306</v>
      </c>
      <c r="U152" s="242">
        <v>596372120</v>
      </c>
      <c r="V152" s="11"/>
    </row>
    <row r="153" spans="2:22" s="22" customFormat="1" ht="40.5">
      <c r="B153" s="8">
        <f t="shared" si="2"/>
        <v>23</v>
      </c>
      <c r="C153" s="332" t="s">
        <v>4021</v>
      </c>
      <c r="D153" s="234" t="s">
        <v>314</v>
      </c>
      <c r="E153" s="231">
        <v>401687</v>
      </c>
      <c r="F153" s="234" t="s">
        <v>4022</v>
      </c>
      <c r="G153" s="238">
        <v>42647</v>
      </c>
      <c r="H153" s="239" t="s">
        <v>368</v>
      </c>
      <c r="I153" s="270">
        <v>51777</v>
      </c>
      <c r="J153" s="242">
        <v>9131</v>
      </c>
      <c r="K153" s="242">
        <v>0</v>
      </c>
      <c r="L153" s="242">
        <v>9131</v>
      </c>
      <c r="M153" s="242">
        <v>20084</v>
      </c>
      <c r="N153" s="242">
        <v>381603</v>
      </c>
      <c r="O153" s="242">
        <v>401687</v>
      </c>
      <c r="P153" s="242">
        <v>9131</v>
      </c>
      <c r="Q153" s="242">
        <v>381603</v>
      </c>
      <c r="R153" s="250">
        <v>365</v>
      </c>
      <c r="S153" s="242">
        <v>15254</v>
      </c>
      <c r="T153" s="242">
        <v>83793</v>
      </c>
      <c r="U153" s="242">
        <v>317894</v>
      </c>
      <c r="V153" s="11"/>
    </row>
    <row r="154" spans="2:22" s="22" customFormat="1" ht="27">
      <c r="B154" s="8">
        <f t="shared" si="2"/>
        <v>24</v>
      </c>
      <c r="C154" s="332" t="s">
        <v>4023</v>
      </c>
      <c r="D154" s="234" t="s">
        <v>314</v>
      </c>
      <c r="E154" s="231">
        <v>589890</v>
      </c>
      <c r="F154" s="234" t="s">
        <v>4024</v>
      </c>
      <c r="G154" s="238">
        <v>42647</v>
      </c>
      <c r="H154" s="239" t="s">
        <v>368</v>
      </c>
      <c r="I154" s="270">
        <v>51777</v>
      </c>
      <c r="J154" s="242">
        <v>9131</v>
      </c>
      <c r="K154" s="242">
        <v>0</v>
      </c>
      <c r="L154" s="242">
        <v>9131</v>
      </c>
      <c r="M154" s="242">
        <v>29495</v>
      </c>
      <c r="N154" s="242">
        <v>560395</v>
      </c>
      <c r="O154" s="242">
        <v>589890</v>
      </c>
      <c r="P154" s="242">
        <v>9131</v>
      </c>
      <c r="Q154" s="242">
        <v>560396</v>
      </c>
      <c r="R154" s="250">
        <v>365</v>
      </c>
      <c r="S154" s="242">
        <v>22401</v>
      </c>
      <c r="T154" s="242">
        <v>123052</v>
      </c>
      <c r="U154" s="242">
        <v>466838</v>
      </c>
      <c r="V154" s="11"/>
    </row>
    <row r="155" spans="2:22" s="22" customFormat="1" ht="27">
      <c r="B155" s="8">
        <f t="shared" si="2"/>
        <v>25</v>
      </c>
      <c r="C155" s="332" t="s">
        <v>4025</v>
      </c>
      <c r="D155" s="234" t="s">
        <v>314</v>
      </c>
      <c r="E155" s="231">
        <v>712628</v>
      </c>
      <c r="F155" s="234">
        <v>1440912319</v>
      </c>
      <c r="G155" s="238">
        <v>42647</v>
      </c>
      <c r="H155" s="239" t="s">
        <v>368</v>
      </c>
      <c r="I155" s="270">
        <v>51777</v>
      </c>
      <c r="J155" s="242">
        <v>9131</v>
      </c>
      <c r="K155" s="242">
        <v>0</v>
      </c>
      <c r="L155" s="242">
        <v>9131</v>
      </c>
      <c r="M155" s="242">
        <v>35631</v>
      </c>
      <c r="N155" s="242">
        <v>676997</v>
      </c>
      <c r="O155" s="242">
        <v>712628</v>
      </c>
      <c r="P155" s="242">
        <v>9131</v>
      </c>
      <c r="Q155" s="242">
        <v>676997</v>
      </c>
      <c r="R155" s="250">
        <v>365</v>
      </c>
      <c r="S155" s="242">
        <v>27062</v>
      </c>
      <c r="T155" s="242">
        <v>148656</v>
      </c>
      <c r="U155" s="242">
        <v>563972</v>
      </c>
      <c r="V155" s="11"/>
    </row>
    <row r="156" spans="2:22" s="22" customFormat="1" ht="27">
      <c r="B156" s="8">
        <f t="shared" si="2"/>
        <v>26</v>
      </c>
      <c r="C156" s="332" t="s">
        <v>4027</v>
      </c>
      <c r="D156" s="234" t="s">
        <v>314</v>
      </c>
      <c r="E156" s="231">
        <v>252810</v>
      </c>
      <c r="F156" s="234" t="s">
        <v>4026</v>
      </c>
      <c r="G156" s="238">
        <v>42647</v>
      </c>
      <c r="H156" s="239" t="s">
        <v>368</v>
      </c>
      <c r="I156" s="270">
        <v>51777</v>
      </c>
      <c r="J156" s="242">
        <v>9131</v>
      </c>
      <c r="K156" s="242">
        <v>0</v>
      </c>
      <c r="L156" s="242">
        <v>9131</v>
      </c>
      <c r="M156" s="242">
        <v>12641</v>
      </c>
      <c r="N156" s="242">
        <v>240169</v>
      </c>
      <c r="O156" s="242">
        <v>252810</v>
      </c>
      <c r="P156" s="242">
        <v>9131</v>
      </c>
      <c r="Q156" s="242">
        <v>240170</v>
      </c>
      <c r="R156" s="250">
        <v>365</v>
      </c>
      <c r="S156" s="242">
        <v>9600</v>
      </c>
      <c r="T156" s="242">
        <v>52735</v>
      </c>
      <c r="U156" s="242">
        <v>200075</v>
      </c>
      <c r="V156" s="11"/>
    </row>
    <row r="157" spans="2:22" s="22" customFormat="1">
      <c r="B157" s="8">
        <f t="shared" si="2"/>
        <v>27</v>
      </c>
      <c r="C157" s="332" t="s">
        <v>4028</v>
      </c>
      <c r="D157" s="234" t="s">
        <v>314</v>
      </c>
      <c r="E157" s="231">
        <v>7332526</v>
      </c>
      <c r="F157" s="234" t="s">
        <v>4029</v>
      </c>
      <c r="G157" s="238">
        <v>42647</v>
      </c>
      <c r="H157" s="239" t="s">
        <v>368</v>
      </c>
      <c r="I157" s="270">
        <v>51777</v>
      </c>
      <c r="J157" s="242">
        <v>9131</v>
      </c>
      <c r="K157" s="242">
        <v>0</v>
      </c>
      <c r="L157" s="242">
        <v>9131</v>
      </c>
      <c r="M157" s="242">
        <v>366626</v>
      </c>
      <c r="N157" s="242">
        <v>6965900</v>
      </c>
      <c r="O157" s="242">
        <v>7332526</v>
      </c>
      <c r="P157" s="242">
        <v>9131</v>
      </c>
      <c r="Q157" s="242">
        <v>6965900</v>
      </c>
      <c r="R157" s="250">
        <v>365</v>
      </c>
      <c r="S157" s="242">
        <v>278453</v>
      </c>
      <c r="T157" s="242">
        <v>1529584</v>
      </c>
      <c r="U157" s="242">
        <v>5802942</v>
      </c>
      <c r="V157" s="11"/>
    </row>
    <row r="158" spans="2:22" s="22" customFormat="1" ht="27">
      <c r="B158" s="8">
        <f t="shared" si="2"/>
        <v>28</v>
      </c>
      <c r="C158" s="332" t="s">
        <v>4030</v>
      </c>
      <c r="D158" s="234" t="s">
        <v>314</v>
      </c>
      <c r="E158" s="231">
        <v>1154030</v>
      </c>
      <c r="F158" s="299" t="s">
        <v>4031</v>
      </c>
      <c r="G158" s="238">
        <v>42647</v>
      </c>
      <c r="H158" s="239" t="s">
        <v>368</v>
      </c>
      <c r="I158" s="270">
        <v>51777</v>
      </c>
      <c r="J158" s="242">
        <v>9131</v>
      </c>
      <c r="K158" s="242">
        <v>0</v>
      </c>
      <c r="L158" s="242">
        <v>9131</v>
      </c>
      <c r="M158" s="242">
        <v>57702</v>
      </c>
      <c r="N158" s="242">
        <v>1096328</v>
      </c>
      <c r="O158" s="242">
        <v>1154030</v>
      </c>
      <c r="P158" s="242">
        <v>9131</v>
      </c>
      <c r="Q158" s="242">
        <v>1096329</v>
      </c>
      <c r="R158" s="250">
        <v>365</v>
      </c>
      <c r="S158" s="242">
        <v>43824</v>
      </c>
      <c r="T158" s="242">
        <v>240732</v>
      </c>
      <c r="U158" s="242">
        <v>913298</v>
      </c>
      <c r="V158" s="11"/>
    </row>
    <row r="159" spans="2:22" s="22" customFormat="1">
      <c r="B159" s="8">
        <f t="shared" si="2"/>
        <v>29</v>
      </c>
      <c r="C159" s="332" t="s">
        <v>4032</v>
      </c>
      <c r="D159" s="234" t="s">
        <v>314</v>
      </c>
      <c r="E159" s="231">
        <v>183100</v>
      </c>
      <c r="F159" s="299" t="s">
        <v>4033</v>
      </c>
      <c r="G159" s="238">
        <v>42647</v>
      </c>
      <c r="H159" s="239" t="s">
        <v>368</v>
      </c>
      <c r="I159" s="270">
        <v>51777</v>
      </c>
      <c r="J159" s="242">
        <v>9131</v>
      </c>
      <c r="K159" s="242">
        <v>0</v>
      </c>
      <c r="L159" s="242">
        <v>9131</v>
      </c>
      <c r="M159" s="242">
        <v>9155</v>
      </c>
      <c r="N159" s="242">
        <v>173945</v>
      </c>
      <c r="O159" s="242">
        <v>183100</v>
      </c>
      <c r="P159" s="242">
        <v>9131</v>
      </c>
      <c r="Q159" s="242">
        <v>173945</v>
      </c>
      <c r="R159" s="250">
        <v>365</v>
      </c>
      <c r="S159" s="242">
        <v>6953</v>
      </c>
      <c r="T159" s="242">
        <v>38194</v>
      </c>
      <c r="U159" s="242">
        <v>144906</v>
      </c>
      <c r="V159" s="11"/>
    </row>
    <row r="160" spans="2:22" s="22" customFormat="1">
      <c r="B160" s="8">
        <f t="shared" si="2"/>
        <v>30</v>
      </c>
      <c r="C160" s="332" t="s">
        <v>4045</v>
      </c>
      <c r="D160" s="234" t="s">
        <v>314</v>
      </c>
      <c r="E160" s="231">
        <v>137952</v>
      </c>
      <c r="F160" s="299">
        <v>1613305963</v>
      </c>
      <c r="G160" s="238">
        <v>42647</v>
      </c>
      <c r="H160" s="239" t="s">
        <v>368</v>
      </c>
      <c r="I160" s="270">
        <v>51777</v>
      </c>
      <c r="J160" s="242">
        <v>9131</v>
      </c>
      <c r="K160" s="242">
        <v>0</v>
      </c>
      <c r="L160" s="242">
        <v>9131</v>
      </c>
      <c r="M160" s="242">
        <v>6898</v>
      </c>
      <c r="N160" s="242">
        <v>131054</v>
      </c>
      <c r="O160" s="242">
        <v>137952</v>
      </c>
      <c r="P160" s="242">
        <v>9131</v>
      </c>
      <c r="Q160" s="242">
        <v>131054</v>
      </c>
      <c r="R160" s="250">
        <v>365</v>
      </c>
      <c r="S160" s="242">
        <v>5239</v>
      </c>
      <c r="T160" s="242">
        <v>28778</v>
      </c>
      <c r="U160" s="242">
        <v>109174</v>
      </c>
      <c r="V160" s="11"/>
    </row>
    <row r="161" spans="2:22" s="22" customFormat="1" ht="40.5">
      <c r="B161" s="8">
        <f t="shared" si="2"/>
        <v>31</v>
      </c>
      <c r="C161" s="332" t="s">
        <v>4034</v>
      </c>
      <c r="D161" s="234" t="s">
        <v>314</v>
      </c>
      <c r="E161" s="231">
        <v>1259500</v>
      </c>
      <c r="F161" s="234" t="s">
        <v>4035</v>
      </c>
      <c r="G161" s="238">
        <v>42647</v>
      </c>
      <c r="H161" s="239" t="s">
        <v>368</v>
      </c>
      <c r="I161" s="270">
        <v>51777</v>
      </c>
      <c r="J161" s="242">
        <v>9131</v>
      </c>
      <c r="K161" s="242">
        <v>0</v>
      </c>
      <c r="L161" s="242">
        <v>9131</v>
      </c>
      <c r="M161" s="242">
        <v>62975</v>
      </c>
      <c r="N161" s="242">
        <v>1196525</v>
      </c>
      <c r="O161" s="242">
        <v>1259500</v>
      </c>
      <c r="P161" s="242">
        <v>9131</v>
      </c>
      <c r="Q161" s="242">
        <v>1196525</v>
      </c>
      <c r="R161" s="250">
        <v>365</v>
      </c>
      <c r="S161" s="242">
        <v>47830</v>
      </c>
      <c r="T161" s="242">
        <v>262737</v>
      </c>
      <c r="U161" s="242">
        <v>996763</v>
      </c>
      <c r="V161" s="11"/>
    </row>
    <row r="162" spans="2:22" s="22" customFormat="1">
      <c r="B162" s="8">
        <f t="shared" si="2"/>
        <v>32</v>
      </c>
      <c r="C162" s="332" t="s">
        <v>4036</v>
      </c>
      <c r="D162" s="234" t="s">
        <v>314</v>
      </c>
      <c r="E162" s="231">
        <v>188755</v>
      </c>
      <c r="F162" s="234" t="s">
        <v>4037</v>
      </c>
      <c r="G162" s="238">
        <v>42647</v>
      </c>
      <c r="H162" s="239" t="s">
        <v>368</v>
      </c>
      <c r="I162" s="270">
        <v>51777</v>
      </c>
      <c r="J162" s="242">
        <v>9131</v>
      </c>
      <c r="K162" s="242">
        <v>0</v>
      </c>
      <c r="L162" s="242">
        <v>9131</v>
      </c>
      <c r="M162" s="242">
        <v>9438</v>
      </c>
      <c r="N162" s="242">
        <v>179317</v>
      </c>
      <c r="O162" s="242">
        <v>188755</v>
      </c>
      <c r="P162" s="242">
        <v>9131</v>
      </c>
      <c r="Q162" s="242">
        <v>179317</v>
      </c>
      <c r="R162" s="250">
        <v>365</v>
      </c>
      <c r="S162" s="242">
        <v>7168</v>
      </c>
      <c r="T162" s="242">
        <v>39375</v>
      </c>
      <c r="U162" s="242">
        <v>149380</v>
      </c>
      <c r="V162" s="11"/>
    </row>
    <row r="163" spans="2:22" s="22" customFormat="1">
      <c r="B163" s="8">
        <f t="shared" si="2"/>
        <v>33</v>
      </c>
      <c r="C163" s="332" t="s">
        <v>4038</v>
      </c>
      <c r="D163" s="234" t="s">
        <v>314</v>
      </c>
      <c r="E163" s="231">
        <v>799995</v>
      </c>
      <c r="F163" s="234">
        <v>16002605</v>
      </c>
      <c r="G163" s="238">
        <v>42647</v>
      </c>
      <c r="H163" s="239" t="s">
        <v>368</v>
      </c>
      <c r="I163" s="270">
        <v>51777</v>
      </c>
      <c r="J163" s="242">
        <v>9131</v>
      </c>
      <c r="K163" s="242">
        <v>0</v>
      </c>
      <c r="L163" s="242">
        <v>9131</v>
      </c>
      <c r="M163" s="242">
        <v>40000</v>
      </c>
      <c r="N163" s="242">
        <v>759995</v>
      </c>
      <c r="O163" s="242">
        <v>799995</v>
      </c>
      <c r="P163" s="242">
        <v>9131</v>
      </c>
      <c r="Q163" s="242">
        <v>759995</v>
      </c>
      <c r="R163" s="250">
        <v>365</v>
      </c>
      <c r="S163" s="242">
        <v>30380</v>
      </c>
      <c r="T163" s="242">
        <v>166882</v>
      </c>
      <c r="U163" s="242">
        <v>633113</v>
      </c>
      <c r="V163" s="11"/>
    </row>
    <row r="164" spans="2:22" s="22" customFormat="1" ht="27">
      <c r="B164" s="8">
        <f t="shared" si="2"/>
        <v>34</v>
      </c>
      <c r="C164" s="332" t="s">
        <v>4039</v>
      </c>
      <c r="D164" s="234" t="s">
        <v>314</v>
      </c>
      <c r="E164" s="231">
        <v>59325</v>
      </c>
      <c r="F164" s="234" t="s">
        <v>4040</v>
      </c>
      <c r="G164" s="238">
        <v>42647</v>
      </c>
      <c r="H164" s="239" t="s">
        <v>368</v>
      </c>
      <c r="I164" s="270">
        <v>51777</v>
      </c>
      <c r="J164" s="242">
        <v>9131</v>
      </c>
      <c r="K164" s="242">
        <v>0</v>
      </c>
      <c r="L164" s="242">
        <v>9131</v>
      </c>
      <c r="M164" s="242">
        <v>2966</v>
      </c>
      <c r="N164" s="242">
        <v>56359</v>
      </c>
      <c r="O164" s="242">
        <v>59325</v>
      </c>
      <c r="P164" s="242">
        <v>9131</v>
      </c>
      <c r="Q164" s="242">
        <v>56359</v>
      </c>
      <c r="R164" s="250">
        <v>365</v>
      </c>
      <c r="S164" s="242">
        <v>2253</v>
      </c>
      <c r="T164" s="242">
        <v>12376</v>
      </c>
      <c r="U164" s="242">
        <v>46949</v>
      </c>
      <c r="V164" s="11"/>
    </row>
    <row r="165" spans="2:22" s="22" customFormat="1">
      <c r="B165" s="8">
        <f t="shared" si="2"/>
        <v>35</v>
      </c>
      <c r="C165" s="332" t="s">
        <v>4041</v>
      </c>
      <c r="D165" s="234" t="s">
        <v>314</v>
      </c>
      <c r="E165" s="231">
        <v>179540</v>
      </c>
      <c r="F165" s="234" t="s">
        <v>4042</v>
      </c>
      <c r="G165" s="238">
        <v>42647</v>
      </c>
      <c r="H165" s="239" t="s">
        <v>368</v>
      </c>
      <c r="I165" s="270">
        <v>51777</v>
      </c>
      <c r="J165" s="242">
        <v>9131</v>
      </c>
      <c r="K165" s="242">
        <v>0</v>
      </c>
      <c r="L165" s="242">
        <v>9131</v>
      </c>
      <c r="M165" s="242">
        <v>8977</v>
      </c>
      <c r="N165" s="242">
        <v>170563</v>
      </c>
      <c r="O165" s="242">
        <v>179540</v>
      </c>
      <c r="P165" s="242">
        <v>9131</v>
      </c>
      <c r="Q165" s="242">
        <v>170563</v>
      </c>
      <c r="R165" s="250">
        <v>365</v>
      </c>
      <c r="S165" s="242">
        <v>6818</v>
      </c>
      <c r="T165" s="242">
        <v>37453</v>
      </c>
      <c r="U165" s="242">
        <v>142087</v>
      </c>
      <c r="V165" s="11"/>
    </row>
    <row r="166" spans="2:22" s="22" customFormat="1" ht="27">
      <c r="B166" s="8">
        <f t="shared" si="2"/>
        <v>36</v>
      </c>
      <c r="C166" s="332" t="s">
        <v>4043</v>
      </c>
      <c r="D166" s="234" t="s">
        <v>314</v>
      </c>
      <c r="E166" s="231">
        <v>2000000</v>
      </c>
      <c r="F166" s="234" t="s">
        <v>4044</v>
      </c>
      <c r="G166" s="238">
        <v>42647</v>
      </c>
      <c r="H166" s="239" t="s">
        <v>368</v>
      </c>
      <c r="I166" s="270">
        <v>51777</v>
      </c>
      <c r="J166" s="242">
        <v>9131</v>
      </c>
      <c r="K166" s="242">
        <v>0</v>
      </c>
      <c r="L166" s="242">
        <v>9131</v>
      </c>
      <c r="M166" s="242">
        <v>100000</v>
      </c>
      <c r="N166" s="242">
        <v>1900000</v>
      </c>
      <c r="O166" s="242">
        <v>2000000</v>
      </c>
      <c r="P166" s="242">
        <v>9131</v>
      </c>
      <c r="Q166" s="242">
        <v>1900000</v>
      </c>
      <c r="R166" s="250">
        <v>365</v>
      </c>
      <c r="S166" s="242">
        <v>75950</v>
      </c>
      <c r="T166" s="242">
        <v>417205</v>
      </c>
      <c r="U166" s="242">
        <v>1582795</v>
      </c>
      <c r="V166" s="11"/>
    </row>
    <row r="167" spans="2:22" s="22" customFormat="1" ht="40.5">
      <c r="B167" s="8">
        <v>37</v>
      </c>
      <c r="C167" s="239" t="s">
        <v>4604</v>
      </c>
      <c r="D167" s="234" t="s">
        <v>314</v>
      </c>
      <c r="E167" s="231">
        <f>929232</f>
        <v>929232</v>
      </c>
      <c r="F167" s="311" t="s">
        <v>4605</v>
      </c>
      <c r="G167" s="238">
        <v>44311</v>
      </c>
      <c r="H167" s="239" t="s">
        <v>368</v>
      </c>
      <c r="I167" s="398">
        <v>53441</v>
      </c>
      <c r="J167" s="242">
        <v>9131</v>
      </c>
      <c r="K167" s="242">
        <v>0</v>
      </c>
      <c r="L167" s="242">
        <v>9131</v>
      </c>
      <c r="M167" s="242">
        <v>46462</v>
      </c>
      <c r="N167" s="399">
        <v>882770</v>
      </c>
      <c r="O167" s="242">
        <v>929232</v>
      </c>
      <c r="P167" s="242">
        <v>9131</v>
      </c>
      <c r="Q167" s="242">
        <v>882770</v>
      </c>
      <c r="R167" s="251">
        <v>341</v>
      </c>
      <c r="S167" s="250">
        <v>32967</v>
      </c>
      <c r="T167" s="242">
        <v>32967</v>
      </c>
      <c r="U167" s="242">
        <v>896265</v>
      </c>
      <c r="V167" s="11"/>
    </row>
    <row r="168" spans="2:22" s="22" customFormat="1">
      <c r="B168" s="8"/>
      <c r="C168" s="332"/>
      <c r="D168" s="234"/>
      <c r="E168" s="231"/>
      <c r="F168" s="234"/>
      <c r="G168" s="238"/>
      <c r="H168" s="239"/>
      <c r="I168" s="270"/>
      <c r="J168" s="242"/>
      <c r="K168" s="242"/>
      <c r="L168" s="242"/>
      <c r="M168" s="242"/>
      <c r="N168" s="242"/>
      <c r="O168" s="242"/>
      <c r="P168" s="242"/>
      <c r="Q168" s="242"/>
      <c r="R168" s="250"/>
      <c r="S168" s="242"/>
      <c r="T168" s="242"/>
      <c r="U168" s="228"/>
      <c r="V168" s="11"/>
    </row>
    <row r="169" spans="2:22" s="22" customFormat="1" ht="14.25">
      <c r="B169" s="51" t="s">
        <v>925</v>
      </c>
      <c r="C169" s="332"/>
      <c r="D169" s="234"/>
      <c r="E169" s="248"/>
      <c r="F169" s="234"/>
      <c r="G169" s="238"/>
      <c r="H169" s="239"/>
      <c r="I169" s="228"/>
      <c r="J169" s="228"/>
      <c r="K169" s="228"/>
      <c r="L169" s="228"/>
      <c r="M169" s="228"/>
      <c r="N169" s="228"/>
      <c r="O169" s="242"/>
      <c r="P169" s="228"/>
      <c r="Q169" s="228"/>
      <c r="R169" s="250"/>
      <c r="S169" s="242"/>
      <c r="T169" s="242"/>
      <c r="U169" s="228"/>
      <c r="V169" s="11"/>
    </row>
    <row r="170" spans="2:22" s="22" customFormat="1" ht="27">
      <c r="B170" s="8">
        <v>1</v>
      </c>
      <c r="C170" s="332" t="s">
        <v>926</v>
      </c>
      <c r="D170" s="234">
        <v>3</v>
      </c>
      <c r="E170" s="231">
        <f>2882432</f>
        <v>2882432</v>
      </c>
      <c r="F170" s="254" t="s">
        <v>927</v>
      </c>
      <c r="G170" s="238">
        <v>40605</v>
      </c>
      <c r="H170" s="239" t="s">
        <v>368</v>
      </c>
      <c r="I170" s="270">
        <v>46083</v>
      </c>
      <c r="J170" s="242">
        <v>5479</v>
      </c>
      <c r="K170" s="242">
        <v>1125</v>
      </c>
      <c r="L170" s="242">
        <v>4354</v>
      </c>
      <c r="M170" s="242">
        <v>144122</v>
      </c>
      <c r="N170" s="242">
        <v>2316687</v>
      </c>
      <c r="O170" s="242">
        <v>2266599</v>
      </c>
      <c r="P170" s="242">
        <v>3989</v>
      </c>
      <c r="Q170" s="242">
        <v>2122477</v>
      </c>
      <c r="R170" s="250">
        <v>365</v>
      </c>
      <c r="S170" s="242">
        <v>194210</v>
      </c>
      <c r="T170" s="242">
        <v>1360534</v>
      </c>
      <c r="U170" s="242">
        <v>906065</v>
      </c>
      <c r="V170" s="11"/>
    </row>
    <row r="171" spans="2:22" s="22" customFormat="1">
      <c r="B171" s="8">
        <f>+B170+1</f>
        <v>2</v>
      </c>
      <c r="C171" s="245" t="s">
        <v>54</v>
      </c>
      <c r="D171" s="234">
        <v>1</v>
      </c>
      <c r="E171" s="231">
        <v>766500</v>
      </c>
      <c r="F171" s="254" t="s">
        <v>55</v>
      </c>
      <c r="G171" s="238">
        <v>40634</v>
      </c>
      <c r="H171" s="239" t="s">
        <v>368</v>
      </c>
      <c r="I171" s="270">
        <v>46112</v>
      </c>
      <c r="J171" s="242">
        <v>5479</v>
      </c>
      <c r="K171" s="242">
        <v>1096</v>
      </c>
      <c r="L171" s="242">
        <v>4383</v>
      </c>
      <c r="M171" s="242">
        <v>38325</v>
      </c>
      <c r="N171" s="242">
        <v>618949</v>
      </c>
      <c r="O171" s="242">
        <v>605730</v>
      </c>
      <c r="P171" s="242">
        <v>4018</v>
      </c>
      <c r="Q171" s="242">
        <v>567405</v>
      </c>
      <c r="R171" s="250">
        <v>365</v>
      </c>
      <c r="S171" s="242">
        <v>51544</v>
      </c>
      <c r="T171" s="242">
        <v>361090</v>
      </c>
      <c r="U171" s="242">
        <v>244640</v>
      </c>
      <c r="V171" s="11"/>
    </row>
    <row r="172" spans="2:22" s="22" customFormat="1">
      <c r="B172" s="8">
        <f>+B171+1</f>
        <v>3</v>
      </c>
      <c r="C172" s="245" t="s">
        <v>1874</v>
      </c>
      <c r="D172" s="234">
        <v>1</v>
      </c>
      <c r="E172" s="231">
        <v>96450</v>
      </c>
      <c r="F172" s="254" t="s">
        <v>1875</v>
      </c>
      <c r="G172" s="238">
        <v>41000</v>
      </c>
      <c r="H172" s="239" t="s">
        <v>368</v>
      </c>
      <c r="I172" s="270">
        <v>46477</v>
      </c>
      <c r="J172" s="242">
        <v>5478</v>
      </c>
      <c r="K172" s="242">
        <v>730</v>
      </c>
      <c r="L172" s="242">
        <v>4748</v>
      </c>
      <c r="M172" s="242">
        <v>4823</v>
      </c>
      <c r="N172" s="242">
        <v>82465</v>
      </c>
      <c r="O172" s="242">
        <v>80949</v>
      </c>
      <c r="P172" s="242">
        <v>4383</v>
      </c>
      <c r="Q172" s="242">
        <v>76127</v>
      </c>
      <c r="R172" s="250">
        <v>365</v>
      </c>
      <c r="S172" s="242">
        <v>6340</v>
      </c>
      <c r="T172" s="242">
        <v>44414</v>
      </c>
      <c r="U172" s="242">
        <v>36535</v>
      </c>
      <c r="V172" s="11"/>
    </row>
    <row r="173" spans="2:22" s="22" customFormat="1" ht="40.5">
      <c r="B173" s="8">
        <f>+B172+1</f>
        <v>4</v>
      </c>
      <c r="C173" s="245" t="s">
        <v>2666</v>
      </c>
      <c r="D173" s="234">
        <v>1</v>
      </c>
      <c r="E173" s="231">
        <v>791857</v>
      </c>
      <c r="F173" s="333" t="s">
        <v>1891</v>
      </c>
      <c r="G173" s="238">
        <v>41019</v>
      </c>
      <c r="H173" s="239" t="s">
        <v>368</v>
      </c>
      <c r="I173" s="270">
        <v>46496</v>
      </c>
      <c r="J173" s="242">
        <v>5478</v>
      </c>
      <c r="K173" s="242">
        <v>711</v>
      </c>
      <c r="L173" s="242">
        <v>4767</v>
      </c>
      <c r="M173" s="242">
        <v>39593</v>
      </c>
      <c r="N173" s="242">
        <v>678996</v>
      </c>
      <c r="O173" s="242">
        <v>666600</v>
      </c>
      <c r="P173" s="242">
        <v>4402</v>
      </c>
      <c r="Q173" s="242">
        <v>627007</v>
      </c>
      <c r="R173" s="250">
        <v>365</v>
      </c>
      <c r="S173" s="242">
        <v>51989</v>
      </c>
      <c r="T173" s="242">
        <v>364209</v>
      </c>
      <c r="U173" s="242">
        <v>302391</v>
      </c>
      <c r="V173" s="11"/>
    </row>
    <row r="174" spans="2:22" s="22" customFormat="1" ht="27">
      <c r="B174" s="8">
        <f>+B173+1</f>
        <v>5</v>
      </c>
      <c r="C174" s="239" t="s">
        <v>2665</v>
      </c>
      <c r="D174" s="234">
        <v>1</v>
      </c>
      <c r="E174" s="231">
        <f>630947+57078</f>
        <v>688025</v>
      </c>
      <c r="F174" s="234" t="s">
        <v>2655</v>
      </c>
      <c r="G174" s="238">
        <v>42036</v>
      </c>
      <c r="H174" s="239" t="s">
        <v>368</v>
      </c>
      <c r="I174" s="270">
        <v>47514</v>
      </c>
      <c r="J174" s="242">
        <v>5479</v>
      </c>
      <c r="K174" s="242">
        <v>0</v>
      </c>
      <c r="L174" s="242">
        <v>5479</v>
      </c>
      <c r="M174" s="242">
        <v>34401</v>
      </c>
      <c r="N174" s="242">
        <v>653624</v>
      </c>
      <c r="O174" s="242">
        <v>680987</v>
      </c>
      <c r="P174" s="242">
        <v>5420</v>
      </c>
      <c r="Q174" s="242">
        <v>646586</v>
      </c>
      <c r="R174" s="250">
        <v>365</v>
      </c>
      <c r="S174" s="242">
        <v>43543</v>
      </c>
      <c r="T174" s="242">
        <v>305039</v>
      </c>
      <c r="U174" s="242">
        <v>375948</v>
      </c>
      <c r="V174" s="11"/>
    </row>
    <row r="175" spans="2:22" s="22" customFormat="1">
      <c r="B175" s="8"/>
      <c r="C175" s="245"/>
      <c r="D175" s="234"/>
      <c r="E175" s="231"/>
      <c r="F175" s="333"/>
      <c r="G175" s="238"/>
      <c r="H175" s="239"/>
      <c r="I175" s="270"/>
      <c r="J175" s="242"/>
      <c r="K175" s="242"/>
      <c r="L175" s="242"/>
      <c r="M175" s="242"/>
      <c r="N175" s="242"/>
      <c r="O175" s="242"/>
      <c r="P175" s="242"/>
      <c r="Q175" s="272"/>
      <c r="R175" s="250"/>
      <c r="S175" s="242"/>
      <c r="T175" s="242"/>
      <c r="U175" s="228"/>
      <c r="V175" s="11"/>
    </row>
    <row r="176" spans="2:22" s="22" customFormat="1" ht="14.25">
      <c r="B176" s="51" t="s">
        <v>2095</v>
      </c>
      <c r="C176" s="245"/>
      <c r="D176" s="234"/>
      <c r="E176" s="231"/>
      <c r="F176" s="333"/>
      <c r="G176" s="238"/>
      <c r="H176" s="239"/>
      <c r="I176" s="242"/>
      <c r="J176" s="242"/>
      <c r="K176" s="242"/>
      <c r="L176" s="242"/>
      <c r="M176" s="242"/>
      <c r="N176" s="242"/>
      <c r="O176" s="242"/>
      <c r="P176" s="228"/>
      <c r="Q176" s="228"/>
      <c r="R176" s="250"/>
      <c r="S176" s="242"/>
      <c r="T176" s="242"/>
      <c r="U176" s="228"/>
      <c r="V176" s="11"/>
    </row>
    <row r="177" spans="2:22" s="22" customFormat="1" ht="27">
      <c r="B177" s="8">
        <v>1</v>
      </c>
      <c r="C177" s="245" t="s">
        <v>2096</v>
      </c>
      <c r="D177" s="234">
        <v>1</v>
      </c>
      <c r="E177" s="231">
        <v>35139</v>
      </c>
      <c r="F177" s="334" t="s">
        <v>2097</v>
      </c>
      <c r="G177" s="233">
        <v>41393</v>
      </c>
      <c r="H177" s="239" t="s">
        <v>368</v>
      </c>
      <c r="I177" s="270">
        <v>46871</v>
      </c>
      <c r="J177" s="242">
        <v>5479</v>
      </c>
      <c r="K177" s="242">
        <v>337</v>
      </c>
      <c r="L177" s="242">
        <v>5142</v>
      </c>
      <c r="M177" s="242">
        <v>1757</v>
      </c>
      <c r="N177" s="242">
        <v>31841</v>
      </c>
      <c r="O177" s="242">
        <v>31338</v>
      </c>
      <c r="P177" s="242">
        <v>4777</v>
      </c>
      <c r="Q177" s="242">
        <v>29581</v>
      </c>
      <c r="R177" s="250">
        <v>365</v>
      </c>
      <c r="S177" s="242">
        <v>2260</v>
      </c>
      <c r="T177" s="242">
        <v>15832</v>
      </c>
      <c r="U177" s="242">
        <v>15506</v>
      </c>
      <c r="V177" s="11"/>
    </row>
    <row r="178" spans="2:22" s="22" customFormat="1" ht="14.25">
      <c r="B178" s="51" t="s">
        <v>419</v>
      </c>
      <c r="C178" s="244"/>
      <c r="D178" s="234"/>
      <c r="E178" s="248"/>
      <c r="F178" s="234"/>
      <c r="G178" s="238"/>
      <c r="H178" s="239"/>
      <c r="I178" s="228"/>
      <c r="J178" s="228"/>
      <c r="K178" s="228"/>
      <c r="L178" s="228"/>
      <c r="M178" s="228"/>
      <c r="N178" s="228"/>
      <c r="O178" s="242"/>
      <c r="P178" s="228"/>
      <c r="Q178" s="228"/>
      <c r="R178" s="250"/>
      <c r="S178" s="242"/>
      <c r="T178" s="242"/>
      <c r="U178" s="228"/>
      <c r="V178" s="11"/>
    </row>
    <row r="179" spans="2:22" s="22" customFormat="1">
      <c r="B179" s="8">
        <v>1</v>
      </c>
      <c r="C179" s="239" t="s">
        <v>1189</v>
      </c>
      <c r="D179" s="234">
        <v>4</v>
      </c>
      <c r="E179" s="231">
        <v>442680</v>
      </c>
      <c r="F179" s="254" t="s">
        <v>421</v>
      </c>
      <c r="G179" s="238">
        <v>40677</v>
      </c>
      <c r="H179" s="239" t="s">
        <v>368</v>
      </c>
      <c r="I179" s="270">
        <v>46155</v>
      </c>
      <c r="J179" s="242">
        <v>5479</v>
      </c>
      <c r="K179" s="242">
        <v>1053</v>
      </c>
      <c r="L179" s="242">
        <v>4426</v>
      </c>
      <c r="M179" s="242">
        <v>22134</v>
      </c>
      <c r="N179" s="242">
        <v>359992</v>
      </c>
      <c r="O179" s="242">
        <v>352438</v>
      </c>
      <c r="P179" s="242">
        <v>4061</v>
      </c>
      <c r="Q179" s="242">
        <v>330304</v>
      </c>
      <c r="R179" s="250">
        <v>365</v>
      </c>
      <c r="S179" s="242">
        <v>29688</v>
      </c>
      <c r="T179" s="242">
        <v>207978</v>
      </c>
      <c r="U179" s="242">
        <v>144460</v>
      </c>
      <c r="V179" s="11"/>
    </row>
    <row r="180" spans="2:22" s="22" customFormat="1" ht="27">
      <c r="B180" s="8">
        <f t="shared" ref="B180:B195" si="3">+B179+1</f>
        <v>2</v>
      </c>
      <c r="C180" s="245" t="s">
        <v>420</v>
      </c>
      <c r="D180" s="234">
        <v>4</v>
      </c>
      <c r="E180" s="231">
        <v>442680</v>
      </c>
      <c r="F180" s="254" t="s">
        <v>1190</v>
      </c>
      <c r="G180" s="238">
        <v>40677</v>
      </c>
      <c r="H180" s="239" t="s">
        <v>368</v>
      </c>
      <c r="I180" s="270">
        <v>46155</v>
      </c>
      <c r="J180" s="242">
        <v>5479</v>
      </c>
      <c r="K180" s="242">
        <v>1053</v>
      </c>
      <c r="L180" s="242">
        <v>4426</v>
      </c>
      <c r="M180" s="242">
        <v>22134</v>
      </c>
      <c r="N180" s="242">
        <v>359992</v>
      </c>
      <c r="O180" s="242">
        <v>352438</v>
      </c>
      <c r="P180" s="242">
        <v>4061</v>
      </c>
      <c r="Q180" s="242">
        <v>330304</v>
      </c>
      <c r="R180" s="250">
        <v>365</v>
      </c>
      <c r="S180" s="242">
        <v>29688</v>
      </c>
      <c r="T180" s="242">
        <v>207978</v>
      </c>
      <c r="U180" s="242">
        <v>144460</v>
      </c>
      <c r="V180" s="11"/>
    </row>
    <row r="181" spans="2:22" s="22" customFormat="1" ht="40.5">
      <c r="B181" s="8">
        <f t="shared" si="3"/>
        <v>3</v>
      </c>
      <c r="C181" s="245" t="s">
        <v>1191</v>
      </c>
      <c r="D181" s="234">
        <f>2+4+4+4+4+4</f>
        <v>22</v>
      </c>
      <c r="E181" s="231">
        <v>98663</v>
      </c>
      <c r="F181" s="254" t="s">
        <v>1155</v>
      </c>
      <c r="G181" s="238">
        <v>40695</v>
      </c>
      <c r="H181" s="239" t="s">
        <v>368</v>
      </c>
      <c r="I181" s="270">
        <v>46173</v>
      </c>
      <c r="J181" s="242">
        <v>5479</v>
      </c>
      <c r="K181" s="242">
        <v>1035</v>
      </c>
      <c r="L181" s="242">
        <v>4444</v>
      </c>
      <c r="M181" s="242">
        <v>4933</v>
      </c>
      <c r="N181" s="242">
        <v>80466</v>
      </c>
      <c r="O181" s="242">
        <v>78790</v>
      </c>
      <c r="P181" s="242">
        <v>4079</v>
      </c>
      <c r="Q181" s="242">
        <v>73857</v>
      </c>
      <c r="R181" s="250">
        <v>365</v>
      </c>
      <c r="S181" s="242">
        <v>6609</v>
      </c>
      <c r="T181" s="242">
        <v>46299</v>
      </c>
      <c r="U181" s="242">
        <v>32491</v>
      </c>
      <c r="V181" s="11"/>
    </row>
    <row r="182" spans="2:22" s="22" customFormat="1">
      <c r="B182" s="8">
        <f t="shared" si="3"/>
        <v>4</v>
      </c>
      <c r="C182" s="245" t="s">
        <v>1452</v>
      </c>
      <c r="D182" s="234">
        <v>3</v>
      </c>
      <c r="E182" s="231">
        <v>170521</v>
      </c>
      <c r="F182" s="237" t="s">
        <v>1453</v>
      </c>
      <c r="G182" s="238">
        <v>40824</v>
      </c>
      <c r="H182" s="239" t="s">
        <v>368</v>
      </c>
      <c r="I182" s="270">
        <v>46302</v>
      </c>
      <c r="J182" s="242">
        <v>5479</v>
      </c>
      <c r="K182" s="242">
        <v>906</v>
      </c>
      <c r="L182" s="242">
        <v>4573</v>
      </c>
      <c r="M182" s="242">
        <v>8526</v>
      </c>
      <c r="N182" s="242">
        <v>141900</v>
      </c>
      <c r="O182" s="242">
        <v>139100</v>
      </c>
      <c r="P182" s="242">
        <v>4208</v>
      </c>
      <c r="Q182" s="242">
        <v>130574</v>
      </c>
      <c r="R182" s="250">
        <v>365</v>
      </c>
      <c r="S182" s="242">
        <v>11326</v>
      </c>
      <c r="T182" s="242">
        <v>79344</v>
      </c>
      <c r="U182" s="242">
        <v>59756</v>
      </c>
      <c r="V182" s="11"/>
    </row>
    <row r="183" spans="2:22" s="22" customFormat="1">
      <c r="B183" s="8">
        <f t="shared" si="3"/>
        <v>5</v>
      </c>
      <c r="C183" s="245" t="s">
        <v>1838</v>
      </c>
      <c r="D183" s="234">
        <v>1</v>
      </c>
      <c r="E183" s="231">
        <v>53609</v>
      </c>
      <c r="F183" s="254" t="s">
        <v>1839</v>
      </c>
      <c r="G183" s="238">
        <v>41053</v>
      </c>
      <c r="H183" s="239" t="s">
        <v>368</v>
      </c>
      <c r="I183" s="270">
        <v>46530</v>
      </c>
      <c r="J183" s="242">
        <v>5478</v>
      </c>
      <c r="K183" s="242">
        <v>677</v>
      </c>
      <c r="L183" s="242">
        <v>4801</v>
      </c>
      <c r="M183" s="242">
        <v>2680</v>
      </c>
      <c r="N183" s="242">
        <v>46206</v>
      </c>
      <c r="O183" s="242">
        <v>45373</v>
      </c>
      <c r="P183" s="242">
        <v>4436</v>
      </c>
      <c r="Q183" s="242">
        <v>42693</v>
      </c>
      <c r="R183" s="250">
        <v>365</v>
      </c>
      <c r="S183" s="242">
        <v>3513</v>
      </c>
      <c r="T183" s="242">
        <v>24609</v>
      </c>
      <c r="U183" s="242">
        <v>20764</v>
      </c>
      <c r="V183" s="11"/>
    </row>
    <row r="184" spans="2:22" s="22" customFormat="1">
      <c r="B184" s="8">
        <f t="shared" si="3"/>
        <v>6</v>
      </c>
      <c r="C184" s="245" t="s">
        <v>1840</v>
      </c>
      <c r="D184" s="234">
        <v>1</v>
      </c>
      <c r="E184" s="231">
        <v>45284</v>
      </c>
      <c r="F184" s="254" t="s">
        <v>1841</v>
      </c>
      <c r="G184" s="238">
        <v>41026</v>
      </c>
      <c r="H184" s="239" t="s">
        <v>368</v>
      </c>
      <c r="I184" s="270">
        <v>46503</v>
      </c>
      <c r="J184" s="242">
        <v>5478</v>
      </c>
      <c r="K184" s="242">
        <v>704</v>
      </c>
      <c r="L184" s="242">
        <v>4774</v>
      </c>
      <c r="M184" s="242">
        <v>2264</v>
      </c>
      <c r="N184" s="242">
        <v>38871</v>
      </c>
      <c r="O184" s="242">
        <v>38163</v>
      </c>
      <c r="P184" s="242">
        <v>4409</v>
      </c>
      <c r="Q184" s="242">
        <v>35899</v>
      </c>
      <c r="R184" s="250">
        <v>365</v>
      </c>
      <c r="S184" s="242">
        <v>2972</v>
      </c>
      <c r="T184" s="242">
        <v>20820</v>
      </c>
      <c r="U184" s="242">
        <v>17343</v>
      </c>
      <c r="V184" s="11"/>
    </row>
    <row r="185" spans="2:22" s="22" customFormat="1" ht="27">
      <c r="B185" s="8">
        <f t="shared" si="3"/>
        <v>7</v>
      </c>
      <c r="C185" s="245" t="s">
        <v>1914</v>
      </c>
      <c r="D185" s="234">
        <v>2</v>
      </c>
      <c r="E185" s="231">
        <v>51660</v>
      </c>
      <c r="F185" s="254" t="s">
        <v>1915</v>
      </c>
      <c r="G185" s="238">
        <v>41145</v>
      </c>
      <c r="H185" s="239" t="s">
        <v>368</v>
      </c>
      <c r="I185" s="270">
        <v>46622</v>
      </c>
      <c r="J185" s="242">
        <v>5478</v>
      </c>
      <c r="K185" s="242">
        <v>585</v>
      </c>
      <c r="L185" s="242">
        <v>4893</v>
      </c>
      <c r="M185" s="242">
        <v>2583</v>
      </c>
      <c r="N185" s="242">
        <v>45144</v>
      </c>
      <c r="O185" s="242">
        <v>44359</v>
      </c>
      <c r="P185" s="242">
        <v>4528</v>
      </c>
      <c r="Q185" s="242">
        <v>41776</v>
      </c>
      <c r="R185" s="250">
        <v>365</v>
      </c>
      <c r="S185" s="242">
        <v>3368</v>
      </c>
      <c r="T185" s="242">
        <v>23594</v>
      </c>
      <c r="U185" s="242">
        <v>20765</v>
      </c>
      <c r="V185" s="11"/>
    </row>
    <row r="186" spans="2:22" s="22" customFormat="1">
      <c r="B186" s="8">
        <f t="shared" si="3"/>
        <v>8</v>
      </c>
      <c r="C186" s="245" t="s">
        <v>1938</v>
      </c>
      <c r="D186" s="234">
        <v>1</v>
      </c>
      <c r="E186" s="231">
        <v>131191</v>
      </c>
      <c r="F186" s="254" t="s">
        <v>1939</v>
      </c>
      <c r="G186" s="238">
        <v>41208</v>
      </c>
      <c r="H186" s="239" t="s">
        <v>368</v>
      </c>
      <c r="I186" s="270">
        <v>46685</v>
      </c>
      <c r="J186" s="242">
        <v>5478</v>
      </c>
      <c r="K186" s="242">
        <v>522</v>
      </c>
      <c r="L186" s="242">
        <v>4956</v>
      </c>
      <c r="M186" s="242">
        <v>6560</v>
      </c>
      <c r="N186" s="242">
        <v>115719</v>
      </c>
      <c r="O186" s="242">
        <v>113757</v>
      </c>
      <c r="P186" s="242">
        <v>4591</v>
      </c>
      <c r="Q186" s="242">
        <v>107197</v>
      </c>
      <c r="R186" s="250">
        <v>365</v>
      </c>
      <c r="S186" s="242">
        <v>8523</v>
      </c>
      <c r="T186" s="242">
        <v>59707</v>
      </c>
      <c r="U186" s="242">
        <v>54050</v>
      </c>
      <c r="V186" s="11"/>
    </row>
    <row r="187" spans="2:22" s="22" customFormat="1" ht="54">
      <c r="B187" s="8">
        <f t="shared" si="3"/>
        <v>9</v>
      </c>
      <c r="C187" s="245" t="s">
        <v>1975</v>
      </c>
      <c r="D187" s="234">
        <f>1+1</f>
        <v>2</v>
      </c>
      <c r="E187" s="231">
        <v>40635</v>
      </c>
      <c r="F187" s="254" t="s">
        <v>1976</v>
      </c>
      <c r="G187" s="238">
        <v>41222</v>
      </c>
      <c r="H187" s="239" t="s">
        <v>368</v>
      </c>
      <c r="I187" s="270">
        <v>46699</v>
      </c>
      <c r="J187" s="242">
        <v>5478</v>
      </c>
      <c r="K187" s="242">
        <v>508</v>
      </c>
      <c r="L187" s="242">
        <v>4970</v>
      </c>
      <c r="M187" s="242">
        <v>2032</v>
      </c>
      <c r="N187" s="242">
        <v>35917</v>
      </c>
      <c r="O187" s="242">
        <v>35311</v>
      </c>
      <c r="P187" s="242">
        <v>4605</v>
      </c>
      <c r="Q187" s="242">
        <v>33279</v>
      </c>
      <c r="R187" s="250">
        <v>365</v>
      </c>
      <c r="S187" s="242">
        <v>2638</v>
      </c>
      <c r="T187" s="242">
        <v>18480</v>
      </c>
      <c r="U187" s="242">
        <v>16831</v>
      </c>
      <c r="V187" s="11"/>
    </row>
    <row r="188" spans="2:22" s="22" customFormat="1" ht="27">
      <c r="B188" s="8">
        <f t="shared" si="3"/>
        <v>10</v>
      </c>
      <c r="C188" s="245" t="s">
        <v>1977</v>
      </c>
      <c r="D188" s="234">
        <v>1</v>
      </c>
      <c r="E188" s="231">
        <v>13750</v>
      </c>
      <c r="F188" s="254" t="s">
        <v>1978</v>
      </c>
      <c r="G188" s="238">
        <v>41240</v>
      </c>
      <c r="H188" s="239" t="s">
        <v>368</v>
      </c>
      <c r="I188" s="270">
        <v>46717</v>
      </c>
      <c r="J188" s="242">
        <v>5478</v>
      </c>
      <c r="K188" s="242">
        <v>490</v>
      </c>
      <c r="L188" s="242">
        <v>4988</v>
      </c>
      <c r="M188" s="242">
        <v>688</v>
      </c>
      <c r="N188" s="242">
        <v>12185</v>
      </c>
      <c r="O188" s="242">
        <v>11981</v>
      </c>
      <c r="P188" s="242">
        <v>4623</v>
      </c>
      <c r="Q188" s="242">
        <v>11294</v>
      </c>
      <c r="R188" s="250">
        <v>365</v>
      </c>
      <c r="S188" s="242">
        <v>892</v>
      </c>
      <c r="T188" s="242">
        <v>6248</v>
      </c>
      <c r="U188" s="242">
        <v>5733</v>
      </c>
      <c r="V188" s="11"/>
    </row>
    <row r="189" spans="2:22" s="22" customFormat="1">
      <c r="B189" s="8">
        <f t="shared" si="3"/>
        <v>11</v>
      </c>
      <c r="C189" s="245" t="s">
        <v>1979</v>
      </c>
      <c r="D189" s="234" t="s">
        <v>314</v>
      </c>
      <c r="E189" s="231">
        <v>18405</v>
      </c>
      <c r="F189" s="254" t="s">
        <v>1980</v>
      </c>
      <c r="G189" s="238">
        <v>41183</v>
      </c>
      <c r="H189" s="239" t="s">
        <v>368</v>
      </c>
      <c r="I189" s="270">
        <v>46660</v>
      </c>
      <c r="J189" s="242">
        <v>5478</v>
      </c>
      <c r="K189" s="242">
        <v>547</v>
      </c>
      <c r="L189" s="242">
        <v>4931</v>
      </c>
      <c r="M189" s="242">
        <v>920</v>
      </c>
      <c r="N189" s="242">
        <v>16175</v>
      </c>
      <c r="O189" s="242">
        <v>15898</v>
      </c>
      <c r="P189" s="242">
        <v>4566</v>
      </c>
      <c r="Q189" s="242">
        <v>14978</v>
      </c>
      <c r="R189" s="250">
        <v>365</v>
      </c>
      <c r="S189" s="242">
        <v>1197</v>
      </c>
      <c r="T189" s="242">
        <v>8387</v>
      </c>
      <c r="U189" s="242">
        <v>7511</v>
      </c>
      <c r="V189" s="11"/>
    </row>
    <row r="190" spans="2:22" s="22" customFormat="1">
      <c r="B190" s="8">
        <f t="shared" si="3"/>
        <v>12</v>
      </c>
      <c r="C190" s="245" t="s">
        <v>2001</v>
      </c>
      <c r="D190" s="234">
        <v>1</v>
      </c>
      <c r="E190" s="231">
        <v>11711</v>
      </c>
      <c r="F190" s="254" t="s">
        <v>2002</v>
      </c>
      <c r="G190" s="238">
        <v>41251</v>
      </c>
      <c r="H190" s="239" t="s">
        <v>368</v>
      </c>
      <c r="I190" s="270">
        <v>46728</v>
      </c>
      <c r="J190" s="242">
        <v>5478</v>
      </c>
      <c r="K190" s="242">
        <v>479</v>
      </c>
      <c r="L190" s="242">
        <v>4999</v>
      </c>
      <c r="M190" s="242">
        <v>586</v>
      </c>
      <c r="N190" s="242">
        <v>10395</v>
      </c>
      <c r="O190" s="242">
        <v>10222</v>
      </c>
      <c r="P190" s="242">
        <v>4634</v>
      </c>
      <c r="Q190" s="242">
        <v>9636</v>
      </c>
      <c r="R190" s="250">
        <v>365</v>
      </c>
      <c r="S190" s="242">
        <v>759</v>
      </c>
      <c r="T190" s="242">
        <v>5317</v>
      </c>
      <c r="U190" s="242">
        <v>4905</v>
      </c>
      <c r="V190" s="11"/>
    </row>
    <row r="191" spans="2:22" s="22" customFormat="1">
      <c r="B191" s="8">
        <f t="shared" si="3"/>
        <v>13</v>
      </c>
      <c r="C191" s="245" t="s">
        <v>2008</v>
      </c>
      <c r="D191" s="234">
        <v>1</v>
      </c>
      <c r="E191" s="231">
        <v>6825</v>
      </c>
      <c r="F191" s="254" t="s">
        <v>2009</v>
      </c>
      <c r="G191" s="238">
        <v>41313</v>
      </c>
      <c r="H191" s="239" t="s">
        <v>368</v>
      </c>
      <c r="I191" s="270">
        <v>46790</v>
      </c>
      <c r="J191" s="242">
        <v>5478</v>
      </c>
      <c r="K191" s="242">
        <v>417</v>
      </c>
      <c r="L191" s="242">
        <v>5061</v>
      </c>
      <c r="M191" s="242">
        <v>341</v>
      </c>
      <c r="N191" s="242">
        <v>6114</v>
      </c>
      <c r="O191" s="242">
        <v>6014</v>
      </c>
      <c r="P191" s="242">
        <v>4696</v>
      </c>
      <c r="Q191" s="242">
        <v>5673</v>
      </c>
      <c r="R191" s="250">
        <v>365</v>
      </c>
      <c r="S191" s="242">
        <v>441</v>
      </c>
      <c r="T191" s="242">
        <v>3089</v>
      </c>
      <c r="U191" s="242">
        <v>2925</v>
      </c>
      <c r="V191" s="11"/>
    </row>
    <row r="192" spans="2:22" s="22" customFormat="1">
      <c r="B192" s="8">
        <f t="shared" si="3"/>
        <v>14</v>
      </c>
      <c r="C192" s="245" t="s">
        <v>2091</v>
      </c>
      <c r="D192" s="234">
        <v>5</v>
      </c>
      <c r="E192" s="231">
        <v>1710</v>
      </c>
      <c r="F192" s="254" t="s">
        <v>2092</v>
      </c>
      <c r="G192" s="238">
        <v>41391</v>
      </c>
      <c r="H192" s="239" t="s">
        <v>368</v>
      </c>
      <c r="I192" s="270">
        <v>46869</v>
      </c>
      <c r="J192" s="242">
        <v>5479</v>
      </c>
      <c r="K192" s="242">
        <v>339</v>
      </c>
      <c r="L192" s="242">
        <v>5140</v>
      </c>
      <c r="M192" s="242">
        <v>0</v>
      </c>
      <c r="N192" s="242">
        <v>0</v>
      </c>
      <c r="O192" s="242">
        <v>0</v>
      </c>
      <c r="P192" s="242"/>
      <c r="Q192" s="242"/>
      <c r="R192" s="250">
        <v>365</v>
      </c>
      <c r="S192" s="242">
        <v>0</v>
      </c>
      <c r="T192" s="242">
        <v>0</v>
      </c>
      <c r="U192" s="242">
        <v>0</v>
      </c>
      <c r="V192" s="11"/>
    </row>
    <row r="193" spans="2:22" s="22" customFormat="1" ht="40.5">
      <c r="B193" s="8">
        <f t="shared" si="3"/>
        <v>15</v>
      </c>
      <c r="C193" s="245" t="s">
        <v>2093</v>
      </c>
      <c r="D193" s="234">
        <f>2+1</f>
        <v>3</v>
      </c>
      <c r="E193" s="231">
        <v>132700</v>
      </c>
      <c r="F193" s="254" t="s">
        <v>2094</v>
      </c>
      <c r="G193" s="238">
        <v>41386</v>
      </c>
      <c r="H193" s="239" t="s">
        <v>368</v>
      </c>
      <c r="I193" s="270">
        <v>46864</v>
      </c>
      <c r="J193" s="242">
        <v>5479</v>
      </c>
      <c r="K193" s="242">
        <v>344</v>
      </c>
      <c r="L193" s="242">
        <v>5135</v>
      </c>
      <c r="M193" s="242">
        <v>6635</v>
      </c>
      <c r="N193" s="242">
        <v>120124</v>
      </c>
      <c r="O193" s="242">
        <v>118220</v>
      </c>
      <c r="P193" s="242">
        <v>4770</v>
      </c>
      <c r="Q193" s="242">
        <v>111585</v>
      </c>
      <c r="R193" s="250">
        <v>365</v>
      </c>
      <c r="S193" s="242">
        <v>8538</v>
      </c>
      <c r="T193" s="242">
        <v>59814</v>
      </c>
      <c r="U193" s="242">
        <v>58406</v>
      </c>
      <c r="V193" s="11"/>
    </row>
    <row r="194" spans="2:22" s="22" customFormat="1" ht="40.5">
      <c r="B194" s="8">
        <f t="shared" si="3"/>
        <v>16</v>
      </c>
      <c r="C194" s="245" t="s">
        <v>2289</v>
      </c>
      <c r="D194" s="234">
        <v>4</v>
      </c>
      <c r="E194" s="231">
        <v>36593</v>
      </c>
      <c r="F194" s="237" t="s">
        <v>2290</v>
      </c>
      <c r="G194" s="238">
        <v>41622</v>
      </c>
      <c r="H194" s="239" t="s">
        <v>368</v>
      </c>
      <c r="I194" s="270">
        <v>47100</v>
      </c>
      <c r="J194" s="242">
        <v>5479</v>
      </c>
      <c r="K194" s="242">
        <v>108</v>
      </c>
      <c r="L194" s="242">
        <v>5371</v>
      </c>
      <c r="M194" s="242">
        <v>1830</v>
      </c>
      <c r="N194" s="242">
        <v>34249</v>
      </c>
      <c r="O194" s="242">
        <v>33752</v>
      </c>
      <c r="P194" s="242">
        <v>5006</v>
      </c>
      <c r="Q194" s="242">
        <v>31922</v>
      </c>
      <c r="R194" s="250">
        <v>365</v>
      </c>
      <c r="S194" s="242">
        <v>2328</v>
      </c>
      <c r="T194" s="242">
        <v>16308</v>
      </c>
      <c r="U194" s="242">
        <v>17444</v>
      </c>
      <c r="V194" s="11"/>
    </row>
    <row r="195" spans="2:22" s="22" customFormat="1">
      <c r="B195" s="8">
        <f t="shared" si="3"/>
        <v>17</v>
      </c>
      <c r="C195" s="245" t="s">
        <v>4292</v>
      </c>
      <c r="D195" s="234">
        <v>1</v>
      </c>
      <c r="E195" s="231">
        <v>300000</v>
      </c>
      <c r="F195" s="237" t="s">
        <v>4293</v>
      </c>
      <c r="G195" s="238">
        <v>43211</v>
      </c>
      <c r="H195" s="239" t="s">
        <v>368</v>
      </c>
      <c r="I195" s="270">
        <v>48689</v>
      </c>
      <c r="J195" s="242">
        <v>5479</v>
      </c>
      <c r="K195" s="242">
        <v>0</v>
      </c>
      <c r="L195" s="242">
        <v>5479</v>
      </c>
      <c r="M195" s="242">
        <v>15000</v>
      </c>
      <c r="N195" s="242">
        <v>285000</v>
      </c>
      <c r="O195" s="242">
        <v>300000</v>
      </c>
      <c r="P195" s="242">
        <v>5114</v>
      </c>
      <c r="Q195" s="242">
        <v>285000</v>
      </c>
      <c r="R195" s="250">
        <v>365</v>
      </c>
      <c r="S195" s="242">
        <v>20341</v>
      </c>
      <c r="T195" s="242">
        <v>80250</v>
      </c>
      <c r="U195" s="242">
        <v>219750</v>
      </c>
      <c r="V195" s="11"/>
    </row>
    <row r="196" spans="2:22" s="22" customFormat="1" ht="27">
      <c r="B196" s="8">
        <v>18</v>
      </c>
      <c r="C196" s="239" t="s">
        <v>3927</v>
      </c>
      <c r="D196" s="234">
        <v>1</v>
      </c>
      <c r="E196" s="231">
        <v>610327</v>
      </c>
      <c r="F196" s="234" t="s">
        <v>3928</v>
      </c>
      <c r="G196" s="238">
        <v>42787</v>
      </c>
      <c r="H196" s="239" t="s">
        <v>368</v>
      </c>
      <c r="I196" s="398">
        <v>48264</v>
      </c>
      <c r="J196" s="242">
        <v>5478</v>
      </c>
      <c r="K196" s="242">
        <v>0</v>
      </c>
      <c r="L196" s="242">
        <v>5478</v>
      </c>
      <c r="M196" s="242">
        <v>30516</v>
      </c>
      <c r="N196" s="399">
        <v>579811</v>
      </c>
      <c r="O196" s="242">
        <v>610327</v>
      </c>
      <c r="P196" s="242">
        <v>5478</v>
      </c>
      <c r="Q196" s="242">
        <v>579811</v>
      </c>
      <c r="R196" s="251">
        <v>365</v>
      </c>
      <c r="S196" s="250">
        <v>38633</v>
      </c>
      <c r="T196" s="242">
        <v>197399</v>
      </c>
      <c r="U196" s="242">
        <v>412928</v>
      </c>
      <c r="V196" s="11"/>
    </row>
    <row r="197" spans="2:22" s="22" customFormat="1" ht="27">
      <c r="B197" s="8">
        <v>19</v>
      </c>
      <c r="C197" s="239" t="s">
        <v>3929</v>
      </c>
      <c r="D197" s="234">
        <v>1</v>
      </c>
      <c r="E197" s="231">
        <v>6365</v>
      </c>
      <c r="F197" s="234" t="s">
        <v>3928</v>
      </c>
      <c r="G197" s="238">
        <v>42787</v>
      </c>
      <c r="H197" s="239" t="s">
        <v>368</v>
      </c>
      <c r="I197" s="398">
        <v>48264</v>
      </c>
      <c r="J197" s="242">
        <v>5478</v>
      </c>
      <c r="K197" s="242">
        <v>0</v>
      </c>
      <c r="L197" s="242">
        <v>5478</v>
      </c>
      <c r="M197" s="242">
        <v>318</v>
      </c>
      <c r="N197" s="399">
        <v>6047</v>
      </c>
      <c r="O197" s="242">
        <v>6365</v>
      </c>
      <c r="P197" s="242">
        <v>5478</v>
      </c>
      <c r="Q197" s="242">
        <v>6047</v>
      </c>
      <c r="R197" s="251">
        <v>365</v>
      </c>
      <c r="S197" s="250">
        <v>403</v>
      </c>
      <c r="T197" s="242">
        <v>2059</v>
      </c>
      <c r="U197" s="242">
        <v>4306</v>
      </c>
      <c r="V197" s="11"/>
    </row>
    <row r="198" spans="2:22" s="22" customFormat="1">
      <c r="B198" s="8">
        <v>20</v>
      </c>
      <c r="C198" s="239" t="s">
        <v>4459</v>
      </c>
      <c r="D198" s="234">
        <v>1</v>
      </c>
      <c r="E198" s="231">
        <v>849600</v>
      </c>
      <c r="F198" s="234">
        <v>91211827</v>
      </c>
      <c r="G198" s="238">
        <v>43973</v>
      </c>
      <c r="H198" s="239" t="s">
        <v>368</v>
      </c>
      <c r="I198" s="398">
        <v>49450</v>
      </c>
      <c r="J198" s="242">
        <v>5478</v>
      </c>
      <c r="K198" s="242">
        <v>0</v>
      </c>
      <c r="L198" s="242">
        <v>5478</v>
      </c>
      <c r="M198" s="242">
        <v>42480</v>
      </c>
      <c r="N198" s="399">
        <v>807120</v>
      </c>
      <c r="O198" s="242">
        <v>849600</v>
      </c>
      <c r="P198" s="242">
        <v>5478</v>
      </c>
      <c r="Q198" s="242">
        <v>807120</v>
      </c>
      <c r="R198" s="251">
        <v>365</v>
      </c>
      <c r="S198" s="250">
        <v>53779</v>
      </c>
      <c r="T198" s="242">
        <v>100043</v>
      </c>
      <c r="U198" s="242">
        <v>749557</v>
      </c>
      <c r="V198" s="11"/>
    </row>
    <row r="199" spans="2:22" s="22" customFormat="1">
      <c r="B199" s="8"/>
      <c r="C199" s="245"/>
      <c r="D199" s="234"/>
      <c r="E199" s="231"/>
      <c r="F199" s="237"/>
      <c r="G199" s="238"/>
      <c r="H199" s="239"/>
      <c r="I199" s="270"/>
      <c r="J199" s="242"/>
      <c r="K199" s="242"/>
      <c r="L199" s="242"/>
      <c r="M199" s="242"/>
      <c r="N199" s="242"/>
      <c r="O199" s="242"/>
      <c r="P199" s="242"/>
      <c r="Q199" s="242"/>
      <c r="R199" s="250"/>
      <c r="S199" s="242"/>
      <c r="T199" s="242"/>
      <c r="U199" s="228"/>
      <c r="V199" s="11"/>
    </row>
    <row r="200" spans="2:22" s="22" customFormat="1" ht="14.25">
      <c r="B200" s="51" t="s">
        <v>1156</v>
      </c>
      <c r="C200" s="239"/>
      <c r="D200" s="234"/>
      <c r="E200" s="231"/>
      <c r="F200" s="234"/>
      <c r="G200" s="238"/>
      <c r="H200" s="239"/>
      <c r="I200" s="228"/>
      <c r="J200" s="228"/>
      <c r="K200" s="228"/>
      <c r="L200" s="228"/>
      <c r="M200" s="228"/>
      <c r="N200" s="228"/>
      <c r="O200" s="242"/>
      <c r="P200" s="228"/>
      <c r="Q200" s="228"/>
      <c r="R200" s="250"/>
      <c r="S200" s="242"/>
      <c r="T200" s="242"/>
      <c r="U200" s="228"/>
      <c r="V200" s="11"/>
    </row>
    <row r="201" spans="2:22" s="22" customFormat="1">
      <c r="B201" s="8">
        <v>1</v>
      </c>
      <c r="C201" s="245" t="s">
        <v>1158</v>
      </c>
      <c r="D201" s="234">
        <v>3</v>
      </c>
      <c r="E201" s="231">
        <v>658894</v>
      </c>
      <c r="F201" s="254" t="s">
        <v>1157</v>
      </c>
      <c r="G201" s="238">
        <v>40698</v>
      </c>
      <c r="H201" s="239" t="s">
        <v>368</v>
      </c>
      <c r="I201" s="270">
        <v>46176</v>
      </c>
      <c r="J201" s="242">
        <v>5479</v>
      </c>
      <c r="K201" s="242">
        <v>1032</v>
      </c>
      <c r="L201" s="242">
        <v>4447</v>
      </c>
      <c r="M201" s="242">
        <v>32945</v>
      </c>
      <c r="N201" s="242">
        <v>537530</v>
      </c>
      <c r="O201" s="242">
        <v>526356</v>
      </c>
      <c r="P201" s="242">
        <v>4082</v>
      </c>
      <c r="Q201" s="242">
        <v>493411</v>
      </c>
      <c r="R201" s="250">
        <v>365</v>
      </c>
      <c r="S201" s="242">
        <v>44119</v>
      </c>
      <c r="T201" s="242">
        <v>309075</v>
      </c>
      <c r="U201" s="242">
        <v>217281</v>
      </c>
      <c r="V201" s="11"/>
    </row>
    <row r="202" spans="2:22" s="22" customFormat="1" ht="27">
      <c r="B202" s="8">
        <v>2</v>
      </c>
      <c r="C202" s="245" t="s">
        <v>1159</v>
      </c>
      <c r="D202" s="234">
        <v>18</v>
      </c>
      <c r="E202" s="231">
        <v>234251</v>
      </c>
      <c r="F202" s="254" t="s">
        <v>1194</v>
      </c>
      <c r="G202" s="238">
        <v>40701</v>
      </c>
      <c r="H202" s="239" t="s">
        <v>368</v>
      </c>
      <c r="I202" s="270">
        <v>46179</v>
      </c>
      <c r="J202" s="242">
        <v>5479</v>
      </c>
      <c r="K202" s="242">
        <v>1029</v>
      </c>
      <c r="L202" s="242">
        <v>4450</v>
      </c>
      <c r="M202" s="242">
        <v>11713</v>
      </c>
      <c r="N202" s="242">
        <v>191193</v>
      </c>
      <c r="O202" s="242">
        <v>187224</v>
      </c>
      <c r="P202" s="242">
        <v>4085</v>
      </c>
      <c r="Q202" s="242">
        <v>175511</v>
      </c>
      <c r="R202" s="250">
        <v>365</v>
      </c>
      <c r="S202" s="242">
        <v>15682</v>
      </c>
      <c r="T202" s="242">
        <v>109860</v>
      </c>
      <c r="U202" s="242">
        <v>77364</v>
      </c>
      <c r="V202" s="11"/>
    </row>
    <row r="203" spans="2:22" s="22" customFormat="1">
      <c r="B203" s="8">
        <v>3</v>
      </c>
      <c r="C203" s="239" t="s">
        <v>1460</v>
      </c>
      <c r="D203" s="234">
        <v>2</v>
      </c>
      <c r="E203" s="231">
        <v>331431</v>
      </c>
      <c r="F203" s="234" t="s">
        <v>1461</v>
      </c>
      <c r="G203" s="238">
        <v>40806</v>
      </c>
      <c r="H203" s="239" t="s">
        <v>368</v>
      </c>
      <c r="I203" s="270">
        <v>46284</v>
      </c>
      <c r="J203" s="242">
        <v>5479</v>
      </c>
      <c r="K203" s="242">
        <v>924</v>
      </c>
      <c r="L203" s="242">
        <v>4555</v>
      </c>
      <c r="M203" s="242">
        <v>16572</v>
      </c>
      <c r="N203" s="242">
        <v>275029</v>
      </c>
      <c r="O203" s="242">
        <v>269562</v>
      </c>
      <c r="P203" s="242">
        <v>4190</v>
      </c>
      <c r="Q203" s="242">
        <v>252990</v>
      </c>
      <c r="R203" s="250">
        <v>365</v>
      </c>
      <c r="S203" s="242">
        <v>22039</v>
      </c>
      <c r="T203" s="242">
        <v>154393</v>
      </c>
      <c r="U203" s="242">
        <v>115169</v>
      </c>
      <c r="V203" s="11"/>
    </row>
    <row r="204" spans="2:22" s="22" customFormat="1">
      <c r="B204" s="8">
        <v>4</v>
      </c>
      <c r="C204" s="239" t="s">
        <v>4628</v>
      </c>
      <c r="D204" s="234" t="s">
        <v>1100</v>
      </c>
      <c r="E204" s="231">
        <v>826000</v>
      </c>
      <c r="F204" s="234" t="s">
        <v>4627</v>
      </c>
      <c r="G204" s="238">
        <v>44476</v>
      </c>
      <c r="H204" s="239" t="s">
        <v>368</v>
      </c>
      <c r="I204" s="398">
        <v>48127</v>
      </c>
      <c r="J204" s="242">
        <v>3652</v>
      </c>
      <c r="K204" s="242">
        <v>0</v>
      </c>
      <c r="L204" s="242">
        <v>3652</v>
      </c>
      <c r="M204" s="242">
        <v>41300</v>
      </c>
      <c r="N204" s="399">
        <v>784700</v>
      </c>
      <c r="O204" s="242">
        <v>826000</v>
      </c>
      <c r="P204" s="242">
        <v>3652</v>
      </c>
      <c r="Q204" s="242">
        <v>784700</v>
      </c>
      <c r="R204" s="251">
        <v>176</v>
      </c>
      <c r="S204" s="250">
        <v>37817</v>
      </c>
      <c r="T204" s="242">
        <v>37817</v>
      </c>
      <c r="U204" s="242">
        <v>788183</v>
      </c>
      <c r="V204" s="11"/>
    </row>
    <row r="205" spans="2:22" s="22" customFormat="1">
      <c r="B205" s="8"/>
      <c r="C205" s="239"/>
      <c r="D205" s="234"/>
      <c r="E205" s="231"/>
      <c r="F205" s="234"/>
      <c r="G205" s="238"/>
      <c r="H205" s="239"/>
      <c r="I205" s="270"/>
      <c r="J205" s="242"/>
      <c r="K205" s="242"/>
      <c r="L205" s="242"/>
      <c r="M205" s="242"/>
      <c r="N205" s="242"/>
      <c r="O205" s="242"/>
      <c r="P205" s="242"/>
      <c r="Q205" s="242"/>
      <c r="R205" s="250"/>
      <c r="S205" s="242"/>
      <c r="T205" s="242"/>
      <c r="U205" s="242"/>
      <c r="V205" s="11"/>
    </row>
    <row r="206" spans="2:22" s="22" customFormat="1" ht="14.25">
      <c r="B206" s="51" t="s">
        <v>4390</v>
      </c>
      <c r="C206" s="239"/>
      <c r="D206" s="234"/>
      <c r="E206" s="231"/>
      <c r="F206" s="234"/>
      <c r="G206" s="238"/>
      <c r="H206" s="239"/>
      <c r="I206" s="398"/>
      <c r="J206" s="242"/>
      <c r="K206" s="242"/>
      <c r="L206" s="242"/>
      <c r="M206" s="242"/>
      <c r="N206" s="399"/>
      <c r="O206" s="242"/>
      <c r="P206" s="242"/>
      <c r="Q206" s="242"/>
      <c r="R206" s="376"/>
      <c r="S206" s="250"/>
      <c r="T206" s="242"/>
      <c r="U206" s="242"/>
      <c r="V206" s="11"/>
    </row>
    <row r="207" spans="2:22" s="22" customFormat="1" ht="40.5">
      <c r="B207" s="8">
        <v>1</v>
      </c>
      <c r="C207" s="239" t="s">
        <v>4391</v>
      </c>
      <c r="D207" s="234"/>
      <c r="E207" s="231">
        <f>(2497718+465608+152281+27411)</f>
        <v>3143018</v>
      </c>
      <c r="F207" s="234" t="s">
        <v>4392</v>
      </c>
      <c r="G207" s="238">
        <v>43881</v>
      </c>
      <c r="H207" s="239" t="s">
        <v>368</v>
      </c>
      <c r="I207" s="398">
        <v>47533</v>
      </c>
      <c r="J207" s="242">
        <v>3653</v>
      </c>
      <c r="K207" s="242">
        <v>0</v>
      </c>
      <c r="L207" s="242">
        <v>3653</v>
      </c>
      <c r="M207" s="242">
        <v>157151</v>
      </c>
      <c r="N207" s="399">
        <v>2985867</v>
      </c>
      <c r="O207" s="242">
        <v>3143018</v>
      </c>
      <c r="P207" s="242">
        <v>3653</v>
      </c>
      <c r="Q207" s="242">
        <v>2985867</v>
      </c>
      <c r="R207" s="251">
        <v>365</v>
      </c>
      <c r="S207" s="250">
        <v>298341</v>
      </c>
      <c r="T207" s="242">
        <v>630194</v>
      </c>
      <c r="U207" s="242">
        <v>2512824</v>
      </c>
      <c r="V207" s="11"/>
    </row>
    <row r="208" spans="2:22" s="22" customFormat="1" ht="14.25">
      <c r="B208" s="51" t="s">
        <v>1261</v>
      </c>
      <c r="C208" s="244"/>
      <c r="D208" s="234"/>
      <c r="E208" s="231"/>
      <c r="F208" s="234"/>
      <c r="G208" s="238"/>
      <c r="H208" s="239"/>
      <c r="I208" s="228"/>
      <c r="J208" s="228"/>
      <c r="K208" s="228"/>
      <c r="L208" s="228"/>
      <c r="M208" s="228"/>
      <c r="N208" s="228"/>
      <c r="O208" s="242"/>
      <c r="P208" s="228"/>
      <c r="Q208" s="228"/>
      <c r="R208" s="250"/>
      <c r="S208" s="242"/>
      <c r="T208" s="242"/>
      <c r="U208" s="228"/>
      <c r="V208" s="11"/>
    </row>
    <row r="209" spans="2:22" s="22" customFormat="1" ht="27">
      <c r="B209" s="8">
        <v>1</v>
      </c>
      <c r="C209" s="245" t="s">
        <v>1262</v>
      </c>
      <c r="D209" s="234">
        <v>1</v>
      </c>
      <c r="E209" s="231">
        <v>17780</v>
      </c>
      <c r="F209" s="254" t="s">
        <v>1263</v>
      </c>
      <c r="G209" s="238">
        <v>40723</v>
      </c>
      <c r="H209" s="239" t="s">
        <v>368</v>
      </c>
      <c r="I209" s="270">
        <v>44375</v>
      </c>
      <c r="J209" s="242">
        <v>3653</v>
      </c>
      <c r="K209" s="242">
        <v>1007</v>
      </c>
      <c r="L209" s="242">
        <v>2646</v>
      </c>
      <c r="M209" s="242">
        <v>889</v>
      </c>
      <c r="N209" s="242">
        <v>14564</v>
      </c>
      <c r="O209" s="242">
        <v>13444</v>
      </c>
      <c r="P209" s="242">
        <v>2281</v>
      </c>
      <c r="Q209" s="242">
        <v>12555</v>
      </c>
      <c r="R209" s="250">
        <v>89</v>
      </c>
      <c r="S209" s="242">
        <v>1378</v>
      </c>
      <c r="T209" s="242">
        <v>13444</v>
      </c>
      <c r="U209" s="242">
        <v>0</v>
      </c>
    </row>
    <row r="210" spans="2:22" s="22" customFormat="1">
      <c r="B210" s="8">
        <v>2</v>
      </c>
      <c r="C210" s="239" t="s">
        <v>2772</v>
      </c>
      <c r="D210" s="234" t="s">
        <v>1100</v>
      </c>
      <c r="E210" s="231">
        <v>1397250</v>
      </c>
      <c r="F210" s="234" t="s">
        <v>2773</v>
      </c>
      <c r="G210" s="238">
        <v>42005</v>
      </c>
      <c r="H210" s="239" t="s">
        <v>368</v>
      </c>
      <c r="I210" s="398">
        <v>45657</v>
      </c>
      <c r="J210" s="242">
        <v>3653</v>
      </c>
      <c r="K210" s="242">
        <v>0</v>
      </c>
      <c r="L210" s="242">
        <v>3653</v>
      </c>
      <c r="M210" s="242">
        <v>69863</v>
      </c>
      <c r="N210" s="399">
        <v>1327387</v>
      </c>
      <c r="O210" s="242">
        <v>1364547</v>
      </c>
      <c r="P210" s="242">
        <v>3563</v>
      </c>
      <c r="Q210" s="242">
        <v>1294685</v>
      </c>
      <c r="R210" s="251">
        <v>365</v>
      </c>
      <c r="S210" s="250">
        <v>132630</v>
      </c>
      <c r="T210" s="242">
        <v>929136</v>
      </c>
      <c r="U210" s="242">
        <v>435411</v>
      </c>
    </row>
    <row r="211" spans="2:22" s="22" customFormat="1">
      <c r="B211" s="8">
        <v>3</v>
      </c>
      <c r="C211" s="239" t="s">
        <v>2777</v>
      </c>
      <c r="D211" s="234" t="s">
        <v>2776</v>
      </c>
      <c r="E211" s="231">
        <v>364446</v>
      </c>
      <c r="F211" s="234">
        <v>365</v>
      </c>
      <c r="G211" s="238">
        <v>42005</v>
      </c>
      <c r="H211" s="239" t="s">
        <v>368</v>
      </c>
      <c r="I211" s="398">
        <v>45657</v>
      </c>
      <c r="J211" s="242">
        <v>3653</v>
      </c>
      <c r="K211" s="242">
        <v>0</v>
      </c>
      <c r="L211" s="242">
        <v>3653</v>
      </c>
      <c r="M211" s="242">
        <v>18222</v>
      </c>
      <c r="N211" s="399">
        <v>346224</v>
      </c>
      <c r="O211" s="242">
        <v>355916</v>
      </c>
      <c r="P211" s="242">
        <v>3563</v>
      </c>
      <c r="Q211" s="242">
        <v>337694</v>
      </c>
      <c r="R211" s="251">
        <v>365</v>
      </c>
      <c r="S211" s="250">
        <v>34594</v>
      </c>
      <c r="T211" s="242">
        <v>242348</v>
      </c>
      <c r="U211" s="242">
        <v>113568</v>
      </c>
    </row>
    <row r="212" spans="2:22" s="22" customFormat="1" ht="27">
      <c r="B212" s="8">
        <v>4</v>
      </c>
      <c r="C212" s="239" t="s">
        <v>2778</v>
      </c>
      <c r="D212" s="234">
        <v>2</v>
      </c>
      <c r="E212" s="231">
        <v>1372626</v>
      </c>
      <c r="F212" s="234" t="s">
        <v>2774</v>
      </c>
      <c r="G212" s="238">
        <v>42005</v>
      </c>
      <c r="H212" s="239" t="s">
        <v>368</v>
      </c>
      <c r="I212" s="398">
        <v>45657</v>
      </c>
      <c r="J212" s="242">
        <v>3653</v>
      </c>
      <c r="K212" s="242">
        <v>0</v>
      </c>
      <c r="L212" s="242">
        <v>3653</v>
      </c>
      <c r="M212" s="242">
        <v>68631</v>
      </c>
      <c r="N212" s="399">
        <v>1303995</v>
      </c>
      <c r="O212" s="242">
        <v>1340499</v>
      </c>
      <c r="P212" s="242">
        <v>3563</v>
      </c>
      <c r="Q212" s="242">
        <v>1271868</v>
      </c>
      <c r="R212" s="251">
        <v>365</v>
      </c>
      <c r="S212" s="250">
        <v>130292</v>
      </c>
      <c r="T212" s="242">
        <v>912758</v>
      </c>
      <c r="U212" s="242">
        <v>427741</v>
      </c>
    </row>
    <row r="213" spans="2:22" s="22" customFormat="1" ht="27">
      <c r="B213" s="8">
        <v>5</v>
      </c>
      <c r="C213" s="239" t="s">
        <v>2779</v>
      </c>
      <c r="D213" s="234" t="s">
        <v>314</v>
      </c>
      <c r="E213" s="231">
        <v>1512500</v>
      </c>
      <c r="F213" s="234" t="s">
        <v>2775</v>
      </c>
      <c r="G213" s="238">
        <v>42005</v>
      </c>
      <c r="H213" s="239" t="s">
        <v>368</v>
      </c>
      <c r="I213" s="398">
        <v>45657</v>
      </c>
      <c r="J213" s="242">
        <v>3653</v>
      </c>
      <c r="K213" s="242">
        <v>0</v>
      </c>
      <c r="L213" s="242">
        <v>3653</v>
      </c>
      <c r="M213" s="242">
        <v>75625</v>
      </c>
      <c r="N213" s="399">
        <v>1436875</v>
      </c>
      <c r="O213" s="242">
        <v>1477099</v>
      </c>
      <c r="P213" s="242">
        <v>3563</v>
      </c>
      <c r="Q213" s="242">
        <v>1401474</v>
      </c>
      <c r="R213" s="251">
        <v>365</v>
      </c>
      <c r="S213" s="250">
        <v>143569</v>
      </c>
      <c r="T213" s="242">
        <v>1005771</v>
      </c>
      <c r="U213" s="242">
        <v>471328</v>
      </c>
    </row>
    <row r="214" spans="2:22" s="22" customFormat="1" ht="27">
      <c r="B214" s="8">
        <v>6</v>
      </c>
      <c r="C214" s="239" t="s">
        <v>4629</v>
      </c>
      <c r="D214" s="234" t="s">
        <v>314</v>
      </c>
      <c r="E214" s="231">
        <v>1001447.74</v>
      </c>
      <c r="F214" s="234" t="s">
        <v>3002</v>
      </c>
      <c r="G214" s="238">
        <v>42304</v>
      </c>
      <c r="H214" s="239" t="s">
        <v>368</v>
      </c>
      <c r="I214" s="398">
        <v>45956</v>
      </c>
      <c r="J214" s="242">
        <v>3653</v>
      </c>
      <c r="K214" s="242">
        <v>0</v>
      </c>
      <c r="L214" s="242">
        <v>3653</v>
      </c>
      <c r="M214" s="242">
        <v>50072</v>
      </c>
      <c r="N214" s="399">
        <v>951375.74</v>
      </c>
      <c r="O214" s="242">
        <v>1001447.74</v>
      </c>
      <c r="P214" s="242">
        <v>3653</v>
      </c>
      <c r="Q214" s="242">
        <v>951375</v>
      </c>
      <c r="R214" s="251">
        <v>365</v>
      </c>
      <c r="S214" s="250">
        <v>95059</v>
      </c>
      <c r="T214" s="242">
        <v>611504</v>
      </c>
      <c r="U214" s="242">
        <v>389943.74</v>
      </c>
    </row>
    <row r="215" spans="2:22" s="22" customFormat="1" ht="14.25">
      <c r="B215" s="51" t="s">
        <v>1830</v>
      </c>
      <c r="C215" s="239"/>
      <c r="D215" s="234"/>
      <c r="E215" s="231"/>
      <c r="F215" s="234"/>
      <c r="G215" s="238"/>
      <c r="H215" s="239"/>
      <c r="I215" s="228"/>
      <c r="J215" s="228"/>
      <c r="K215" s="228"/>
      <c r="L215" s="228"/>
      <c r="M215" s="228"/>
      <c r="N215" s="228"/>
      <c r="O215" s="242"/>
      <c r="P215" s="228"/>
      <c r="Q215" s="228"/>
      <c r="R215" s="250"/>
      <c r="S215" s="242"/>
      <c r="T215" s="242"/>
      <c r="U215" s="228"/>
      <c r="V215" s="11"/>
    </row>
    <row r="216" spans="2:22" s="22" customFormat="1" ht="27">
      <c r="B216" s="8">
        <v>1</v>
      </c>
      <c r="C216" s="245" t="s">
        <v>1832</v>
      </c>
      <c r="D216" s="234">
        <f>1+1</f>
        <v>2</v>
      </c>
      <c r="E216" s="231">
        <v>69312</v>
      </c>
      <c r="F216" s="254" t="s">
        <v>1831</v>
      </c>
      <c r="G216" s="238">
        <v>41000</v>
      </c>
      <c r="H216" s="239" t="s">
        <v>368</v>
      </c>
      <c r="I216" s="270">
        <v>46477</v>
      </c>
      <c r="J216" s="242">
        <v>5478</v>
      </c>
      <c r="K216" s="242">
        <v>730</v>
      </c>
      <c r="L216" s="242">
        <v>4748</v>
      </c>
      <c r="M216" s="242">
        <v>3466</v>
      </c>
      <c r="N216" s="242">
        <v>59262</v>
      </c>
      <c r="O216" s="242">
        <v>58172</v>
      </c>
      <c r="P216" s="242">
        <v>4383</v>
      </c>
      <c r="Q216" s="242">
        <v>54706</v>
      </c>
      <c r="R216" s="250">
        <v>365</v>
      </c>
      <c r="S216" s="242">
        <v>4556</v>
      </c>
      <c r="T216" s="242">
        <v>31916</v>
      </c>
      <c r="U216" s="242">
        <v>26256</v>
      </c>
      <c r="V216" s="11"/>
    </row>
    <row r="217" spans="2:22" s="22" customFormat="1" ht="14.25">
      <c r="B217" s="51" t="s">
        <v>1882</v>
      </c>
      <c r="C217" s="239"/>
      <c r="D217" s="234"/>
      <c r="E217" s="231"/>
      <c r="F217" s="234"/>
      <c r="G217" s="238"/>
      <c r="H217" s="239"/>
      <c r="I217" s="228"/>
      <c r="J217" s="228"/>
      <c r="K217" s="228"/>
      <c r="L217" s="228"/>
      <c r="M217" s="228"/>
      <c r="N217" s="228"/>
      <c r="O217" s="242"/>
      <c r="P217" s="228"/>
      <c r="Q217" s="228"/>
      <c r="R217" s="250"/>
      <c r="S217" s="242"/>
      <c r="T217" s="242"/>
      <c r="U217" s="228"/>
      <c r="V217" s="11"/>
    </row>
    <row r="218" spans="2:22" s="22" customFormat="1" ht="27">
      <c r="B218" s="8">
        <v>1</v>
      </c>
      <c r="C218" s="245" t="s">
        <v>2476</v>
      </c>
      <c r="D218" s="234">
        <v>1</v>
      </c>
      <c r="E218" s="231">
        <v>134001045</v>
      </c>
      <c r="F218" s="254" t="s">
        <v>1883</v>
      </c>
      <c r="G218" s="238">
        <v>41002</v>
      </c>
      <c r="H218" s="239" t="s">
        <v>368</v>
      </c>
      <c r="I218" s="270">
        <v>48306</v>
      </c>
      <c r="J218" s="242">
        <v>7305</v>
      </c>
      <c r="K218" s="242">
        <v>728</v>
      </c>
      <c r="L218" s="242">
        <v>6577</v>
      </c>
      <c r="M218" s="242">
        <v>6700052</v>
      </c>
      <c r="N218" s="250">
        <v>114605770</v>
      </c>
      <c r="O218" s="242">
        <v>114945611</v>
      </c>
      <c r="P218" s="242">
        <v>6212</v>
      </c>
      <c r="Q218" s="242">
        <v>108245559</v>
      </c>
      <c r="R218" s="250">
        <v>365</v>
      </c>
      <c r="S218" s="242">
        <v>6360211</v>
      </c>
      <c r="T218" s="242">
        <v>44556327</v>
      </c>
      <c r="U218" s="242">
        <v>70389284</v>
      </c>
      <c r="V218" s="11"/>
    </row>
    <row r="219" spans="2:22" s="22" customFormat="1">
      <c r="B219" s="8">
        <v>2</v>
      </c>
      <c r="C219" s="245" t="s">
        <v>1981</v>
      </c>
      <c r="D219" s="234" t="s">
        <v>314</v>
      </c>
      <c r="E219" s="231">
        <v>389138</v>
      </c>
      <c r="F219" s="254" t="s">
        <v>1982</v>
      </c>
      <c r="G219" s="233">
        <v>41212</v>
      </c>
      <c r="H219" s="239" t="s">
        <v>368</v>
      </c>
      <c r="I219" s="270">
        <v>48516</v>
      </c>
      <c r="J219" s="242">
        <v>7305</v>
      </c>
      <c r="K219" s="242">
        <v>518</v>
      </c>
      <c r="L219" s="242">
        <v>6787</v>
      </c>
      <c r="M219" s="242">
        <v>19457</v>
      </c>
      <c r="N219" s="250">
        <v>343449</v>
      </c>
      <c r="O219" s="242">
        <v>344436</v>
      </c>
      <c r="P219" s="242">
        <v>6422</v>
      </c>
      <c r="Q219" s="242">
        <v>324979</v>
      </c>
      <c r="R219" s="250">
        <v>365</v>
      </c>
      <c r="S219" s="242">
        <v>18470</v>
      </c>
      <c r="T219" s="242">
        <v>129392</v>
      </c>
      <c r="U219" s="242">
        <v>215044</v>
      </c>
      <c r="V219" s="11"/>
    </row>
    <row r="220" spans="2:22" s="22" customFormat="1" ht="14.25">
      <c r="B220" s="51" t="s">
        <v>1884</v>
      </c>
      <c r="C220" s="239"/>
      <c r="D220" s="234"/>
      <c r="E220" s="231"/>
      <c r="F220" s="234"/>
      <c r="G220" s="238"/>
      <c r="H220" s="239"/>
      <c r="I220" s="228"/>
      <c r="J220" s="228"/>
      <c r="K220" s="228"/>
      <c r="L220" s="228"/>
      <c r="M220" s="228"/>
      <c r="N220" s="228"/>
      <c r="O220" s="242"/>
      <c r="P220" s="228"/>
      <c r="Q220" s="228"/>
      <c r="R220" s="250"/>
      <c r="S220" s="242"/>
      <c r="T220" s="242"/>
      <c r="U220" s="228"/>
      <c r="V220" s="11"/>
    </row>
    <row r="221" spans="2:22" s="22" customFormat="1" ht="27">
      <c r="B221" s="8">
        <v>1</v>
      </c>
      <c r="C221" s="239" t="s">
        <v>2477</v>
      </c>
      <c r="D221" s="234">
        <v>1</v>
      </c>
      <c r="E221" s="231">
        <f>53329385-3098736</f>
        <v>50230649</v>
      </c>
      <c r="F221" s="234" t="s">
        <v>1885</v>
      </c>
      <c r="G221" s="238">
        <v>41000</v>
      </c>
      <c r="H221" s="239" t="s">
        <v>368</v>
      </c>
      <c r="I221" s="270">
        <v>48304</v>
      </c>
      <c r="J221" s="242">
        <v>7305</v>
      </c>
      <c r="K221" s="242">
        <v>730</v>
      </c>
      <c r="L221" s="242">
        <v>6575</v>
      </c>
      <c r="M221" s="242">
        <v>2511532</v>
      </c>
      <c r="N221" s="250">
        <v>42947205</v>
      </c>
      <c r="O221" s="242">
        <v>43074596</v>
      </c>
      <c r="P221" s="242">
        <v>6210</v>
      </c>
      <c r="Q221" s="242">
        <v>40563064</v>
      </c>
      <c r="R221" s="250">
        <v>365</v>
      </c>
      <c r="S221" s="242">
        <v>2384141</v>
      </c>
      <c r="T221" s="242">
        <v>16702051</v>
      </c>
      <c r="U221" s="242">
        <v>26372545</v>
      </c>
      <c r="V221" s="11"/>
    </row>
    <row r="222" spans="2:22" s="22" customFormat="1">
      <c r="B222" s="8">
        <v>2</v>
      </c>
      <c r="C222" s="239" t="s">
        <v>1921</v>
      </c>
      <c r="D222" s="234">
        <v>4</v>
      </c>
      <c r="E222" s="231">
        <v>2531447</v>
      </c>
      <c r="F222" s="234"/>
      <c r="G222" s="238">
        <v>41091</v>
      </c>
      <c r="H222" s="239" t="s">
        <v>368</v>
      </c>
      <c r="I222" s="270">
        <v>48395</v>
      </c>
      <c r="J222" s="242">
        <v>7305</v>
      </c>
      <c r="K222" s="242">
        <v>639</v>
      </c>
      <c r="L222" s="242">
        <v>6666</v>
      </c>
      <c r="M222" s="242">
        <v>126572</v>
      </c>
      <c r="N222" s="250">
        <v>2194366</v>
      </c>
      <c r="O222" s="242">
        <v>2200784</v>
      </c>
      <c r="P222" s="242">
        <v>6301</v>
      </c>
      <c r="Q222" s="242">
        <v>2074212</v>
      </c>
      <c r="R222" s="250">
        <v>365</v>
      </c>
      <c r="S222" s="242">
        <v>120154</v>
      </c>
      <c r="T222" s="242">
        <v>841736</v>
      </c>
      <c r="U222" s="242">
        <v>1359048</v>
      </c>
      <c r="V222" s="11"/>
    </row>
    <row r="223" spans="2:22" s="22" customFormat="1" ht="14.25">
      <c r="B223" s="51" t="s">
        <v>1916</v>
      </c>
      <c r="C223" s="244"/>
      <c r="D223" s="234"/>
      <c r="E223" s="231"/>
      <c r="F223" s="234"/>
      <c r="G223" s="238"/>
      <c r="H223" s="239"/>
      <c r="I223" s="228"/>
      <c r="J223" s="228"/>
      <c r="K223" s="228"/>
      <c r="L223" s="228"/>
      <c r="M223" s="228"/>
      <c r="N223" s="228"/>
      <c r="O223" s="242"/>
      <c r="P223" s="228"/>
      <c r="Q223" s="228"/>
      <c r="R223" s="250"/>
      <c r="S223" s="242"/>
      <c r="T223" s="242"/>
      <c r="U223" s="228"/>
      <c r="V223" s="11"/>
    </row>
    <row r="224" spans="2:22" s="22" customFormat="1">
      <c r="B224" s="8">
        <v>1</v>
      </c>
      <c r="C224" s="239" t="s">
        <v>2016</v>
      </c>
      <c r="D224" s="234">
        <v>1</v>
      </c>
      <c r="E224" s="231">
        <v>15225</v>
      </c>
      <c r="F224" s="234"/>
      <c r="G224" s="238">
        <v>41151</v>
      </c>
      <c r="H224" s="239" t="s">
        <v>368</v>
      </c>
      <c r="I224" s="270">
        <v>46628</v>
      </c>
      <c r="J224" s="242">
        <v>5478</v>
      </c>
      <c r="K224" s="242">
        <v>579</v>
      </c>
      <c r="L224" s="242">
        <v>4899</v>
      </c>
      <c r="M224" s="242">
        <v>761</v>
      </c>
      <c r="N224" s="242">
        <v>13189</v>
      </c>
      <c r="O224" s="242">
        <v>12967</v>
      </c>
      <c r="P224" s="242">
        <v>4534</v>
      </c>
      <c r="Q224" s="242">
        <v>12206</v>
      </c>
      <c r="R224" s="250">
        <v>365</v>
      </c>
      <c r="S224" s="242">
        <v>983</v>
      </c>
      <c r="T224" s="242">
        <v>6885</v>
      </c>
      <c r="U224" s="242">
        <v>6082</v>
      </c>
      <c r="V224" s="11"/>
    </row>
    <row r="225" spans="2:22" s="22" customFormat="1">
      <c r="B225" s="8">
        <v>2</v>
      </c>
      <c r="C225" s="239" t="s">
        <v>2014</v>
      </c>
      <c r="D225" s="234">
        <v>1</v>
      </c>
      <c r="E225" s="231">
        <v>10290</v>
      </c>
      <c r="F225" s="234" t="s">
        <v>2015</v>
      </c>
      <c r="G225" s="238">
        <v>41311</v>
      </c>
      <c r="H225" s="239" t="s">
        <v>368</v>
      </c>
      <c r="I225" s="270">
        <v>46788</v>
      </c>
      <c r="J225" s="242">
        <v>5478</v>
      </c>
      <c r="K225" s="242">
        <v>419</v>
      </c>
      <c r="L225" s="242">
        <v>5059</v>
      </c>
      <c r="M225" s="242">
        <v>515</v>
      </c>
      <c r="N225" s="242">
        <v>9152</v>
      </c>
      <c r="O225" s="242">
        <v>9007</v>
      </c>
      <c r="P225" s="242">
        <v>4694</v>
      </c>
      <c r="Q225" s="242">
        <v>8493</v>
      </c>
      <c r="R225" s="250">
        <v>365</v>
      </c>
      <c r="S225" s="242">
        <v>660</v>
      </c>
      <c r="T225" s="242">
        <v>4624</v>
      </c>
      <c r="U225" s="242">
        <v>4383</v>
      </c>
      <c r="V225" s="11"/>
    </row>
    <row r="226" spans="2:22" s="22" customFormat="1">
      <c r="B226" s="8">
        <v>3</v>
      </c>
      <c r="C226" s="239" t="s">
        <v>2284</v>
      </c>
      <c r="D226" s="234">
        <v>1</v>
      </c>
      <c r="E226" s="231">
        <v>1368</v>
      </c>
      <c r="F226" s="234" t="s">
        <v>2285</v>
      </c>
      <c r="G226" s="238">
        <v>41591</v>
      </c>
      <c r="H226" s="239" t="s">
        <v>368</v>
      </c>
      <c r="I226" s="270">
        <v>47069</v>
      </c>
      <c r="J226" s="242">
        <v>5479</v>
      </c>
      <c r="K226" s="242">
        <v>139</v>
      </c>
      <c r="L226" s="242">
        <v>5340</v>
      </c>
      <c r="M226" s="242">
        <v>0</v>
      </c>
      <c r="N226" s="242">
        <v>0</v>
      </c>
      <c r="O226" s="242">
        <v>0</v>
      </c>
      <c r="P226" s="242"/>
      <c r="Q226" s="242"/>
      <c r="R226" s="250">
        <v>0</v>
      </c>
      <c r="S226" s="242">
        <v>0</v>
      </c>
      <c r="T226" s="242">
        <v>0</v>
      </c>
      <c r="U226" s="242">
        <v>0</v>
      </c>
      <c r="V226" s="11"/>
    </row>
    <row r="227" spans="2:22" s="22" customFormat="1" ht="27">
      <c r="B227" s="8">
        <v>4</v>
      </c>
      <c r="C227" s="239" t="s">
        <v>2560</v>
      </c>
      <c r="D227" s="234">
        <v>1</v>
      </c>
      <c r="E227" s="231">
        <v>4148</v>
      </c>
      <c r="F227" s="234" t="s">
        <v>2561</v>
      </c>
      <c r="G227" s="238">
        <v>41958</v>
      </c>
      <c r="H227" s="239" t="s">
        <v>282</v>
      </c>
      <c r="I227" s="270">
        <v>47436</v>
      </c>
      <c r="J227" s="242">
        <v>5479</v>
      </c>
      <c r="K227" s="242">
        <v>0</v>
      </c>
      <c r="L227" s="242">
        <v>5479</v>
      </c>
      <c r="M227" s="242">
        <v>207</v>
      </c>
      <c r="N227" s="242">
        <v>3941</v>
      </c>
      <c r="O227" s="242">
        <v>4049</v>
      </c>
      <c r="P227" s="242">
        <v>5342</v>
      </c>
      <c r="Q227" s="242">
        <v>3842</v>
      </c>
      <c r="R227" s="250">
        <v>365</v>
      </c>
      <c r="S227" s="242">
        <v>263</v>
      </c>
      <c r="T227" s="242">
        <v>1841</v>
      </c>
      <c r="U227" s="242">
        <v>2208</v>
      </c>
      <c r="V227" s="11"/>
    </row>
    <row r="228" spans="2:22" s="22" customFormat="1">
      <c r="B228" s="8">
        <v>5</v>
      </c>
      <c r="C228" s="239" t="s">
        <v>2670</v>
      </c>
      <c r="D228" s="234">
        <v>1</v>
      </c>
      <c r="E228" s="231">
        <v>14700</v>
      </c>
      <c r="F228" s="234" t="s">
        <v>2671</v>
      </c>
      <c r="G228" s="238">
        <v>42047</v>
      </c>
      <c r="H228" s="239" t="s">
        <v>368</v>
      </c>
      <c r="I228" s="398">
        <v>47525</v>
      </c>
      <c r="J228" s="242">
        <v>5479</v>
      </c>
      <c r="K228" s="242">
        <v>0</v>
      </c>
      <c r="L228" s="242">
        <v>5479</v>
      </c>
      <c r="M228" s="242">
        <v>735</v>
      </c>
      <c r="N228" s="399">
        <v>13965</v>
      </c>
      <c r="O228" s="242">
        <v>14578</v>
      </c>
      <c r="P228" s="242">
        <v>5431</v>
      </c>
      <c r="Q228" s="242">
        <v>13843</v>
      </c>
      <c r="R228" s="251">
        <v>365</v>
      </c>
      <c r="S228" s="250">
        <v>930</v>
      </c>
      <c r="T228" s="242">
        <v>6516</v>
      </c>
      <c r="U228" s="242">
        <v>8062</v>
      </c>
      <c r="V228" s="11"/>
    </row>
    <row r="229" spans="2:22" s="22" customFormat="1">
      <c r="B229" s="8"/>
      <c r="C229" s="239"/>
      <c r="D229" s="234"/>
      <c r="E229" s="231"/>
      <c r="F229" s="234"/>
      <c r="G229" s="238"/>
      <c r="H229" s="239"/>
      <c r="I229" s="270"/>
      <c r="J229" s="242"/>
      <c r="K229" s="242"/>
      <c r="L229" s="242"/>
      <c r="M229" s="242"/>
      <c r="N229" s="242"/>
      <c r="O229" s="242"/>
      <c r="P229" s="242"/>
      <c r="Q229" s="242"/>
      <c r="R229" s="250"/>
      <c r="S229" s="242"/>
      <c r="T229" s="242"/>
      <c r="U229" s="242"/>
      <c r="V229" s="11"/>
    </row>
    <row r="230" spans="2:22" s="22" customFormat="1" ht="14.25">
      <c r="B230" s="51" t="s">
        <v>2061</v>
      </c>
      <c r="C230" s="239"/>
      <c r="D230" s="234"/>
      <c r="E230" s="231"/>
      <c r="F230" s="234"/>
      <c r="G230" s="238"/>
      <c r="H230" s="239"/>
      <c r="I230" s="228"/>
      <c r="J230" s="228"/>
      <c r="K230" s="228"/>
      <c r="L230" s="228"/>
      <c r="M230" s="228"/>
      <c r="N230" s="228"/>
      <c r="O230" s="242"/>
      <c r="P230" s="228"/>
      <c r="Q230" s="228"/>
      <c r="R230" s="250"/>
      <c r="S230" s="242"/>
      <c r="T230" s="242"/>
      <c r="U230" s="228"/>
      <c r="V230" s="11"/>
    </row>
    <row r="231" spans="2:22" s="22" customFormat="1" ht="27">
      <c r="B231" s="8">
        <v>1</v>
      </c>
      <c r="C231" s="239" t="s">
        <v>2063</v>
      </c>
      <c r="D231" s="234">
        <v>1</v>
      </c>
      <c r="E231" s="231">
        <f>2515066/2</f>
        <v>1257533</v>
      </c>
      <c r="F231" s="234" t="s">
        <v>2062</v>
      </c>
      <c r="G231" s="238">
        <v>41302</v>
      </c>
      <c r="H231" s="239" t="s">
        <v>368</v>
      </c>
      <c r="I231" s="270">
        <v>46779</v>
      </c>
      <c r="J231" s="242">
        <v>5478</v>
      </c>
      <c r="K231" s="242">
        <v>428</v>
      </c>
      <c r="L231" s="242">
        <v>5050</v>
      </c>
      <c r="M231" s="242">
        <v>62877</v>
      </c>
      <c r="N231" s="242">
        <v>1116798</v>
      </c>
      <c r="O231" s="242">
        <v>1098956</v>
      </c>
      <c r="P231" s="242">
        <v>4685</v>
      </c>
      <c r="Q231" s="242">
        <v>1036079</v>
      </c>
      <c r="R231" s="250">
        <v>365</v>
      </c>
      <c r="S231" s="242">
        <v>80719</v>
      </c>
      <c r="T231" s="242">
        <v>565475</v>
      </c>
      <c r="U231" s="242">
        <v>533481</v>
      </c>
      <c r="V231" s="11"/>
    </row>
    <row r="232" spans="2:22" s="22" customFormat="1">
      <c r="B232" s="8">
        <v>2</v>
      </c>
      <c r="C232" s="239" t="s">
        <v>2072</v>
      </c>
      <c r="D232" s="234">
        <v>1</v>
      </c>
      <c r="E232" s="231">
        <v>153708</v>
      </c>
      <c r="F232" s="234" t="s">
        <v>2073</v>
      </c>
      <c r="G232" s="238">
        <v>41302</v>
      </c>
      <c r="H232" s="239" t="s">
        <v>368</v>
      </c>
      <c r="I232" s="270">
        <v>46779</v>
      </c>
      <c r="J232" s="242">
        <v>5478</v>
      </c>
      <c r="K232" s="242">
        <v>428</v>
      </c>
      <c r="L232" s="242">
        <v>5050</v>
      </c>
      <c r="M232" s="242">
        <v>7685</v>
      </c>
      <c r="N232" s="242">
        <v>136506</v>
      </c>
      <c r="O232" s="242">
        <v>134325</v>
      </c>
      <c r="P232" s="242">
        <v>4685</v>
      </c>
      <c r="Q232" s="242">
        <v>126640</v>
      </c>
      <c r="R232" s="250">
        <v>365</v>
      </c>
      <c r="S232" s="242">
        <v>9866</v>
      </c>
      <c r="T232" s="242">
        <v>69116</v>
      </c>
      <c r="U232" s="242">
        <v>65209</v>
      </c>
      <c r="V232" s="11"/>
    </row>
    <row r="233" spans="2:22" s="22" customFormat="1" ht="27">
      <c r="B233" s="8">
        <v>3</v>
      </c>
      <c r="C233" s="239" t="s">
        <v>2256</v>
      </c>
      <c r="D233" s="234">
        <v>1</v>
      </c>
      <c r="E233" s="231">
        <v>1257533</v>
      </c>
      <c r="F233" s="234" t="s">
        <v>2259</v>
      </c>
      <c r="G233" s="238">
        <v>41365</v>
      </c>
      <c r="H233" s="239" t="s">
        <v>368</v>
      </c>
      <c r="I233" s="270">
        <v>46843</v>
      </c>
      <c r="J233" s="242">
        <v>5479</v>
      </c>
      <c r="K233" s="242">
        <v>365</v>
      </c>
      <c r="L233" s="242">
        <v>5114</v>
      </c>
      <c r="M233" s="242">
        <v>62877</v>
      </c>
      <c r="N233" s="242">
        <v>1128258</v>
      </c>
      <c r="O233" s="242">
        <v>1110608</v>
      </c>
      <c r="P233" s="242">
        <v>4749</v>
      </c>
      <c r="Q233" s="242">
        <v>1047731</v>
      </c>
      <c r="R233" s="250">
        <v>365</v>
      </c>
      <c r="S233" s="242">
        <v>80527</v>
      </c>
      <c r="T233" s="242">
        <v>564129</v>
      </c>
      <c r="U233" s="242">
        <v>546479</v>
      </c>
      <c r="V233" s="11"/>
    </row>
    <row r="234" spans="2:22" s="22" customFormat="1" ht="27">
      <c r="B234" s="8">
        <v>4</v>
      </c>
      <c r="C234" s="239" t="s">
        <v>2257</v>
      </c>
      <c r="D234" s="234">
        <v>1</v>
      </c>
      <c r="E234" s="231">
        <v>153708</v>
      </c>
      <c r="F234" s="234" t="s">
        <v>2258</v>
      </c>
      <c r="G234" s="238">
        <v>41365</v>
      </c>
      <c r="H234" s="239" t="s">
        <v>368</v>
      </c>
      <c r="I234" s="270">
        <v>46843</v>
      </c>
      <c r="J234" s="242">
        <v>5479</v>
      </c>
      <c r="K234" s="242">
        <v>365</v>
      </c>
      <c r="L234" s="242">
        <v>5114</v>
      </c>
      <c r="M234" s="242">
        <v>7685</v>
      </c>
      <c r="N234" s="242">
        <v>137907</v>
      </c>
      <c r="O234" s="242">
        <v>135749</v>
      </c>
      <c r="P234" s="242">
        <v>4749</v>
      </c>
      <c r="Q234" s="242">
        <v>128064</v>
      </c>
      <c r="R234" s="250">
        <v>365</v>
      </c>
      <c r="S234" s="242">
        <v>9843</v>
      </c>
      <c r="T234" s="242">
        <v>68955</v>
      </c>
      <c r="U234" s="242">
        <v>66794</v>
      </c>
      <c r="V234" s="11"/>
    </row>
    <row r="235" spans="2:22" s="22" customFormat="1" ht="27">
      <c r="B235" s="8">
        <v>5</v>
      </c>
      <c r="C235" s="239" t="s">
        <v>2368</v>
      </c>
      <c r="D235" s="234">
        <f>490+20</f>
        <v>510</v>
      </c>
      <c r="E235" s="231">
        <v>517909</v>
      </c>
      <c r="F235" s="234" t="s">
        <v>2367</v>
      </c>
      <c r="G235" s="238">
        <v>41640</v>
      </c>
      <c r="H235" s="239" t="s">
        <v>368</v>
      </c>
      <c r="I235" s="270">
        <v>47118</v>
      </c>
      <c r="J235" s="242">
        <v>5479</v>
      </c>
      <c r="K235" s="242">
        <v>90</v>
      </c>
      <c r="L235" s="242">
        <v>5389</v>
      </c>
      <c r="M235" s="242">
        <v>0</v>
      </c>
      <c r="N235" s="242">
        <v>0</v>
      </c>
      <c r="O235" s="242">
        <v>0</v>
      </c>
      <c r="P235" s="242"/>
      <c r="Q235" s="242"/>
      <c r="R235" s="250">
        <v>0</v>
      </c>
      <c r="S235" s="242">
        <v>0</v>
      </c>
      <c r="T235" s="242">
        <v>0</v>
      </c>
      <c r="U235" s="242">
        <v>0</v>
      </c>
      <c r="V235" s="11"/>
    </row>
    <row r="236" spans="2:22" s="22" customFormat="1" ht="27">
      <c r="B236" s="8">
        <v>6</v>
      </c>
      <c r="C236" s="239" t="s">
        <v>2369</v>
      </c>
      <c r="D236" s="234" t="s">
        <v>314</v>
      </c>
      <c r="E236" s="231">
        <v>6550</v>
      </c>
      <c r="F236" s="234" t="s">
        <v>2353</v>
      </c>
      <c r="G236" s="238">
        <v>41640</v>
      </c>
      <c r="H236" s="239" t="s">
        <v>368</v>
      </c>
      <c r="I236" s="270">
        <v>47118</v>
      </c>
      <c r="J236" s="242">
        <v>5479</v>
      </c>
      <c r="K236" s="242">
        <v>90</v>
      </c>
      <c r="L236" s="242">
        <v>5389</v>
      </c>
      <c r="M236" s="242">
        <v>328</v>
      </c>
      <c r="N236" s="242">
        <v>6137</v>
      </c>
      <c r="O236" s="242">
        <v>6049</v>
      </c>
      <c r="P236" s="242">
        <v>5024</v>
      </c>
      <c r="Q236" s="242">
        <v>5722</v>
      </c>
      <c r="R236" s="250">
        <v>365</v>
      </c>
      <c r="S236" s="242">
        <v>416</v>
      </c>
      <c r="T236" s="242">
        <v>2914</v>
      </c>
      <c r="U236" s="242">
        <v>3135</v>
      </c>
      <c r="V236" s="11"/>
    </row>
    <row r="237" spans="2:22" s="22" customFormat="1">
      <c r="B237" s="8">
        <v>7</v>
      </c>
      <c r="C237" s="239" t="s">
        <v>2370</v>
      </c>
      <c r="D237" s="234" t="s">
        <v>314</v>
      </c>
      <c r="E237" s="231">
        <v>9400</v>
      </c>
      <c r="F237" s="234">
        <v>145</v>
      </c>
      <c r="G237" s="238">
        <v>41640</v>
      </c>
      <c r="H237" s="239" t="s">
        <v>368</v>
      </c>
      <c r="I237" s="270">
        <v>47118</v>
      </c>
      <c r="J237" s="242">
        <v>5479</v>
      </c>
      <c r="K237" s="242">
        <v>90</v>
      </c>
      <c r="L237" s="242">
        <v>5389</v>
      </c>
      <c r="M237" s="242">
        <v>470</v>
      </c>
      <c r="N237" s="242">
        <v>8808</v>
      </c>
      <c r="O237" s="242">
        <v>8681</v>
      </c>
      <c r="P237" s="242">
        <v>5024</v>
      </c>
      <c r="Q237" s="242">
        <v>8211</v>
      </c>
      <c r="R237" s="250">
        <v>365</v>
      </c>
      <c r="S237" s="242">
        <v>597</v>
      </c>
      <c r="T237" s="242">
        <v>4181</v>
      </c>
      <c r="U237" s="242">
        <v>4500</v>
      </c>
      <c r="V237" s="11"/>
    </row>
    <row r="238" spans="2:22" s="22" customFormat="1">
      <c r="B238" s="8">
        <v>8</v>
      </c>
      <c r="C238" s="239" t="s">
        <v>3938</v>
      </c>
      <c r="D238" s="234" t="s">
        <v>314</v>
      </c>
      <c r="E238" s="231">
        <f>630758</f>
        <v>630758</v>
      </c>
      <c r="F238" s="234" t="s">
        <v>3941</v>
      </c>
      <c r="G238" s="238">
        <v>42825</v>
      </c>
      <c r="H238" s="239" t="s">
        <v>368</v>
      </c>
      <c r="I238" s="270">
        <v>48303</v>
      </c>
      <c r="J238" s="242">
        <v>5479</v>
      </c>
      <c r="K238" s="242">
        <v>0</v>
      </c>
      <c r="L238" s="242">
        <v>5479</v>
      </c>
      <c r="M238" s="242">
        <v>31538</v>
      </c>
      <c r="N238" s="242">
        <v>-31538</v>
      </c>
      <c r="O238" s="242">
        <v>630758</v>
      </c>
      <c r="P238" s="242">
        <v>5114</v>
      </c>
      <c r="Q238" s="242">
        <v>599220</v>
      </c>
      <c r="R238" s="250">
        <v>365</v>
      </c>
      <c r="S238" s="242">
        <v>42768</v>
      </c>
      <c r="T238" s="242">
        <v>214074</v>
      </c>
      <c r="U238" s="242">
        <v>416684</v>
      </c>
      <c r="V238" s="11"/>
    </row>
    <row r="239" spans="2:22" s="22" customFormat="1">
      <c r="B239" s="8">
        <v>9</v>
      </c>
      <c r="C239" s="239" t="s">
        <v>3939</v>
      </c>
      <c r="D239" s="234" t="s">
        <v>314</v>
      </c>
      <c r="E239" s="231">
        <f>13282</f>
        <v>13282</v>
      </c>
      <c r="F239" s="234" t="s">
        <v>3940</v>
      </c>
      <c r="G239" s="238">
        <v>42825</v>
      </c>
      <c r="H239" s="239" t="s">
        <v>368</v>
      </c>
      <c r="I239" s="270">
        <v>48303</v>
      </c>
      <c r="J239" s="242">
        <v>5479</v>
      </c>
      <c r="K239" s="242">
        <v>0</v>
      </c>
      <c r="L239" s="242">
        <v>5479</v>
      </c>
      <c r="M239" s="242">
        <v>0</v>
      </c>
      <c r="N239" s="242">
        <v>0</v>
      </c>
      <c r="O239" s="242">
        <v>13282</v>
      </c>
      <c r="P239" s="242">
        <v>5479</v>
      </c>
      <c r="Q239" s="242">
        <v>12618</v>
      </c>
      <c r="R239" s="250">
        <v>365</v>
      </c>
      <c r="S239" s="242">
        <v>841</v>
      </c>
      <c r="T239" s="242">
        <v>4209</v>
      </c>
      <c r="U239" s="242">
        <v>9073</v>
      </c>
      <c r="V239" s="11"/>
    </row>
    <row r="240" spans="2:22" s="22" customFormat="1">
      <c r="B240" s="8">
        <v>10</v>
      </c>
      <c r="C240" s="239" t="s">
        <v>3012</v>
      </c>
      <c r="D240" s="234" t="s">
        <v>314</v>
      </c>
      <c r="E240" s="231">
        <v>60000</v>
      </c>
      <c r="F240" s="234" t="s">
        <v>3011</v>
      </c>
      <c r="G240" s="238">
        <v>42391</v>
      </c>
      <c r="H240" s="239" t="s">
        <v>368</v>
      </c>
      <c r="I240" s="398">
        <v>47869</v>
      </c>
      <c r="J240" s="242">
        <v>5479</v>
      </c>
      <c r="K240" s="242">
        <v>0</v>
      </c>
      <c r="L240" s="242">
        <v>5479</v>
      </c>
      <c r="M240" s="242">
        <v>3000</v>
      </c>
      <c r="N240" s="399">
        <v>57000</v>
      </c>
      <c r="O240" s="242">
        <v>60000</v>
      </c>
      <c r="P240" s="242">
        <v>5479</v>
      </c>
      <c r="Q240" s="242">
        <v>57000</v>
      </c>
      <c r="R240" s="251">
        <v>365</v>
      </c>
      <c r="S240" s="250">
        <v>3797</v>
      </c>
      <c r="T240" s="242">
        <v>23521</v>
      </c>
      <c r="U240" s="242">
        <v>36479</v>
      </c>
      <c r="V240" s="11"/>
    </row>
    <row r="241" spans="2:22" s="22" customFormat="1">
      <c r="B241" s="8">
        <v>11</v>
      </c>
      <c r="C241" s="239" t="s">
        <v>3013</v>
      </c>
      <c r="D241" s="234" t="s">
        <v>314</v>
      </c>
      <c r="E241" s="231">
        <v>57250</v>
      </c>
      <c r="F241" s="234" t="s">
        <v>3014</v>
      </c>
      <c r="G241" s="238">
        <v>42391</v>
      </c>
      <c r="H241" s="239" t="s">
        <v>368</v>
      </c>
      <c r="I241" s="398">
        <v>47869</v>
      </c>
      <c r="J241" s="242">
        <v>5479</v>
      </c>
      <c r="K241" s="242">
        <v>0</v>
      </c>
      <c r="L241" s="242">
        <v>5479</v>
      </c>
      <c r="M241" s="242">
        <v>2863</v>
      </c>
      <c r="N241" s="399">
        <v>54387</v>
      </c>
      <c r="O241" s="242">
        <v>57250</v>
      </c>
      <c r="P241" s="242">
        <v>5479</v>
      </c>
      <c r="Q241" s="242">
        <v>54388</v>
      </c>
      <c r="R241" s="251">
        <v>365</v>
      </c>
      <c r="S241" s="250">
        <v>3623</v>
      </c>
      <c r="T241" s="242">
        <v>22443</v>
      </c>
      <c r="U241" s="242">
        <v>34807</v>
      </c>
      <c r="V241" s="11"/>
    </row>
    <row r="242" spans="2:22" s="22" customFormat="1" ht="27">
      <c r="B242" s="8">
        <v>12</v>
      </c>
      <c r="C242" s="239" t="s">
        <v>3015</v>
      </c>
      <c r="D242" s="234" t="s">
        <v>314</v>
      </c>
      <c r="E242" s="231">
        <v>2471970</v>
      </c>
      <c r="F242" s="234" t="s">
        <v>3016</v>
      </c>
      <c r="G242" s="238">
        <v>42391</v>
      </c>
      <c r="H242" s="239" t="s">
        <v>368</v>
      </c>
      <c r="I242" s="398">
        <v>47869</v>
      </c>
      <c r="J242" s="242">
        <v>5479</v>
      </c>
      <c r="K242" s="242">
        <v>0</v>
      </c>
      <c r="L242" s="242">
        <v>5479</v>
      </c>
      <c r="M242" s="242">
        <v>123599</v>
      </c>
      <c r="N242" s="399">
        <v>2348371</v>
      </c>
      <c r="O242" s="242">
        <v>2471970</v>
      </c>
      <c r="P242" s="242">
        <v>5479</v>
      </c>
      <c r="Q242" s="242">
        <v>2348372</v>
      </c>
      <c r="R242" s="251">
        <v>365</v>
      </c>
      <c r="S242" s="250">
        <v>156444</v>
      </c>
      <c r="T242" s="242">
        <v>969095</v>
      </c>
      <c r="U242" s="242">
        <v>1502875</v>
      </c>
      <c r="V242" s="11"/>
    </row>
    <row r="243" spans="2:22" s="22" customFormat="1">
      <c r="B243" s="8"/>
      <c r="C243" s="239"/>
      <c r="D243" s="234"/>
      <c r="E243" s="231"/>
      <c r="F243" s="234"/>
      <c r="G243" s="238"/>
      <c r="H243" s="239"/>
      <c r="I243" s="270"/>
      <c r="J243" s="242"/>
      <c r="K243" s="242"/>
      <c r="L243" s="242"/>
      <c r="M243" s="242"/>
      <c r="N243" s="242"/>
      <c r="O243" s="242"/>
      <c r="P243" s="242"/>
      <c r="Q243" s="277"/>
      <c r="R243" s="250"/>
      <c r="S243" s="242"/>
      <c r="T243" s="242"/>
      <c r="U243" s="228"/>
      <c r="V243" s="11"/>
    </row>
    <row r="244" spans="2:22" s="22" customFormat="1" ht="14.25">
      <c r="B244" s="51" t="s">
        <v>2359</v>
      </c>
      <c r="C244" s="239"/>
      <c r="D244" s="234"/>
      <c r="E244" s="231"/>
      <c r="F244" s="234"/>
      <c r="G244" s="238"/>
      <c r="H244" s="239"/>
      <c r="I244" s="228"/>
      <c r="J244" s="228"/>
      <c r="K244" s="228"/>
      <c r="L244" s="228"/>
      <c r="M244" s="228"/>
      <c r="N244" s="228"/>
      <c r="O244" s="242"/>
      <c r="P244" s="228"/>
      <c r="Q244" s="228"/>
      <c r="R244" s="250"/>
      <c r="S244" s="242"/>
      <c r="T244" s="242"/>
      <c r="U244" s="228"/>
      <c r="V244" s="11"/>
    </row>
    <row r="245" spans="2:22" s="22" customFormat="1">
      <c r="B245" s="8">
        <v>1</v>
      </c>
      <c r="C245" s="239" t="s">
        <v>2360</v>
      </c>
      <c r="D245" s="234" t="s">
        <v>42</v>
      </c>
      <c r="E245" s="231">
        <v>381780</v>
      </c>
      <c r="F245" s="234" t="s">
        <v>2361</v>
      </c>
      <c r="G245" s="238">
        <v>41677</v>
      </c>
      <c r="H245" s="239" t="s">
        <v>368</v>
      </c>
      <c r="I245" s="270">
        <v>50807</v>
      </c>
      <c r="J245" s="242">
        <v>9131</v>
      </c>
      <c r="K245" s="242">
        <v>53</v>
      </c>
      <c r="L245" s="242">
        <v>9078</v>
      </c>
      <c r="M245" s="242">
        <v>19089</v>
      </c>
      <c r="N245" s="242">
        <v>359764</v>
      </c>
      <c r="O245" s="242">
        <v>364388</v>
      </c>
      <c r="P245" s="242">
        <v>8713</v>
      </c>
      <c r="Q245" s="242">
        <v>345299</v>
      </c>
      <c r="R245" s="250">
        <v>365</v>
      </c>
      <c r="S245" s="242">
        <v>14465</v>
      </c>
      <c r="T245" s="242">
        <v>101335</v>
      </c>
      <c r="U245" s="242">
        <v>263053</v>
      </c>
      <c r="V245" s="11"/>
    </row>
    <row r="246" spans="2:22" s="22" customFormat="1" ht="14.25">
      <c r="B246" s="51" t="s">
        <v>2392</v>
      </c>
      <c r="C246" s="239"/>
      <c r="D246" s="234"/>
      <c r="E246" s="231"/>
      <c r="F246" s="234"/>
      <c r="G246" s="238"/>
      <c r="H246" s="239"/>
      <c r="I246" s="228"/>
      <c r="J246" s="228"/>
      <c r="K246" s="228"/>
      <c r="L246" s="228"/>
      <c r="M246" s="228"/>
      <c r="N246" s="228"/>
      <c r="O246" s="242"/>
      <c r="P246" s="228"/>
      <c r="Q246" s="228"/>
      <c r="R246" s="250"/>
      <c r="S246" s="242"/>
      <c r="T246" s="242"/>
      <c r="U246" s="228"/>
      <c r="V246" s="11"/>
    </row>
    <row r="247" spans="2:22" s="22" customFormat="1">
      <c r="B247" s="8">
        <v>1</v>
      </c>
      <c r="C247" s="239" t="s">
        <v>2393</v>
      </c>
      <c r="D247" s="234" t="s">
        <v>42</v>
      </c>
      <c r="E247" s="231">
        <v>123214</v>
      </c>
      <c r="F247" s="234" t="s">
        <v>2394</v>
      </c>
      <c r="G247" s="238">
        <v>41640</v>
      </c>
      <c r="H247" s="239" t="s">
        <v>368</v>
      </c>
      <c r="I247" s="270">
        <v>50770</v>
      </c>
      <c r="J247" s="242">
        <v>9131</v>
      </c>
      <c r="K247" s="242">
        <v>90</v>
      </c>
      <c r="L247" s="242">
        <v>9041</v>
      </c>
      <c r="M247" s="242">
        <v>6161</v>
      </c>
      <c r="N247" s="242">
        <v>115449</v>
      </c>
      <c r="O247" s="242">
        <v>116949</v>
      </c>
      <c r="P247" s="242">
        <v>8676</v>
      </c>
      <c r="Q247" s="242">
        <v>110788</v>
      </c>
      <c r="R247" s="250">
        <v>365</v>
      </c>
      <c r="S247" s="242">
        <v>4661</v>
      </c>
      <c r="T247" s="242">
        <v>32653</v>
      </c>
      <c r="U247" s="242">
        <v>84296</v>
      </c>
      <c r="V247" s="11"/>
    </row>
    <row r="248" spans="2:22" s="22" customFormat="1" ht="14.25">
      <c r="B248" s="51" t="s">
        <v>2395</v>
      </c>
      <c r="C248" s="239"/>
      <c r="D248" s="234"/>
      <c r="E248" s="231"/>
      <c r="F248" s="234"/>
      <c r="G248" s="238"/>
      <c r="H248" s="239"/>
      <c r="I248" s="228"/>
      <c r="J248" s="228"/>
      <c r="K248" s="228"/>
      <c r="L248" s="228"/>
      <c r="M248" s="228"/>
      <c r="N248" s="228"/>
      <c r="O248" s="242"/>
      <c r="P248" s="228"/>
      <c r="Q248" s="228"/>
      <c r="R248" s="250"/>
      <c r="S248" s="242"/>
      <c r="T248" s="242"/>
      <c r="U248" s="228"/>
      <c r="V248" s="11"/>
    </row>
    <row r="249" spans="2:22" s="22" customFormat="1">
      <c r="B249" s="8">
        <v>1</v>
      </c>
      <c r="C249" s="239" t="s">
        <v>2396</v>
      </c>
      <c r="D249" s="234" t="s">
        <v>42</v>
      </c>
      <c r="E249" s="231">
        <v>345080</v>
      </c>
      <c r="F249" s="234" t="s">
        <v>2397</v>
      </c>
      <c r="G249" s="238">
        <v>41724</v>
      </c>
      <c r="H249" s="239" t="s">
        <v>368</v>
      </c>
      <c r="I249" s="270">
        <v>50854</v>
      </c>
      <c r="J249" s="242">
        <v>9131</v>
      </c>
      <c r="K249" s="242">
        <v>6</v>
      </c>
      <c r="L249" s="242">
        <v>9125</v>
      </c>
      <c r="M249" s="242">
        <v>17254</v>
      </c>
      <c r="N249" s="242">
        <v>327526</v>
      </c>
      <c r="O249" s="242">
        <v>331679</v>
      </c>
      <c r="P249" s="242">
        <v>8760</v>
      </c>
      <c r="Q249" s="242">
        <v>314425</v>
      </c>
      <c r="R249" s="250">
        <v>365</v>
      </c>
      <c r="S249" s="242">
        <v>13101</v>
      </c>
      <c r="T249" s="242">
        <v>91779</v>
      </c>
      <c r="U249" s="242">
        <v>239900</v>
      </c>
      <c r="V249" s="11"/>
    </row>
    <row r="250" spans="2:22" s="22" customFormat="1">
      <c r="B250" s="8"/>
      <c r="C250" s="239"/>
      <c r="D250" s="234"/>
      <c r="E250" s="231"/>
      <c r="F250" s="234"/>
      <c r="G250" s="238"/>
      <c r="H250" s="239"/>
      <c r="I250" s="270"/>
      <c r="J250" s="242"/>
      <c r="K250" s="242"/>
      <c r="L250" s="242"/>
      <c r="M250" s="242"/>
      <c r="N250" s="242"/>
      <c r="O250" s="242"/>
      <c r="P250" s="242"/>
      <c r="Q250" s="272"/>
      <c r="R250" s="250"/>
      <c r="S250" s="242"/>
      <c r="T250" s="242"/>
      <c r="U250" s="228"/>
      <c r="V250" s="11"/>
    </row>
    <row r="251" spans="2:22" s="22" customFormat="1" ht="14.25">
      <c r="B251" s="51" t="s">
        <v>2987</v>
      </c>
      <c r="C251" s="239"/>
      <c r="D251" s="234"/>
      <c r="E251" s="231"/>
      <c r="F251" s="234"/>
      <c r="G251" s="238"/>
      <c r="H251" s="239"/>
      <c r="I251" s="270"/>
      <c r="J251" s="242"/>
      <c r="K251" s="242"/>
      <c r="L251" s="242"/>
      <c r="M251" s="242"/>
      <c r="N251" s="242"/>
      <c r="O251" s="242"/>
      <c r="P251" s="242"/>
      <c r="Q251" s="272"/>
      <c r="R251" s="250"/>
      <c r="S251" s="242"/>
      <c r="T251" s="242"/>
      <c r="U251" s="228"/>
      <c r="V251" s="11"/>
    </row>
    <row r="252" spans="2:22" s="22" customFormat="1" ht="27">
      <c r="B252" s="8">
        <v>1</v>
      </c>
      <c r="C252" s="239" t="s">
        <v>2988</v>
      </c>
      <c r="D252" s="239" t="s">
        <v>42</v>
      </c>
      <c r="E252" s="231">
        <v>5744117.111429642</v>
      </c>
      <c r="F252" s="234" t="s">
        <v>42</v>
      </c>
      <c r="G252" s="238">
        <v>42277</v>
      </c>
      <c r="H252" s="239" t="s">
        <v>368</v>
      </c>
      <c r="I252" s="270">
        <v>51408</v>
      </c>
      <c r="J252" s="242">
        <v>9132</v>
      </c>
      <c r="K252" s="242">
        <v>0</v>
      </c>
      <c r="L252" s="242">
        <v>9132</v>
      </c>
      <c r="M252" s="242">
        <v>287206</v>
      </c>
      <c r="N252" s="242">
        <v>5456911.111429642</v>
      </c>
      <c r="O252" s="242">
        <v>5744117.111429642</v>
      </c>
      <c r="P252" s="242">
        <v>9132</v>
      </c>
      <c r="Q252" s="242">
        <v>5456911</v>
      </c>
      <c r="R252" s="250">
        <v>365</v>
      </c>
      <c r="S252" s="242">
        <v>218109</v>
      </c>
      <c r="T252" s="242">
        <v>1418605</v>
      </c>
      <c r="U252" s="242">
        <v>4325512.111429642</v>
      </c>
      <c r="V252" s="11"/>
    </row>
    <row r="253" spans="2:22" s="22" customFormat="1" ht="27">
      <c r="B253" s="8">
        <f>+B252+1</f>
        <v>2</v>
      </c>
      <c r="C253" s="239" t="s">
        <v>2989</v>
      </c>
      <c r="D253" s="239" t="s">
        <v>42</v>
      </c>
      <c r="E253" s="231">
        <v>5103448.4971342543</v>
      </c>
      <c r="F253" s="234" t="s">
        <v>42</v>
      </c>
      <c r="G253" s="238">
        <v>42277</v>
      </c>
      <c r="H253" s="239" t="s">
        <v>368</v>
      </c>
      <c r="I253" s="270">
        <v>51408</v>
      </c>
      <c r="J253" s="242">
        <v>9132</v>
      </c>
      <c r="K253" s="242">
        <v>0</v>
      </c>
      <c r="L253" s="242">
        <v>9132</v>
      </c>
      <c r="M253" s="242">
        <v>255172</v>
      </c>
      <c r="N253" s="242">
        <v>4848276.4971342543</v>
      </c>
      <c r="O253" s="242">
        <v>5103448.4971342543</v>
      </c>
      <c r="P253" s="242">
        <v>9132</v>
      </c>
      <c r="Q253" s="242">
        <v>4848276</v>
      </c>
      <c r="R253" s="250">
        <v>365</v>
      </c>
      <c r="S253" s="242">
        <v>193782</v>
      </c>
      <c r="T253" s="242">
        <v>1260380</v>
      </c>
      <c r="U253" s="242">
        <v>3843068.4971342543</v>
      </c>
      <c r="V253" s="11"/>
    </row>
    <row r="254" spans="2:22" s="22" customFormat="1" ht="27">
      <c r="B254" s="8">
        <f>+B253+1</f>
        <v>3</v>
      </c>
      <c r="C254" s="239" t="s">
        <v>2990</v>
      </c>
      <c r="D254" s="239" t="s">
        <v>42</v>
      </c>
      <c r="E254" s="231">
        <v>2586712.4471762171</v>
      </c>
      <c r="F254" s="234" t="s">
        <v>42</v>
      </c>
      <c r="G254" s="238">
        <v>42277</v>
      </c>
      <c r="H254" s="239" t="s">
        <v>368</v>
      </c>
      <c r="I254" s="270">
        <v>51408</v>
      </c>
      <c r="J254" s="242">
        <v>9132</v>
      </c>
      <c r="K254" s="242">
        <v>0</v>
      </c>
      <c r="L254" s="242">
        <v>9132</v>
      </c>
      <c r="M254" s="242">
        <v>129336</v>
      </c>
      <c r="N254" s="242">
        <v>2457376.4471762171</v>
      </c>
      <c r="O254" s="242">
        <v>2586712.4471762171</v>
      </c>
      <c r="P254" s="242">
        <v>9132</v>
      </c>
      <c r="Q254" s="242">
        <v>2457377</v>
      </c>
      <c r="R254" s="250">
        <v>365</v>
      </c>
      <c r="S254" s="242">
        <v>98220</v>
      </c>
      <c r="T254" s="242">
        <v>638833</v>
      </c>
      <c r="U254" s="242">
        <v>1947879.4471762171</v>
      </c>
      <c r="V254" s="11"/>
    </row>
    <row r="255" spans="2:22" s="22" customFormat="1" ht="27">
      <c r="B255" s="8">
        <f>+B254+1</f>
        <v>4</v>
      </c>
      <c r="C255" s="239" t="s">
        <v>2991</v>
      </c>
      <c r="D255" s="239" t="s">
        <v>42</v>
      </c>
      <c r="E255" s="231">
        <v>2379993.0449973764</v>
      </c>
      <c r="F255" s="234" t="s">
        <v>42</v>
      </c>
      <c r="G255" s="238">
        <v>42277</v>
      </c>
      <c r="H255" s="239" t="s">
        <v>368</v>
      </c>
      <c r="I255" s="270">
        <v>51408</v>
      </c>
      <c r="J255" s="242">
        <v>9132</v>
      </c>
      <c r="K255" s="242">
        <v>0</v>
      </c>
      <c r="L255" s="242">
        <v>9132</v>
      </c>
      <c r="M255" s="242">
        <v>119000</v>
      </c>
      <c r="N255" s="242">
        <v>2260993.0449973764</v>
      </c>
      <c r="O255" s="242">
        <v>2379993.0449973764</v>
      </c>
      <c r="P255" s="242">
        <v>9132</v>
      </c>
      <c r="Q255" s="242">
        <v>2260993</v>
      </c>
      <c r="R255" s="250">
        <v>365</v>
      </c>
      <c r="S255" s="242">
        <v>90370</v>
      </c>
      <c r="T255" s="242">
        <v>587777</v>
      </c>
      <c r="U255" s="242">
        <v>1792216.0449973764</v>
      </c>
      <c r="V255" s="11"/>
    </row>
    <row r="256" spans="2:22" s="22" customFormat="1">
      <c r="B256" s="8"/>
      <c r="C256" s="239"/>
      <c r="D256" s="234"/>
      <c r="E256" s="231"/>
      <c r="F256" s="234"/>
      <c r="G256" s="238"/>
      <c r="H256" s="239"/>
      <c r="I256" s="270"/>
      <c r="J256" s="242"/>
      <c r="K256" s="242"/>
      <c r="L256" s="242"/>
      <c r="M256" s="242"/>
      <c r="N256" s="242"/>
      <c r="O256" s="242"/>
      <c r="P256" s="242"/>
      <c r="Q256" s="272"/>
      <c r="R256" s="250"/>
      <c r="S256" s="242"/>
      <c r="T256" s="242"/>
      <c r="U256" s="228"/>
      <c r="V256" s="11"/>
    </row>
    <row r="257" spans="2:22" s="22" customFormat="1" ht="14.25">
      <c r="B257" s="51" t="s">
        <v>2654</v>
      </c>
      <c r="C257" s="239"/>
      <c r="D257" s="234"/>
      <c r="E257" s="231"/>
      <c r="F257" s="234"/>
      <c r="G257" s="238"/>
      <c r="H257" s="239"/>
      <c r="I257" s="270"/>
      <c r="J257" s="242"/>
      <c r="K257" s="242"/>
      <c r="L257" s="242"/>
      <c r="M257" s="242"/>
      <c r="N257" s="242"/>
      <c r="O257" s="242"/>
      <c r="P257" s="242"/>
      <c r="Q257" s="272"/>
      <c r="R257" s="250"/>
      <c r="S257" s="242"/>
      <c r="T257" s="242"/>
      <c r="U257" s="228"/>
      <c r="V257" s="11"/>
    </row>
    <row r="258" spans="2:22" s="22" customFormat="1">
      <c r="B258" s="8">
        <v>1</v>
      </c>
      <c r="C258" s="239" t="s">
        <v>2656</v>
      </c>
      <c r="D258" s="234">
        <v>1</v>
      </c>
      <c r="E258" s="231">
        <f>7336+664</f>
        <v>8000</v>
      </c>
      <c r="F258" s="234" t="s">
        <v>2655</v>
      </c>
      <c r="G258" s="238">
        <v>42036</v>
      </c>
      <c r="H258" s="239" t="s">
        <v>368</v>
      </c>
      <c r="I258" s="270">
        <v>45688</v>
      </c>
      <c r="J258" s="242">
        <v>3653</v>
      </c>
      <c r="K258" s="242">
        <v>0</v>
      </c>
      <c r="L258" s="242">
        <v>3653</v>
      </c>
      <c r="M258" s="242">
        <v>400</v>
      </c>
      <c r="N258" s="242">
        <v>7600</v>
      </c>
      <c r="O258" s="242">
        <v>7877</v>
      </c>
      <c r="P258" s="242">
        <v>3594</v>
      </c>
      <c r="Q258" s="242">
        <v>7477</v>
      </c>
      <c r="R258" s="250">
        <v>365</v>
      </c>
      <c r="S258" s="242">
        <v>759</v>
      </c>
      <c r="T258" s="242">
        <v>5317</v>
      </c>
      <c r="U258" s="242">
        <v>2560</v>
      </c>
      <c r="V258" s="11"/>
    </row>
    <row r="259" spans="2:22" s="22" customFormat="1" ht="27">
      <c r="B259" s="8"/>
      <c r="C259" s="239" t="s">
        <v>3897</v>
      </c>
      <c r="D259" s="234"/>
      <c r="E259" s="231">
        <v>121932</v>
      </c>
      <c r="F259" s="234" t="s">
        <v>3898</v>
      </c>
      <c r="G259" s="238">
        <v>42472</v>
      </c>
      <c r="H259" s="239" t="s">
        <v>368</v>
      </c>
      <c r="I259" s="398">
        <v>46123</v>
      </c>
      <c r="J259" s="242">
        <v>3652</v>
      </c>
      <c r="K259" s="242">
        <v>0</v>
      </c>
      <c r="L259" s="242">
        <v>3652</v>
      </c>
      <c r="M259" s="242">
        <v>6097</v>
      </c>
      <c r="N259" s="399">
        <v>115835</v>
      </c>
      <c r="O259" s="242">
        <v>121932</v>
      </c>
      <c r="P259" s="242">
        <v>3652</v>
      </c>
      <c r="Q259" s="242">
        <v>115835</v>
      </c>
      <c r="R259" s="251">
        <v>365</v>
      </c>
      <c r="S259" s="250">
        <v>11577</v>
      </c>
      <c r="T259" s="242">
        <v>69145</v>
      </c>
      <c r="U259" s="242">
        <v>52787</v>
      </c>
      <c r="V259" s="11"/>
    </row>
    <row r="260" spans="2:22" s="22" customFormat="1">
      <c r="B260" s="8"/>
      <c r="C260" s="239"/>
      <c r="D260" s="234"/>
      <c r="E260" s="231"/>
      <c r="F260" s="234"/>
      <c r="G260" s="238"/>
      <c r="H260" s="239"/>
      <c r="I260" s="270"/>
      <c r="J260" s="242"/>
      <c r="K260" s="242"/>
      <c r="L260" s="242"/>
      <c r="M260" s="242"/>
      <c r="N260" s="242"/>
      <c r="O260" s="242"/>
      <c r="P260" s="242"/>
      <c r="Q260" s="242"/>
      <c r="R260" s="250"/>
      <c r="S260" s="242"/>
      <c r="T260" s="242"/>
      <c r="U260" s="242"/>
      <c r="V260" s="11"/>
    </row>
    <row r="261" spans="2:22" s="22" customFormat="1" ht="14.25">
      <c r="B261" s="51" t="s">
        <v>2657</v>
      </c>
      <c r="C261" s="239"/>
      <c r="D261" s="234"/>
      <c r="E261" s="231"/>
      <c r="F261" s="234"/>
      <c r="G261" s="238"/>
      <c r="H261" s="239"/>
      <c r="I261" s="270"/>
      <c r="J261" s="242"/>
      <c r="K261" s="242"/>
      <c r="L261" s="242"/>
      <c r="M261" s="242"/>
      <c r="N261" s="242"/>
      <c r="O261" s="242"/>
      <c r="P261" s="242"/>
      <c r="Q261" s="272"/>
      <c r="R261" s="250"/>
      <c r="S261" s="242"/>
      <c r="T261" s="242"/>
      <c r="U261" s="228"/>
      <c r="V261" s="11"/>
    </row>
    <row r="262" spans="2:22" s="22" customFormat="1">
      <c r="B262" s="8">
        <v>1</v>
      </c>
      <c r="C262" s="239" t="s">
        <v>2658</v>
      </c>
      <c r="D262" s="234">
        <v>1</v>
      </c>
      <c r="E262" s="231">
        <f>8512+770</f>
        <v>9282</v>
      </c>
      <c r="F262" s="234" t="s">
        <v>2655</v>
      </c>
      <c r="G262" s="238">
        <v>42036</v>
      </c>
      <c r="H262" s="239" t="s">
        <v>368</v>
      </c>
      <c r="I262" s="270">
        <v>45688</v>
      </c>
      <c r="J262" s="242">
        <v>3653</v>
      </c>
      <c r="K262" s="242">
        <v>0</v>
      </c>
      <c r="L262" s="242">
        <v>3653</v>
      </c>
      <c r="M262" s="242">
        <v>464</v>
      </c>
      <c r="N262" s="242">
        <v>8818</v>
      </c>
      <c r="O262" s="242">
        <v>9140</v>
      </c>
      <c r="P262" s="242">
        <v>3594</v>
      </c>
      <c r="Q262" s="242">
        <v>8676</v>
      </c>
      <c r="R262" s="250">
        <v>365</v>
      </c>
      <c r="S262" s="242">
        <v>881</v>
      </c>
      <c r="T262" s="242">
        <v>6173</v>
      </c>
      <c r="U262" s="242">
        <v>2967</v>
      </c>
      <c r="V262" s="11"/>
    </row>
    <row r="263" spans="2:22" s="22" customFormat="1">
      <c r="B263" s="8">
        <f>+B262+1</f>
        <v>2</v>
      </c>
      <c r="C263" s="239" t="s">
        <v>2667</v>
      </c>
      <c r="D263" s="234">
        <v>1</v>
      </c>
      <c r="E263" s="231">
        <f>18341+1659</f>
        <v>20000</v>
      </c>
      <c r="F263" s="234" t="s">
        <v>2655</v>
      </c>
      <c r="G263" s="238">
        <v>42036</v>
      </c>
      <c r="H263" s="239" t="s">
        <v>368</v>
      </c>
      <c r="I263" s="270">
        <v>45688</v>
      </c>
      <c r="J263" s="242">
        <v>3653</v>
      </c>
      <c r="K263" s="242">
        <v>0</v>
      </c>
      <c r="L263" s="242">
        <v>3653</v>
      </c>
      <c r="M263" s="242">
        <v>1000</v>
      </c>
      <c r="N263" s="242">
        <v>19000</v>
      </c>
      <c r="O263" s="242">
        <v>19693</v>
      </c>
      <c r="P263" s="242">
        <v>3594</v>
      </c>
      <c r="Q263" s="242">
        <v>18693</v>
      </c>
      <c r="R263" s="250">
        <v>365</v>
      </c>
      <c r="S263" s="242">
        <v>1898</v>
      </c>
      <c r="T263" s="242">
        <v>13298</v>
      </c>
      <c r="U263" s="242">
        <v>6395</v>
      </c>
      <c r="V263" s="11"/>
    </row>
    <row r="264" spans="2:22" s="22" customFormat="1">
      <c r="B264" s="8"/>
      <c r="C264" s="239"/>
      <c r="D264" s="234"/>
      <c r="E264" s="231"/>
      <c r="F264" s="234"/>
      <c r="G264" s="238"/>
      <c r="H264" s="239"/>
      <c r="I264" s="270"/>
      <c r="J264" s="242"/>
      <c r="K264" s="242"/>
      <c r="L264" s="242"/>
      <c r="M264" s="242"/>
      <c r="N264" s="242"/>
      <c r="O264" s="242"/>
      <c r="P264" s="242"/>
      <c r="Q264" s="272"/>
      <c r="R264" s="250"/>
      <c r="S264" s="242"/>
      <c r="T264" s="242"/>
      <c r="U264" s="228"/>
      <c r="V264" s="11"/>
    </row>
    <row r="265" spans="2:22" s="22" customFormat="1" ht="14.25">
      <c r="B265" s="51" t="s">
        <v>2956</v>
      </c>
      <c r="C265" s="239"/>
      <c r="D265" s="234"/>
      <c r="E265" s="231"/>
      <c r="F265" s="234"/>
      <c r="G265" s="238"/>
      <c r="H265" s="239"/>
      <c r="I265" s="270"/>
      <c r="J265" s="242"/>
      <c r="K265" s="242"/>
      <c r="L265" s="242"/>
      <c r="M265" s="242"/>
      <c r="N265" s="242"/>
      <c r="O265" s="242"/>
      <c r="P265" s="242"/>
      <c r="Q265" s="272"/>
      <c r="R265" s="250"/>
      <c r="S265" s="242"/>
      <c r="T265" s="242"/>
      <c r="U265" s="228"/>
      <c r="V265" s="11"/>
    </row>
    <row r="266" spans="2:22" s="22" customFormat="1">
      <c r="B266" s="8">
        <v>1</v>
      </c>
      <c r="C266" s="239" t="s">
        <v>2844</v>
      </c>
      <c r="D266" s="234" t="s">
        <v>314</v>
      </c>
      <c r="E266" s="231">
        <v>318000000</v>
      </c>
      <c r="F266" s="234" t="s">
        <v>2843</v>
      </c>
      <c r="G266" s="238">
        <v>42095</v>
      </c>
      <c r="H266" s="239" t="s">
        <v>368</v>
      </c>
      <c r="I266" s="270">
        <v>51226</v>
      </c>
      <c r="J266" s="242">
        <v>9132</v>
      </c>
      <c r="K266" s="242">
        <v>0</v>
      </c>
      <c r="L266" s="242">
        <v>9132</v>
      </c>
      <c r="M266" s="242">
        <v>15900000</v>
      </c>
      <c r="N266" s="242">
        <v>302100000</v>
      </c>
      <c r="O266" s="242">
        <v>318000000</v>
      </c>
      <c r="P266" s="242">
        <v>9132</v>
      </c>
      <c r="Q266" s="242">
        <v>302100000</v>
      </c>
      <c r="R266" s="250">
        <v>365</v>
      </c>
      <c r="S266" s="242">
        <v>12074737</v>
      </c>
      <c r="T266" s="242">
        <v>84589323</v>
      </c>
      <c r="U266" s="242">
        <v>233410677</v>
      </c>
      <c r="V266" s="11"/>
    </row>
    <row r="267" spans="2:22" s="22" customFormat="1" ht="27">
      <c r="B267" s="8">
        <f>+B266+1</f>
        <v>2</v>
      </c>
      <c r="C267" s="239" t="s">
        <v>2845</v>
      </c>
      <c r="D267" s="234"/>
      <c r="E267" s="231">
        <v>36741720</v>
      </c>
      <c r="F267" s="234" t="s">
        <v>2843</v>
      </c>
      <c r="G267" s="238">
        <v>42095</v>
      </c>
      <c r="H267" s="239" t="s">
        <v>368</v>
      </c>
      <c r="I267" s="270">
        <v>51226</v>
      </c>
      <c r="J267" s="242">
        <v>9132</v>
      </c>
      <c r="K267" s="242">
        <v>0</v>
      </c>
      <c r="L267" s="242">
        <v>9132</v>
      </c>
      <c r="M267" s="242">
        <v>1837086</v>
      </c>
      <c r="N267" s="242">
        <v>34904634</v>
      </c>
      <c r="O267" s="242">
        <v>36741720</v>
      </c>
      <c r="P267" s="242">
        <v>9132</v>
      </c>
      <c r="Q267" s="242">
        <v>34904634</v>
      </c>
      <c r="R267" s="250">
        <v>365</v>
      </c>
      <c r="S267" s="242">
        <v>1395115</v>
      </c>
      <c r="T267" s="242">
        <v>9773449</v>
      </c>
      <c r="U267" s="242">
        <v>26968271</v>
      </c>
      <c r="V267" s="11"/>
    </row>
    <row r="268" spans="2:22" s="22" customFormat="1" ht="27">
      <c r="B268" s="8">
        <f>+B267+1</f>
        <v>3</v>
      </c>
      <c r="C268" s="239" t="s">
        <v>2849</v>
      </c>
      <c r="D268" s="234">
        <v>1</v>
      </c>
      <c r="E268" s="231">
        <v>1045937</v>
      </c>
      <c r="F268" s="234" t="s">
        <v>3930</v>
      </c>
      <c r="G268" s="238">
        <v>42825</v>
      </c>
      <c r="H268" s="239" t="s">
        <v>368</v>
      </c>
      <c r="I268" s="270">
        <v>51955</v>
      </c>
      <c r="J268" s="242">
        <v>9131</v>
      </c>
      <c r="K268" s="242">
        <v>0</v>
      </c>
      <c r="L268" s="242">
        <v>9131</v>
      </c>
      <c r="M268" s="242">
        <v>52297</v>
      </c>
      <c r="N268" s="242">
        <v>993640</v>
      </c>
      <c r="O268" s="242">
        <v>1045937</v>
      </c>
      <c r="P268" s="242">
        <v>9131</v>
      </c>
      <c r="Q268" s="242">
        <v>993640</v>
      </c>
      <c r="R268" s="250">
        <v>365</v>
      </c>
      <c r="S268" s="242">
        <v>39719</v>
      </c>
      <c r="T268" s="242">
        <v>198813</v>
      </c>
      <c r="U268" s="242">
        <v>847124</v>
      </c>
      <c r="V268" s="11"/>
    </row>
    <row r="269" spans="2:22" s="22" customFormat="1">
      <c r="B269" s="8"/>
      <c r="C269" s="239"/>
      <c r="D269" s="234"/>
      <c r="E269" s="231"/>
      <c r="F269" s="234"/>
      <c r="G269" s="238"/>
      <c r="H269" s="239"/>
      <c r="I269" s="270"/>
      <c r="J269" s="242"/>
      <c r="K269" s="242"/>
      <c r="L269" s="242"/>
      <c r="M269" s="242"/>
      <c r="N269" s="242"/>
      <c r="O269" s="242"/>
      <c r="P269" s="242"/>
      <c r="Q269" s="272"/>
      <c r="R269" s="250"/>
      <c r="S269" s="242"/>
      <c r="T269" s="242"/>
      <c r="U269" s="228"/>
      <c r="V269" s="11"/>
    </row>
    <row r="270" spans="2:22" s="22" customFormat="1" ht="14.25">
      <c r="B270" s="51" t="s">
        <v>3931</v>
      </c>
      <c r="C270" s="239"/>
      <c r="D270" s="234"/>
      <c r="E270" s="231"/>
      <c r="F270" s="234"/>
      <c r="G270" s="238"/>
      <c r="H270" s="239"/>
      <c r="I270" s="270"/>
      <c r="J270" s="242"/>
      <c r="K270" s="242"/>
      <c r="L270" s="242"/>
      <c r="M270" s="242"/>
      <c r="N270" s="242"/>
      <c r="O270" s="242"/>
      <c r="P270" s="242"/>
      <c r="Q270" s="272"/>
      <c r="R270" s="250"/>
      <c r="S270" s="242"/>
      <c r="T270" s="242"/>
      <c r="U270" s="228"/>
      <c r="V270" s="11"/>
    </row>
    <row r="271" spans="2:22" s="22" customFormat="1">
      <c r="B271" s="8">
        <v>1</v>
      </c>
      <c r="C271" s="239" t="s">
        <v>3932</v>
      </c>
      <c r="D271" s="234" t="s">
        <v>314</v>
      </c>
      <c r="E271" s="231">
        <v>3022883</v>
      </c>
      <c r="F271" s="234" t="s">
        <v>3933</v>
      </c>
      <c r="G271" s="238">
        <v>42825</v>
      </c>
      <c r="H271" s="239" t="s">
        <v>368</v>
      </c>
      <c r="I271" s="270">
        <v>53781</v>
      </c>
      <c r="J271" s="242">
        <v>10957</v>
      </c>
      <c r="K271" s="242">
        <v>0</v>
      </c>
      <c r="L271" s="242">
        <v>10957</v>
      </c>
      <c r="M271" s="242">
        <v>151144</v>
      </c>
      <c r="N271" s="242">
        <v>2871739</v>
      </c>
      <c r="O271" s="242">
        <v>3022883</v>
      </c>
      <c r="P271" s="242">
        <v>10957</v>
      </c>
      <c r="Q271" s="242">
        <v>2871739</v>
      </c>
      <c r="R271" s="250">
        <v>365</v>
      </c>
      <c r="S271" s="242">
        <v>95663</v>
      </c>
      <c r="T271" s="242">
        <v>478840</v>
      </c>
      <c r="U271" s="242">
        <v>2544043</v>
      </c>
      <c r="V271" s="11"/>
    </row>
    <row r="272" spans="2:22" s="22" customFormat="1">
      <c r="B272" s="8"/>
      <c r="C272" s="239"/>
      <c r="D272" s="234"/>
      <c r="E272" s="231"/>
      <c r="F272" s="234"/>
      <c r="G272" s="238"/>
      <c r="H272" s="239"/>
      <c r="I272" s="270"/>
      <c r="J272" s="242"/>
      <c r="K272" s="242"/>
      <c r="L272" s="242"/>
      <c r="M272" s="242"/>
      <c r="N272" s="242"/>
      <c r="O272" s="242"/>
      <c r="P272" s="242"/>
      <c r="Q272" s="242"/>
      <c r="R272" s="250"/>
      <c r="S272" s="242"/>
      <c r="T272" s="242"/>
      <c r="U272" s="242"/>
      <c r="V272" s="11"/>
    </row>
    <row r="273" spans="2:22" s="22" customFormat="1" ht="14.25">
      <c r="B273" s="51" t="s">
        <v>4397</v>
      </c>
      <c r="C273" s="239"/>
      <c r="D273" s="234"/>
      <c r="E273" s="231"/>
      <c r="F273" s="234"/>
      <c r="G273" s="238"/>
      <c r="H273" s="239"/>
      <c r="I273" s="398"/>
      <c r="J273" s="242"/>
      <c r="K273" s="242"/>
      <c r="L273" s="242"/>
      <c r="M273" s="242"/>
      <c r="N273" s="399"/>
      <c r="O273" s="242"/>
      <c r="P273" s="242"/>
      <c r="Q273" s="242"/>
      <c r="R273" s="376"/>
      <c r="S273" s="250"/>
      <c r="T273" s="242"/>
      <c r="U273" s="242"/>
      <c r="V273" s="11"/>
    </row>
    <row r="274" spans="2:22" s="22" customFormat="1">
      <c r="B274" s="8">
        <v>1</v>
      </c>
      <c r="C274" s="279" t="s">
        <v>4393</v>
      </c>
      <c r="D274" s="279">
        <v>5</v>
      </c>
      <c r="E274" s="337">
        <f>39175</f>
        <v>39175</v>
      </c>
      <c r="F274" s="279" t="s">
        <v>4394</v>
      </c>
      <c r="G274" s="335">
        <v>43892</v>
      </c>
      <c r="H274" s="239" t="s">
        <v>368</v>
      </c>
      <c r="I274" s="270">
        <v>47543</v>
      </c>
      <c r="J274" s="242">
        <v>3652</v>
      </c>
      <c r="K274" s="242">
        <v>0</v>
      </c>
      <c r="L274" s="242">
        <v>3652</v>
      </c>
      <c r="M274" s="242">
        <v>1959</v>
      </c>
      <c r="N274" s="399">
        <v>37216</v>
      </c>
      <c r="O274" s="242">
        <v>39175</v>
      </c>
      <c r="P274" s="242">
        <v>3652</v>
      </c>
      <c r="Q274" s="242">
        <v>37216</v>
      </c>
      <c r="R274" s="251">
        <v>365</v>
      </c>
      <c r="S274" s="250">
        <v>3720</v>
      </c>
      <c r="T274" s="242">
        <v>7746</v>
      </c>
      <c r="U274" s="242">
        <v>31429</v>
      </c>
      <c r="V274" s="11"/>
    </row>
    <row r="275" spans="2:22" s="22" customFormat="1">
      <c r="B275" s="8"/>
      <c r="C275" s="239"/>
      <c r="D275" s="234"/>
      <c r="E275" s="231"/>
      <c r="F275" s="234"/>
      <c r="G275" s="238"/>
      <c r="H275" s="239"/>
      <c r="I275" s="270"/>
      <c r="J275" s="242"/>
      <c r="K275" s="242"/>
      <c r="L275" s="242"/>
      <c r="M275" s="242"/>
      <c r="N275" s="242"/>
      <c r="O275" s="242"/>
      <c r="P275" s="242"/>
      <c r="Q275" s="242"/>
      <c r="R275" s="250"/>
      <c r="S275" s="242"/>
      <c r="T275" s="242"/>
      <c r="U275" s="242"/>
      <c r="V275" s="11"/>
    </row>
    <row r="276" spans="2:22" s="22" customFormat="1" ht="14.25">
      <c r="B276" s="51" t="s">
        <v>4478</v>
      </c>
      <c r="C276" s="239"/>
      <c r="D276" s="234"/>
      <c r="E276" s="231"/>
      <c r="F276" s="234"/>
      <c r="G276" s="238"/>
      <c r="H276" s="239"/>
      <c r="I276" s="398"/>
      <c r="J276" s="242"/>
      <c r="K276" s="242"/>
      <c r="L276" s="242"/>
      <c r="M276" s="242"/>
      <c r="N276" s="399"/>
      <c r="O276" s="242"/>
      <c r="P276" s="242"/>
      <c r="Q276" s="242"/>
      <c r="R276" s="376"/>
      <c r="S276" s="250"/>
      <c r="T276" s="242"/>
      <c r="U276" s="242"/>
      <c r="V276" s="11"/>
    </row>
    <row r="277" spans="2:22" s="22" customFormat="1" ht="40.5">
      <c r="B277" s="8">
        <v>1</v>
      </c>
      <c r="C277" s="239" t="s">
        <v>4568</v>
      </c>
      <c r="D277" s="299" t="s">
        <v>4479</v>
      </c>
      <c r="E277" s="231">
        <v>238520</v>
      </c>
      <c r="F277" s="234" t="s">
        <v>4475</v>
      </c>
      <c r="G277" s="238">
        <v>44174</v>
      </c>
      <c r="H277" s="239" t="s">
        <v>368</v>
      </c>
      <c r="I277" s="398">
        <v>45999</v>
      </c>
      <c r="J277" s="242">
        <v>1826</v>
      </c>
      <c r="K277" s="242">
        <v>0</v>
      </c>
      <c r="L277" s="242">
        <v>1826</v>
      </c>
      <c r="M277" s="242">
        <v>11926</v>
      </c>
      <c r="N277" s="399">
        <v>226594</v>
      </c>
      <c r="O277" s="242">
        <v>238520</v>
      </c>
      <c r="P277" s="242">
        <v>1826</v>
      </c>
      <c r="Q277" s="242">
        <v>226594</v>
      </c>
      <c r="R277" s="251">
        <v>365</v>
      </c>
      <c r="S277" s="250">
        <v>45294</v>
      </c>
      <c r="T277" s="242">
        <v>59317</v>
      </c>
      <c r="U277" s="242">
        <v>179203</v>
      </c>
      <c r="V277" s="11"/>
    </row>
    <row r="278" spans="2:22" s="22" customFormat="1" ht="27">
      <c r="B278" s="8">
        <f>+B277+1</f>
        <v>2</v>
      </c>
      <c r="C278" s="239" t="s">
        <v>4563</v>
      </c>
      <c r="D278" s="234"/>
      <c r="E278" s="231">
        <v>1144619</v>
      </c>
      <c r="F278" s="234" t="s">
        <v>4642</v>
      </c>
      <c r="G278" s="238">
        <v>44252</v>
      </c>
      <c r="H278" s="239" t="s">
        <v>368</v>
      </c>
      <c r="I278" s="398">
        <v>46077</v>
      </c>
      <c r="J278" s="242">
        <v>1826</v>
      </c>
      <c r="K278" s="242">
        <v>0</v>
      </c>
      <c r="L278" s="242">
        <v>1826</v>
      </c>
      <c r="M278" s="242">
        <v>57231</v>
      </c>
      <c r="N278" s="399">
        <v>1087388</v>
      </c>
      <c r="O278" s="242">
        <v>1144619</v>
      </c>
      <c r="P278" s="242">
        <v>1826</v>
      </c>
      <c r="Q278" s="242">
        <v>1087388</v>
      </c>
      <c r="R278" s="251">
        <v>365</v>
      </c>
      <c r="S278" s="250">
        <v>217358</v>
      </c>
      <c r="T278" s="242">
        <v>238201</v>
      </c>
      <c r="U278" s="242">
        <v>906418</v>
      </c>
      <c r="V278" s="11"/>
    </row>
    <row r="279" spans="2:22" s="22" customFormat="1" ht="27">
      <c r="B279" s="8">
        <f>+B278+1</f>
        <v>3</v>
      </c>
      <c r="C279" s="239" t="s">
        <v>4564</v>
      </c>
      <c r="D279" s="234"/>
      <c r="E279" s="231">
        <v>932554</v>
      </c>
      <c r="F279" s="234" t="s">
        <v>4643</v>
      </c>
      <c r="G279" s="238">
        <v>44252</v>
      </c>
      <c r="H279" s="239" t="s">
        <v>368</v>
      </c>
      <c r="I279" s="398">
        <v>46077</v>
      </c>
      <c r="J279" s="242">
        <v>1826</v>
      </c>
      <c r="K279" s="242">
        <v>0</v>
      </c>
      <c r="L279" s="242">
        <v>1826</v>
      </c>
      <c r="M279" s="242">
        <v>46628</v>
      </c>
      <c r="N279" s="399">
        <v>885926</v>
      </c>
      <c r="O279" s="242">
        <v>932554</v>
      </c>
      <c r="P279" s="242">
        <v>1826</v>
      </c>
      <c r="Q279" s="242">
        <v>885926</v>
      </c>
      <c r="R279" s="251">
        <v>365</v>
      </c>
      <c r="S279" s="250">
        <v>177088</v>
      </c>
      <c r="T279" s="242">
        <v>194069</v>
      </c>
      <c r="U279" s="242">
        <v>738485</v>
      </c>
      <c r="V279" s="11"/>
    </row>
    <row r="280" spans="2:22" s="22" customFormat="1">
      <c r="B280" s="8"/>
      <c r="C280" s="239"/>
      <c r="D280" s="234"/>
      <c r="E280" s="231"/>
      <c r="F280" s="234"/>
      <c r="G280" s="238"/>
      <c r="H280" s="239"/>
      <c r="I280" s="270"/>
      <c r="J280" s="242"/>
      <c r="K280" s="242"/>
      <c r="L280" s="242"/>
      <c r="M280" s="242"/>
      <c r="N280" s="242"/>
      <c r="O280" s="242"/>
      <c r="P280" s="242"/>
      <c r="Q280" s="242"/>
      <c r="R280" s="250"/>
      <c r="S280" s="242"/>
      <c r="T280" s="242"/>
      <c r="U280" s="242"/>
      <c r="V280" s="11"/>
    </row>
    <row r="281" spans="2:22" s="22" customFormat="1">
      <c r="B281" s="8"/>
      <c r="C281" s="239"/>
      <c r="D281" s="234"/>
      <c r="E281" s="231"/>
      <c r="F281" s="234"/>
      <c r="G281" s="238"/>
      <c r="H281" s="239"/>
      <c r="I281" s="270"/>
      <c r="J281" s="242"/>
      <c r="K281" s="242"/>
      <c r="L281" s="242"/>
      <c r="M281" s="242"/>
      <c r="N281" s="242"/>
      <c r="O281" s="242"/>
      <c r="P281" s="242"/>
      <c r="Q281" s="242"/>
      <c r="R281" s="250"/>
      <c r="S281" s="242"/>
      <c r="T281" s="242"/>
      <c r="U281" s="242"/>
      <c r="V281" s="11"/>
    </row>
    <row r="282" spans="2:22" s="22" customFormat="1">
      <c r="B282" s="8"/>
      <c r="C282" s="45"/>
      <c r="D282" s="8"/>
      <c r="E282" s="46"/>
      <c r="F282" s="8"/>
      <c r="G282" s="17"/>
      <c r="H282" s="45"/>
      <c r="I282" s="193"/>
      <c r="J282" s="72"/>
      <c r="K282" s="72"/>
      <c r="L282" s="72"/>
      <c r="M282" s="72"/>
      <c r="N282" s="72"/>
      <c r="O282" s="72"/>
      <c r="P282" s="72"/>
      <c r="Q282" s="70"/>
      <c r="R282" s="24"/>
      <c r="S282" s="72"/>
      <c r="T282" s="72"/>
      <c r="U282" s="25"/>
    </row>
    <row r="283" spans="2:22" s="22" customFormat="1">
      <c r="B283" s="8"/>
      <c r="C283" s="45"/>
      <c r="D283" s="8"/>
      <c r="E283" s="46"/>
      <c r="F283" s="8"/>
      <c r="G283" s="17"/>
      <c r="H283" s="45"/>
      <c r="I283" s="327"/>
      <c r="J283" s="182"/>
      <c r="K283" s="182"/>
      <c r="L283" s="182"/>
      <c r="M283" s="182"/>
      <c r="N283" s="182"/>
      <c r="O283" s="182"/>
      <c r="P283" s="182"/>
      <c r="Q283" s="194"/>
      <c r="R283" s="94"/>
      <c r="S283" s="182"/>
      <c r="T283" s="182"/>
      <c r="U283" s="93"/>
    </row>
    <row r="284" spans="2:22" ht="15" thickBot="1">
      <c r="B284" s="168"/>
      <c r="C284" s="222" t="s">
        <v>915</v>
      </c>
      <c r="D284" s="223"/>
      <c r="E284" s="140">
        <f>SUBTOTAL(9,E5:E283)</f>
        <v>2075750670.1316466</v>
      </c>
      <c r="F284" s="224"/>
      <c r="G284" s="168"/>
      <c r="H284" s="221"/>
      <c r="I284" s="297"/>
      <c r="J284" s="297"/>
      <c r="K284" s="297"/>
      <c r="L284" s="297"/>
      <c r="M284" s="297"/>
      <c r="N284" s="297"/>
      <c r="O284" s="328">
        <f>SUM(O7:O283)</f>
        <v>2031656648.6316466</v>
      </c>
      <c r="P284" s="328"/>
      <c r="Q284" s="328">
        <f>SUBTOTAL(9,Q5:Q283)</f>
        <v>1927657416</v>
      </c>
      <c r="R284" s="298"/>
      <c r="S284" s="225">
        <f>SUBTOTAL(9,S5:S283)</f>
        <v>82482904</v>
      </c>
      <c r="T284" s="225">
        <f>SUBTOTAL(9,T5:T283)</f>
        <v>525309453</v>
      </c>
      <c r="U284" s="225">
        <f>SUBTOTAL(9,U5:U283)</f>
        <v>1506347195.6316466</v>
      </c>
    </row>
    <row r="285" spans="2:22" ht="14.25" thickTop="1">
      <c r="E285" s="3">
        <f>2045848431.39165+29902238.74-E284</f>
        <v>3.337860107421875E-6</v>
      </c>
      <c r="O285" s="16">
        <f>2001863292.89165+29793355.74-O284</f>
        <v>3.337860107421875E-6</v>
      </c>
      <c r="S285" s="4">
        <f>80057273+2425631-S284</f>
        <v>0</v>
      </c>
      <c r="T285" s="4">
        <f>517070994+8238459-T284</f>
        <v>0</v>
      </c>
      <c r="U285" s="4">
        <f>1484792298.89165+21554896.74-U284</f>
        <v>3.337860107421875E-6</v>
      </c>
    </row>
    <row r="286" spans="2:22">
      <c r="O286" s="4"/>
    </row>
  </sheetData>
  <autoFilter ref="A4:Q283"/>
  <mergeCells count="1">
    <mergeCell ref="R3:U3"/>
  </mergeCells>
  <phoneticPr fontId="43" type="noConversion"/>
  <printOptions horizontalCentered="1"/>
  <pageMargins left="0" right="0" top="0.25" bottom="0" header="0.5" footer="0.5"/>
  <pageSetup paperSize="9" scale="1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workbookViewId="0">
      <pane xSplit="2" ySplit="7" topLeftCell="C46" activePane="bottomRight" state="frozen"/>
      <selection pane="topRight" activeCell="F1" sqref="F1"/>
      <selection pane="bottomLeft" activeCell="A8" sqref="A8"/>
      <selection pane="bottomRight" activeCell="E46" sqref="E46"/>
    </sheetView>
  </sheetViews>
  <sheetFormatPr defaultColWidth="9" defaultRowHeight="13.5"/>
  <cols>
    <col min="1" max="1" width="3.125" style="5" customWidth="1"/>
    <col min="2" max="2" width="4.75" style="5" customWidth="1"/>
    <col min="3" max="3" width="24" style="20" customWidth="1"/>
    <col min="4" max="4" width="6.625" style="9" customWidth="1"/>
    <col min="5" max="5" width="9.75" style="4" customWidth="1"/>
    <col min="6" max="6" width="10.5" style="29" customWidth="1"/>
    <col min="7" max="7" width="9.375" style="5" customWidth="1"/>
    <col min="8" max="8" width="9.5" style="20" customWidth="1"/>
    <col min="9" max="11" width="8.625" style="5" customWidth="1"/>
    <col min="12" max="12" width="6.5" style="5" customWidth="1"/>
    <col min="13" max="13" width="7.125" style="5" customWidth="1"/>
    <col min="14" max="14" width="9.25" style="5" customWidth="1"/>
    <col min="15" max="15" width="11.375" style="5" customWidth="1"/>
    <col min="16" max="16" width="6" style="5" customWidth="1"/>
    <col min="17" max="17" width="9.875" style="5" customWidth="1"/>
    <col min="18" max="18" width="5" style="5" customWidth="1"/>
    <col min="19" max="19" width="11.125" style="5" bestFit="1" customWidth="1"/>
    <col min="20" max="20" width="10.25" style="5" customWidth="1"/>
    <col min="21" max="21" width="7.875" style="5" bestFit="1" customWidth="1"/>
    <col min="22" max="16384" width="9" style="5"/>
  </cols>
  <sheetData>
    <row r="1" spans="1:22">
      <c r="A1" s="12"/>
      <c r="B1" s="12"/>
      <c r="C1" s="219"/>
      <c r="D1" s="220"/>
      <c r="E1" s="3"/>
      <c r="F1" s="181"/>
      <c r="G1" s="12"/>
      <c r="H1" s="219"/>
      <c r="I1" s="111"/>
      <c r="J1" s="263"/>
      <c r="M1" s="113"/>
    </row>
    <row r="2" spans="1:22" ht="14.25">
      <c r="B2" s="19" t="s">
        <v>436</v>
      </c>
      <c r="I2" s="111"/>
      <c r="J2" s="263"/>
      <c r="M2" s="113"/>
    </row>
    <row r="3" spans="1:22" ht="14.25">
      <c r="I3" s="111"/>
      <c r="J3" s="112"/>
      <c r="M3" s="113"/>
      <c r="R3" s="619">
        <v>44651</v>
      </c>
      <c r="S3" s="620"/>
      <c r="T3" s="620"/>
      <c r="U3" s="620"/>
    </row>
    <row r="4" spans="1:22" ht="14.25">
      <c r="B4" s="19" t="s">
        <v>4648</v>
      </c>
      <c r="R4" s="621" t="s">
        <v>4569</v>
      </c>
      <c r="S4" s="621"/>
      <c r="T4" s="621"/>
      <c r="U4" s="621"/>
    </row>
    <row r="5" spans="1:22" ht="36.75" customHeight="1">
      <c r="B5" s="82" t="s">
        <v>56</v>
      </c>
      <c r="C5" s="82" t="s">
        <v>397</v>
      </c>
      <c r="D5" s="82" t="s">
        <v>398</v>
      </c>
      <c r="E5" s="84" t="s">
        <v>2623</v>
      </c>
      <c r="F5" s="82" t="s">
        <v>400</v>
      </c>
      <c r="G5" s="82" t="s">
        <v>401</v>
      </c>
      <c r="H5" s="82" t="s">
        <v>402</v>
      </c>
      <c r="I5" s="190" t="s">
        <v>2471</v>
      </c>
      <c r="J5" s="190" t="s">
        <v>2470</v>
      </c>
      <c r="K5" s="190" t="s">
        <v>2468</v>
      </c>
      <c r="L5" s="190" t="s">
        <v>2469</v>
      </c>
      <c r="M5" s="190" t="s">
        <v>2473</v>
      </c>
      <c r="N5" s="190" t="s">
        <v>2474</v>
      </c>
      <c r="O5" s="191" t="s">
        <v>4050</v>
      </c>
      <c r="P5" s="186" t="s">
        <v>3883</v>
      </c>
      <c r="Q5" s="186" t="s">
        <v>3024</v>
      </c>
      <c r="R5" s="185" t="s">
        <v>403</v>
      </c>
      <c r="S5" s="184" t="s">
        <v>405</v>
      </c>
      <c r="T5" s="184" t="s">
        <v>280</v>
      </c>
      <c r="U5" s="184" t="s">
        <v>404</v>
      </c>
    </row>
    <row r="6" spans="1:22" s="22" customFormat="1" ht="14.25">
      <c r="B6" s="64" t="s">
        <v>953</v>
      </c>
      <c r="C6" s="76"/>
      <c r="D6" s="13"/>
      <c r="E6" s="14"/>
      <c r="F6" s="103"/>
      <c r="G6" s="65"/>
      <c r="H6" s="65"/>
      <c r="I6" s="57"/>
      <c r="J6" s="53" t="s">
        <v>2229</v>
      </c>
      <c r="K6" s="53" t="s">
        <v>2229</v>
      </c>
      <c r="L6" s="53" t="s">
        <v>2229</v>
      </c>
      <c r="M6" s="53" t="s">
        <v>2478</v>
      </c>
      <c r="N6" s="53" t="s">
        <v>2478</v>
      </c>
      <c r="O6" s="57"/>
      <c r="P6" s="57"/>
      <c r="Q6" s="57"/>
      <c r="R6" s="57"/>
      <c r="S6" s="57"/>
      <c r="T6" s="57"/>
      <c r="U6" s="57"/>
    </row>
    <row r="7" spans="1:22" s="22" customFormat="1" ht="14.25">
      <c r="B7" s="80" t="s">
        <v>988</v>
      </c>
      <c r="C7" s="77"/>
      <c r="D7" s="53"/>
      <c r="E7" s="54"/>
      <c r="F7" s="78"/>
      <c r="G7" s="57"/>
      <c r="H7" s="57"/>
      <c r="I7" s="25"/>
      <c r="J7" s="25"/>
      <c r="K7" s="72"/>
      <c r="L7" s="25"/>
      <c r="M7" s="25"/>
      <c r="N7" s="25"/>
      <c r="O7" s="25"/>
      <c r="P7" s="25"/>
      <c r="Q7" s="25"/>
      <c r="R7" s="25"/>
      <c r="S7" s="25"/>
      <c r="T7" s="25"/>
      <c r="U7" s="25"/>
    </row>
    <row r="8" spans="1:22" s="22" customFormat="1" ht="54">
      <c r="B8" s="53">
        <v>1</v>
      </c>
      <c r="C8" s="276" t="s">
        <v>989</v>
      </c>
      <c r="D8" s="308" t="s">
        <v>42</v>
      </c>
      <c r="E8" s="309">
        <v>291331</v>
      </c>
      <c r="F8" s="310" t="s">
        <v>990</v>
      </c>
      <c r="G8" s="232">
        <v>40521</v>
      </c>
      <c r="H8" s="279" t="s">
        <v>368</v>
      </c>
      <c r="I8" s="270">
        <v>44173</v>
      </c>
      <c r="J8" s="242">
        <v>3653</v>
      </c>
      <c r="K8" s="242">
        <v>1209</v>
      </c>
      <c r="L8" s="242">
        <v>2444</v>
      </c>
      <c r="M8" s="242">
        <v>14567</v>
      </c>
      <c r="N8" s="242">
        <v>230966</v>
      </c>
      <c r="O8" s="242">
        <v>211039</v>
      </c>
      <c r="P8" s="242">
        <v>2079</v>
      </c>
      <c r="Q8" s="242">
        <v>196472</v>
      </c>
      <c r="R8" s="250">
        <v>0</v>
      </c>
      <c r="S8" s="242">
        <v>0</v>
      </c>
      <c r="T8" s="242">
        <v>211039</v>
      </c>
      <c r="U8" s="242">
        <v>0</v>
      </c>
    </row>
    <row r="9" spans="1:22" s="22" customFormat="1" ht="67.5">
      <c r="B9" s="53">
        <f>+B8+1</f>
        <v>2</v>
      </c>
      <c r="C9" s="276" t="s">
        <v>991</v>
      </c>
      <c r="D9" s="308" t="s">
        <v>42</v>
      </c>
      <c r="E9" s="309">
        <v>73620</v>
      </c>
      <c r="F9" s="310" t="s">
        <v>992</v>
      </c>
      <c r="G9" s="232">
        <v>40521</v>
      </c>
      <c r="H9" s="279" t="s">
        <v>368</v>
      </c>
      <c r="I9" s="270">
        <v>44173</v>
      </c>
      <c r="J9" s="242">
        <v>3653</v>
      </c>
      <c r="K9" s="242">
        <v>1209</v>
      </c>
      <c r="L9" s="242">
        <v>2444</v>
      </c>
      <c r="M9" s="242">
        <v>3681</v>
      </c>
      <c r="N9" s="242">
        <v>58366</v>
      </c>
      <c r="O9" s="242">
        <v>53330</v>
      </c>
      <c r="P9" s="242">
        <v>2079</v>
      </c>
      <c r="Q9" s="242">
        <v>49649</v>
      </c>
      <c r="R9" s="250">
        <v>0</v>
      </c>
      <c r="S9" s="242">
        <v>0</v>
      </c>
      <c r="T9" s="242">
        <v>53330</v>
      </c>
      <c r="U9" s="242">
        <v>0</v>
      </c>
      <c r="V9" s="11"/>
    </row>
    <row r="10" spans="1:22" s="22" customFormat="1" ht="54">
      <c r="B10" s="53">
        <f>+B9+1</f>
        <v>3</v>
      </c>
      <c r="C10" s="276" t="s">
        <v>993</v>
      </c>
      <c r="D10" s="308" t="s">
        <v>42</v>
      </c>
      <c r="E10" s="309">
        <v>55073</v>
      </c>
      <c r="F10" s="310" t="s">
        <v>1061</v>
      </c>
      <c r="G10" s="232">
        <v>40592</v>
      </c>
      <c r="H10" s="279" t="s">
        <v>1062</v>
      </c>
      <c r="I10" s="270">
        <v>44244</v>
      </c>
      <c r="J10" s="242">
        <v>3653</v>
      </c>
      <c r="K10" s="242">
        <v>1138</v>
      </c>
      <c r="L10" s="242">
        <v>2515</v>
      </c>
      <c r="M10" s="242">
        <v>2754</v>
      </c>
      <c r="N10" s="242">
        <v>44170</v>
      </c>
      <c r="O10" s="242">
        <v>40514</v>
      </c>
      <c r="P10" s="242">
        <v>2150</v>
      </c>
      <c r="Q10" s="242">
        <v>37760</v>
      </c>
      <c r="R10" s="250">
        <v>0</v>
      </c>
      <c r="S10" s="242">
        <v>0</v>
      </c>
      <c r="T10" s="242">
        <v>40514</v>
      </c>
      <c r="U10" s="242">
        <v>0</v>
      </c>
      <c r="V10" s="11"/>
    </row>
    <row r="11" spans="1:22" s="22" customFormat="1" ht="27">
      <c r="B11" s="53">
        <f t="shared" ref="B11:B20" si="0">+B10+1</f>
        <v>4</v>
      </c>
      <c r="C11" s="276" t="s">
        <v>1063</v>
      </c>
      <c r="D11" s="308" t="s">
        <v>42</v>
      </c>
      <c r="E11" s="309">
        <v>248489</v>
      </c>
      <c r="F11" s="310" t="s">
        <v>1064</v>
      </c>
      <c r="G11" s="232">
        <v>40524</v>
      </c>
      <c r="H11" s="279" t="s">
        <v>368</v>
      </c>
      <c r="I11" s="270">
        <v>44176</v>
      </c>
      <c r="J11" s="242">
        <v>3653</v>
      </c>
      <c r="K11" s="242">
        <v>1206</v>
      </c>
      <c r="L11" s="242">
        <v>2447</v>
      </c>
      <c r="M11" s="242">
        <v>12424</v>
      </c>
      <c r="N11" s="242">
        <v>197098</v>
      </c>
      <c r="O11" s="242">
        <v>180122</v>
      </c>
      <c r="P11" s="242">
        <v>2082</v>
      </c>
      <c r="Q11" s="242">
        <v>167698</v>
      </c>
      <c r="R11" s="250">
        <v>0</v>
      </c>
      <c r="S11" s="242">
        <v>0</v>
      </c>
      <c r="T11" s="242">
        <v>180122</v>
      </c>
      <c r="U11" s="242">
        <v>0</v>
      </c>
      <c r="V11" s="11"/>
    </row>
    <row r="12" spans="1:22" s="22" customFormat="1" ht="27">
      <c r="B12" s="53">
        <f t="shared" si="0"/>
        <v>5</v>
      </c>
      <c r="C12" s="278" t="s">
        <v>1220</v>
      </c>
      <c r="D12" s="308" t="s">
        <v>42</v>
      </c>
      <c r="E12" s="309">
        <v>6137</v>
      </c>
      <c r="F12" s="312" t="s">
        <v>1221</v>
      </c>
      <c r="G12" s="232">
        <v>40634</v>
      </c>
      <c r="H12" s="279" t="s">
        <v>368</v>
      </c>
      <c r="I12" s="270">
        <v>44286</v>
      </c>
      <c r="J12" s="242">
        <v>3653</v>
      </c>
      <c r="K12" s="242">
        <v>1096</v>
      </c>
      <c r="L12" s="242">
        <v>2557</v>
      </c>
      <c r="M12" s="242">
        <v>307</v>
      </c>
      <c r="N12" s="242">
        <v>4956</v>
      </c>
      <c r="O12" s="242">
        <v>4556</v>
      </c>
      <c r="P12" s="242">
        <v>2192</v>
      </c>
      <c r="Q12" s="242">
        <v>4249</v>
      </c>
      <c r="R12" s="250">
        <v>0</v>
      </c>
      <c r="S12" s="242">
        <v>0</v>
      </c>
      <c r="T12" s="242">
        <v>4556</v>
      </c>
      <c r="U12" s="242">
        <v>0</v>
      </c>
      <c r="V12" s="11"/>
    </row>
    <row r="13" spans="1:22" s="22" customFormat="1" ht="81">
      <c r="B13" s="53">
        <f t="shared" si="0"/>
        <v>6</v>
      </c>
      <c r="C13" s="278" t="s">
        <v>1222</v>
      </c>
      <c r="D13" s="230" t="s">
        <v>314</v>
      </c>
      <c r="E13" s="309">
        <v>58453</v>
      </c>
      <c r="F13" s="312" t="s">
        <v>1223</v>
      </c>
      <c r="G13" s="232">
        <v>40634</v>
      </c>
      <c r="H13" s="279" t="s">
        <v>368</v>
      </c>
      <c r="I13" s="270">
        <v>44286</v>
      </c>
      <c r="J13" s="242">
        <v>3653</v>
      </c>
      <c r="K13" s="242">
        <v>1096</v>
      </c>
      <c r="L13" s="242">
        <v>2557</v>
      </c>
      <c r="M13" s="242">
        <v>2923</v>
      </c>
      <c r="N13" s="242">
        <v>47200</v>
      </c>
      <c r="O13" s="242">
        <v>43385</v>
      </c>
      <c r="P13" s="242">
        <v>2192</v>
      </c>
      <c r="Q13" s="242">
        <v>40462</v>
      </c>
      <c r="R13" s="250">
        <v>0</v>
      </c>
      <c r="S13" s="242">
        <v>0</v>
      </c>
      <c r="T13" s="242">
        <v>43385</v>
      </c>
      <c r="U13" s="242">
        <v>0</v>
      </c>
      <c r="V13" s="11"/>
    </row>
    <row r="14" spans="1:22" s="22" customFormat="1" ht="54">
      <c r="B14" s="53">
        <f t="shared" si="0"/>
        <v>7</v>
      </c>
      <c r="C14" s="278" t="s">
        <v>1224</v>
      </c>
      <c r="D14" s="313">
        <v>0</v>
      </c>
      <c r="E14" s="309">
        <v>34910</v>
      </c>
      <c r="F14" s="310" t="s">
        <v>42</v>
      </c>
      <c r="G14" s="232">
        <v>40634</v>
      </c>
      <c r="H14" s="279" t="s">
        <v>368</v>
      </c>
      <c r="I14" s="270">
        <v>44286</v>
      </c>
      <c r="J14" s="242">
        <v>3653</v>
      </c>
      <c r="K14" s="242">
        <v>1096</v>
      </c>
      <c r="L14" s="242">
        <v>2557</v>
      </c>
      <c r="M14" s="242">
        <v>1746</v>
      </c>
      <c r="N14" s="242">
        <v>28189</v>
      </c>
      <c r="O14" s="242">
        <v>25911</v>
      </c>
      <c r="P14" s="242">
        <v>2192</v>
      </c>
      <c r="Q14" s="242">
        <v>24166</v>
      </c>
      <c r="R14" s="250">
        <v>0</v>
      </c>
      <c r="S14" s="242">
        <v>0</v>
      </c>
      <c r="T14" s="242">
        <v>25911</v>
      </c>
      <c r="U14" s="242">
        <v>0</v>
      </c>
      <c r="V14" s="11"/>
    </row>
    <row r="15" spans="1:22" s="22" customFormat="1" ht="54">
      <c r="B15" s="53">
        <f t="shared" si="0"/>
        <v>8</v>
      </c>
      <c r="C15" s="278" t="s">
        <v>1225</v>
      </c>
      <c r="D15" s="313">
        <v>0</v>
      </c>
      <c r="E15" s="309">
        <v>21475</v>
      </c>
      <c r="F15" s="310" t="s">
        <v>42</v>
      </c>
      <c r="G15" s="232">
        <v>40634</v>
      </c>
      <c r="H15" s="279" t="s">
        <v>368</v>
      </c>
      <c r="I15" s="270">
        <v>44286</v>
      </c>
      <c r="J15" s="242">
        <v>3653</v>
      </c>
      <c r="K15" s="242">
        <v>1096</v>
      </c>
      <c r="L15" s="242">
        <v>2557</v>
      </c>
      <c r="M15" s="242">
        <v>1074</v>
      </c>
      <c r="N15" s="242">
        <v>17341</v>
      </c>
      <c r="O15" s="242">
        <v>15940</v>
      </c>
      <c r="P15" s="242">
        <v>2192</v>
      </c>
      <c r="Q15" s="242">
        <v>14866</v>
      </c>
      <c r="R15" s="250">
        <v>0</v>
      </c>
      <c r="S15" s="242">
        <v>0</v>
      </c>
      <c r="T15" s="242">
        <v>15940</v>
      </c>
      <c r="U15" s="242">
        <v>0</v>
      </c>
      <c r="V15" s="11"/>
    </row>
    <row r="16" spans="1:22" s="22" customFormat="1" ht="54">
      <c r="B16" s="53">
        <f t="shared" si="0"/>
        <v>9</v>
      </c>
      <c r="C16" s="278" t="s">
        <v>1226</v>
      </c>
      <c r="D16" s="313">
        <v>0</v>
      </c>
      <c r="E16" s="309">
        <v>370277</v>
      </c>
      <c r="F16" s="310" t="s">
        <v>42</v>
      </c>
      <c r="G16" s="232">
        <v>40634</v>
      </c>
      <c r="H16" s="279" t="s">
        <v>368</v>
      </c>
      <c r="I16" s="270">
        <v>44286</v>
      </c>
      <c r="J16" s="242">
        <v>3653</v>
      </c>
      <c r="K16" s="242">
        <v>1096</v>
      </c>
      <c r="L16" s="242">
        <v>2557</v>
      </c>
      <c r="M16" s="242">
        <v>18514</v>
      </c>
      <c r="N16" s="242">
        <v>298999</v>
      </c>
      <c r="O16" s="242">
        <v>274832</v>
      </c>
      <c r="P16" s="242">
        <v>2192</v>
      </c>
      <c r="Q16" s="242">
        <v>256318</v>
      </c>
      <c r="R16" s="250">
        <v>0</v>
      </c>
      <c r="S16" s="242">
        <v>0</v>
      </c>
      <c r="T16" s="242">
        <v>274832</v>
      </c>
      <c r="U16" s="242">
        <v>0</v>
      </c>
      <c r="V16" s="11"/>
    </row>
    <row r="17" spans="2:22" s="22" customFormat="1" ht="40.5">
      <c r="B17" s="53">
        <f t="shared" si="0"/>
        <v>10</v>
      </c>
      <c r="C17" s="278" t="s">
        <v>1478</v>
      </c>
      <c r="D17" s="314">
        <f>1+2+1+100</f>
        <v>104</v>
      </c>
      <c r="E17" s="309">
        <v>183253</v>
      </c>
      <c r="F17" s="312" t="s">
        <v>1479</v>
      </c>
      <c r="G17" s="232">
        <v>40826</v>
      </c>
      <c r="H17" s="279" t="s">
        <v>368</v>
      </c>
      <c r="I17" s="270">
        <v>44478</v>
      </c>
      <c r="J17" s="242">
        <v>3653</v>
      </c>
      <c r="K17" s="242">
        <v>904</v>
      </c>
      <c r="L17" s="242">
        <v>2749</v>
      </c>
      <c r="M17" s="242">
        <v>9163</v>
      </c>
      <c r="N17" s="242">
        <v>152542</v>
      </c>
      <c r="O17" s="242">
        <v>141451</v>
      </c>
      <c r="P17" s="242">
        <v>2384</v>
      </c>
      <c r="Q17" s="242">
        <v>132288</v>
      </c>
      <c r="R17" s="250">
        <v>192</v>
      </c>
      <c r="S17" s="242">
        <v>19817</v>
      </c>
      <c r="T17" s="242">
        <v>141451</v>
      </c>
      <c r="U17" s="242">
        <v>0</v>
      </c>
      <c r="V17" s="11"/>
    </row>
    <row r="18" spans="2:22" s="22" customFormat="1" ht="81">
      <c r="B18" s="53">
        <f t="shared" si="0"/>
        <v>11</v>
      </c>
      <c r="C18" s="278" t="s">
        <v>1865</v>
      </c>
      <c r="D18" s="314" t="s">
        <v>314</v>
      </c>
      <c r="E18" s="309">
        <v>3753548</v>
      </c>
      <c r="F18" s="312" t="s">
        <v>1866</v>
      </c>
      <c r="G18" s="232">
        <v>41019</v>
      </c>
      <c r="H18" s="279" t="s">
        <v>368</v>
      </c>
      <c r="I18" s="270">
        <v>44670</v>
      </c>
      <c r="J18" s="242">
        <v>3652</v>
      </c>
      <c r="K18" s="242">
        <v>711</v>
      </c>
      <c r="L18" s="242">
        <v>2941</v>
      </c>
      <c r="M18" s="242">
        <v>187677</v>
      </c>
      <c r="N18" s="242">
        <v>3218565</v>
      </c>
      <c r="O18" s="242">
        <v>3006794</v>
      </c>
      <c r="P18" s="242">
        <v>2576</v>
      </c>
      <c r="Q18" s="242">
        <v>2819117</v>
      </c>
      <c r="R18" s="250">
        <v>365</v>
      </c>
      <c r="S18" s="242">
        <v>399448</v>
      </c>
      <c r="T18" s="242">
        <v>2798324</v>
      </c>
      <c r="U18" s="242">
        <v>208470</v>
      </c>
      <c r="V18" s="11"/>
    </row>
    <row r="19" spans="2:22" s="22" customFormat="1" ht="40.5">
      <c r="B19" s="53">
        <f t="shared" si="0"/>
        <v>12</v>
      </c>
      <c r="C19" s="278" t="s">
        <v>1869</v>
      </c>
      <c r="D19" s="314" t="s">
        <v>314</v>
      </c>
      <c r="E19" s="309">
        <v>172000</v>
      </c>
      <c r="F19" s="315" t="s">
        <v>1870</v>
      </c>
      <c r="G19" s="232">
        <v>41000</v>
      </c>
      <c r="H19" s="279" t="s">
        <v>368</v>
      </c>
      <c r="I19" s="270">
        <v>44651</v>
      </c>
      <c r="J19" s="242">
        <v>3652</v>
      </c>
      <c r="K19" s="242">
        <v>730</v>
      </c>
      <c r="L19" s="242">
        <v>2922</v>
      </c>
      <c r="M19" s="242">
        <v>8600</v>
      </c>
      <c r="N19" s="242">
        <v>147060</v>
      </c>
      <c r="O19" s="242">
        <v>137290</v>
      </c>
      <c r="P19" s="242">
        <v>2557</v>
      </c>
      <c r="Q19" s="242">
        <v>128690</v>
      </c>
      <c r="R19" s="250">
        <v>365</v>
      </c>
      <c r="S19" s="242">
        <v>26970</v>
      </c>
      <c r="T19" s="242">
        <v>137290</v>
      </c>
      <c r="U19" s="242">
        <v>0</v>
      </c>
      <c r="V19" s="11"/>
    </row>
    <row r="20" spans="2:22" s="22" customFormat="1" ht="27">
      <c r="B20" s="53">
        <f t="shared" si="0"/>
        <v>13</v>
      </c>
      <c r="C20" s="278" t="s">
        <v>1973</v>
      </c>
      <c r="D20" s="314" t="s">
        <v>314</v>
      </c>
      <c r="E20" s="309">
        <v>5475</v>
      </c>
      <c r="F20" s="312" t="s">
        <v>1974</v>
      </c>
      <c r="G20" s="232">
        <v>41019</v>
      </c>
      <c r="H20" s="279" t="s">
        <v>368</v>
      </c>
      <c r="I20" s="270">
        <v>44670</v>
      </c>
      <c r="J20" s="242">
        <v>3652</v>
      </c>
      <c r="K20" s="242">
        <v>711</v>
      </c>
      <c r="L20" s="242">
        <v>2941</v>
      </c>
      <c r="M20" s="242">
        <v>274</v>
      </c>
      <c r="N20" s="242">
        <v>4694</v>
      </c>
      <c r="O20" s="242">
        <v>4385</v>
      </c>
      <c r="P20" s="242">
        <v>2576</v>
      </c>
      <c r="Q20" s="242">
        <v>4111</v>
      </c>
      <c r="R20" s="250">
        <v>365</v>
      </c>
      <c r="S20" s="242">
        <v>582</v>
      </c>
      <c r="T20" s="242">
        <v>4078</v>
      </c>
      <c r="U20" s="242">
        <v>307</v>
      </c>
      <c r="V20" s="11"/>
    </row>
    <row r="21" spans="2:22" s="22" customFormat="1" ht="14.25">
      <c r="B21" s="32" t="s">
        <v>879</v>
      </c>
      <c r="C21" s="316"/>
      <c r="D21" s="230"/>
      <c r="E21" s="317"/>
      <c r="F21" s="253"/>
      <c r="G21" s="228"/>
      <c r="H21" s="228"/>
      <c r="I21" s="228"/>
      <c r="J21" s="228"/>
      <c r="K21" s="228"/>
      <c r="L21" s="228"/>
      <c r="M21" s="228"/>
      <c r="N21" s="228"/>
      <c r="O21" s="242">
        <v>0</v>
      </c>
      <c r="P21" s="228"/>
      <c r="Q21" s="272"/>
      <c r="R21" s="318"/>
      <c r="S21" s="242"/>
      <c r="T21" s="242"/>
      <c r="U21" s="228"/>
      <c r="V21" s="11"/>
    </row>
    <row r="22" spans="2:22" s="22" customFormat="1" ht="27">
      <c r="B22" s="15">
        <v>1</v>
      </c>
      <c r="C22" s="276" t="s">
        <v>1692</v>
      </c>
      <c r="D22" s="230">
        <v>648</v>
      </c>
      <c r="E22" s="319">
        <f>ROUND(15552*1.1272,0)+1</f>
        <v>17531</v>
      </c>
      <c r="F22" s="320" t="s">
        <v>880</v>
      </c>
      <c r="G22" s="232">
        <v>40260</v>
      </c>
      <c r="H22" s="228" t="s">
        <v>160</v>
      </c>
      <c r="I22" s="242"/>
      <c r="J22" s="242"/>
      <c r="K22" s="242"/>
      <c r="L22" s="242"/>
      <c r="M22" s="242"/>
      <c r="N22" s="242"/>
      <c r="O22" s="242">
        <v>0</v>
      </c>
      <c r="P22" s="242">
        <v>0</v>
      </c>
      <c r="Q22" s="242">
        <v>0</v>
      </c>
      <c r="R22" s="250">
        <v>0</v>
      </c>
      <c r="S22" s="242">
        <v>0</v>
      </c>
      <c r="T22" s="242">
        <v>0</v>
      </c>
      <c r="U22" s="242">
        <v>0</v>
      </c>
      <c r="V22" s="11"/>
    </row>
    <row r="23" spans="2:22" s="22" customFormat="1">
      <c r="B23" s="15">
        <v>2</v>
      </c>
      <c r="C23" s="276" t="s">
        <v>1693</v>
      </c>
      <c r="D23" s="230">
        <v>65</v>
      </c>
      <c r="E23" s="319">
        <f>ROUND(1560*1.1272,0)</f>
        <v>1758</v>
      </c>
      <c r="F23" s="320" t="s">
        <v>880</v>
      </c>
      <c r="G23" s="232">
        <v>40260</v>
      </c>
      <c r="H23" s="228" t="s">
        <v>160</v>
      </c>
      <c r="I23" s="242"/>
      <c r="J23" s="242"/>
      <c r="K23" s="242"/>
      <c r="L23" s="242"/>
      <c r="M23" s="242"/>
      <c r="N23" s="242"/>
      <c r="O23" s="242">
        <v>0</v>
      </c>
      <c r="P23" s="242">
        <v>0</v>
      </c>
      <c r="Q23" s="242">
        <v>0</v>
      </c>
      <c r="R23" s="250">
        <v>0</v>
      </c>
      <c r="S23" s="242">
        <v>0</v>
      </c>
      <c r="T23" s="242">
        <v>0</v>
      </c>
      <c r="U23" s="242">
        <v>0</v>
      </c>
      <c r="V23" s="11"/>
    </row>
    <row r="24" spans="2:22" s="22" customFormat="1" ht="27">
      <c r="B24" s="15">
        <v>3</v>
      </c>
      <c r="C24" s="276" t="s">
        <v>1694</v>
      </c>
      <c r="D24" s="230">
        <v>3</v>
      </c>
      <c r="E24" s="319">
        <f>(18300*1.05)+400</f>
        <v>19615</v>
      </c>
      <c r="F24" s="320">
        <v>76</v>
      </c>
      <c r="G24" s="232">
        <v>40260</v>
      </c>
      <c r="H24" s="228" t="s">
        <v>160</v>
      </c>
      <c r="I24" s="242">
        <v>43912</v>
      </c>
      <c r="J24" s="242">
        <v>3653</v>
      </c>
      <c r="K24" s="242">
        <v>1470</v>
      </c>
      <c r="L24" s="242">
        <v>2183</v>
      </c>
      <c r="M24" s="242">
        <v>981</v>
      </c>
      <c r="N24" s="242">
        <v>14883</v>
      </c>
      <c r="O24" s="242">
        <v>13376</v>
      </c>
      <c r="P24" s="242">
        <v>1818</v>
      </c>
      <c r="Q24" s="242">
        <v>12395</v>
      </c>
      <c r="R24" s="250">
        <v>0</v>
      </c>
      <c r="S24" s="242">
        <v>0</v>
      </c>
      <c r="T24" s="242">
        <v>13376</v>
      </c>
      <c r="U24" s="242">
        <v>0</v>
      </c>
      <c r="V24" s="11"/>
    </row>
    <row r="25" spans="2:22" s="22" customFormat="1" ht="27">
      <c r="B25" s="15">
        <v>4</v>
      </c>
      <c r="C25" s="276" t="s">
        <v>1695</v>
      </c>
      <c r="D25" s="230">
        <v>6</v>
      </c>
      <c r="E25" s="319">
        <f>(54000*1.05)+1000</f>
        <v>57700</v>
      </c>
      <c r="F25" s="320">
        <v>76</v>
      </c>
      <c r="G25" s="232">
        <v>40260</v>
      </c>
      <c r="H25" s="228" t="s">
        <v>160</v>
      </c>
      <c r="I25" s="242">
        <v>43912</v>
      </c>
      <c r="J25" s="242">
        <v>3653</v>
      </c>
      <c r="K25" s="242">
        <v>1470</v>
      </c>
      <c r="L25" s="242">
        <v>2183</v>
      </c>
      <c r="M25" s="242">
        <v>2885</v>
      </c>
      <c r="N25" s="242">
        <v>43784</v>
      </c>
      <c r="O25" s="242">
        <v>39348</v>
      </c>
      <c r="P25" s="242">
        <v>1818</v>
      </c>
      <c r="Q25" s="242">
        <v>36463</v>
      </c>
      <c r="R25" s="250">
        <v>0</v>
      </c>
      <c r="S25" s="242">
        <v>0</v>
      </c>
      <c r="T25" s="242">
        <v>39348</v>
      </c>
      <c r="U25" s="242">
        <v>0</v>
      </c>
      <c r="V25" s="11"/>
    </row>
    <row r="26" spans="2:22" s="22" customFormat="1" ht="81">
      <c r="B26" s="15">
        <v>5</v>
      </c>
      <c r="C26" s="276" t="s">
        <v>972</v>
      </c>
      <c r="D26" s="230" t="s">
        <v>42</v>
      </c>
      <c r="E26" s="319">
        <v>11133</v>
      </c>
      <c r="F26" s="320" t="s">
        <v>1018</v>
      </c>
      <c r="G26" s="232">
        <v>40312</v>
      </c>
      <c r="H26" s="228" t="s">
        <v>160</v>
      </c>
      <c r="I26" s="242"/>
      <c r="J26" s="242"/>
      <c r="K26" s="242"/>
      <c r="L26" s="242"/>
      <c r="M26" s="242"/>
      <c r="N26" s="242"/>
      <c r="O26" s="242">
        <v>0</v>
      </c>
      <c r="P26" s="242">
        <v>0</v>
      </c>
      <c r="Q26" s="242">
        <v>0</v>
      </c>
      <c r="R26" s="250">
        <v>0</v>
      </c>
      <c r="S26" s="242">
        <v>0</v>
      </c>
      <c r="T26" s="242">
        <v>0</v>
      </c>
      <c r="U26" s="242">
        <v>0</v>
      </c>
      <c r="V26" s="11"/>
    </row>
    <row r="27" spans="2:22" s="22" customFormat="1" ht="27">
      <c r="B27" s="15">
        <v>6</v>
      </c>
      <c r="C27" s="276" t="s">
        <v>1065</v>
      </c>
      <c r="D27" s="230" t="s">
        <v>42</v>
      </c>
      <c r="E27" s="319">
        <v>7934</v>
      </c>
      <c r="F27" s="320" t="s">
        <v>904</v>
      </c>
      <c r="G27" s="232">
        <v>40402</v>
      </c>
      <c r="H27" s="228" t="s">
        <v>368</v>
      </c>
      <c r="I27" s="242">
        <v>44054</v>
      </c>
      <c r="J27" s="242">
        <v>3653</v>
      </c>
      <c r="K27" s="242">
        <v>1328</v>
      </c>
      <c r="L27" s="242">
        <v>2325</v>
      </c>
      <c r="M27" s="242">
        <v>397</v>
      </c>
      <c r="N27" s="242">
        <v>6165</v>
      </c>
      <c r="O27" s="242">
        <v>5594</v>
      </c>
      <c r="P27" s="242">
        <v>1960</v>
      </c>
      <c r="Q27" s="242">
        <v>5197</v>
      </c>
      <c r="R27" s="250">
        <v>0</v>
      </c>
      <c r="S27" s="242">
        <v>0</v>
      </c>
      <c r="T27" s="242">
        <v>5594</v>
      </c>
      <c r="U27" s="242">
        <v>0</v>
      </c>
      <c r="V27" s="11"/>
    </row>
    <row r="28" spans="2:22" s="22" customFormat="1" ht="54">
      <c r="B28" s="15">
        <v>7</v>
      </c>
      <c r="C28" s="276" t="s">
        <v>1066</v>
      </c>
      <c r="D28" s="230" t="s">
        <v>42</v>
      </c>
      <c r="E28" s="319">
        <v>105723</v>
      </c>
      <c r="F28" s="320" t="s">
        <v>1067</v>
      </c>
      <c r="G28" s="232">
        <v>40481</v>
      </c>
      <c r="H28" s="228" t="s">
        <v>368</v>
      </c>
      <c r="I28" s="242">
        <v>44133</v>
      </c>
      <c r="J28" s="242">
        <v>3653</v>
      </c>
      <c r="K28" s="242">
        <v>1249</v>
      </c>
      <c r="L28" s="242">
        <v>2404</v>
      </c>
      <c r="M28" s="242">
        <v>5286</v>
      </c>
      <c r="N28" s="242">
        <v>83266</v>
      </c>
      <c r="O28" s="242">
        <v>75910</v>
      </c>
      <c r="P28" s="242">
        <v>2039</v>
      </c>
      <c r="Q28" s="242">
        <v>70624</v>
      </c>
      <c r="R28" s="250">
        <v>0</v>
      </c>
      <c r="S28" s="242">
        <v>0</v>
      </c>
      <c r="T28" s="242">
        <v>75910</v>
      </c>
      <c r="U28" s="242">
        <v>0</v>
      </c>
      <c r="V28" s="11"/>
    </row>
    <row r="29" spans="2:22" s="22" customFormat="1" ht="40.5">
      <c r="B29" s="15">
        <v>8</v>
      </c>
      <c r="C29" s="276" t="s">
        <v>1472</v>
      </c>
      <c r="D29" s="230">
        <v>1055</v>
      </c>
      <c r="E29" s="319">
        <v>354923</v>
      </c>
      <c r="F29" s="320" t="s">
        <v>1473</v>
      </c>
      <c r="G29" s="232">
        <v>40831</v>
      </c>
      <c r="H29" s="228" t="s">
        <v>368</v>
      </c>
      <c r="I29" s="242">
        <v>44483</v>
      </c>
      <c r="J29" s="242">
        <v>3653</v>
      </c>
      <c r="K29" s="242">
        <v>899</v>
      </c>
      <c r="L29" s="242">
        <v>2754</v>
      </c>
      <c r="M29" s="242">
        <v>17746</v>
      </c>
      <c r="N29" s="242">
        <v>295674</v>
      </c>
      <c r="O29" s="242">
        <v>274233</v>
      </c>
      <c r="P29" s="242">
        <v>2389</v>
      </c>
      <c r="Q29" s="242">
        <v>256487</v>
      </c>
      <c r="R29" s="250">
        <v>197</v>
      </c>
      <c r="S29" s="242">
        <v>38897</v>
      </c>
      <c r="T29" s="242">
        <v>274233</v>
      </c>
      <c r="U29" s="242">
        <v>0</v>
      </c>
      <c r="V29" s="11"/>
    </row>
    <row r="30" spans="2:22" s="22" customFormat="1" ht="27">
      <c r="B30" s="15">
        <v>9</v>
      </c>
      <c r="C30" s="249" t="s">
        <v>1474</v>
      </c>
      <c r="D30" s="230">
        <f>500+500</f>
        <v>1000</v>
      </c>
      <c r="E30" s="242">
        <v>92259</v>
      </c>
      <c r="F30" s="230" t="s">
        <v>1475</v>
      </c>
      <c r="G30" s="232">
        <v>40738</v>
      </c>
      <c r="H30" s="228" t="s">
        <v>368</v>
      </c>
      <c r="I30" s="270">
        <v>44390</v>
      </c>
      <c r="J30" s="242">
        <v>3653</v>
      </c>
      <c r="K30" s="242">
        <v>992</v>
      </c>
      <c r="L30" s="242">
        <v>2661</v>
      </c>
      <c r="M30" s="242">
        <v>4613</v>
      </c>
      <c r="N30" s="242">
        <v>75745</v>
      </c>
      <c r="O30" s="242">
        <v>69968</v>
      </c>
      <c r="P30" s="242">
        <v>2296</v>
      </c>
      <c r="Q30" s="242">
        <v>65355</v>
      </c>
      <c r="R30" s="250">
        <v>104</v>
      </c>
      <c r="S30" s="242">
        <v>7572</v>
      </c>
      <c r="T30" s="242">
        <v>69968</v>
      </c>
      <c r="U30" s="242">
        <v>0</v>
      </c>
      <c r="V30" s="302"/>
    </row>
    <row r="31" spans="2:22" s="22" customFormat="1" ht="54">
      <c r="B31" s="15">
        <v>10</v>
      </c>
      <c r="C31" s="249" t="s">
        <v>1476</v>
      </c>
      <c r="D31" s="313">
        <v>0</v>
      </c>
      <c r="E31" s="242">
        <v>16377</v>
      </c>
      <c r="F31" s="230" t="s">
        <v>1477</v>
      </c>
      <c r="G31" s="232">
        <v>40709</v>
      </c>
      <c r="H31" s="228" t="s">
        <v>368</v>
      </c>
      <c r="I31" s="270">
        <v>44361</v>
      </c>
      <c r="J31" s="242">
        <v>3653</v>
      </c>
      <c r="K31" s="242">
        <v>1021</v>
      </c>
      <c r="L31" s="242">
        <v>2632</v>
      </c>
      <c r="M31" s="242">
        <v>819</v>
      </c>
      <c r="N31" s="242">
        <v>13384</v>
      </c>
      <c r="O31" s="242">
        <v>12347</v>
      </c>
      <c r="P31" s="242">
        <v>2267</v>
      </c>
      <c r="Q31" s="242">
        <v>11528</v>
      </c>
      <c r="R31" s="250">
        <v>75</v>
      </c>
      <c r="S31" s="242">
        <v>1201</v>
      </c>
      <c r="T31" s="242">
        <v>12347</v>
      </c>
      <c r="U31" s="242">
        <v>0</v>
      </c>
      <c r="V31" s="11"/>
    </row>
    <row r="32" spans="2:22" s="22" customFormat="1" ht="40.5">
      <c r="B32" s="15">
        <v>11</v>
      </c>
      <c r="C32" s="249" t="s">
        <v>1854</v>
      </c>
      <c r="D32" s="313" t="s">
        <v>314</v>
      </c>
      <c r="E32" s="242">
        <v>182630</v>
      </c>
      <c r="F32" s="230" t="s">
        <v>1855</v>
      </c>
      <c r="G32" s="232">
        <v>41000</v>
      </c>
      <c r="H32" s="228" t="s">
        <v>368</v>
      </c>
      <c r="I32" s="270">
        <v>44651</v>
      </c>
      <c r="J32" s="242">
        <v>3652</v>
      </c>
      <c r="K32" s="242">
        <v>730</v>
      </c>
      <c r="L32" s="242">
        <v>2922</v>
      </c>
      <c r="M32" s="242">
        <v>9132</v>
      </c>
      <c r="N32" s="242">
        <v>156148</v>
      </c>
      <c r="O32" s="242">
        <v>145775</v>
      </c>
      <c r="P32" s="242">
        <v>2557</v>
      </c>
      <c r="Q32" s="242">
        <v>136644</v>
      </c>
      <c r="R32" s="250">
        <v>365</v>
      </c>
      <c r="S32" s="242">
        <v>28637</v>
      </c>
      <c r="T32" s="242">
        <v>145775</v>
      </c>
      <c r="U32" s="242">
        <v>0</v>
      </c>
      <c r="V32" s="11"/>
    </row>
    <row r="33" spans="2:22" s="22" customFormat="1" ht="27">
      <c r="B33" s="15">
        <v>12</v>
      </c>
      <c r="C33" s="249" t="s">
        <v>1858</v>
      </c>
      <c r="D33" s="313" t="s">
        <v>314</v>
      </c>
      <c r="E33" s="242">
        <v>69722</v>
      </c>
      <c r="F33" s="232">
        <v>40827</v>
      </c>
      <c r="G33" s="232">
        <v>41000</v>
      </c>
      <c r="H33" s="228" t="s">
        <v>368</v>
      </c>
      <c r="I33" s="270">
        <v>44651</v>
      </c>
      <c r="J33" s="242">
        <v>3652</v>
      </c>
      <c r="K33" s="242">
        <v>730</v>
      </c>
      <c r="L33" s="242">
        <v>2922</v>
      </c>
      <c r="M33" s="242">
        <v>3486</v>
      </c>
      <c r="N33" s="242">
        <v>59612</v>
      </c>
      <c r="O33" s="242">
        <v>55652</v>
      </c>
      <c r="P33" s="242">
        <v>2557</v>
      </c>
      <c r="Q33" s="242">
        <v>52166</v>
      </c>
      <c r="R33" s="250">
        <v>365</v>
      </c>
      <c r="S33" s="242">
        <v>10934</v>
      </c>
      <c r="T33" s="242">
        <v>55652</v>
      </c>
      <c r="U33" s="242">
        <v>0</v>
      </c>
      <c r="V33" s="11"/>
    </row>
    <row r="34" spans="2:22" s="22" customFormat="1" ht="40.5">
      <c r="B34" s="15">
        <v>13</v>
      </c>
      <c r="C34" s="249" t="s">
        <v>1867</v>
      </c>
      <c r="D34" s="313" t="s">
        <v>314</v>
      </c>
      <c r="E34" s="242">
        <v>17793</v>
      </c>
      <c r="F34" s="230" t="s">
        <v>1868</v>
      </c>
      <c r="G34" s="232">
        <v>41000</v>
      </c>
      <c r="H34" s="228" t="s">
        <v>368</v>
      </c>
      <c r="I34" s="270">
        <v>44651</v>
      </c>
      <c r="J34" s="242">
        <v>3652</v>
      </c>
      <c r="K34" s="242">
        <v>730</v>
      </c>
      <c r="L34" s="242">
        <v>2922</v>
      </c>
      <c r="M34" s="242">
        <v>890</v>
      </c>
      <c r="N34" s="242">
        <v>15213</v>
      </c>
      <c r="O34" s="242">
        <v>14203</v>
      </c>
      <c r="P34" s="242">
        <v>2557</v>
      </c>
      <c r="Q34" s="242">
        <v>13313</v>
      </c>
      <c r="R34" s="250">
        <v>365</v>
      </c>
      <c r="S34" s="242">
        <v>2791</v>
      </c>
      <c r="T34" s="242">
        <v>14203</v>
      </c>
      <c r="U34" s="242">
        <v>0</v>
      </c>
      <c r="V34" s="11"/>
    </row>
    <row r="35" spans="2:22" s="22" customFormat="1" ht="40.5">
      <c r="B35" s="15">
        <v>14</v>
      </c>
      <c r="C35" s="249" t="s">
        <v>1876</v>
      </c>
      <c r="D35" s="313" t="s">
        <v>314</v>
      </c>
      <c r="E35" s="242">
        <v>101344</v>
      </c>
      <c r="F35" s="230" t="s">
        <v>1877</v>
      </c>
      <c r="G35" s="232">
        <v>41000</v>
      </c>
      <c r="H35" s="228" t="s">
        <v>368</v>
      </c>
      <c r="I35" s="270">
        <v>44651</v>
      </c>
      <c r="J35" s="242">
        <v>3652</v>
      </c>
      <c r="K35" s="242">
        <v>730</v>
      </c>
      <c r="L35" s="242">
        <v>2922</v>
      </c>
      <c r="M35" s="242">
        <v>5067</v>
      </c>
      <c r="N35" s="242">
        <v>86649</v>
      </c>
      <c r="O35" s="242">
        <v>80892</v>
      </c>
      <c r="P35" s="242">
        <v>2557</v>
      </c>
      <c r="Q35" s="242">
        <v>75825</v>
      </c>
      <c r="R35" s="250">
        <v>365</v>
      </c>
      <c r="S35" s="242">
        <v>15890</v>
      </c>
      <c r="T35" s="242">
        <v>80892</v>
      </c>
      <c r="U35" s="242">
        <v>0</v>
      </c>
      <c r="V35" s="11"/>
    </row>
    <row r="36" spans="2:22" s="22" customFormat="1" ht="54">
      <c r="B36" s="15">
        <v>15</v>
      </c>
      <c r="C36" s="249" t="s">
        <v>1878</v>
      </c>
      <c r="D36" s="313" t="s">
        <v>314</v>
      </c>
      <c r="E36" s="242">
        <v>37686</v>
      </c>
      <c r="F36" s="230" t="s">
        <v>1879</v>
      </c>
      <c r="G36" s="232">
        <v>41080</v>
      </c>
      <c r="H36" s="228" t="s">
        <v>368</v>
      </c>
      <c r="I36" s="270">
        <v>44731</v>
      </c>
      <c r="J36" s="242">
        <v>3652</v>
      </c>
      <c r="K36" s="242">
        <v>650</v>
      </c>
      <c r="L36" s="242">
        <v>3002</v>
      </c>
      <c r="M36" s="242">
        <v>1884</v>
      </c>
      <c r="N36" s="242">
        <v>32614</v>
      </c>
      <c r="O36" s="242">
        <v>30533</v>
      </c>
      <c r="P36" s="242">
        <v>2637</v>
      </c>
      <c r="Q36" s="242">
        <v>28649</v>
      </c>
      <c r="R36" s="250">
        <v>365</v>
      </c>
      <c r="S36" s="242">
        <v>3965</v>
      </c>
      <c r="T36" s="242">
        <v>27777</v>
      </c>
      <c r="U36" s="242">
        <v>2756</v>
      </c>
      <c r="V36" s="11"/>
    </row>
    <row r="37" spans="2:22" s="22" customFormat="1" ht="40.5">
      <c r="B37" s="15">
        <v>16</v>
      </c>
      <c r="C37" s="249" t="s">
        <v>2350</v>
      </c>
      <c r="D37" s="313" t="s">
        <v>314</v>
      </c>
      <c r="E37" s="242">
        <v>52812</v>
      </c>
      <c r="F37" s="230" t="s">
        <v>2354</v>
      </c>
      <c r="G37" s="232">
        <v>41640</v>
      </c>
      <c r="H37" s="228" t="s">
        <v>368</v>
      </c>
      <c r="I37" s="270">
        <v>45291</v>
      </c>
      <c r="J37" s="242">
        <v>3652</v>
      </c>
      <c r="K37" s="242">
        <v>90</v>
      </c>
      <c r="L37" s="242">
        <v>3562</v>
      </c>
      <c r="M37" s="242">
        <v>2641</v>
      </c>
      <c r="N37" s="242">
        <v>49552</v>
      </c>
      <c r="O37" s="242">
        <v>47115</v>
      </c>
      <c r="P37" s="242">
        <v>3197</v>
      </c>
      <c r="Q37" s="242">
        <v>44474</v>
      </c>
      <c r="R37" s="250">
        <v>365</v>
      </c>
      <c r="S37" s="242">
        <v>5078</v>
      </c>
      <c r="T37" s="242">
        <v>35572</v>
      </c>
      <c r="U37" s="242">
        <v>11543</v>
      </c>
      <c r="V37" s="11"/>
    </row>
    <row r="38" spans="2:22" s="22" customFormat="1" ht="40.5">
      <c r="B38" s="15">
        <v>17</v>
      </c>
      <c r="C38" s="249" t="s">
        <v>2351</v>
      </c>
      <c r="D38" s="313" t="s">
        <v>314</v>
      </c>
      <c r="E38" s="242">
        <v>3000</v>
      </c>
      <c r="F38" s="230" t="s">
        <v>2355</v>
      </c>
      <c r="G38" s="232">
        <v>41640</v>
      </c>
      <c r="H38" s="228" t="s">
        <v>368</v>
      </c>
      <c r="I38" s="270">
        <v>45291</v>
      </c>
      <c r="J38" s="242">
        <v>3652</v>
      </c>
      <c r="K38" s="242">
        <v>90</v>
      </c>
      <c r="L38" s="242">
        <v>3562</v>
      </c>
      <c r="M38" s="242">
        <v>150</v>
      </c>
      <c r="N38" s="242">
        <v>2815</v>
      </c>
      <c r="O38" s="242">
        <v>2677</v>
      </c>
      <c r="P38" s="242">
        <v>3197</v>
      </c>
      <c r="Q38" s="242">
        <v>2527</v>
      </c>
      <c r="R38" s="250">
        <v>365</v>
      </c>
      <c r="S38" s="242">
        <v>289</v>
      </c>
      <c r="T38" s="242">
        <v>2023</v>
      </c>
      <c r="U38" s="242">
        <v>654</v>
      </c>
      <c r="V38" s="11"/>
    </row>
    <row r="39" spans="2:22" s="22" customFormat="1" ht="27">
      <c r="B39" s="15">
        <v>18</v>
      </c>
      <c r="C39" s="249" t="s">
        <v>2352</v>
      </c>
      <c r="D39" s="313" t="s">
        <v>314</v>
      </c>
      <c r="E39" s="242">
        <v>5426</v>
      </c>
      <c r="F39" s="230" t="s">
        <v>2356</v>
      </c>
      <c r="G39" s="232">
        <v>41640</v>
      </c>
      <c r="H39" s="228" t="s">
        <v>368</v>
      </c>
      <c r="I39" s="270">
        <v>45291</v>
      </c>
      <c r="J39" s="242">
        <v>3652</v>
      </c>
      <c r="K39" s="242">
        <v>90</v>
      </c>
      <c r="L39" s="242">
        <v>3562</v>
      </c>
      <c r="M39" s="242">
        <v>271</v>
      </c>
      <c r="N39" s="242">
        <v>5091</v>
      </c>
      <c r="O39" s="242">
        <v>4840</v>
      </c>
      <c r="P39" s="242">
        <v>3197</v>
      </c>
      <c r="Q39" s="242">
        <v>4569</v>
      </c>
      <c r="R39" s="250">
        <v>365</v>
      </c>
      <c r="S39" s="242">
        <v>522</v>
      </c>
      <c r="T39" s="242">
        <v>3656</v>
      </c>
      <c r="U39" s="242">
        <v>1184</v>
      </c>
      <c r="V39" s="11"/>
    </row>
    <row r="40" spans="2:22" s="22" customFormat="1" ht="40.5">
      <c r="B40" s="15">
        <v>18</v>
      </c>
      <c r="C40" s="249" t="s">
        <v>2795</v>
      </c>
      <c r="D40" s="313" t="s">
        <v>314</v>
      </c>
      <c r="E40" s="242">
        <v>445490</v>
      </c>
      <c r="F40" s="230" t="s">
        <v>2796</v>
      </c>
      <c r="G40" s="232">
        <v>42077</v>
      </c>
      <c r="H40" s="228" t="s">
        <v>368</v>
      </c>
      <c r="I40" s="270">
        <v>45729</v>
      </c>
      <c r="J40" s="242">
        <v>3653</v>
      </c>
      <c r="K40" s="242">
        <v>0</v>
      </c>
      <c r="L40" s="242">
        <v>3653</v>
      </c>
      <c r="M40" s="242">
        <v>22275</v>
      </c>
      <c r="N40" s="242">
        <v>423215</v>
      </c>
      <c r="O40" s="242">
        <v>443405</v>
      </c>
      <c r="P40" s="242">
        <v>3635</v>
      </c>
      <c r="Q40" s="242">
        <v>421131</v>
      </c>
      <c r="R40" s="250">
        <v>365</v>
      </c>
      <c r="S40" s="242">
        <v>42287</v>
      </c>
      <c r="T40" s="242">
        <v>296241</v>
      </c>
      <c r="U40" s="242">
        <v>147164</v>
      </c>
      <c r="V40" s="11"/>
    </row>
    <row r="41" spans="2:22" s="22" customFormat="1" ht="14.25">
      <c r="B41" s="32" t="s">
        <v>954</v>
      </c>
      <c r="C41" s="316"/>
      <c r="D41" s="230"/>
      <c r="E41" s="317"/>
      <c r="F41" s="253"/>
      <c r="G41" s="228"/>
      <c r="H41" s="228"/>
      <c r="I41" s="228"/>
      <c r="J41" s="228"/>
      <c r="K41" s="228"/>
      <c r="L41" s="228"/>
      <c r="M41" s="228"/>
      <c r="N41" s="228"/>
      <c r="O41" s="242">
        <v>0</v>
      </c>
      <c r="P41" s="228"/>
      <c r="Q41" s="272"/>
      <c r="R41" s="318"/>
      <c r="S41" s="242"/>
      <c r="T41" s="242"/>
      <c r="U41" s="228"/>
      <c r="V41" s="11"/>
    </row>
    <row r="42" spans="2:22" s="22" customFormat="1" ht="54">
      <c r="B42" s="15">
        <v>1</v>
      </c>
      <c r="C42" s="278" t="s">
        <v>1182</v>
      </c>
      <c r="D42" s="230">
        <v>3</v>
      </c>
      <c r="E42" s="250">
        <v>1862259</v>
      </c>
      <c r="F42" s="275" t="s">
        <v>1181</v>
      </c>
      <c r="G42" s="232">
        <v>40694</v>
      </c>
      <c r="H42" s="228" t="s">
        <v>368</v>
      </c>
      <c r="I42" s="270">
        <v>44346</v>
      </c>
      <c r="J42" s="242">
        <v>3653</v>
      </c>
      <c r="K42" s="242">
        <v>1036</v>
      </c>
      <c r="L42" s="242">
        <v>2617</v>
      </c>
      <c r="M42" s="242">
        <v>93113</v>
      </c>
      <c r="N42" s="242">
        <v>1518277</v>
      </c>
      <c r="O42" s="242">
        <v>1399632</v>
      </c>
      <c r="P42" s="242">
        <v>2252</v>
      </c>
      <c r="Q42" s="242">
        <v>1306519</v>
      </c>
      <c r="R42" s="250">
        <v>60</v>
      </c>
      <c r="S42" s="242">
        <v>127924</v>
      </c>
      <c r="T42" s="242">
        <v>1399632</v>
      </c>
      <c r="U42" s="242">
        <v>0</v>
      </c>
      <c r="V42" s="11"/>
    </row>
    <row r="43" spans="2:22" s="22" customFormat="1" ht="40.5">
      <c r="B43" s="15">
        <f t="shared" ref="B43:B46" si="1">+B42+1</f>
        <v>2</v>
      </c>
      <c r="C43" s="278" t="s">
        <v>1828</v>
      </c>
      <c r="D43" s="230"/>
      <c r="E43" s="250">
        <v>29580</v>
      </c>
      <c r="F43" s="254" t="s">
        <v>1829</v>
      </c>
      <c r="G43" s="232">
        <v>41020</v>
      </c>
      <c r="H43" s="228" t="s">
        <v>368</v>
      </c>
      <c r="I43" s="270">
        <v>44671</v>
      </c>
      <c r="J43" s="242">
        <v>3652</v>
      </c>
      <c r="K43" s="242">
        <v>710</v>
      </c>
      <c r="L43" s="242">
        <v>2942</v>
      </c>
      <c r="M43" s="242">
        <v>1479</v>
      </c>
      <c r="N43" s="242">
        <v>25368</v>
      </c>
      <c r="O43" s="242">
        <v>23700</v>
      </c>
      <c r="P43" s="242">
        <v>2577</v>
      </c>
      <c r="Q43" s="242">
        <v>22221</v>
      </c>
      <c r="R43" s="250">
        <v>365</v>
      </c>
      <c r="S43" s="242">
        <v>3147</v>
      </c>
      <c r="T43" s="242">
        <v>22047</v>
      </c>
      <c r="U43" s="242">
        <v>1653</v>
      </c>
      <c r="V43" s="11"/>
    </row>
    <row r="44" spans="2:22" s="22" customFormat="1" ht="81">
      <c r="B44" s="15">
        <f t="shared" si="1"/>
        <v>3</v>
      </c>
      <c r="C44" s="278" t="s">
        <v>1851</v>
      </c>
      <c r="D44" s="230">
        <v>1</v>
      </c>
      <c r="E44" s="250">
        <f>359937+11510</f>
        <v>371447</v>
      </c>
      <c r="F44" s="254" t="s">
        <v>1852</v>
      </c>
      <c r="G44" s="232">
        <v>41002</v>
      </c>
      <c r="H44" s="228" t="s">
        <v>368</v>
      </c>
      <c r="I44" s="270">
        <v>44653</v>
      </c>
      <c r="J44" s="242">
        <v>3652</v>
      </c>
      <c r="K44" s="242">
        <v>728</v>
      </c>
      <c r="L44" s="242">
        <v>2924</v>
      </c>
      <c r="M44" s="242">
        <v>18572</v>
      </c>
      <c r="N44" s="242">
        <v>317684</v>
      </c>
      <c r="O44" s="242">
        <v>296600</v>
      </c>
      <c r="P44" s="242">
        <v>2559</v>
      </c>
      <c r="Q44" s="242">
        <v>278028</v>
      </c>
      <c r="R44" s="250">
        <v>365</v>
      </c>
      <c r="S44" s="242">
        <v>39656</v>
      </c>
      <c r="T44" s="242">
        <v>277810</v>
      </c>
      <c r="U44" s="242">
        <v>18790</v>
      </c>
      <c r="V44" s="11"/>
    </row>
    <row r="45" spans="2:22" s="22" customFormat="1" ht="81">
      <c r="B45" s="15">
        <f t="shared" si="1"/>
        <v>4</v>
      </c>
      <c r="C45" s="278" t="s">
        <v>1850</v>
      </c>
      <c r="D45" s="230">
        <v>1</v>
      </c>
      <c r="E45" s="250">
        <f>461918+14770</f>
        <v>476688</v>
      </c>
      <c r="F45" s="254" t="s">
        <v>1853</v>
      </c>
      <c r="G45" s="232">
        <v>41002</v>
      </c>
      <c r="H45" s="228" t="s">
        <v>368</v>
      </c>
      <c r="I45" s="270">
        <v>44653</v>
      </c>
      <c r="J45" s="242">
        <v>3652</v>
      </c>
      <c r="K45" s="242">
        <v>728</v>
      </c>
      <c r="L45" s="242">
        <v>2924</v>
      </c>
      <c r="M45" s="242">
        <v>23834</v>
      </c>
      <c r="N45" s="242">
        <v>407692</v>
      </c>
      <c r="O45" s="242">
        <v>380634</v>
      </c>
      <c r="P45" s="242">
        <v>2559</v>
      </c>
      <c r="Q45" s="242">
        <v>356800</v>
      </c>
      <c r="R45" s="250">
        <v>365</v>
      </c>
      <c r="S45" s="242">
        <v>50892</v>
      </c>
      <c r="T45" s="242">
        <v>356522</v>
      </c>
      <c r="U45" s="242">
        <v>24112</v>
      </c>
      <c r="V45" s="11"/>
    </row>
    <row r="46" spans="2:22" s="22" customFormat="1" ht="54">
      <c r="B46" s="15">
        <f t="shared" si="1"/>
        <v>5</v>
      </c>
      <c r="C46" s="278" t="s">
        <v>1856</v>
      </c>
      <c r="D46" s="230">
        <v>1</v>
      </c>
      <c r="E46" s="250">
        <v>251115</v>
      </c>
      <c r="F46" s="254" t="s">
        <v>1857</v>
      </c>
      <c r="G46" s="232">
        <v>41002</v>
      </c>
      <c r="H46" s="228" t="s">
        <v>368</v>
      </c>
      <c r="I46" s="321">
        <v>44653</v>
      </c>
      <c r="J46" s="322">
        <v>3652</v>
      </c>
      <c r="K46" s="322">
        <v>728</v>
      </c>
      <c r="L46" s="322">
        <v>2924</v>
      </c>
      <c r="M46" s="322">
        <v>12556</v>
      </c>
      <c r="N46" s="322">
        <v>214768</v>
      </c>
      <c r="O46" s="322">
        <v>200515</v>
      </c>
      <c r="P46" s="322">
        <v>2559</v>
      </c>
      <c r="Q46" s="322">
        <v>187959</v>
      </c>
      <c r="R46" s="231">
        <v>365</v>
      </c>
      <c r="S46" s="322">
        <v>26809</v>
      </c>
      <c r="T46" s="322">
        <v>187811</v>
      </c>
      <c r="U46" s="322">
        <v>12704</v>
      </c>
      <c r="V46" s="11"/>
    </row>
    <row r="47" spans="2:22" ht="15" thickBot="1">
      <c r="B47" s="168"/>
      <c r="C47" s="222" t="s">
        <v>915</v>
      </c>
      <c r="D47" s="303"/>
      <c r="E47" s="304">
        <f>SUM(E7:E46)</f>
        <v>9865986</v>
      </c>
      <c r="F47" s="224"/>
      <c r="G47" s="168"/>
      <c r="H47" s="221"/>
      <c r="I47" s="168"/>
      <c r="J47" s="168"/>
      <c r="K47" s="168"/>
      <c r="L47" s="168"/>
      <c r="M47" s="304">
        <f>SUM(M7:M46)</f>
        <v>491781</v>
      </c>
      <c r="N47" s="168"/>
      <c r="O47" s="305">
        <f>SUM(O8:O46)</f>
        <v>7756498</v>
      </c>
      <c r="P47" s="168"/>
      <c r="Q47" s="304">
        <f>SUM(Q7:Q46)</f>
        <v>7264720</v>
      </c>
      <c r="R47" s="306"/>
      <c r="S47" s="307">
        <f>SUM(S7:S46)</f>
        <v>853308</v>
      </c>
      <c r="T47" s="307">
        <f>SUM(T7:T46)</f>
        <v>7327161</v>
      </c>
      <c r="U47" s="307">
        <f>SUM(U7:U46)</f>
        <v>429337</v>
      </c>
    </row>
    <row r="48" spans="2:22" ht="14.25" thickTop="1">
      <c r="E48" s="4">
        <f>9865986-E47</f>
        <v>0</v>
      </c>
      <c r="O48" s="4">
        <f>7756498-O47</f>
        <v>0</v>
      </c>
      <c r="S48" s="4">
        <f>853308-S47</f>
        <v>0</v>
      </c>
      <c r="T48" s="4">
        <f>7327161-T47</f>
        <v>0</v>
      </c>
      <c r="U48" s="4">
        <f>429337-U47</f>
        <v>0</v>
      </c>
    </row>
    <row r="62" spans="5:6">
      <c r="E62" s="30"/>
      <c r="F62" s="61"/>
    </row>
    <row r="63" spans="5:6">
      <c r="F63" s="61"/>
    </row>
    <row r="64" spans="5:6">
      <c r="E64" s="3"/>
      <c r="F64" s="61"/>
    </row>
    <row r="65" spans="5:8">
      <c r="E65" s="3"/>
      <c r="G65" s="29"/>
      <c r="H65" s="29"/>
    </row>
    <row r="66" spans="5:8">
      <c r="E66" s="3"/>
      <c r="G66" s="29"/>
      <c r="H66" s="29"/>
    </row>
    <row r="67" spans="5:8">
      <c r="E67" s="3"/>
      <c r="G67" s="29"/>
      <c r="H67" s="29"/>
    </row>
    <row r="68" spans="5:8" ht="14.25">
      <c r="E68" s="10"/>
      <c r="G68" s="29"/>
      <c r="H68" s="29"/>
    </row>
    <row r="69" spans="5:8">
      <c r="E69" s="3"/>
      <c r="G69" s="29"/>
      <c r="H69" s="29"/>
    </row>
    <row r="70" spans="5:8">
      <c r="E70" s="3"/>
    </row>
    <row r="71" spans="5:8">
      <c r="E71" s="3"/>
    </row>
    <row r="72" spans="5:8">
      <c r="E72" s="3"/>
    </row>
  </sheetData>
  <autoFilter ref="A5:Q48"/>
  <mergeCells count="2">
    <mergeCell ref="R3:U3"/>
    <mergeCell ref="R4:U4"/>
  </mergeCells>
  <phoneticPr fontId="43" type="noConversion"/>
  <printOptions horizontalCentered="1"/>
  <pageMargins left="0" right="0" top="0.75" bottom="0" header="0.5" footer="0.5"/>
  <pageSetup paperSize="9" scale="7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workbookViewId="0">
      <pane xSplit="2" ySplit="6" topLeftCell="C39" activePane="bottomRight" state="frozen"/>
      <selection pane="topRight" activeCell="K1" sqref="K1"/>
      <selection pane="bottomLeft" activeCell="A8" sqref="A8"/>
      <selection pane="bottomRight" activeCell="V55" sqref="V55"/>
    </sheetView>
  </sheetViews>
  <sheetFormatPr defaultColWidth="9" defaultRowHeight="13.5"/>
  <cols>
    <col min="1" max="1" width="2.5" style="5" customWidth="1"/>
    <col min="2" max="2" width="4.75" style="5" customWidth="1"/>
    <col min="3" max="3" width="24.625" style="20" customWidth="1"/>
    <col min="4" max="4" width="5.375" style="29" customWidth="1"/>
    <col min="5" max="5" width="9.625" style="3" customWidth="1"/>
    <col min="6" max="6" width="16.5" style="29" customWidth="1"/>
    <col min="7" max="7" width="9.25" style="5" customWidth="1"/>
    <col min="8" max="8" width="8.375" style="20" bestFit="1" customWidth="1"/>
    <col min="9" max="9" width="8.5" style="5" customWidth="1"/>
    <col min="10" max="11" width="6.625" style="5" customWidth="1"/>
    <col min="12" max="12" width="5.5" style="5" customWidth="1"/>
    <col min="13" max="13" width="6.625" style="5" customWidth="1"/>
    <col min="14" max="14" width="7.125" style="5" customWidth="1"/>
    <col min="15" max="15" width="11.875" style="5" customWidth="1"/>
    <col min="16" max="16" width="6.75" style="5" customWidth="1"/>
    <col min="17" max="17" width="8.625" style="5" customWidth="1"/>
    <col min="18" max="18" width="4.25" style="5" customWidth="1"/>
    <col min="19" max="20" width="9" style="5"/>
    <col min="21" max="21" width="7.875" style="5" bestFit="1" customWidth="1"/>
    <col min="22" max="16384" width="9" style="5"/>
  </cols>
  <sheetData>
    <row r="1" spans="1:22">
      <c r="A1" s="12"/>
      <c r="B1" s="12"/>
      <c r="C1" s="219"/>
      <c r="D1" s="181"/>
      <c r="F1" s="181"/>
      <c r="G1" s="12"/>
      <c r="H1" s="219"/>
    </row>
    <row r="2" spans="1:22" ht="14.25">
      <c r="B2" s="19" t="s">
        <v>436</v>
      </c>
      <c r="I2" s="111"/>
      <c r="J2" s="112"/>
      <c r="M2" s="113"/>
    </row>
    <row r="3" spans="1:22" ht="14.25">
      <c r="R3" s="619">
        <v>44651</v>
      </c>
      <c r="S3" s="620"/>
      <c r="T3" s="620"/>
      <c r="U3" s="620"/>
    </row>
    <row r="4" spans="1:22" ht="14.25">
      <c r="B4" s="19" t="s">
        <v>4648</v>
      </c>
      <c r="I4" s="81"/>
      <c r="J4" s="81"/>
      <c r="K4" s="81"/>
      <c r="L4" s="81"/>
      <c r="M4" s="81"/>
      <c r="N4" s="81"/>
      <c r="R4" s="610" t="s">
        <v>4569</v>
      </c>
      <c r="S4" s="610"/>
      <c r="T4" s="610"/>
      <c r="U4" s="610"/>
    </row>
    <row r="5" spans="1:22" ht="67.5">
      <c r="B5" s="82" t="s">
        <v>56</v>
      </c>
      <c r="C5" s="82" t="s">
        <v>397</v>
      </c>
      <c r="D5" s="82" t="s">
        <v>398</v>
      </c>
      <c r="E5" s="85" t="s">
        <v>2623</v>
      </c>
      <c r="F5" s="82" t="s">
        <v>400</v>
      </c>
      <c r="G5" s="82" t="s">
        <v>401</v>
      </c>
      <c r="H5" s="82" t="s">
        <v>402</v>
      </c>
      <c r="I5" s="190" t="s">
        <v>2471</v>
      </c>
      <c r="J5" s="190" t="s">
        <v>2470</v>
      </c>
      <c r="K5" s="190" t="s">
        <v>2468</v>
      </c>
      <c r="L5" s="190" t="s">
        <v>2469</v>
      </c>
      <c r="M5" s="190" t="s">
        <v>2473</v>
      </c>
      <c r="N5" s="190" t="s">
        <v>2474</v>
      </c>
      <c r="O5" s="189" t="s">
        <v>4050</v>
      </c>
      <c r="P5" s="177" t="s">
        <v>3883</v>
      </c>
      <c r="Q5" s="177" t="s">
        <v>3024</v>
      </c>
      <c r="R5" s="179" t="s">
        <v>403</v>
      </c>
      <c r="S5" s="180" t="s">
        <v>405</v>
      </c>
      <c r="T5" s="180" t="s">
        <v>280</v>
      </c>
      <c r="U5" s="180" t="s">
        <v>404</v>
      </c>
    </row>
    <row r="6" spans="1:22" s="22" customFormat="1" ht="14.25">
      <c r="B6" s="80" t="s">
        <v>967</v>
      </c>
      <c r="C6" s="57"/>
      <c r="D6" s="53"/>
      <c r="E6" s="89"/>
      <c r="F6" s="53"/>
      <c r="G6" s="57"/>
      <c r="H6" s="57"/>
      <c r="I6" s="59"/>
      <c r="J6" s="18" t="s">
        <v>2229</v>
      </c>
      <c r="K6" s="18" t="s">
        <v>2229</v>
      </c>
      <c r="L6" s="18" t="s">
        <v>2229</v>
      </c>
      <c r="M6" s="18" t="s">
        <v>2478</v>
      </c>
      <c r="N6" s="18" t="s">
        <v>2478</v>
      </c>
      <c r="O6" s="25"/>
      <c r="P6" s="25"/>
      <c r="Q6" s="25"/>
      <c r="R6" s="59"/>
      <c r="S6" s="59"/>
      <c r="T6" s="59"/>
      <c r="U6" s="59"/>
    </row>
    <row r="7" spans="1:22" s="22" customFormat="1" ht="14.25">
      <c r="B7" s="32" t="s">
        <v>966</v>
      </c>
      <c r="C7" s="25"/>
      <c r="D7" s="15"/>
      <c r="E7" s="24"/>
      <c r="F7" s="15"/>
      <c r="G7" s="15"/>
      <c r="H7" s="25"/>
      <c r="I7" s="59"/>
      <c r="J7" s="59"/>
      <c r="K7" s="59"/>
      <c r="L7" s="59"/>
      <c r="M7" s="59"/>
      <c r="N7" s="201"/>
      <c r="O7" s="25"/>
      <c r="P7" s="25"/>
      <c r="Q7" s="25"/>
      <c r="R7" s="59"/>
      <c r="S7" s="59"/>
      <c r="T7" s="59"/>
      <c r="U7" s="59"/>
    </row>
    <row r="8" spans="1:22" s="22" customFormat="1" ht="27">
      <c r="B8" s="15">
        <v>1</v>
      </c>
      <c r="C8" s="249" t="s">
        <v>184</v>
      </c>
      <c r="D8" s="230">
        <v>1</v>
      </c>
      <c r="E8" s="250">
        <v>23338</v>
      </c>
      <c r="F8" s="276" t="s">
        <v>185</v>
      </c>
      <c r="G8" s="233">
        <v>39889</v>
      </c>
      <c r="H8" s="228" t="s">
        <v>368</v>
      </c>
      <c r="I8" s="300">
        <v>45367</v>
      </c>
      <c r="J8" s="301">
        <v>5479</v>
      </c>
      <c r="K8" s="301">
        <v>1841</v>
      </c>
      <c r="L8" s="301">
        <v>3638</v>
      </c>
      <c r="M8" s="301">
        <v>1167</v>
      </c>
      <c r="N8" s="301">
        <v>16583.442945205479</v>
      </c>
      <c r="O8" s="242">
        <v>16086.442945205479</v>
      </c>
      <c r="P8" s="242">
        <v>3273</v>
      </c>
      <c r="Q8" s="242">
        <v>14920</v>
      </c>
      <c r="R8" s="292">
        <v>365</v>
      </c>
      <c r="S8" s="301">
        <v>1664</v>
      </c>
      <c r="T8" s="301">
        <v>11656</v>
      </c>
      <c r="U8" s="301">
        <v>4430.4429452054792</v>
      </c>
      <c r="V8" s="11"/>
    </row>
    <row r="9" spans="1:22" s="22" customFormat="1">
      <c r="B9" s="15">
        <v>2</v>
      </c>
      <c r="C9" s="249" t="s">
        <v>893</v>
      </c>
      <c r="D9" s="230">
        <v>1</v>
      </c>
      <c r="E9" s="250">
        <v>5400</v>
      </c>
      <c r="F9" s="230">
        <v>660</v>
      </c>
      <c r="G9" s="233">
        <v>40152</v>
      </c>
      <c r="H9" s="228" t="s">
        <v>368</v>
      </c>
      <c r="I9" s="300">
        <v>45630</v>
      </c>
      <c r="J9" s="301">
        <v>5479</v>
      </c>
      <c r="K9" s="301">
        <v>1578</v>
      </c>
      <c r="L9" s="301">
        <v>3901</v>
      </c>
      <c r="M9" s="301">
        <v>270</v>
      </c>
      <c r="N9" s="301">
        <v>4021</v>
      </c>
      <c r="O9" s="242">
        <v>3915</v>
      </c>
      <c r="P9" s="242">
        <v>3536</v>
      </c>
      <c r="Q9" s="242">
        <v>3645</v>
      </c>
      <c r="R9" s="292">
        <v>365</v>
      </c>
      <c r="S9" s="301">
        <v>376</v>
      </c>
      <c r="T9" s="301">
        <v>2634</v>
      </c>
      <c r="U9" s="301">
        <v>1281</v>
      </c>
      <c r="V9" s="11"/>
    </row>
    <row r="10" spans="1:22" s="22" customFormat="1">
      <c r="B10" s="15">
        <v>3</v>
      </c>
      <c r="C10" s="249" t="s">
        <v>894</v>
      </c>
      <c r="D10" s="230">
        <v>1</v>
      </c>
      <c r="E10" s="250">
        <v>5200</v>
      </c>
      <c r="F10" s="230">
        <v>661</v>
      </c>
      <c r="G10" s="233">
        <v>40152</v>
      </c>
      <c r="H10" s="228" t="s">
        <v>368</v>
      </c>
      <c r="I10" s="300">
        <v>45630</v>
      </c>
      <c r="J10" s="301">
        <v>5479</v>
      </c>
      <c r="K10" s="301">
        <v>1578</v>
      </c>
      <c r="L10" s="301">
        <v>3901</v>
      </c>
      <c r="M10" s="301">
        <v>260</v>
      </c>
      <c r="N10" s="301">
        <v>3874</v>
      </c>
      <c r="O10" s="242">
        <v>3772</v>
      </c>
      <c r="P10" s="242">
        <v>3536</v>
      </c>
      <c r="Q10" s="242">
        <v>3512</v>
      </c>
      <c r="R10" s="292">
        <v>365</v>
      </c>
      <c r="S10" s="301">
        <v>363</v>
      </c>
      <c r="T10" s="301">
        <v>2543</v>
      </c>
      <c r="U10" s="301">
        <v>1229</v>
      </c>
      <c r="V10" s="11"/>
    </row>
    <row r="11" spans="1:22" s="22" customFormat="1" ht="40.5">
      <c r="B11" s="15">
        <v>4</v>
      </c>
      <c r="C11" s="249" t="s">
        <v>636</v>
      </c>
      <c r="D11" s="254" t="s">
        <v>637</v>
      </c>
      <c r="E11" s="250">
        <v>663575</v>
      </c>
      <c r="F11" s="230">
        <v>1260</v>
      </c>
      <c r="G11" s="233">
        <v>40297</v>
      </c>
      <c r="H11" s="228" t="s">
        <v>368</v>
      </c>
      <c r="I11" s="300">
        <v>45775</v>
      </c>
      <c r="J11" s="301">
        <v>5479</v>
      </c>
      <c r="K11" s="301">
        <v>1433</v>
      </c>
      <c r="L11" s="301">
        <v>4046</v>
      </c>
      <c r="M11" s="301">
        <v>33179</v>
      </c>
      <c r="N11" s="301">
        <v>506734</v>
      </c>
      <c r="O11" s="242">
        <v>494199</v>
      </c>
      <c r="P11" s="242">
        <v>3681</v>
      </c>
      <c r="Q11" s="242">
        <v>461020</v>
      </c>
      <c r="R11" s="292">
        <v>365</v>
      </c>
      <c r="S11" s="301">
        <v>45714</v>
      </c>
      <c r="T11" s="301">
        <v>320248</v>
      </c>
      <c r="U11" s="301">
        <v>173951</v>
      </c>
      <c r="V11" s="11"/>
    </row>
    <row r="12" spans="1:22" s="22" customFormat="1" ht="40.5">
      <c r="B12" s="15">
        <v>5</v>
      </c>
      <c r="C12" s="249" t="s">
        <v>295</v>
      </c>
      <c r="D12" s="254" t="s">
        <v>296</v>
      </c>
      <c r="E12" s="250">
        <v>31620</v>
      </c>
      <c r="F12" s="230" t="s">
        <v>297</v>
      </c>
      <c r="G12" s="233">
        <v>40324</v>
      </c>
      <c r="H12" s="228" t="s">
        <v>368</v>
      </c>
      <c r="I12" s="300">
        <v>45802</v>
      </c>
      <c r="J12" s="301">
        <v>5479</v>
      </c>
      <c r="K12" s="301">
        <v>1406</v>
      </c>
      <c r="L12" s="301">
        <v>4073</v>
      </c>
      <c r="M12" s="301">
        <v>1581</v>
      </c>
      <c r="N12" s="301">
        <v>24257</v>
      </c>
      <c r="O12" s="242">
        <v>23664</v>
      </c>
      <c r="P12" s="242">
        <v>3708</v>
      </c>
      <c r="Q12" s="242">
        <v>22083</v>
      </c>
      <c r="R12" s="292">
        <v>365</v>
      </c>
      <c r="S12" s="301">
        <v>2174</v>
      </c>
      <c r="T12" s="301">
        <v>15230</v>
      </c>
      <c r="U12" s="301">
        <v>8434</v>
      </c>
      <c r="V12" s="11"/>
    </row>
    <row r="13" spans="1:22" s="22" customFormat="1" ht="27">
      <c r="B13" s="15">
        <v>6</v>
      </c>
      <c r="C13" s="249" t="s">
        <v>298</v>
      </c>
      <c r="D13" s="230">
        <v>1</v>
      </c>
      <c r="E13" s="250">
        <f>1027208/2</f>
        <v>513604</v>
      </c>
      <c r="F13" s="230">
        <v>9027</v>
      </c>
      <c r="G13" s="233">
        <v>40291</v>
      </c>
      <c r="H13" s="228" t="s">
        <v>368</v>
      </c>
      <c r="I13" s="300">
        <v>45769</v>
      </c>
      <c r="J13" s="301">
        <v>5479</v>
      </c>
      <c r="K13" s="301">
        <v>1439</v>
      </c>
      <c r="L13" s="301">
        <v>4040</v>
      </c>
      <c r="M13" s="301">
        <v>25680</v>
      </c>
      <c r="N13" s="301">
        <v>391811</v>
      </c>
      <c r="O13" s="242">
        <v>382092</v>
      </c>
      <c r="P13" s="242">
        <v>3675</v>
      </c>
      <c r="Q13" s="242">
        <v>356412</v>
      </c>
      <c r="R13" s="292">
        <v>365</v>
      </c>
      <c r="S13" s="301">
        <v>35399</v>
      </c>
      <c r="T13" s="301">
        <v>247987</v>
      </c>
      <c r="U13" s="301">
        <v>134105</v>
      </c>
      <c r="V13" s="11"/>
    </row>
    <row r="14" spans="1:22" s="22" customFormat="1" ht="27">
      <c r="B14" s="15">
        <v>7</v>
      </c>
      <c r="C14" s="249" t="s">
        <v>298</v>
      </c>
      <c r="D14" s="230">
        <v>1</v>
      </c>
      <c r="E14" s="250">
        <f>1027208/2</f>
        <v>513604</v>
      </c>
      <c r="F14" s="230">
        <v>552</v>
      </c>
      <c r="G14" s="233">
        <v>40291</v>
      </c>
      <c r="H14" s="228" t="s">
        <v>368</v>
      </c>
      <c r="I14" s="300">
        <v>45769</v>
      </c>
      <c r="J14" s="301">
        <v>5479</v>
      </c>
      <c r="K14" s="301">
        <v>1439</v>
      </c>
      <c r="L14" s="301">
        <v>4040</v>
      </c>
      <c r="M14" s="301">
        <v>25680</v>
      </c>
      <c r="N14" s="301">
        <v>391811</v>
      </c>
      <c r="O14" s="242">
        <v>382092</v>
      </c>
      <c r="P14" s="242">
        <v>3675</v>
      </c>
      <c r="Q14" s="242">
        <v>356412</v>
      </c>
      <c r="R14" s="292">
        <v>365</v>
      </c>
      <c r="S14" s="301">
        <v>35399</v>
      </c>
      <c r="T14" s="301">
        <v>247987</v>
      </c>
      <c r="U14" s="301">
        <v>134105</v>
      </c>
      <c r="V14" s="11"/>
    </row>
    <row r="15" spans="1:22" s="22" customFormat="1" ht="27">
      <c r="B15" s="15">
        <v>8</v>
      </c>
      <c r="C15" s="249" t="s">
        <v>448</v>
      </c>
      <c r="D15" s="230">
        <v>2</v>
      </c>
      <c r="E15" s="250">
        <v>34680</v>
      </c>
      <c r="F15" s="230">
        <v>83313170</v>
      </c>
      <c r="G15" s="233">
        <v>40324</v>
      </c>
      <c r="H15" s="228" t="s">
        <v>368</v>
      </c>
      <c r="I15" s="300">
        <v>45802</v>
      </c>
      <c r="J15" s="301">
        <v>5479</v>
      </c>
      <c r="K15" s="301">
        <v>1406</v>
      </c>
      <c r="L15" s="301">
        <v>4073</v>
      </c>
      <c r="M15" s="301">
        <v>1734</v>
      </c>
      <c r="N15" s="301">
        <v>26606</v>
      </c>
      <c r="O15" s="242">
        <v>25956</v>
      </c>
      <c r="P15" s="242">
        <v>3708</v>
      </c>
      <c r="Q15" s="242">
        <v>24222</v>
      </c>
      <c r="R15" s="292">
        <v>365</v>
      </c>
      <c r="S15" s="301">
        <v>2384</v>
      </c>
      <c r="T15" s="301">
        <v>16702</v>
      </c>
      <c r="U15" s="301">
        <v>9254</v>
      </c>
      <c r="V15" s="11"/>
    </row>
    <row r="16" spans="1:22" s="22" customFormat="1" ht="27">
      <c r="B16" s="15">
        <v>9</v>
      </c>
      <c r="C16" s="249" t="s">
        <v>391</v>
      </c>
      <c r="D16" s="230">
        <v>2</v>
      </c>
      <c r="E16" s="250">
        <v>6528</v>
      </c>
      <c r="F16" s="254" t="s">
        <v>449</v>
      </c>
      <c r="G16" s="233">
        <v>40360</v>
      </c>
      <c r="H16" s="228" t="s">
        <v>368</v>
      </c>
      <c r="I16" s="301"/>
      <c r="J16" s="301"/>
      <c r="K16" s="301"/>
      <c r="L16" s="301"/>
      <c r="M16" s="301"/>
      <c r="N16" s="301"/>
      <c r="O16" s="242">
        <v>0</v>
      </c>
      <c r="P16" s="242"/>
      <c r="Q16" s="242"/>
      <c r="R16" s="292">
        <v>0</v>
      </c>
      <c r="S16" s="301">
        <v>0</v>
      </c>
      <c r="T16" s="301">
        <v>0</v>
      </c>
      <c r="U16" s="301">
        <v>0</v>
      </c>
      <c r="V16" s="11"/>
    </row>
    <row r="17" spans="2:22" s="22" customFormat="1" ht="27">
      <c r="B17" s="15">
        <v>10</v>
      </c>
      <c r="C17" s="249" t="s">
        <v>865</v>
      </c>
      <c r="D17" s="230">
        <v>1</v>
      </c>
      <c r="E17" s="250">
        <v>16320</v>
      </c>
      <c r="F17" s="254" t="s">
        <v>866</v>
      </c>
      <c r="G17" s="233">
        <v>40394</v>
      </c>
      <c r="H17" s="228" t="s">
        <v>368</v>
      </c>
      <c r="I17" s="300">
        <v>45872</v>
      </c>
      <c r="J17" s="301">
        <v>5479</v>
      </c>
      <c r="K17" s="301">
        <v>1336</v>
      </c>
      <c r="L17" s="301">
        <v>4143</v>
      </c>
      <c r="M17" s="301">
        <v>816</v>
      </c>
      <c r="N17" s="301">
        <v>12669</v>
      </c>
      <c r="O17" s="242">
        <v>12369</v>
      </c>
      <c r="P17" s="242">
        <v>3778</v>
      </c>
      <c r="Q17" s="242">
        <v>11553</v>
      </c>
      <c r="R17" s="292">
        <v>365</v>
      </c>
      <c r="S17" s="301">
        <v>1116</v>
      </c>
      <c r="T17" s="301">
        <v>7818</v>
      </c>
      <c r="U17" s="301">
        <v>4551</v>
      </c>
      <c r="V17" s="11"/>
    </row>
    <row r="18" spans="2:22" s="22" customFormat="1" ht="121.5">
      <c r="B18" s="15">
        <v>11</v>
      </c>
      <c r="C18" s="249" t="s">
        <v>819</v>
      </c>
      <c r="D18" s="230" t="s">
        <v>1100</v>
      </c>
      <c r="E18" s="250">
        <v>518284</v>
      </c>
      <c r="F18" s="254" t="s">
        <v>820</v>
      </c>
      <c r="G18" s="233">
        <v>40472</v>
      </c>
      <c r="H18" s="228" t="s">
        <v>368</v>
      </c>
      <c r="I18" s="300">
        <v>45950</v>
      </c>
      <c r="J18" s="301">
        <v>5479</v>
      </c>
      <c r="K18" s="301">
        <v>1258</v>
      </c>
      <c r="L18" s="301">
        <v>4221</v>
      </c>
      <c r="M18" s="301">
        <v>25914</v>
      </c>
      <c r="N18" s="301">
        <v>407590</v>
      </c>
      <c r="O18" s="242">
        <v>398259</v>
      </c>
      <c r="P18" s="242">
        <v>3856</v>
      </c>
      <c r="Q18" s="242">
        <v>372345</v>
      </c>
      <c r="R18" s="292">
        <v>365</v>
      </c>
      <c r="S18" s="301">
        <v>35245</v>
      </c>
      <c r="T18" s="301">
        <v>246909</v>
      </c>
      <c r="U18" s="301">
        <v>151350</v>
      </c>
      <c r="V18" s="11"/>
    </row>
    <row r="19" spans="2:22" s="22" customFormat="1">
      <c r="B19" s="15">
        <v>12</v>
      </c>
      <c r="C19" s="249" t="s">
        <v>1932</v>
      </c>
      <c r="D19" s="230">
        <v>1</v>
      </c>
      <c r="E19" s="250">
        <v>21775</v>
      </c>
      <c r="F19" s="254" t="s">
        <v>1933</v>
      </c>
      <c r="G19" s="233">
        <v>41199</v>
      </c>
      <c r="H19" s="228" t="s">
        <v>368</v>
      </c>
      <c r="I19" s="300">
        <v>46676</v>
      </c>
      <c r="J19" s="301">
        <v>5478</v>
      </c>
      <c r="K19" s="301">
        <v>531</v>
      </c>
      <c r="L19" s="301">
        <v>4947</v>
      </c>
      <c r="M19" s="301">
        <v>1089</v>
      </c>
      <c r="N19" s="301">
        <v>19182</v>
      </c>
      <c r="O19" s="242">
        <v>18856</v>
      </c>
      <c r="P19" s="242">
        <v>4582</v>
      </c>
      <c r="Q19" s="242">
        <v>17767</v>
      </c>
      <c r="R19" s="292">
        <v>365</v>
      </c>
      <c r="S19" s="301">
        <v>1415</v>
      </c>
      <c r="T19" s="301">
        <v>9913</v>
      </c>
      <c r="U19" s="301">
        <v>8943</v>
      </c>
      <c r="V19" s="11"/>
    </row>
    <row r="20" spans="2:22" s="22" customFormat="1" ht="27">
      <c r="B20" s="15">
        <v>13</v>
      </c>
      <c r="C20" s="249" t="s">
        <v>1934</v>
      </c>
      <c r="D20" s="230">
        <v>1</v>
      </c>
      <c r="E20" s="250">
        <f>702122+165089</f>
        <v>867211</v>
      </c>
      <c r="F20" s="254" t="s">
        <v>1935</v>
      </c>
      <c r="G20" s="233">
        <v>41219</v>
      </c>
      <c r="H20" s="228" t="s">
        <v>368</v>
      </c>
      <c r="I20" s="300">
        <v>46696</v>
      </c>
      <c r="J20" s="301">
        <v>5478</v>
      </c>
      <c r="K20" s="301">
        <v>511</v>
      </c>
      <c r="L20" s="301">
        <v>4967</v>
      </c>
      <c r="M20" s="301">
        <v>43361</v>
      </c>
      <c r="N20" s="301">
        <v>766180</v>
      </c>
      <c r="O20" s="242">
        <v>753238</v>
      </c>
      <c r="P20" s="242">
        <v>4602</v>
      </c>
      <c r="Q20" s="242">
        <v>709877</v>
      </c>
      <c r="R20" s="292">
        <v>365</v>
      </c>
      <c r="S20" s="301">
        <v>56303</v>
      </c>
      <c r="T20" s="301">
        <v>394429</v>
      </c>
      <c r="U20" s="301">
        <v>358809</v>
      </c>
      <c r="V20" s="11"/>
    </row>
    <row r="21" spans="2:22" s="22" customFormat="1" ht="27">
      <c r="B21" s="15">
        <v>14</v>
      </c>
      <c r="C21" s="249" t="s">
        <v>1936</v>
      </c>
      <c r="D21" s="230">
        <v>1</v>
      </c>
      <c r="E21" s="250">
        <v>13285</v>
      </c>
      <c r="F21" s="254" t="s">
        <v>1937</v>
      </c>
      <c r="G21" s="233">
        <v>41232</v>
      </c>
      <c r="H21" s="228" t="s">
        <v>368</v>
      </c>
      <c r="I21" s="300">
        <v>46709</v>
      </c>
      <c r="J21" s="301">
        <v>5478</v>
      </c>
      <c r="K21" s="301">
        <v>498</v>
      </c>
      <c r="L21" s="301">
        <v>4980</v>
      </c>
      <c r="M21" s="301">
        <v>664</v>
      </c>
      <c r="N21" s="301">
        <v>11760</v>
      </c>
      <c r="O21" s="242">
        <v>11562</v>
      </c>
      <c r="P21" s="242">
        <v>4615</v>
      </c>
      <c r="Q21" s="242">
        <v>10898</v>
      </c>
      <c r="R21" s="292">
        <v>365</v>
      </c>
      <c r="S21" s="301">
        <v>862</v>
      </c>
      <c r="T21" s="301">
        <v>6038</v>
      </c>
      <c r="U21" s="301">
        <v>5524</v>
      </c>
      <c r="V21" s="11"/>
    </row>
    <row r="22" spans="2:22" s="22" customFormat="1" ht="27">
      <c r="B22" s="15">
        <v>15</v>
      </c>
      <c r="C22" s="249" t="s">
        <v>3017</v>
      </c>
      <c r="D22" s="230">
        <v>2</v>
      </c>
      <c r="E22" s="250">
        <f>73454</f>
        <v>73454</v>
      </c>
      <c r="F22" s="275" t="s">
        <v>3018</v>
      </c>
      <c r="G22" s="233">
        <v>42418</v>
      </c>
      <c r="H22" s="228" t="s">
        <v>368</v>
      </c>
      <c r="I22" s="300">
        <v>47896</v>
      </c>
      <c r="J22" s="301">
        <v>5479</v>
      </c>
      <c r="K22" s="301">
        <v>0</v>
      </c>
      <c r="L22" s="301">
        <v>5479</v>
      </c>
      <c r="M22" s="301">
        <v>3673</v>
      </c>
      <c r="N22" s="301">
        <v>69781</v>
      </c>
      <c r="O22" s="242">
        <v>73454</v>
      </c>
      <c r="P22" s="242">
        <v>5479</v>
      </c>
      <c r="Q22" s="242">
        <v>69781</v>
      </c>
      <c r="R22" s="292">
        <v>365</v>
      </c>
      <c r="S22" s="301">
        <v>4649</v>
      </c>
      <c r="T22" s="301">
        <v>28454</v>
      </c>
      <c r="U22" s="301">
        <v>45000</v>
      </c>
      <c r="V22" s="11"/>
    </row>
    <row r="23" spans="2:22" s="22" customFormat="1" ht="14.25">
      <c r="B23" s="32" t="s">
        <v>1709</v>
      </c>
      <c r="C23" s="228"/>
      <c r="D23" s="230"/>
      <c r="E23" s="250"/>
      <c r="F23" s="230"/>
      <c r="G23" s="228"/>
      <c r="H23" s="228"/>
      <c r="I23" s="288"/>
      <c r="J23" s="288"/>
      <c r="K23" s="288"/>
      <c r="L23" s="288"/>
      <c r="M23" s="288"/>
      <c r="N23" s="288"/>
      <c r="O23" s="242">
        <v>0</v>
      </c>
      <c r="P23" s="228"/>
      <c r="Q23" s="272"/>
      <c r="R23" s="292"/>
      <c r="S23" s="301"/>
      <c r="T23" s="301"/>
      <c r="U23" s="288"/>
      <c r="V23" s="11"/>
    </row>
    <row r="24" spans="2:22" s="22" customFormat="1" ht="54">
      <c r="B24" s="15">
        <v>1</v>
      </c>
      <c r="C24" s="249" t="s">
        <v>1710</v>
      </c>
      <c r="D24" s="230">
        <v>1</v>
      </c>
      <c r="E24" s="250">
        <v>14471</v>
      </c>
      <c r="F24" s="254" t="s">
        <v>1711</v>
      </c>
      <c r="G24" s="233">
        <v>40954</v>
      </c>
      <c r="H24" s="228" t="s">
        <v>368</v>
      </c>
      <c r="I24" s="300">
        <v>46432</v>
      </c>
      <c r="J24" s="301">
        <v>5479</v>
      </c>
      <c r="K24" s="301">
        <v>776</v>
      </c>
      <c r="L24" s="301">
        <v>4703</v>
      </c>
      <c r="M24" s="301">
        <v>724</v>
      </c>
      <c r="N24" s="301">
        <v>12287</v>
      </c>
      <c r="O24" s="242">
        <v>12057</v>
      </c>
      <c r="P24" s="242">
        <v>4338</v>
      </c>
      <c r="Q24" s="242">
        <v>11333</v>
      </c>
      <c r="R24" s="292">
        <v>365</v>
      </c>
      <c r="S24" s="301">
        <v>954</v>
      </c>
      <c r="T24" s="301">
        <v>6682</v>
      </c>
      <c r="U24" s="301">
        <v>5375</v>
      </c>
      <c r="V24" s="11"/>
    </row>
    <row r="25" spans="2:22" s="22" customFormat="1" ht="27">
      <c r="B25" s="15">
        <v>2</v>
      </c>
      <c r="C25" s="249" t="s">
        <v>2230</v>
      </c>
      <c r="D25" s="230">
        <v>1</v>
      </c>
      <c r="E25" s="250">
        <v>22050</v>
      </c>
      <c r="F25" s="254" t="s">
        <v>2231</v>
      </c>
      <c r="G25" s="233">
        <v>41529</v>
      </c>
      <c r="H25" s="228" t="s">
        <v>368</v>
      </c>
      <c r="I25" s="300">
        <v>47007</v>
      </c>
      <c r="J25" s="301">
        <v>5479</v>
      </c>
      <c r="K25" s="301">
        <v>201</v>
      </c>
      <c r="L25" s="301">
        <v>5278</v>
      </c>
      <c r="M25" s="301">
        <v>1103</v>
      </c>
      <c r="N25" s="301">
        <v>20370</v>
      </c>
      <c r="O25" s="242">
        <v>20064</v>
      </c>
      <c r="P25" s="242">
        <v>4913</v>
      </c>
      <c r="Q25" s="242">
        <v>18962</v>
      </c>
      <c r="R25" s="292">
        <v>365</v>
      </c>
      <c r="S25" s="301">
        <v>1409</v>
      </c>
      <c r="T25" s="301">
        <v>9871</v>
      </c>
      <c r="U25" s="301">
        <v>10193</v>
      </c>
      <c r="V25" s="11"/>
    </row>
    <row r="26" spans="2:22" s="22" customFormat="1" ht="14.25">
      <c r="B26" s="6" t="s">
        <v>2815</v>
      </c>
      <c r="C26" s="249"/>
      <c r="D26" s="230"/>
      <c r="E26" s="250"/>
      <c r="F26" s="254"/>
      <c r="G26" s="233"/>
      <c r="H26" s="228"/>
      <c r="I26" s="300"/>
      <c r="J26" s="301"/>
      <c r="K26" s="301"/>
      <c r="L26" s="301"/>
      <c r="M26" s="301"/>
      <c r="N26" s="301"/>
      <c r="O26" s="242">
        <v>0</v>
      </c>
      <c r="P26" s="242"/>
      <c r="Q26" s="272"/>
      <c r="R26" s="292"/>
      <c r="S26" s="301"/>
      <c r="T26" s="301"/>
      <c r="U26" s="288"/>
      <c r="V26" s="11"/>
    </row>
    <row r="27" spans="2:22" s="22" customFormat="1" ht="27">
      <c r="B27" s="15">
        <v>1</v>
      </c>
      <c r="C27" s="249" t="s">
        <v>2816</v>
      </c>
      <c r="D27" s="230">
        <v>1</v>
      </c>
      <c r="E27" s="250">
        <v>101850</v>
      </c>
      <c r="F27" s="275" t="s">
        <v>2817</v>
      </c>
      <c r="G27" s="233">
        <v>42144</v>
      </c>
      <c r="H27" s="228" t="s">
        <v>368</v>
      </c>
      <c r="I27" s="300">
        <v>47622</v>
      </c>
      <c r="J27" s="301">
        <v>5479</v>
      </c>
      <c r="K27" s="301">
        <v>0</v>
      </c>
      <c r="L27" s="301">
        <v>5479</v>
      </c>
      <c r="M27" s="301">
        <v>5093</v>
      </c>
      <c r="N27" s="301">
        <v>96757</v>
      </c>
      <c r="O27" s="242">
        <v>101850</v>
      </c>
      <c r="P27" s="242">
        <v>5479</v>
      </c>
      <c r="Q27" s="242">
        <v>96758</v>
      </c>
      <c r="R27" s="292">
        <v>365</v>
      </c>
      <c r="S27" s="301">
        <v>6446</v>
      </c>
      <c r="T27" s="301">
        <v>44291</v>
      </c>
      <c r="U27" s="301">
        <v>57559</v>
      </c>
      <c r="V27" s="11"/>
    </row>
    <row r="28" spans="2:22" s="22" customFormat="1" ht="27">
      <c r="B28" s="15">
        <f>+B27+1</f>
        <v>2</v>
      </c>
      <c r="C28" s="249" t="s">
        <v>3007</v>
      </c>
      <c r="D28" s="230">
        <v>2</v>
      </c>
      <c r="E28" s="250">
        <v>57750</v>
      </c>
      <c r="F28" s="254" t="s">
        <v>3008</v>
      </c>
      <c r="G28" s="233">
        <v>42373</v>
      </c>
      <c r="H28" s="228" t="s">
        <v>368</v>
      </c>
      <c r="I28" s="300">
        <v>47851</v>
      </c>
      <c r="J28" s="301">
        <v>5479</v>
      </c>
      <c r="K28" s="301">
        <v>0</v>
      </c>
      <c r="L28" s="301">
        <v>5479</v>
      </c>
      <c r="M28" s="301">
        <v>2888</v>
      </c>
      <c r="N28" s="301">
        <v>54862</v>
      </c>
      <c r="O28" s="242">
        <v>57750</v>
      </c>
      <c r="P28" s="242">
        <v>5479</v>
      </c>
      <c r="Q28" s="242">
        <v>54863</v>
      </c>
      <c r="R28" s="292">
        <v>365</v>
      </c>
      <c r="S28" s="301">
        <v>3655</v>
      </c>
      <c r="T28" s="301">
        <v>22821</v>
      </c>
      <c r="U28" s="301">
        <v>34929</v>
      </c>
      <c r="V28" s="11"/>
    </row>
    <row r="29" spans="2:22" s="22" customFormat="1" ht="27">
      <c r="B29" s="15">
        <v>3</v>
      </c>
      <c r="C29" s="249" t="s">
        <v>4329</v>
      </c>
      <c r="D29" s="230">
        <v>2</v>
      </c>
      <c r="E29" s="250">
        <v>63130</v>
      </c>
      <c r="F29" s="275" t="s">
        <v>4330</v>
      </c>
      <c r="G29" s="233">
        <v>43461</v>
      </c>
      <c r="H29" s="228" t="s">
        <v>368</v>
      </c>
      <c r="I29" s="270">
        <v>48939</v>
      </c>
      <c r="J29" s="242">
        <v>5479</v>
      </c>
      <c r="K29" s="242">
        <v>0</v>
      </c>
      <c r="L29" s="242">
        <v>5479</v>
      </c>
      <c r="M29" s="242">
        <v>3157</v>
      </c>
      <c r="N29" s="242">
        <v>59973</v>
      </c>
      <c r="O29" s="250">
        <v>63130</v>
      </c>
      <c r="P29" s="242"/>
      <c r="Q29" s="242"/>
      <c r="R29" s="376">
        <v>365</v>
      </c>
      <c r="S29" s="250">
        <v>3995</v>
      </c>
      <c r="T29" s="242">
        <v>13036</v>
      </c>
      <c r="U29" s="242">
        <v>50094</v>
      </c>
      <c r="V29" s="11"/>
    </row>
    <row r="30" spans="2:22" s="22" customFormat="1" ht="27">
      <c r="B30" s="15">
        <v>4</v>
      </c>
      <c r="C30" s="249" t="s">
        <v>4539</v>
      </c>
      <c r="D30" s="230">
        <v>2</v>
      </c>
      <c r="E30" s="250">
        <f>(44426+7996)</f>
        <v>52422</v>
      </c>
      <c r="F30" s="275" t="s">
        <v>4541</v>
      </c>
      <c r="G30" s="233">
        <v>44202</v>
      </c>
      <c r="H30" s="228" t="s">
        <v>368</v>
      </c>
      <c r="I30" s="270">
        <v>49679</v>
      </c>
      <c r="J30" s="242">
        <v>5478</v>
      </c>
      <c r="K30" s="242">
        <v>0</v>
      </c>
      <c r="L30" s="242">
        <v>5478</v>
      </c>
      <c r="M30" s="242">
        <v>2621</v>
      </c>
      <c r="N30" s="242">
        <v>49801</v>
      </c>
      <c r="O30" s="250">
        <f>(44426+7996)</f>
        <v>52422</v>
      </c>
      <c r="P30" s="242"/>
      <c r="Q30" s="242"/>
      <c r="R30" s="376">
        <v>365</v>
      </c>
      <c r="S30" s="250">
        <v>3318</v>
      </c>
      <c r="T30" s="242">
        <v>4091</v>
      </c>
      <c r="U30" s="242">
        <v>48331</v>
      </c>
      <c r="V30" s="11"/>
    </row>
    <row r="31" spans="2:22" s="22" customFormat="1" ht="27">
      <c r="B31" s="15">
        <v>5</v>
      </c>
      <c r="C31" s="249" t="s">
        <v>4540</v>
      </c>
      <c r="D31" s="230">
        <v>1</v>
      </c>
      <c r="E31" s="250">
        <f>(35405+6373)</f>
        <v>41778</v>
      </c>
      <c r="F31" s="275" t="s">
        <v>4541</v>
      </c>
      <c r="G31" s="233">
        <v>44202</v>
      </c>
      <c r="H31" s="228" t="s">
        <v>368</v>
      </c>
      <c r="I31" s="270">
        <v>49679</v>
      </c>
      <c r="J31" s="242">
        <v>5478</v>
      </c>
      <c r="K31" s="242">
        <v>0</v>
      </c>
      <c r="L31" s="242">
        <v>5478</v>
      </c>
      <c r="M31" s="242">
        <v>2089</v>
      </c>
      <c r="N31" s="242">
        <v>39689</v>
      </c>
      <c r="O31" s="250">
        <f>(35405+6373)</f>
        <v>41778</v>
      </c>
      <c r="P31" s="242"/>
      <c r="Q31" s="242"/>
      <c r="R31" s="376">
        <v>365</v>
      </c>
      <c r="S31" s="250">
        <v>2644</v>
      </c>
      <c r="T31" s="242">
        <v>3260</v>
      </c>
      <c r="U31" s="242">
        <v>38518</v>
      </c>
      <c r="V31" s="11"/>
    </row>
    <row r="32" spans="2:22" s="22" customFormat="1" ht="27">
      <c r="B32" s="15">
        <v>6</v>
      </c>
      <c r="C32" s="249" t="s">
        <v>4329</v>
      </c>
      <c r="D32" s="230">
        <v>1</v>
      </c>
      <c r="E32" s="250">
        <v>27730</v>
      </c>
      <c r="F32" s="275" t="s">
        <v>4544</v>
      </c>
      <c r="G32" s="233">
        <v>44200</v>
      </c>
      <c r="H32" s="228" t="s">
        <v>368</v>
      </c>
      <c r="I32" s="270">
        <v>49677</v>
      </c>
      <c r="J32" s="242">
        <v>5478</v>
      </c>
      <c r="K32" s="242">
        <v>0</v>
      </c>
      <c r="L32" s="242">
        <v>5478</v>
      </c>
      <c r="M32" s="242">
        <v>1387</v>
      </c>
      <c r="N32" s="242">
        <v>26343</v>
      </c>
      <c r="O32" s="250">
        <v>27730</v>
      </c>
      <c r="P32" s="242"/>
      <c r="Q32" s="242"/>
      <c r="R32" s="376">
        <v>365</v>
      </c>
      <c r="S32" s="250">
        <v>1755</v>
      </c>
      <c r="T32" s="242">
        <v>2173</v>
      </c>
      <c r="U32" s="242">
        <v>25557</v>
      </c>
      <c r="V32" s="11"/>
    </row>
    <row r="33" spans="2:22" s="22" customFormat="1" ht="27">
      <c r="B33" s="15">
        <v>7</v>
      </c>
      <c r="C33" s="249" t="s">
        <v>4545</v>
      </c>
      <c r="D33" s="230">
        <v>1</v>
      </c>
      <c r="E33" s="250">
        <v>27730</v>
      </c>
      <c r="F33" s="254" t="s">
        <v>4546</v>
      </c>
      <c r="G33" s="233">
        <v>44235</v>
      </c>
      <c r="H33" s="228" t="s">
        <v>368</v>
      </c>
      <c r="I33" s="270">
        <v>49712</v>
      </c>
      <c r="J33" s="242">
        <v>5478</v>
      </c>
      <c r="K33" s="242">
        <v>0</v>
      </c>
      <c r="L33" s="242">
        <v>5478</v>
      </c>
      <c r="M33" s="242">
        <v>1387</v>
      </c>
      <c r="N33" s="242">
        <v>26343</v>
      </c>
      <c r="O33" s="250">
        <v>27730</v>
      </c>
      <c r="P33" s="242"/>
      <c r="Q33" s="242"/>
      <c r="R33" s="376">
        <v>365</v>
      </c>
      <c r="S33" s="250">
        <v>1755</v>
      </c>
      <c r="T33" s="242">
        <v>2005</v>
      </c>
      <c r="U33" s="242">
        <v>25725</v>
      </c>
      <c r="V33" s="11"/>
    </row>
    <row r="34" spans="2:22" s="22" customFormat="1" ht="27">
      <c r="B34" s="15">
        <v>8</v>
      </c>
      <c r="C34" s="249" t="s">
        <v>4555</v>
      </c>
      <c r="D34" s="230">
        <v>1</v>
      </c>
      <c r="E34" s="250">
        <f>55600+6672</f>
        <v>62272</v>
      </c>
      <c r="F34" s="254" t="s">
        <v>4554</v>
      </c>
      <c r="G34" s="233">
        <v>44172</v>
      </c>
      <c r="H34" s="228" t="s">
        <v>368</v>
      </c>
      <c r="I34" s="270">
        <v>49649</v>
      </c>
      <c r="J34" s="242">
        <v>5478</v>
      </c>
      <c r="K34" s="242">
        <v>0</v>
      </c>
      <c r="L34" s="242">
        <v>5478</v>
      </c>
      <c r="M34" s="242">
        <v>3114</v>
      </c>
      <c r="N34" s="242">
        <v>59158</v>
      </c>
      <c r="O34" s="250">
        <f>55600+6672</f>
        <v>62272</v>
      </c>
      <c r="P34" s="242"/>
      <c r="Q34" s="242"/>
      <c r="R34" s="376">
        <v>365</v>
      </c>
      <c r="S34" s="250">
        <v>3942</v>
      </c>
      <c r="T34" s="242">
        <v>5184</v>
      </c>
      <c r="U34" s="242">
        <v>57088</v>
      </c>
      <c r="V34" s="11"/>
    </row>
    <row r="35" spans="2:22" s="22" customFormat="1" ht="27">
      <c r="B35" s="15">
        <v>9</v>
      </c>
      <c r="C35" s="249" t="s">
        <v>4555</v>
      </c>
      <c r="D35" s="230">
        <v>1</v>
      </c>
      <c r="E35" s="250">
        <f>55600+3336+3336</f>
        <v>62272</v>
      </c>
      <c r="F35" s="254" t="s">
        <v>4573</v>
      </c>
      <c r="G35" s="233">
        <v>44296</v>
      </c>
      <c r="H35" s="228" t="s">
        <v>368</v>
      </c>
      <c r="I35" s="270">
        <v>49774</v>
      </c>
      <c r="J35" s="242">
        <v>5479</v>
      </c>
      <c r="K35" s="242">
        <v>0</v>
      </c>
      <c r="L35" s="242">
        <v>5479</v>
      </c>
      <c r="M35" s="242">
        <v>3114</v>
      </c>
      <c r="N35" s="242">
        <v>59158</v>
      </c>
      <c r="O35" s="250">
        <f>55600+3336+3336</f>
        <v>62272</v>
      </c>
      <c r="P35" s="242"/>
      <c r="Q35" s="242"/>
      <c r="R35" s="376">
        <v>356</v>
      </c>
      <c r="S35" s="400">
        <v>3844</v>
      </c>
      <c r="T35" s="242">
        <v>3844</v>
      </c>
      <c r="U35" s="242">
        <v>58428</v>
      </c>
      <c r="V35" s="11"/>
    </row>
    <row r="36" spans="2:22" s="22" customFormat="1" ht="40.5">
      <c r="B36" s="15">
        <v>10</v>
      </c>
      <c r="C36" s="249" t="s">
        <v>4572</v>
      </c>
      <c r="D36" s="230">
        <v>2</v>
      </c>
      <c r="E36" s="250">
        <f>47000+4230+4230</f>
        <v>55460</v>
      </c>
      <c r="F36" s="254" t="s">
        <v>4573</v>
      </c>
      <c r="G36" s="233">
        <v>44296</v>
      </c>
      <c r="H36" s="228" t="s">
        <v>368</v>
      </c>
      <c r="I36" s="270">
        <v>49774</v>
      </c>
      <c r="J36" s="242">
        <v>5479</v>
      </c>
      <c r="K36" s="242">
        <v>0</v>
      </c>
      <c r="L36" s="242">
        <v>5479</v>
      </c>
      <c r="M36" s="242">
        <v>2773</v>
      </c>
      <c r="N36" s="242">
        <v>52687</v>
      </c>
      <c r="O36" s="250">
        <f>47000+4230+4230</f>
        <v>55460</v>
      </c>
      <c r="P36" s="242"/>
      <c r="Q36" s="242"/>
      <c r="R36" s="376">
        <v>356</v>
      </c>
      <c r="S36" s="400">
        <v>3423</v>
      </c>
      <c r="T36" s="242">
        <v>3423</v>
      </c>
      <c r="U36" s="242">
        <v>52037</v>
      </c>
      <c r="V36" s="11"/>
    </row>
    <row r="37" spans="2:22" s="22" customFormat="1" ht="27">
      <c r="B37" s="15">
        <v>11</v>
      </c>
      <c r="C37" s="249" t="s">
        <v>4610</v>
      </c>
      <c r="D37" s="230">
        <v>1</v>
      </c>
      <c r="E37" s="250">
        <v>26211</v>
      </c>
      <c r="F37" s="254" t="s">
        <v>4611</v>
      </c>
      <c r="G37" s="233">
        <v>44445</v>
      </c>
      <c r="H37" s="228" t="s">
        <v>368</v>
      </c>
      <c r="I37" s="321">
        <v>49923</v>
      </c>
      <c r="J37" s="322">
        <v>5479</v>
      </c>
      <c r="K37" s="242">
        <v>0</v>
      </c>
      <c r="L37" s="242">
        <v>5479</v>
      </c>
      <c r="M37" s="242">
        <v>1311</v>
      </c>
      <c r="N37" s="242">
        <v>24900</v>
      </c>
      <c r="O37" s="250">
        <v>26211</v>
      </c>
      <c r="P37" s="242"/>
      <c r="Q37" s="242"/>
      <c r="R37" s="376">
        <v>207</v>
      </c>
      <c r="S37" s="400">
        <v>941</v>
      </c>
      <c r="T37" s="242">
        <v>941</v>
      </c>
      <c r="U37" s="242">
        <v>25270</v>
      </c>
      <c r="V37" s="11"/>
    </row>
    <row r="38" spans="2:22" s="22" customFormat="1" ht="27">
      <c r="B38" s="15">
        <v>12</v>
      </c>
      <c r="C38" s="249" t="s">
        <v>4614</v>
      </c>
      <c r="D38" s="230">
        <v>1</v>
      </c>
      <c r="E38" s="250">
        <v>55460</v>
      </c>
      <c r="F38" s="254" t="s">
        <v>4615</v>
      </c>
      <c r="G38" s="233">
        <v>44461</v>
      </c>
      <c r="H38" s="228" t="s">
        <v>368</v>
      </c>
      <c r="I38" s="321">
        <v>49939</v>
      </c>
      <c r="J38" s="322">
        <v>5479</v>
      </c>
      <c r="K38" s="242">
        <v>0</v>
      </c>
      <c r="L38" s="242">
        <v>5479</v>
      </c>
      <c r="M38" s="242">
        <v>2773</v>
      </c>
      <c r="N38" s="242">
        <v>52687</v>
      </c>
      <c r="O38" s="250">
        <v>55460</v>
      </c>
      <c r="P38" s="242"/>
      <c r="Q38" s="242"/>
      <c r="R38" s="376">
        <v>191</v>
      </c>
      <c r="S38" s="400">
        <v>1837</v>
      </c>
      <c r="T38" s="242">
        <v>1837</v>
      </c>
      <c r="U38" s="242">
        <v>53623</v>
      </c>
      <c r="V38" s="11"/>
    </row>
    <row r="39" spans="2:22" s="22" customFormat="1">
      <c r="B39" s="15"/>
      <c r="C39" s="249"/>
      <c r="D39" s="230"/>
      <c r="E39" s="250"/>
      <c r="F39" s="254"/>
      <c r="G39" s="233"/>
      <c r="H39" s="228"/>
      <c r="I39" s="300"/>
      <c r="J39" s="301"/>
      <c r="K39" s="301"/>
      <c r="L39" s="301"/>
      <c r="M39" s="301"/>
      <c r="N39" s="301"/>
      <c r="O39" s="242">
        <v>0</v>
      </c>
      <c r="P39" s="242"/>
      <c r="Q39" s="272"/>
      <c r="R39" s="292"/>
      <c r="S39" s="301"/>
      <c r="T39" s="301"/>
      <c r="U39" s="288"/>
      <c r="V39" s="11"/>
    </row>
    <row r="40" spans="2:22" s="22" customFormat="1" ht="14.25">
      <c r="B40" s="6" t="s">
        <v>3912</v>
      </c>
      <c r="C40" s="249"/>
      <c r="D40" s="230"/>
      <c r="E40" s="250"/>
      <c r="F40" s="254"/>
      <c r="G40" s="233"/>
      <c r="H40" s="228"/>
      <c r="I40" s="300"/>
      <c r="J40" s="301"/>
      <c r="K40" s="301"/>
      <c r="L40" s="301"/>
      <c r="M40" s="301"/>
      <c r="N40" s="301"/>
      <c r="O40" s="242">
        <v>0</v>
      </c>
      <c r="P40" s="242"/>
      <c r="Q40" s="272"/>
      <c r="R40" s="292"/>
      <c r="S40" s="301"/>
      <c r="T40" s="301"/>
      <c r="U40" s="288"/>
      <c r="V40" s="11"/>
    </row>
    <row r="41" spans="2:22" s="22" customFormat="1">
      <c r="B41" s="15">
        <v>1</v>
      </c>
      <c r="C41" s="249" t="s">
        <v>3913</v>
      </c>
      <c r="D41" s="230">
        <v>1</v>
      </c>
      <c r="E41" s="250">
        <v>9450</v>
      </c>
      <c r="F41" s="254" t="s">
        <v>3914</v>
      </c>
      <c r="G41" s="233">
        <v>42677</v>
      </c>
      <c r="H41" s="228" t="s">
        <v>368</v>
      </c>
      <c r="I41" s="300">
        <v>46328</v>
      </c>
      <c r="J41" s="301">
        <v>3652</v>
      </c>
      <c r="K41" s="301">
        <v>0</v>
      </c>
      <c r="L41" s="301">
        <v>3652</v>
      </c>
      <c r="M41" s="301">
        <v>473</v>
      </c>
      <c r="N41" s="301">
        <v>8977</v>
      </c>
      <c r="O41" s="242">
        <v>9450</v>
      </c>
      <c r="P41" s="242">
        <v>3652</v>
      </c>
      <c r="Q41" s="242">
        <v>8978</v>
      </c>
      <c r="R41" s="292">
        <v>365</v>
      </c>
      <c r="S41" s="301">
        <v>897</v>
      </c>
      <c r="T41" s="301">
        <v>4854</v>
      </c>
      <c r="U41" s="301">
        <v>4596</v>
      </c>
      <c r="V41" s="11"/>
    </row>
    <row r="42" spans="2:22" s="22" customFormat="1">
      <c r="B42" s="15"/>
      <c r="C42" s="249"/>
      <c r="D42" s="230"/>
      <c r="E42" s="250"/>
      <c r="F42" s="254"/>
      <c r="G42" s="233"/>
      <c r="H42" s="228"/>
      <c r="I42" s="300"/>
      <c r="J42" s="301"/>
      <c r="K42" s="301"/>
      <c r="L42" s="301"/>
      <c r="M42" s="301"/>
      <c r="N42" s="301"/>
      <c r="O42" s="242">
        <v>0</v>
      </c>
      <c r="P42" s="242"/>
      <c r="Q42" s="272"/>
      <c r="R42" s="288"/>
      <c r="S42" s="288"/>
      <c r="T42" s="288"/>
      <c r="U42" s="288"/>
    </row>
    <row r="43" spans="2:22" s="22" customFormat="1">
      <c r="B43" s="15"/>
      <c r="C43" s="23"/>
      <c r="D43" s="15"/>
      <c r="E43" s="24"/>
      <c r="F43" s="37"/>
      <c r="G43" s="7"/>
      <c r="H43" s="25"/>
      <c r="I43" s="196"/>
      <c r="J43" s="201"/>
      <c r="K43" s="201"/>
      <c r="L43" s="201"/>
      <c r="M43" s="201"/>
      <c r="N43" s="201"/>
      <c r="O43" s="72"/>
      <c r="P43" s="72"/>
      <c r="Q43" s="70"/>
      <c r="R43" s="59"/>
      <c r="S43" s="59"/>
      <c r="T43" s="59"/>
      <c r="U43" s="59"/>
    </row>
    <row r="44" spans="2:22" s="22" customFormat="1">
      <c r="B44" s="15"/>
      <c r="C44" s="23"/>
      <c r="D44" s="15"/>
      <c r="E44" s="24"/>
      <c r="F44" s="37"/>
      <c r="G44" s="7"/>
      <c r="H44" s="25"/>
      <c r="I44" s="323"/>
      <c r="J44" s="324"/>
      <c r="K44" s="324"/>
      <c r="L44" s="324"/>
      <c r="M44" s="324"/>
      <c r="N44" s="324"/>
      <c r="O44" s="182"/>
      <c r="P44" s="182"/>
      <c r="Q44" s="194"/>
      <c r="R44" s="59"/>
      <c r="S44" s="59"/>
      <c r="T44" s="59"/>
      <c r="U44" s="59"/>
    </row>
    <row r="45" spans="2:22" ht="15" thickBot="1">
      <c r="B45" s="168"/>
      <c r="C45" s="222" t="s">
        <v>627</v>
      </c>
      <c r="D45" s="257"/>
      <c r="E45" s="140">
        <f>SUM(E8:E44)</f>
        <v>3987914</v>
      </c>
      <c r="F45" s="257"/>
      <c r="G45" s="168"/>
      <c r="H45" s="221"/>
      <c r="I45" s="168"/>
      <c r="J45" s="168"/>
      <c r="K45" s="168"/>
      <c r="L45" s="168"/>
      <c r="M45" s="168"/>
      <c r="N45" s="168"/>
      <c r="O45" s="325">
        <f>SUM(O6:O44)</f>
        <v>3275150.4429452056</v>
      </c>
      <c r="P45" s="325"/>
      <c r="Q45" s="325">
        <f>SUM(Q8:Q44)</f>
        <v>2625341</v>
      </c>
      <c r="R45" s="326"/>
      <c r="S45" s="325">
        <f>SUM(S8:S44)</f>
        <v>263878</v>
      </c>
      <c r="T45" s="325">
        <f>SUM(T8:T44)</f>
        <v>1686861</v>
      </c>
      <c r="U45" s="325">
        <f>SUM(U8:U44)</f>
        <v>1588289.4429452056</v>
      </c>
    </row>
    <row r="46" spans="2:22" ht="14.25" thickTop="1">
      <c r="E46" s="3">
        <f>3513449+474465-E45</f>
        <v>0</v>
      </c>
      <c r="O46" s="16">
        <f>2800685.44294521+474465-O45</f>
        <v>4.1909515857696533E-9</v>
      </c>
      <c r="S46" s="4">
        <f>236424+27454-S45</f>
        <v>0</v>
      </c>
      <c r="T46" s="4">
        <f>1647067+39794-T45</f>
        <v>0</v>
      </c>
      <c r="U46" s="4">
        <f>1153618.44294521+434671-U45</f>
        <v>4.4237822294235229E-9</v>
      </c>
    </row>
    <row r="63" spans="5:5" ht="14.25">
      <c r="E63" s="10"/>
    </row>
    <row r="64" spans="5:5" ht="14.25">
      <c r="E64" s="10"/>
    </row>
  </sheetData>
  <autoFilter ref="A5:Q45"/>
  <mergeCells count="2">
    <mergeCell ref="R3:U3"/>
    <mergeCell ref="R4:U4"/>
  </mergeCells>
  <phoneticPr fontId="43" type="noConversion"/>
  <printOptions horizontalCentered="1"/>
  <pageMargins left="0" right="0" top="0.25" bottom="0" header="0.5" footer="0.5"/>
  <pageSetup paperSize="9" scale="8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00"/>
  <sheetViews>
    <sheetView zoomScaleNormal="100" workbookViewId="0">
      <pane xSplit="2" ySplit="5" topLeftCell="C26" activePane="bottomRight" state="frozen"/>
      <selection pane="topRight" activeCell="F1" sqref="F1"/>
      <selection pane="bottomLeft" activeCell="A7" sqref="A7"/>
      <selection pane="bottomRight" activeCell="E30" sqref="E30"/>
    </sheetView>
  </sheetViews>
  <sheetFormatPr defaultColWidth="9" defaultRowHeight="13.5"/>
  <cols>
    <col min="1" max="1" width="1.75" style="5" customWidth="1"/>
    <col min="2" max="2" width="5.25" style="5" customWidth="1"/>
    <col min="3" max="3" width="32.375" style="20" customWidth="1"/>
    <col min="4" max="4" width="5.125" style="9" customWidth="1"/>
    <col min="5" max="5" width="9.625" style="4" customWidth="1"/>
    <col min="6" max="6" width="10.125" style="29" customWidth="1"/>
    <col min="7" max="7" width="8.25" style="5" customWidth="1"/>
    <col min="8" max="8" width="10.875" style="20" customWidth="1"/>
    <col min="9" max="9" width="8.25" style="5" customWidth="1"/>
    <col min="10" max="11" width="7.5" style="5" customWidth="1"/>
    <col min="12" max="12" width="6.625" style="5" customWidth="1"/>
    <col min="13" max="13" width="7.875" style="5" customWidth="1"/>
    <col min="14" max="14" width="8.375" style="5" customWidth="1"/>
    <col min="15" max="15" width="11.375" style="5" customWidth="1"/>
    <col min="16" max="16" width="7.25" style="5" customWidth="1"/>
    <col min="17" max="17" width="9" style="5" customWidth="1"/>
    <col min="18" max="18" width="5.5" style="5" customWidth="1"/>
    <col min="19" max="16384" width="9" style="5"/>
  </cols>
  <sheetData>
    <row r="1" spans="1:21">
      <c r="A1" s="12"/>
      <c r="B1" s="12"/>
      <c r="C1" s="219"/>
      <c r="D1" s="220"/>
      <c r="E1" s="3"/>
      <c r="F1" s="181"/>
      <c r="G1" s="12"/>
      <c r="H1" s="219"/>
    </row>
    <row r="2" spans="1:21" ht="14.25">
      <c r="B2" s="19" t="s">
        <v>436</v>
      </c>
      <c r="I2" s="111"/>
      <c r="J2" s="263"/>
      <c r="M2" s="113"/>
    </row>
    <row r="3" spans="1:21" ht="14.25">
      <c r="R3" s="611">
        <v>44651</v>
      </c>
      <c r="S3" s="612"/>
      <c r="T3" s="612"/>
      <c r="U3" s="612"/>
    </row>
    <row r="4" spans="1:21" ht="14.25">
      <c r="B4" s="19" t="s">
        <v>4648</v>
      </c>
      <c r="R4" s="621" t="s">
        <v>4569</v>
      </c>
      <c r="S4" s="621"/>
      <c r="T4" s="621"/>
      <c r="U4" s="621"/>
    </row>
    <row r="5" spans="1:21" ht="34.5" customHeight="1">
      <c r="B5" s="82" t="s">
        <v>56</v>
      </c>
      <c r="C5" s="82" t="s">
        <v>397</v>
      </c>
      <c r="D5" s="82" t="s">
        <v>398</v>
      </c>
      <c r="E5" s="84" t="s">
        <v>2623</v>
      </c>
      <c r="F5" s="82" t="s">
        <v>400</v>
      </c>
      <c r="G5" s="82" t="s">
        <v>401</v>
      </c>
      <c r="H5" s="82" t="s">
        <v>402</v>
      </c>
      <c r="I5" s="190" t="s">
        <v>2471</v>
      </c>
      <c r="J5" s="190" t="s">
        <v>2470</v>
      </c>
      <c r="K5" s="190" t="s">
        <v>2468</v>
      </c>
      <c r="L5" s="190" t="s">
        <v>2469</v>
      </c>
      <c r="M5" s="190" t="s">
        <v>2473</v>
      </c>
      <c r="N5" s="190" t="s">
        <v>2500</v>
      </c>
      <c r="O5" s="191" t="s">
        <v>4050</v>
      </c>
      <c r="P5" s="192" t="s">
        <v>3883</v>
      </c>
      <c r="Q5" s="192" t="s">
        <v>3024</v>
      </c>
      <c r="R5" s="183" t="s">
        <v>403</v>
      </c>
      <c r="S5" s="184" t="s">
        <v>405</v>
      </c>
      <c r="T5" s="184" t="s">
        <v>3886</v>
      </c>
      <c r="U5" s="184" t="s">
        <v>404</v>
      </c>
    </row>
    <row r="6" spans="1:21" s="22" customFormat="1" ht="14.25">
      <c r="B6" s="32" t="s">
        <v>486</v>
      </c>
      <c r="C6" s="25"/>
      <c r="D6" s="15"/>
      <c r="E6" s="72"/>
      <c r="F6" s="15"/>
      <c r="G6" s="25"/>
      <c r="H6" s="25"/>
      <c r="I6" s="57"/>
      <c r="J6" s="57"/>
      <c r="K6" s="57"/>
      <c r="L6" s="57"/>
      <c r="M6" s="57"/>
      <c r="N6" s="57"/>
      <c r="O6" s="57"/>
      <c r="P6" s="57"/>
      <c r="Q6" s="57"/>
      <c r="R6" s="57"/>
      <c r="S6" s="57"/>
      <c r="T6" s="57"/>
      <c r="U6" s="57"/>
    </row>
    <row r="7" spans="1:21" s="22" customFormat="1" ht="14.25">
      <c r="B7" s="6" t="s">
        <v>487</v>
      </c>
      <c r="C7" s="38"/>
      <c r="D7" s="15"/>
      <c r="E7" s="35"/>
      <c r="F7" s="15"/>
      <c r="G7" s="7"/>
      <c r="H7" s="25"/>
      <c r="I7" s="72"/>
      <c r="J7" s="25"/>
      <c r="K7" s="25"/>
      <c r="L7" s="25"/>
      <c r="M7" s="25"/>
      <c r="N7" s="25"/>
      <c r="O7" s="25"/>
      <c r="P7" s="25"/>
      <c r="Q7" s="72"/>
      <c r="R7" s="25"/>
      <c r="S7" s="25"/>
      <c r="T7" s="25"/>
      <c r="U7" s="25"/>
    </row>
    <row r="8" spans="1:21" s="22" customFormat="1" ht="27">
      <c r="B8" s="37">
        <v>1</v>
      </c>
      <c r="C8" s="249" t="s">
        <v>488</v>
      </c>
      <c r="D8" s="254">
        <v>5</v>
      </c>
      <c r="E8" s="250">
        <f>ROUND(57538.68/6*5,0)</f>
        <v>47949</v>
      </c>
      <c r="F8" s="254" t="s">
        <v>489</v>
      </c>
      <c r="G8" s="233">
        <v>39955</v>
      </c>
      <c r="H8" s="228" t="s">
        <v>368</v>
      </c>
      <c r="I8" s="335">
        <v>43606</v>
      </c>
      <c r="J8" s="336">
        <v>3652</v>
      </c>
      <c r="K8" s="336">
        <v>1775</v>
      </c>
      <c r="L8" s="336">
        <v>1877</v>
      </c>
      <c r="M8" s="336">
        <v>2397</v>
      </c>
      <c r="N8" s="336">
        <v>30800</v>
      </c>
      <c r="O8" s="336">
        <v>27208</v>
      </c>
      <c r="P8" s="336">
        <v>1512</v>
      </c>
      <c r="Q8" s="336">
        <v>24811</v>
      </c>
      <c r="R8" s="337">
        <v>0</v>
      </c>
      <c r="S8" s="336">
        <v>0</v>
      </c>
      <c r="T8" s="336">
        <v>27208</v>
      </c>
      <c r="U8" s="336">
        <v>0</v>
      </c>
    </row>
    <row r="9" spans="1:21" s="22" customFormat="1" ht="27">
      <c r="B9" s="37">
        <v>2</v>
      </c>
      <c r="C9" s="249" t="s">
        <v>488</v>
      </c>
      <c r="D9" s="254">
        <v>1</v>
      </c>
      <c r="E9" s="250">
        <f>ROUND(57538.68/6,0)</f>
        <v>9590</v>
      </c>
      <c r="F9" s="254" t="s">
        <v>489</v>
      </c>
      <c r="G9" s="233">
        <v>39955</v>
      </c>
      <c r="H9" s="228" t="s">
        <v>160</v>
      </c>
      <c r="I9" s="270">
        <v>43606</v>
      </c>
      <c r="J9" s="242">
        <v>3652</v>
      </c>
      <c r="K9" s="242">
        <v>1775</v>
      </c>
      <c r="L9" s="242">
        <v>1877</v>
      </c>
      <c r="M9" s="242">
        <v>480</v>
      </c>
      <c r="N9" s="242">
        <v>6158</v>
      </c>
      <c r="O9" s="242">
        <v>5441</v>
      </c>
      <c r="P9" s="242">
        <v>1512</v>
      </c>
      <c r="Q9" s="242">
        <v>4962</v>
      </c>
      <c r="R9" s="337">
        <v>0</v>
      </c>
      <c r="S9" s="336">
        <v>0</v>
      </c>
      <c r="T9" s="336">
        <v>5441</v>
      </c>
      <c r="U9" s="336">
        <v>0</v>
      </c>
    </row>
    <row r="10" spans="1:21" s="22" customFormat="1" ht="27">
      <c r="B10" s="37">
        <v>2</v>
      </c>
      <c r="C10" s="249" t="s">
        <v>490</v>
      </c>
      <c r="D10" s="254">
        <v>5</v>
      </c>
      <c r="E10" s="250">
        <f>ROUND(42317.52/6*5,0)</f>
        <v>35265</v>
      </c>
      <c r="F10" s="254" t="s">
        <v>489</v>
      </c>
      <c r="G10" s="233">
        <v>39955</v>
      </c>
      <c r="H10" s="228" t="s">
        <v>368</v>
      </c>
      <c r="I10" s="270">
        <v>43606</v>
      </c>
      <c r="J10" s="242">
        <v>3652</v>
      </c>
      <c r="K10" s="242">
        <v>1775</v>
      </c>
      <c r="L10" s="242">
        <v>1877</v>
      </c>
      <c r="M10" s="242">
        <v>1763</v>
      </c>
      <c r="N10" s="242">
        <v>22652</v>
      </c>
      <c r="O10" s="242">
        <v>20010</v>
      </c>
      <c r="P10" s="242">
        <v>1512</v>
      </c>
      <c r="Q10" s="242">
        <v>18247</v>
      </c>
      <c r="R10" s="337">
        <v>0</v>
      </c>
      <c r="S10" s="336">
        <v>0</v>
      </c>
      <c r="T10" s="336">
        <v>20010</v>
      </c>
      <c r="U10" s="336">
        <v>0</v>
      </c>
    </row>
    <row r="11" spans="1:21" s="22" customFormat="1" ht="27">
      <c r="B11" s="37">
        <v>4</v>
      </c>
      <c r="C11" s="249" t="s">
        <v>490</v>
      </c>
      <c r="D11" s="254">
        <v>1</v>
      </c>
      <c r="E11" s="250">
        <f>ROUND(42317/6,)</f>
        <v>7053</v>
      </c>
      <c r="F11" s="254" t="s">
        <v>489</v>
      </c>
      <c r="G11" s="233">
        <v>39955</v>
      </c>
      <c r="H11" s="228" t="s">
        <v>160</v>
      </c>
      <c r="I11" s="270">
        <v>43606</v>
      </c>
      <c r="J11" s="242">
        <v>3652</v>
      </c>
      <c r="K11" s="242">
        <v>1775</v>
      </c>
      <c r="L11" s="242">
        <v>1877</v>
      </c>
      <c r="M11" s="242">
        <v>353</v>
      </c>
      <c r="N11" s="242">
        <v>4530</v>
      </c>
      <c r="O11" s="242">
        <v>4002</v>
      </c>
      <c r="P11" s="242">
        <v>1512</v>
      </c>
      <c r="Q11" s="242">
        <v>3649</v>
      </c>
      <c r="R11" s="337">
        <v>0</v>
      </c>
      <c r="S11" s="336">
        <v>0</v>
      </c>
      <c r="T11" s="336">
        <v>4002</v>
      </c>
      <c r="U11" s="336">
        <v>0</v>
      </c>
    </row>
    <row r="12" spans="1:21" s="22" customFormat="1" ht="27">
      <c r="B12" s="37">
        <v>5</v>
      </c>
      <c r="C12" s="249" t="s">
        <v>240</v>
      </c>
      <c r="D12" s="254">
        <v>12</v>
      </c>
      <c r="E12" s="250">
        <f>+ROUND(63558.36,0)</f>
        <v>63558</v>
      </c>
      <c r="F12" s="254" t="s">
        <v>489</v>
      </c>
      <c r="G12" s="233">
        <v>39955</v>
      </c>
      <c r="H12" s="228" t="s">
        <v>368</v>
      </c>
      <c r="I12" s="270">
        <v>43606</v>
      </c>
      <c r="J12" s="242">
        <v>3652</v>
      </c>
      <c r="K12" s="242">
        <v>1775</v>
      </c>
      <c r="L12" s="242">
        <v>1877</v>
      </c>
      <c r="M12" s="242">
        <v>3178</v>
      </c>
      <c r="N12" s="242">
        <v>40828</v>
      </c>
      <c r="O12" s="242">
        <v>36067</v>
      </c>
      <c r="P12" s="242">
        <v>1512</v>
      </c>
      <c r="Q12" s="242">
        <v>32889</v>
      </c>
      <c r="R12" s="337">
        <v>0</v>
      </c>
      <c r="S12" s="336">
        <v>0</v>
      </c>
      <c r="T12" s="336">
        <v>36067</v>
      </c>
      <c r="U12" s="336">
        <v>0</v>
      </c>
    </row>
    <row r="13" spans="1:21" s="22" customFormat="1" ht="27">
      <c r="B13" s="37">
        <v>6</v>
      </c>
      <c r="C13" s="249" t="s">
        <v>488</v>
      </c>
      <c r="D13" s="254">
        <v>10</v>
      </c>
      <c r="E13" s="250">
        <v>95898</v>
      </c>
      <c r="F13" s="254" t="s">
        <v>241</v>
      </c>
      <c r="G13" s="233">
        <v>39955</v>
      </c>
      <c r="H13" s="228" t="s">
        <v>368</v>
      </c>
      <c r="I13" s="270">
        <v>43606</v>
      </c>
      <c r="J13" s="242">
        <v>3652</v>
      </c>
      <c r="K13" s="242">
        <v>1775</v>
      </c>
      <c r="L13" s="242">
        <v>1877</v>
      </c>
      <c r="M13" s="242">
        <v>4795</v>
      </c>
      <c r="N13" s="242">
        <v>61601</v>
      </c>
      <c r="O13" s="242">
        <v>54417</v>
      </c>
      <c r="P13" s="242">
        <v>1512</v>
      </c>
      <c r="Q13" s="242">
        <v>49622</v>
      </c>
      <c r="R13" s="337">
        <v>0</v>
      </c>
      <c r="S13" s="336">
        <v>0</v>
      </c>
      <c r="T13" s="336">
        <v>54417</v>
      </c>
      <c r="U13" s="336">
        <v>0</v>
      </c>
    </row>
    <row r="14" spans="1:21" s="22" customFormat="1" ht="27">
      <c r="B14" s="37">
        <v>7</v>
      </c>
      <c r="C14" s="249" t="s">
        <v>490</v>
      </c>
      <c r="D14" s="254">
        <v>10</v>
      </c>
      <c r="E14" s="250">
        <v>70529</v>
      </c>
      <c r="F14" s="254" t="s">
        <v>241</v>
      </c>
      <c r="G14" s="233">
        <v>39955</v>
      </c>
      <c r="H14" s="228" t="s">
        <v>368</v>
      </c>
      <c r="I14" s="270">
        <v>43606</v>
      </c>
      <c r="J14" s="242">
        <v>3652</v>
      </c>
      <c r="K14" s="242">
        <v>1775</v>
      </c>
      <c r="L14" s="242">
        <v>1877</v>
      </c>
      <c r="M14" s="242">
        <v>3526</v>
      </c>
      <c r="N14" s="242">
        <v>45307</v>
      </c>
      <c r="O14" s="242">
        <v>40023</v>
      </c>
      <c r="P14" s="242">
        <v>1512</v>
      </c>
      <c r="Q14" s="242">
        <v>36497</v>
      </c>
      <c r="R14" s="337">
        <v>0</v>
      </c>
      <c r="S14" s="336">
        <v>0</v>
      </c>
      <c r="T14" s="336">
        <v>40023</v>
      </c>
      <c r="U14" s="336">
        <v>0</v>
      </c>
    </row>
    <row r="15" spans="1:21" s="22" customFormat="1" ht="27">
      <c r="B15" s="37">
        <v>8</v>
      </c>
      <c r="C15" s="249" t="s">
        <v>240</v>
      </c>
      <c r="D15" s="254">
        <v>23</v>
      </c>
      <c r="E15" s="250">
        <v>121820</v>
      </c>
      <c r="F15" s="254" t="s">
        <v>241</v>
      </c>
      <c r="G15" s="233">
        <v>39955</v>
      </c>
      <c r="H15" s="228" t="s">
        <v>368</v>
      </c>
      <c r="I15" s="270">
        <v>43606</v>
      </c>
      <c r="J15" s="242">
        <v>3652</v>
      </c>
      <c r="K15" s="242">
        <v>1775</v>
      </c>
      <c r="L15" s="242">
        <v>1877</v>
      </c>
      <c r="M15" s="242">
        <v>6091</v>
      </c>
      <c r="N15" s="242">
        <v>78251</v>
      </c>
      <c r="O15" s="242">
        <v>69125</v>
      </c>
      <c r="P15" s="242">
        <v>1512</v>
      </c>
      <c r="Q15" s="242">
        <v>63034</v>
      </c>
      <c r="R15" s="337">
        <v>0</v>
      </c>
      <c r="S15" s="336">
        <v>0</v>
      </c>
      <c r="T15" s="336">
        <v>69125</v>
      </c>
      <c r="U15" s="336">
        <v>0</v>
      </c>
    </row>
    <row r="16" spans="1:21" s="22" customFormat="1">
      <c r="B16" s="37">
        <v>9</v>
      </c>
      <c r="C16" s="249" t="s">
        <v>5</v>
      </c>
      <c r="D16" s="254">
        <v>1</v>
      </c>
      <c r="E16" s="250">
        <v>1496</v>
      </c>
      <c r="F16" s="254">
        <v>481</v>
      </c>
      <c r="G16" s="233">
        <v>40068</v>
      </c>
      <c r="H16" s="228" t="s">
        <v>160</v>
      </c>
      <c r="I16" s="270">
        <v>43719</v>
      </c>
      <c r="J16" s="242">
        <v>3652</v>
      </c>
      <c r="K16" s="242">
        <v>1662</v>
      </c>
      <c r="L16" s="242">
        <v>1990</v>
      </c>
      <c r="M16" s="242">
        <v>0</v>
      </c>
      <c r="N16" s="242">
        <v>0</v>
      </c>
      <c r="O16" s="242">
        <v>0</v>
      </c>
      <c r="P16" s="242">
        <v>1990</v>
      </c>
      <c r="Q16" s="242">
        <v>-75</v>
      </c>
      <c r="R16" s="337">
        <v>0</v>
      </c>
      <c r="S16" s="336">
        <v>0</v>
      </c>
      <c r="T16" s="336">
        <v>0</v>
      </c>
      <c r="U16" s="336">
        <v>0</v>
      </c>
    </row>
    <row r="17" spans="2:21" s="22" customFormat="1" ht="27">
      <c r="B17" s="37">
        <v>10</v>
      </c>
      <c r="C17" s="249" t="s">
        <v>665</v>
      </c>
      <c r="D17" s="254">
        <v>1</v>
      </c>
      <c r="E17" s="250">
        <v>2250</v>
      </c>
      <c r="F17" s="254" t="s">
        <v>239</v>
      </c>
      <c r="G17" s="233">
        <v>40333</v>
      </c>
      <c r="H17" s="228" t="s">
        <v>160</v>
      </c>
      <c r="I17" s="270">
        <v>0</v>
      </c>
      <c r="J17" s="242">
        <v>0</v>
      </c>
      <c r="K17" s="242">
        <v>0</v>
      </c>
      <c r="L17" s="242">
        <v>0</v>
      </c>
      <c r="M17" s="242">
        <v>0</v>
      </c>
      <c r="N17" s="242">
        <v>0</v>
      </c>
      <c r="O17" s="242">
        <v>0</v>
      </c>
      <c r="P17" s="242">
        <v>0</v>
      </c>
      <c r="Q17" s="242">
        <v>-113</v>
      </c>
      <c r="R17" s="337">
        <v>0</v>
      </c>
      <c r="S17" s="336">
        <v>0</v>
      </c>
      <c r="T17" s="336">
        <v>0</v>
      </c>
      <c r="U17" s="336">
        <v>0</v>
      </c>
    </row>
    <row r="18" spans="2:21" s="22" customFormat="1" ht="27">
      <c r="B18" s="37">
        <v>11</v>
      </c>
      <c r="C18" s="249" t="s">
        <v>273</v>
      </c>
      <c r="D18" s="254" t="s">
        <v>272</v>
      </c>
      <c r="E18" s="250">
        <v>12000</v>
      </c>
      <c r="F18" s="254" t="s">
        <v>725</v>
      </c>
      <c r="G18" s="233">
        <v>40406</v>
      </c>
      <c r="H18" s="228" t="s">
        <v>368</v>
      </c>
      <c r="I18" s="270">
        <v>44058</v>
      </c>
      <c r="J18" s="242">
        <v>3653</v>
      </c>
      <c r="K18" s="242">
        <v>1324</v>
      </c>
      <c r="L18" s="242">
        <v>2329</v>
      </c>
      <c r="M18" s="242">
        <v>600</v>
      </c>
      <c r="N18" s="242">
        <v>8646</v>
      </c>
      <c r="O18" s="242">
        <v>7891</v>
      </c>
      <c r="P18" s="242">
        <v>1964</v>
      </c>
      <c r="Q18" s="242">
        <v>7291</v>
      </c>
      <c r="R18" s="337">
        <v>0</v>
      </c>
      <c r="S18" s="336">
        <v>0</v>
      </c>
      <c r="T18" s="336">
        <v>7891</v>
      </c>
      <c r="U18" s="336">
        <v>0</v>
      </c>
    </row>
    <row r="19" spans="2:21" s="22" customFormat="1" ht="67.5">
      <c r="B19" s="37">
        <v>12</v>
      </c>
      <c r="C19" s="249" t="s">
        <v>768</v>
      </c>
      <c r="D19" s="254" t="s">
        <v>314</v>
      </c>
      <c r="E19" s="250">
        <v>60966</v>
      </c>
      <c r="F19" s="254" t="s">
        <v>413</v>
      </c>
      <c r="G19" s="233">
        <v>40686</v>
      </c>
      <c r="H19" s="228" t="s">
        <v>895</v>
      </c>
      <c r="I19" s="270">
        <v>44338</v>
      </c>
      <c r="J19" s="242">
        <v>3653</v>
      </c>
      <c r="K19" s="242">
        <v>1044</v>
      </c>
      <c r="L19" s="242">
        <v>2609</v>
      </c>
      <c r="M19" s="242">
        <v>3048</v>
      </c>
      <c r="N19" s="242">
        <v>46899</v>
      </c>
      <c r="O19" s="242">
        <v>43386</v>
      </c>
      <c r="P19" s="242">
        <v>2244</v>
      </c>
      <c r="Q19" s="242">
        <v>40338</v>
      </c>
      <c r="R19" s="337">
        <v>52</v>
      </c>
      <c r="S19" s="336">
        <v>3984</v>
      </c>
      <c r="T19" s="336">
        <v>43386</v>
      </c>
      <c r="U19" s="336"/>
    </row>
    <row r="20" spans="2:21" s="22" customFormat="1" ht="67.5">
      <c r="B20" s="37">
        <v>13</v>
      </c>
      <c r="C20" s="249" t="s">
        <v>768</v>
      </c>
      <c r="D20" s="254" t="s">
        <v>314</v>
      </c>
      <c r="E20" s="250">
        <v>-60966</v>
      </c>
      <c r="F20" s="254" t="s">
        <v>413</v>
      </c>
      <c r="G20" s="233">
        <v>40686</v>
      </c>
      <c r="H20" s="228" t="s">
        <v>895</v>
      </c>
      <c r="I20" s="270">
        <v>44338</v>
      </c>
      <c r="J20" s="242">
        <v>3653</v>
      </c>
      <c r="K20" s="242">
        <v>1044</v>
      </c>
      <c r="L20" s="242">
        <v>2609</v>
      </c>
      <c r="M20" s="242">
        <v>0</v>
      </c>
      <c r="N20" s="242">
        <v>0</v>
      </c>
      <c r="O20" s="242">
        <v>-43386</v>
      </c>
      <c r="P20" s="242"/>
      <c r="Q20" s="242"/>
      <c r="R20" s="337">
        <v>0</v>
      </c>
      <c r="S20" s="336">
        <v>0</v>
      </c>
      <c r="T20" s="336">
        <v>-43386</v>
      </c>
      <c r="U20" s="336"/>
    </row>
    <row r="21" spans="2:21" s="22" customFormat="1" ht="54">
      <c r="B21" s="37">
        <v>14</v>
      </c>
      <c r="C21" s="249" t="s">
        <v>1797</v>
      </c>
      <c r="D21" s="254">
        <v>1</v>
      </c>
      <c r="E21" s="250">
        <f>ROUND(38615.33*105%,)</f>
        <v>40546</v>
      </c>
      <c r="F21" s="254" t="s">
        <v>1798</v>
      </c>
      <c r="G21" s="233">
        <v>40924</v>
      </c>
      <c r="H21" s="228" t="s">
        <v>119</v>
      </c>
      <c r="I21" s="270">
        <v>44576</v>
      </c>
      <c r="J21" s="242">
        <v>3653</v>
      </c>
      <c r="K21" s="242">
        <v>806</v>
      </c>
      <c r="L21" s="242">
        <v>2847</v>
      </c>
      <c r="M21" s="242">
        <v>2027</v>
      </c>
      <c r="N21" s="242">
        <v>32852</v>
      </c>
      <c r="O21" s="242">
        <v>30667</v>
      </c>
      <c r="P21" s="242">
        <v>2482</v>
      </c>
      <c r="Q21" s="242">
        <v>28640</v>
      </c>
      <c r="R21" s="337">
        <v>290</v>
      </c>
      <c r="S21" s="336">
        <v>5373</v>
      </c>
      <c r="T21" s="336">
        <v>30667</v>
      </c>
      <c r="U21" s="336">
        <v>0</v>
      </c>
    </row>
    <row r="22" spans="2:21" s="22" customFormat="1" ht="54">
      <c r="B22" s="37">
        <v>15</v>
      </c>
      <c r="C22" s="249" t="s">
        <v>1799</v>
      </c>
      <c r="D22" s="254">
        <v>2</v>
      </c>
      <c r="E22" s="250">
        <f>ROUND(46726.18*105%,)</f>
        <v>49062</v>
      </c>
      <c r="F22" s="254" t="s">
        <v>1798</v>
      </c>
      <c r="G22" s="233">
        <v>40924</v>
      </c>
      <c r="H22" s="228" t="s">
        <v>119</v>
      </c>
      <c r="I22" s="270">
        <v>44576</v>
      </c>
      <c r="J22" s="242">
        <v>3653</v>
      </c>
      <c r="K22" s="242">
        <v>806</v>
      </c>
      <c r="L22" s="242">
        <v>2847</v>
      </c>
      <c r="M22" s="242">
        <v>2453</v>
      </c>
      <c r="N22" s="242">
        <v>39752</v>
      </c>
      <c r="O22" s="242">
        <v>37109</v>
      </c>
      <c r="P22" s="242">
        <v>2482</v>
      </c>
      <c r="Q22" s="242">
        <v>34656</v>
      </c>
      <c r="R22" s="337">
        <v>290</v>
      </c>
      <c r="S22" s="336">
        <v>6505</v>
      </c>
      <c r="T22" s="336">
        <v>37109</v>
      </c>
      <c r="U22" s="336">
        <v>0</v>
      </c>
    </row>
    <row r="23" spans="2:21" s="22" customFormat="1" ht="54">
      <c r="B23" s="37">
        <v>16</v>
      </c>
      <c r="C23" s="249" t="s">
        <v>1800</v>
      </c>
      <c r="D23" s="254">
        <v>5</v>
      </c>
      <c r="E23" s="250">
        <f>ROUND(126164.22*105%,)</f>
        <v>132472</v>
      </c>
      <c r="F23" s="254" t="s">
        <v>1798</v>
      </c>
      <c r="G23" s="233">
        <v>40924</v>
      </c>
      <c r="H23" s="228" t="s">
        <v>119</v>
      </c>
      <c r="I23" s="270">
        <v>44576</v>
      </c>
      <c r="J23" s="242">
        <v>3653</v>
      </c>
      <c r="K23" s="242">
        <v>806</v>
      </c>
      <c r="L23" s="242">
        <v>2847</v>
      </c>
      <c r="M23" s="242">
        <v>6624</v>
      </c>
      <c r="N23" s="242">
        <v>107337</v>
      </c>
      <c r="O23" s="242">
        <v>100200</v>
      </c>
      <c r="P23" s="242">
        <v>2482</v>
      </c>
      <c r="Q23" s="242">
        <v>93576</v>
      </c>
      <c r="R23" s="337">
        <v>290</v>
      </c>
      <c r="S23" s="336">
        <v>17558</v>
      </c>
      <c r="T23" s="336">
        <v>100200</v>
      </c>
      <c r="U23" s="336">
        <v>0</v>
      </c>
    </row>
    <row r="24" spans="2:21" s="22" customFormat="1" ht="54">
      <c r="B24" s="37">
        <v>17</v>
      </c>
      <c r="C24" s="249" t="s">
        <v>1801</v>
      </c>
      <c r="D24" s="254">
        <v>6</v>
      </c>
      <c r="E24" s="250">
        <f>ROUND(124467.26*105%,)</f>
        <v>130691</v>
      </c>
      <c r="F24" s="254" t="s">
        <v>1798</v>
      </c>
      <c r="G24" s="233">
        <v>40924</v>
      </c>
      <c r="H24" s="228" t="s">
        <v>119</v>
      </c>
      <c r="I24" s="270">
        <v>44576</v>
      </c>
      <c r="J24" s="242">
        <v>3653</v>
      </c>
      <c r="K24" s="242">
        <v>806</v>
      </c>
      <c r="L24" s="242">
        <v>2847</v>
      </c>
      <c r="M24" s="242">
        <v>6535</v>
      </c>
      <c r="N24" s="242">
        <v>105892</v>
      </c>
      <c r="O24" s="242">
        <v>98851</v>
      </c>
      <c r="P24" s="242">
        <v>2482</v>
      </c>
      <c r="Q24" s="242">
        <v>92316</v>
      </c>
      <c r="R24" s="337">
        <v>290</v>
      </c>
      <c r="S24" s="336">
        <v>17321</v>
      </c>
      <c r="T24" s="336">
        <v>98851</v>
      </c>
      <c r="U24" s="336">
        <v>0</v>
      </c>
    </row>
    <row r="25" spans="2:21" s="22" customFormat="1" ht="54">
      <c r="B25" s="37">
        <v>18</v>
      </c>
      <c r="C25" s="249" t="s">
        <v>1799</v>
      </c>
      <c r="D25" s="254">
        <v>2</v>
      </c>
      <c r="E25" s="250">
        <f>ROUND(42054.44*105%,)</f>
        <v>44157</v>
      </c>
      <c r="F25" s="254" t="s">
        <v>1798</v>
      </c>
      <c r="G25" s="233">
        <v>40924</v>
      </c>
      <c r="H25" s="228" t="s">
        <v>119</v>
      </c>
      <c r="I25" s="270">
        <v>44576</v>
      </c>
      <c r="J25" s="242">
        <v>3653</v>
      </c>
      <c r="K25" s="242">
        <v>806</v>
      </c>
      <c r="L25" s="242">
        <v>2847</v>
      </c>
      <c r="M25" s="242">
        <v>2208</v>
      </c>
      <c r="N25" s="242">
        <v>35779</v>
      </c>
      <c r="O25" s="242">
        <v>33400</v>
      </c>
      <c r="P25" s="242">
        <v>2482</v>
      </c>
      <c r="Q25" s="242">
        <v>31192</v>
      </c>
      <c r="R25" s="337">
        <v>290</v>
      </c>
      <c r="S25" s="336">
        <v>5852</v>
      </c>
      <c r="T25" s="336">
        <v>33400</v>
      </c>
      <c r="U25" s="336">
        <v>0</v>
      </c>
    </row>
    <row r="26" spans="2:21" s="22" customFormat="1" ht="54">
      <c r="B26" s="37">
        <v>19</v>
      </c>
      <c r="C26" s="249" t="s">
        <v>1800</v>
      </c>
      <c r="D26" s="254">
        <v>3</v>
      </c>
      <c r="E26" s="250">
        <f>ROUND(75698.53*105%,)</f>
        <v>79483</v>
      </c>
      <c r="F26" s="254" t="s">
        <v>1798</v>
      </c>
      <c r="G26" s="233">
        <v>40924</v>
      </c>
      <c r="H26" s="228" t="s">
        <v>119</v>
      </c>
      <c r="I26" s="270">
        <v>44576</v>
      </c>
      <c r="J26" s="242">
        <v>3653</v>
      </c>
      <c r="K26" s="242">
        <v>806</v>
      </c>
      <c r="L26" s="242">
        <v>2847</v>
      </c>
      <c r="M26" s="242">
        <v>3974</v>
      </c>
      <c r="N26" s="242">
        <v>64402</v>
      </c>
      <c r="O26" s="242">
        <v>60119</v>
      </c>
      <c r="P26" s="242">
        <v>2482</v>
      </c>
      <c r="Q26" s="242">
        <v>56145</v>
      </c>
      <c r="R26" s="337">
        <v>290</v>
      </c>
      <c r="S26" s="336">
        <v>10533</v>
      </c>
      <c r="T26" s="336">
        <v>60119</v>
      </c>
      <c r="U26" s="336">
        <v>0</v>
      </c>
    </row>
    <row r="27" spans="2:21" s="22" customFormat="1" ht="54">
      <c r="B27" s="37">
        <v>20</v>
      </c>
      <c r="C27" s="249" t="s">
        <v>1802</v>
      </c>
      <c r="D27" s="254">
        <v>4</v>
      </c>
      <c r="E27" s="250">
        <f>ROUND(97957.49*105%,)</f>
        <v>102855</v>
      </c>
      <c r="F27" s="254" t="s">
        <v>1798</v>
      </c>
      <c r="G27" s="233">
        <v>40924</v>
      </c>
      <c r="H27" s="228" t="s">
        <v>119</v>
      </c>
      <c r="I27" s="270">
        <v>44576</v>
      </c>
      <c r="J27" s="242">
        <v>3653</v>
      </c>
      <c r="K27" s="242">
        <v>806</v>
      </c>
      <c r="L27" s="242">
        <v>2847</v>
      </c>
      <c r="M27" s="242">
        <v>5143</v>
      </c>
      <c r="N27" s="242">
        <v>83338</v>
      </c>
      <c r="O27" s="242">
        <v>77797</v>
      </c>
      <c r="P27" s="242">
        <v>2482</v>
      </c>
      <c r="Q27" s="242">
        <v>72654</v>
      </c>
      <c r="R27" s="337">
        <v>290</v>
      </c>
      <c r="S27" s="336">
        <v>13633</v>
      </c>
      <c r="T27" s="336">
        <v>77797</v>
      </c>
      <c r="U27" s="336">
        <v>0</v>
      </c>
    </row>
    <row r="28" spans="2:21" s="22" customFormat="1" ht="54">
      <c r="B28" s="37">
        <v>21</v>
      </c>
      <c r="C28" s="249" t="s">
        <v>1801</v>
      </c>
      <c r="D28" s="254">
        <v>4</v>
      </c>
      <c r="E28" s="250">
        <f>ROUND(82978.17*105%,)</f>
        <v>87127</v>
      </c>
      <c r="F28" s="254" t="s">
        <v>1798</v>
      </c>
      <c r="G28" s="233">
        <v>40924</v>
      </c>
      <c r="H28" s="228" t="s">
        <v>119</v>
      </c>
      <c r="I28" s="270">
        <v>44576</v>
      </c>
      <c r="J28" s="242">
        <v>3653</v>
      </c>
      <c r="K28" s="242">
        <v>806</v>
      </c>
      <c r="L28" s="242">
        <v>2847</v>
      </c>
      <c r="M28" s="242">
        <v>4356</v>
      </c>
      <c r="N28" s="242">
        <v>70596</v>
      </c>
      <c r="O28" s="242">
        <v>65901</v>
      </c>
      <c r="P28" s="242">
        <v>2482</v>
      </c>
      <c r="Q28" s="242">
        <v>61545</v>
      </c>
      <c r="R28" s="337">
        <v>290</v>
      </c>
      <c r="S28" s="336">
        <v>11545</v>
      </c>
      <c r="T28" s="336">
        <v>65901</v>
      </c>
      <c r="U28" s="336">
        <v>0</v>
      </c>
    </row>
    <row r="29" spans="2:21" s="22" customFormat="1" ht="54">
      <c r="B29" s="37">
        <v>22</v>
      </c>
      <c r="C29" s="249" t="s">
        <v>1801</v>
      </c>
      <c r="D29" s="254">
        <v>1</v>
      </c>
      <c r="E29" s="250">
        <f>ROUND(18925.3*105%,)</f>
        <v>19872</v>
      </c>
      <c r="F29" s="254" t="s">
        <v>1798</v>
      </c>
      <c r="G29" s="233">
        <v>40924</v>
      </c>
      <c r="H29" s="228" t="s">
        <v>119</v>
      </c>
      <c r="I29" s="270">
        <v>44576</v>
      </c>
      <c r="J29" s="242">
        <v>3653</v>
      </c>
      <c r="K29" s="242">
        <v>806</v>
      </c>
      <c r="L29" s="242">
        <v>2847</v>
      </c>
      <c r="M29" s="242">
        <v>994</v>
      </c>
      <c r="N29" s="242">
        <v>16101</v>
      </c>
      <c r="O29" s="242">
        <v>15031</v>
      </c>
      <c r="P29" s="242">
        <v>2482</v>
      </c>
      <c r="Q29" s="242">
        <v>14037</v>
      </c>
      <c r="R29" s="337">
        <v>290</v>
      </c>
      <c r="S29" s="336">
        <v>2635</v>
      </c>
      <c r="T29" s="336">
        <v>15031</v>
      </c>
      <c r="U29" s="336">
        <v>0</v>
      </c>
    </row>
    <row r="30" spans="2:21" s="22" customFormat="1" ht="54">
      <c r="B30" s="37">
        <v>23</v>
      </c>
      <c r="C30" s="249" t="s">
        <v>1803</v>
      </c>
      <c r="D30" s="254">
        <v>5</v>
      </c>
      <c r="E30" s="250">
        <f>ROUND(148248*105%,)</f>
        <v>155660</v>
      </c>
      <c r="F30" s="254" t="s">
        <v>1798</v>
      </c>
      <c r="G30" s="233">
        <v>40924</v>
      </c>
      <c r="H30" s="228" t="s">
        <v>119</v>
      </c>
      <c r="I30" s="270">
        <v>44576</v>
      </c>
      <c r="J30" s="242">
        <v>3653</v>
      </c>
      <c r="K30" s="242">
        <v>806</v>
      </c>
      <c r="L30" s="242">
        <v>2847</v>
      </c>
      <c r="M30" s="242">
        <v>7783</v>
      </c>
      <c r="N30" s="242">
        <v>126125</v>
      </c>
      <c r="O30" s="242">
        <v>117738</v>
      </c>
      <c r="P30" s="242">
        <v>2482</v>
      </c>
      <c r="Q30" s="242">
        <v>109955</v>
      </c>
      <c r="R30" s="337">
        <v>290</v>
      </c>
      <c r="S30" s="336">
        <v>20630</v>
      </c>
      <c r="T30" s="336">
        <v>117738</v>
      </c>
      <c r="U30" s="336">
        <v>0</v>
      </c>
    </row>
    <row r="31" spans="2:21" s="22" customFormat="1" ht="54">
      <c r="B31" s="37">
        <v>24</v>
      </c>
      <c r="C31" s="249" t="s">
        <v>1803</v>
      </c>
      <c r="D31" s="254">
        <v>5</v>
      </c>
      <c r="E31" s="250">
        <f>ROUND(99499*105%,)</f>
        <v>104474</v>
      </c>
      <c r="F31" s="254" t="s">
        <v>1798</v>
      </c>
      <c r="G31" s="233">
        <v>40924</v>
      </c>
      <c r="H31" s="228" t="s">
        <v>119</v>
      </c>
      <c r="I31" s="270">
        <v>44576</v>
      </c>
      <c r="J31" s="242">
        <v>3653</v>
      </c>
      <c r="K31" s="242">
        <v>806</v>
      </c>
      <c r="L31" s="242">
        <v>2847</v>
      </c>
      <c r="M31" s="242">
        <v>5224</v>
      </c>
      <c r="N31" s="242">
        <v>84651</v>
      </c>
      <c r="O31" s="242">
        <v>79022</v>
      </c>
      <c r="P31" s="242">
        <v>2482</v>
      </c>
      <c r="Q31" s="242">
        <v>73798</v>
      </c>
      <c r="R31" s="337">
        <v>290</v>
      </c>
      <c r="S31" s="336">
        <v>13846</v>
      </c>
      <c r="T31" s="336">
        <v>79022</v>
      </c>
      <c r="U31" s="336">
        <v>0</v>
      </c>
    </row>
    <row r="32" spans="2:21" s="22" customFormat="1" ht="54">
      <c r="B32" s="37">
        <v>25</v>
      </c>
      <c r="C32" s="249" t="s">
        <v>1804</v>
      </c>
      <c r="D32" s="254">
        <v>1</v>
      </c>
      <c r="E32" s="250">
        <f>ROUND(18999*105%,)</f>
        <v>19949</v>
      </c>
      <c r="F32" s="254" t="s">
        <v>1798</v>
      </c>
      <c r="G32" s="233">
        <v>40924</v>
      </c>
      <c r="H32" s="228" t="s">
        <v>119</v>
      </c>
      <c r="I32" s="270">
        <v>44576</v>
      </c>
      <c r="J32" s="242">
        <v>3653</v>
      </c>
      <c r="K32" s="242">
        <v>806</v>
      </c>
      <c r="L32" s="242">
        <v>2847</v>
      </c>
      <c r="M32" s="242">
        <v>997</v>
      </c>
      <c r="N32" s="242">
        <v>16164</v>
      </c>
      <c r="O32" s="242">
        <v>15089</v>
      </c>
      <c r="P32" s="242">
        <v>2482</v>
      </c>
      <c r="Q32" s="242">
        <v>14092</v>
      </c>
      <c r="R32" s="337">
        <v>290</v>
      </c>
      <c r="S32" s="336">
        <v>2645</v>
      </c>
      <c r="T32" s="336">
        <v>15089</v>
      </c>
      <c r="U32" s="336">
        <v>0</v>
      </c>
    </row>
    <row r="33" spans="2:21" s="22" customFormat="1" ht="54">
      <c r="B33" s="37">
        <v>26</v>
      </c>
      <c r="C33" s="249" t="s">
        <v>1805</v>
      </c>
      <c r="D33" s="254">
        <v>3</v>
      </c>
      <c r="E33" s="250">
        <f>ROUND(30812*105%,)</f>
        <v>32353</v>
      </c>
      <c r="F33" s="254" t="s">
        <v>1798</v>
      </c>
      <c r="G33" s="233">
        <v>40924</v>
      </c>
      <c r="H33" s="228" t="s">
        <v>119</v>
      </c>
      <c r="I33" s="270">
        <v>44576</v>
      </c>
      <c r="J33" s="242">
        <v>3653</v>
      </c>
      <c r="K33" s="242">
        <v>806</v>
      </c>
      <c r="L33" s="242">
        <v>2847</v>
      </c>
      <c r="M33" s="242">
        <v>1618</v>
      </c>
      <c r="N33" s="242">
        <v>26214</v>
      </c>
      <c r="O33" s="242">
        <v>24471</v>
      </c>
      <c r="P33" s="242">
        <v>2482</v>
      </c>
      <c r="Q33" s="242">
        <v>22853</v>
      </c>
      <c r="R33" s="337">
        <v>290</v>
      </c>
      <c r="S33" s="336">
        <v>4287</v>
      </c>
      <c r="T33" s="336">
        <v>24471</v>
      </c>
      <c r="U33" s="336">
        <v>0</v>
      </c>
    </row>
    <row r="34" spans="2:21" s="22" customFormat="1" ht="54">
      <c r="B34" s="37">
        <v>27</v>
      </c>
      <c r="C34" s="249" t="s">
        <v>1806</v>
      </c>
      <c r="D34" s="254">
        <v>5</v>
      </c>
      <c r="E34" s="250">
        <f>ROUND(47902*105%,)+1</f>
        <v>50298</v>
      </c>
      <c r="F34" s="254" t="s">
        <v>1798</v>
      </c>
      <c r="G34" s="233">
        <v>40924</v>
      </c>
      <c r="H34" s="228" t="s">
        <v>119</v>
      </c>
      <c r="I34" s="270">
        <v>44576</v>
      </c>
      <c r="J34" s="242">
        <v>3653</v>
      </c>
      <c r="K34" s="242">
        <v>806</v>
      </c>
      <c r="L34" s="242">
        <v>2847</v>
      </c>
      <c r="M34" s="242">
        <v>2515</v>
      </c>
      <c r="N34" s="242">
        <v>40753</v>
      </c>
      <c r="O34" s="242">
        <v>38043</v>
      </c>
      <c r="P34" s="242">
        <v>2482</v>
      </c>
      <c r="Q34" s="242">
        <v>35528</v>
      </c>
      <c r="R34" s="337">
        <v>290</v>
      </c>
      <c r="S34" s="336">
        <v>6665</v>
      </c>
      <c r="T34" s="336">
        <v>38043</v>
      </c>
      <c r="U34" s="336">
        <v>0</v>
      </c>
    </row>
    <row r="35" spans="2:21" s="22" customFormat="1" ht="54">
      <c r="B35" s="37">
        <v>28</v>
      </c>
      <c r="C35" s="249" t="s">
        <v>1807</v>
      </c>
      <c r="D35" s="254">
        <v>5</v>
      </c>
      <c r="E35" s="250">
        <f>ROUND(43674*105%,)</f>
        <v>45858</v>
      </c>
      <c r="F35" s="254" t="s">
        <v>1798</v>
      </c>
      <c r="G35" s="233">
        <v>40924</v>
      </c>
      <c r="H35" s="228" t="s">
        <v>119</v>
      </c>
      <c r="I35" s="270">
        <v>44576</v>
      </c>
      <c r="J35" s="242">
        <v>3653</v>
      </c>
      <c r="K35" s="242">
        <v>806</v>
      </c>
      <c r="L35" s="242">
        <v>2847</v>
      </c>
      <c r="M35" s="242">
        <v>2293</v>
      </c>
      <c r="N35" s="242">
        <v>37156</v>
      </c>
      <c r="O35" s="242">
        <v>34685</v>
      </c>
      <c r="P35" s="242">
        <v>2482</v>
      </c>
      <c r="Q35" s="242">
        <v>32392</v>
      </c>
      <c r="R35" s="337">
        <v>290</v>
      </c>
      <c r="S35" s="336">
        <v>6075</v>
      </c>
      <c r="T35" s="336">
        <v>34685</v>
      </c>
      <c r="U35" s="336">
        <v>0</v>
      </c>
    </row>
    <row r="36" spans="2:21" s="22" customFormat="1" ht="54">
      <c r="B36" s="37">
        <v>29</v>
      </c>
      <c r="C36" s="249" t="s">
        <v>1808</v>
      </c>
      <c r="D36" s="254">
        <v>10</v>
      </c>
      <c r="E36" s="250">
        <f>ROUND(69565*105%,)</f>
        <v>73043</v>
      </c>
      <c r="F36" s="254" t="s">
        <v>1798</v>
      </c>
      <c r="G36" s="233">
        <v>40924</v>
      </c>
      <c r="H36" s="228" t="s">
        <v>119</v>
      </c>
      <c r="I36" s="270">
        <v>44576</v>
      </c>
      <c r="J36" s="242">
        <v>3653</v>
      </c>
      <c r="K36" s="242">
        <v>806</v>
      </c>
      <c r="L36" s="242">
        <v>2847</v>
      </c>
      <c r="M36" s="242">
        <v>3652</v>
      </c>
      <c r="N36" s="242">
        <v>59183</v>
      </c>
      <c r="O36" s="242">
        <v>55247</v>
      </c>
      <c r="P36" s="242">
        <v>2482</v>
      </c>
      <c r="Q36" s="242">
        <v>51595</v>
      </c>
      <c r="R36" s="337">
        <v>290</v>
      </c>
      <c r="S36" s="336">
        <v>9679</v>
      </c>
      <c r="T36" s="336">
        <v>55247</v>
      </c>
      <c r="U36" s="336">
        <v>0</v>
      </c>
    </row>
    <row r="37" spans="2:21" s="22" customFormat="1" ht="27">
      <c r="B37" s="37">
        <v>30</v>
      </c>
      <c r="C37" s="249" t="s">
        <v>2181</v>
      </c>
      <c r="D37" s="254">
        <v>1</v>
      </c>
      <c r="E37" s="250">
        <v>26000</v>
      </c>
      <c r="F37" s="254" t="s">
        <v>2182</v>
      </c>
      <c r="G37" s="233">
        <v>41451</v>
      </c>
      <c r="H37" s="228" t="s">
        <v>895</v>
      </c>
      <c r="I37" s="270">
        <v>45102</v>
      </c>
      <c r="J37" s="242">
        <v>3652</v>
      </c>
      <c r="K37" s="242">
        <v>279</v>
      </c>
      <c r="L37" s="242">
        <v>3373</v>
      </c>
      <c r="M37" s="242">
        <v>1300</v>
      </c>
      <c r="N37" s="242">
        <v>23442</v>
      </c>
      <c r="O37" s="242">
        <v>22205</v>
      </c>
      <c r="P37" s="242">
        <v>3008</v>
      </c>
      <c r="Q37" s="242">
        <v>20905</v>
      </c>
      <c r="R37" s="337">
        <v>365</v>
      </c>
      <c r="S37" s="336">
        <v>2537</v>
      </c>
      <c r="T37" s="336">
        <v>17773</v>
      </c>
      <c r="U37" s="336">
        <v>4432</v>
      </c>
    </row>
    <row r="38" spans="2:21" s="22" customFormat="1" ht="67.5">
      <c r="B38" s="37">
        <v>31</v>
      </c>
      <c r="C38" s="249" t="s">
        <v>1078</v>
      </c>
      <c r="D38" s="254">
        <v>1</v>
      </c>
      <c r="E38" s="250">
        <f>1255+210</f>
        <v>1465</v>
      </c>
      <c r="F38" s="254" t="s">
        <v>2598</v>
      </c>
      <c r="G38" s="233">
        <v>41913</v>
      </c>
      <c r="H38" s="228" t="s">
        <v>368</v>
      </c>
      <c r="I38" s="270">
        <v>0</v>
      </c>
      <c r="J38" s="242">
        <v>0</v>
      </c>
      <c r="K38" s="242">
        <v>0</v>
      </c>
      <c r="L38" s="242">
        <v>0</v>
      </c>
      <c r="M38" s="242">
        <v>0</v>
      </c>
      <c r="N38" s="242">
        <v>1465</v>
      </c>
      <c r="O38" s="242">
        <v>0</v>
      </c>
      <c r="P38" s="242">
        <v>-1</v>
      </c>
      <c r="Q38" s="242">
        <v>-73</v>
      </c>
      <c r="R38" s="337">
        <v>0</v>
      </c>
      <c r="S38" s="336">
        <v>0</v>
      </c>
      <c r="T38" s="336">
        <v>0</v>
      </c>
      <c r="U38" s="336">
        <v>0</v>
      </c>
    </row>
    <row r="39" spans="2:21" s="22" customFormat="1" ht="27">
      <c r="B39" s="37">
        <v>32</v>
      </c>
      <c r="C39" s="249" t="s">
        <v>3879</v>
      </c>
      <c r="D39" s="254" t="s">
        <v>314</v>
      </c>
      <c r="E39" s="250">
        <v>160300</v>
      </c>
      <c r="F39" s="254" t="s">
        <v>3880</v>
      </c>
      <c r="G39" s="233">
        <v>42095</v>
      </c>
      <c r="H39" s="228" t="s">
        <v>288</v>
      </c>
      <c r="I39" s="270">
        <v>45747</v>
      </c>
      <c r="J39" s="242">
        <v>3653</v>
      </c>
      <c r="K39" s="242">
        <v>0</v>
      </c>
      <c r="L39" s="242">
        <v>3653</v>
      </c>
      <c r="M39" s="242">
        <v>8015</v>
      </c>
      <c r="N39" s="242">
        <v>152285</v>
      </c>
      <c r="O39" s="242">
        <v>160300</v>
      </c>
      <c r="P39" s="242">
        <v>3653</v>
      </c>
      <c r="Q39" s="242">
        <v>152285</v>
      </c>
      <c r="R39" s="337">
        <v>365</v>
      </c>
      <c r="S39" s="336">
        <v>15216</v>
      </c>
      <c r="T39" s="336">
        <v>106595</v>
      </c>
      <c r="U39" s="336">
        <v>53705</v>
      </c>
    </row>
    <row r="40" spans="2:21" s="22" customFormat="1" ht="27">
      <c r="B40" s="37">
        <v>33</v>
      </c>
      <c r="C40" s="249" t="s">
        <v>3879</v>
      </c>
      <c r="D40" s="254" t="s">
        <v>314</v>
      </c>
      <c r="E40" s="250">
        <v>119080</v>
      </c>
      <c r="F40" s="254" t="s">
        <v>3880</v>
      </c>
      <c r="G40" s="233">
        <v>42095</v>
      </c>
      <c r="H40" s="228" t="s">
        <v>288</v>
      </c>
      <c r="I40" s="270">
        <v>45747</v>
      </c>
      <c r="J40" s="242">
        <v>3653</v>
      </c>
      <c r="K40" s="242">
        <v>0</v>
      </c>
      <c r="L40" s="242">
        <v>3653</v>
      </c>
      <c r="M40" s="242">
        <v>5954</v>
      </c>
      <c r="N40" s="242">
        <v>113126</v>
      </c>
      <c r="O40" s="242">
        <v>119080</v>
      </c>
      <c r="P40" s="242">
        <v>3653</v>
      </c>
      <c r="Q40" s="242">
        <v>113126</v>
      </c>
      <c r="R40" s="337">
        <v>365</v>
      </c>
      <c r="S40" s="336">
        <v>11303</v>
      </c>
      <c r="T40" s="336">
        <v>79183</v>
      </c>
      <c r="U40" s="336">
        <v>39897</v>
      </c>
    </row>
    <row r="41" spans="2:21" s="22" customFormat="1" ht="27">
      <c r="B41" s="37">
        <v>34</v>
      </c>
      <c r="C41" s="249" t="s">
        <v>3879</v>
      </c>
      <c r="D41" s="254" t="s">
        <v>314</v>
      </c>
      <c r="E41" s="250">
        <v>171750</v>
      </c>
      <c r="F41" s="254" t="s">
        <v>3880</v>
      </c>
      <c r="G41" s="233">
        <v>42095</v>
      </c>
      <c r="H41" s="228" t="s">
        <v>288</v>
      </c>
      <c r="I41" s="270">
        <v>45747</v>
      </c>
      <c r="J41" s="242">
        <v>3653</v>
      </c>
      <c r="K41" s="242">
        <v>0</v>
      </c>
      <c r="L41" s="242">
        <v>3653</v>
      </c>
      <c r="M41" s="242">
        <v>8588</v>
      </c>
      <c r="N41" s="242">
        <v>163162</v>
      </c>
      <c r="O41" s="242">
        <v>171750</v>
      </c>
      <c r="P41" s="242">
        <v>3653</v>
      </c>
      <c r="Q41" s="242">
        <v>163163</v>
      </c>
      <c r="R41" s="337">
        <v>365</v>
      </c>
      <c r="S41" s="336">
        <v>16303</v>
      </c>
      <c r="T41" s="336">
        <v>114211</v>
      </c>
      <c r="U41" s="336">
        <v>57539</v>
      </c>
    </row>
    <row r="42" spans="2:21" s="22" customFormat="1" ht="27">
      <c r="B42" s="37">
        <v>35</v>
      </c>
      <c r="C42" s="249" t="s">
        <v>3879</v>
      </c>
      <c r="D42" s="254" t="s">
        <v>314</v>
      </c>
      <c r="E42" s="250">
        <v>441304</v>
      </c>
      <c r="F42" s="254" t="s">
        <v>3880</v>
      </c>
      <c r="G42" s="233">
        <v>42095</v>
      </c>
      <c r="H42" s="228" t="s">
        <v>288</v>
      </c>
      <c r="I42" s="270">
        <v>45747</v>
      </c>
      <c r="J42" s="242">
        <v>3653</v>
      </c>
      <c r="K42" s="242">
        <v>0</v>
      </c>
      <c r="L42" s="242">
        <v>3653</v>
      </c>
      <c r="M42" s="242">
        <v>22065</v>
      </c>
      <c r="N42" s="242">
        <v>419239</v>
      </c>
      <c r="O42" s="242">
        <v>441304</v>
      </c>
      <c r="P42" s="242">
        <v>3653</v>
      </c>
      <c r="Q42" s="242">
        <v>419239</v>
      </c>
      <c r="R42" s="337">
        <v>365</v>
      </c>
      <c r="S42" s="336">
        <v>41889</v>
      </c>
      <c r="T42" s="336">
        <v>293453</v>
      </c>
      <c r="U42" s="336">
        <v>147851</v>
      </c>
    </row>
    <row r="43" spans="2:21" s="22" customFormat="1" ht="27">
      <c r="B43" s="37">
        <v>36</v>
      </c>
      <c r="C43" s="249" t="s">
        <v>3879</v>
      </c>
      <c r="D43" s="254" t="s">
        <v>314</v>
      </c>
      <c r="E43" s="250">
        <v>188524</v>
      </c>
      <c r="F43" s="285" t="s">
        <v>3880</v>
      </c>
      <c r="G43" s="233">
        <v>42095</v>
      </c>
      <c r="H43" s="239" t="s">
        <v>288</v>
      </c>
      <c r="I43" s="270">
        <v>45747</v>
      </c>
      <c r="J43" s="242">
        <v>3653</v>
      </c>
      <c r="K43" s="242">
        <v>0</v>
      </c>
      <c r="L43" s="242">
        <v>3653</v>
      </c>
      <c r="M43" s="242">
        <v>9426</v>
      </c>
      <c r="N43" s="242">
        <v>179098</v>
      </c>
      <c r="O43" s="242">
        <v>188524</v>
      </c>
      <c r="P43" s="242">
        <v>3653</v>
      </c>
      <c r="Q43" s="242">
        <v>179098</v>
      </c>
      <c r="R43" s="337">
        <v>365</v>
      </c>
      <c r="S43" s="336">
        <v>17895</v>
      </c>
      <c r="T43" s="336">
        <v>125363</v>
      </c>
      <c r="U43" s="336">
        <v>63161</v>
      </c>
    </row>
    <row r="44" spans="2:21" s="22" customFormat="1" ht="27">
      <c r="B44" s="37">
        <v>37</v>
      </c>
      <c r="C44" s="249" t="s">
        <v>3879</v>
      </c>
      <c r="D44" s="254" t="s">
        <v>314</v>
      </c>
      <c r="E44" s="250">
        <v>84730</v>
      </c>
      <c r="F44" s="285" t="s">
        <v>3880</v>
      </c>
      <c r="G44" s="233">
        <v>42095</v>
      </c>
      <c r="H44" s="239" t="s">
        <v>288</v>
      </c>
      <c r="I44" s="270">
        <v>45747</v>
      </c>
      <c r="J44" s="242">
        <v>3653</v>
      </c>
      <c r="K44" s="242">
        <v>0</v>
      </c>
      <c r="L44" s="242">
        <v>3653</v>
      </c>
      <c r="M44" s="242">
        <v>4237</v>
      </c>
      <c r="N44" s="242">
        <v>80493</v>
      </c>
      <c r="O44" s="242">
        <v>84730</v>
      </c>
      <c r="P44" s="242">
        <v>3653</v>
      </c>
      <c r="Q44" s="242">
        <v>80494</v>
      </c>
      <c r="R44" s="337">
        <v>365</v>
      </c>
      <c r="S44" s="336">
        <v>8043</v>
      </c>
      <c r="T44" s="336">
        <v>56345</v>
      </c>
      <c r="U44" s="336">
        <v>28385</v>
      </c>
    </row>
    <row r="45" spans="2:21" s="22" customFormat="1" ht="27">
      <c r="B45" s="37">
        <v>38</v>
      </c>
      <c r="C45" s="249" t="s">
        <v>3879</v>
      </c>
      <c r="D45" s="254" t="s">
        <v>314</v>
      </c>
      <c r="E45" s="250">
        <v>128240</v>
      </c>
      <c r="F45" s="285" t="s">
        <v>3880</v>
      </c>
      <c r="G45" s="233">
        <v>42095</v>
      </c>
      <c r="H45" s="239" t="s">
        <v>288</v>
      </c>
      <c r="I45" s="270">
        <v>45747</v>
      </c>
      <c r="J45" s="242">
        <v>3653</v>
      </c>
      <c r="K45" s="242">
        <v>0</v>
      </c>
      <c r="L45" s="242">
        <v>3653</v>
      </c>
      <c r="M45" s="242">
        <v>6412</v>
      </c>
      <c r="N45" s="242">
        <v>121828</v>
      </c>
      <c r="O45" s="242">
        <v>128240</v>
      </c>
      <c r="P45" s="242">
        <v>3653</v>
      </c>
      <c r="Q45" s="242">
        <v>121828</v>
      </c>
      <c r="R45" s="337">
        <v>365</v>
      </c>
      <c r="S45" s="336">
        <v>12173</v>
      </c>
      <c r="T45" s="336">
        <v>85277</v>
      </c>
      <c r="U45" s="336">
        <v>42963</v>
      </c>
    </row>
    <row r="46" spans="2:21" s="22" customFormat="1" ht="27">
      <c r="B46" s="37">
        <v>39</v>
      </c>
      <c r="C46" s="249" t="s">
        <v>3879</v>
      </c>
      <c r="D46" s="254" t="s">
        <v>314</v>
      </c>
      <c r="E46" s="250">
        <v>123660</v>
      </c>
      <c r="F46" s="285" t="s">
        <v>3880</v>
      </c>
      <c r="G46" s="233">
        <v>42095</v>
      </c>
      <c r="H46" s="239" t="s">
        <v>288</v>
      </c>
      <c r="I46" s="270">
        <v>45747</v>
      </c>
      <c r="J46" s="242">
        <v>3653</v>
      </c>
      <c r="K46" s="242">
        <v>0</v>
      </c>
      <c r="L46" s="242">
        <v>3653</v>
      </c>
      <c r="M46" s="242">
        <v>6183</v>
      </c>
      <c r="N46" s="242">
        <v>117477</v>
      </c>
      <c r="O46" s="242">
        <v>123660</v>
      </c>
      <c r="P46" s="242">
        <v>3653</v>
      </c>
      <c r="Q46" s="242">
        <v>117477</v>
      </c>
      <c r="R46" s="337">
        <v>365</v>
      </c>
      <c r="S46" s="336">
        <v>11738</v>
      </c>
      <c r="T46" s="336">
        <v>82230</v>
      </c>
      <c r="U46" s="336">
        <v>41430</v>
      </c>
    </row>
    <row r="47" spans="2:21" s="22" customFormat="1" ht="27">
      <c r="B47" s="37">
        <v>40</v>
      </c>
      <c r="C47" s="249" t="s">
        <v>3879</v>
      </c>
      <c r="D47" s="254" t="s">
        <v>314</v>
      </c>
      <c r="E47" s="250">
        <v>73280</v>
      </c>
      <c r="F47" s="285" t="s">
        <v>3880</v>
      </c>
      <c r="G47" s="233">
        <v>42095</v>
      </c>
      <c r="H47" s="239" t="s">
        <v>288</v>
      </c>
      <c r="I47" s="270">
        <v>45747</v>
      </c>
      <c r="J47" s="242">
        <v>3653</v>
      </c>
      <c r="K47" s="242">
        <v>0</v>
      </c>
      <c r="L47" s="242">
        <v>3653</v>
      </c>
      <c r="M47" s="242">
        <v>3664</v>
      </c>
      <c r="N47" s="242">
        <v>69616</v>
      </c>
      <c r="O47" s="242">
        <v>73280</v>
      </c>
      <c r="P47" s="242">
        <v>3653</v>
      </c>
      <c r="Q47" s="242">
        <v>69616</v>
      </c>
      <c r="R47" s="337">
        <v>365</v>
      </c>
      <c r="S47" s="336">
        <v>6956</v>
      </c>
      <c r="T47" s="336">
        <v>48730</v>
      </c>
      <c r="U47" s="336">
        <v>24550</v>
      </c>
    </row>
    <row r="48" spans="2:21" s="22" customFormat="1" ht="27">
      <c r="B48" s="37">
        <v>41</v>
      </c>
      <c r="C48" s="249" t="s">
        <v>3879</v>
      </c>
      <c r="D48" s="254" t="s">
        <v>314</v>
      </c>
      <c r="E48" s="250">
        <v>95035</v>
      </c>
      <c r="F48" s="285" t="s">
        <v>3880</v>
      </c>
      <c r="G48" s="233">
        <v>42095</v>
      </c>
      <c r="H48" s="239" t="s">
        <v>288</v>
      </c>
      <c r="I48" s="270">
        <v>45747</v>
      </c>
      <c r="J48" s="242">
        <v>3653</v>
      </c>
      <c r="K48" s="242">
        <v>0</v>
      </c>
      <c r="L48" s="242">
        <v>3653</v>
      </c>
      <c r="M48" s="242">
        <v>4752</v>
      </c>
      <c r="N48" s="242">
        <v>90283</v>
      </c>
      <c r="O48" s="242">
        <v>95035</v>
      </c>
      <c r="P48" s="242">
        <v>3653</v>
      </c>
      <c r="Q48" s="242">
        <v>90283</v>
      </c>
      <c r="R48" s="337">
        <v>365</v>
      </c>
      <c r="S48" s="336">
        <v>9021</v>
      </c>
      <c r="T48" s="336">
        <v>63197</v>
      </c>
      <c r="U48" s="336">
        <v>31838</v>
      </c>
    </row>
    <row r="49" spans="2:21" s="22" customFormat="1" ht="27">
      <c r="B49" s="37">
        <v>42</v>
      </c>
      <c r="C49" s="249" t="s">
        <v>3879</v>
      </c>
      <c r="D49" s="254" t="s">
        <v>314</v>
      </c>
      <c r="E49" s="250">
        <v>52670</v>
      </c>
      <c r="F49" s="285" t="s">
        <v>3880</v>
      </c>
      <c r="G49" s="233">
        <v>42095</v>
      </c>
      <c r="H49" s="239" t="s">
        <v>288</v>
      </c>
      <c r="I49" s="270">
        <v>45747</v>
      </c>
      <c r="J49" s="242">
        <v>3653</v>
      </c>
      <c r="K49" s="242">
        <v>0</v>
      </c>
      <c r="L49" s="242">
        <v>3653</v>
      </c>
      <c r="M49" s="242">
        <v>2634</v>
      </c>
      <c r="N49" s="242">
        <v>50036</v>
      </c>
      <c r="O49" s="242">
        <v>52670</v>
      </c>
      <c r="P49" s="242">
        <v>3653</v>
      </c>
      <c r="Q49" s="242">
        <v>50037</v>
      </c>
      <c r="R49" s="337">
        <v>365</v>
      </c>
      <c r="S49" s="336">
        <v>5000</v>
      </c>
      <c r="T49" s="336">
        <v>35026</v>
      </c>
      <c r="U49" s="336">
        <v>17644</v>
      </c>
    </row>
    <row r="50" spans="2:21" s="22" customFormat="1" ht="27">
      <c r="B50" s="37">
        <v>43</v>
      </c>
      <c r="C50" s="249" t="s">
        <v>3879</v>
      </c>
      <c r="D50" s="254" t="s">
        <v>314</v>
      </c>
      <c r="E50" s="250">
        <v>446550</v>
      </c>
      <c r="F50" s="285" t="s">
        <v>3880</v>
      </c>
      <c r="G50" s="233">
        <v>42095</v>
      </c>
      <c r="H50" s="239" t="s">
        <v>288</v>
      </c>
      <c r="I50" s="270">
        <v>45747</v>
      </c>
      <c r="J50" s="242">
        <v>3653</v>
      </c>
      <c r="K50" s="242">
        <v>0</v>
      </c>
      <c r="L50" s="242">
        <v>3653</v>
      </c>
      <c r="M50" s="242">
        <v>22328</v>
      </c>
      <c r="N50" s="242">
        <v>424222</v>
      </c>
      <c r="O50" s="242">
        <v>446550</v>
      </c>
      <c r="P50" s="242">
        <v>3653</v>
      </c>
      <c r="Q50" s="242">
        <v>424223</v>
      </c>
      <c r="R50" s="337">
        <v>365</v>
      </c>
      <c r="S50" s="336">
        <v>42387</v>
      </c>
      <c r="T50" s="336">
        <v>296943</v>
      </c>
      <c r="U50" s="336">
        <v>149607</v>
      </c>
    </row>
    <row r="51" spans="2:21" s="22" customFormat="1" ht="27">
      <c r="B51" s="37">
        <v>44</v>
      </c>
      <c r="C51" s="249" t="s">
        <v>3879</v>
      </c>
      <c r="D51" s="254" t="s">
        <v>314</v>
      </c>
      <c r="E51" s="250">
        <v>297700</v>
      </c>
      <c r="F51" s="285" t="s">
        <v>3880</v>
      </c>
      <c r="G51" s="233">
        <v>42095</v>
      </c>
      <c r="H51" s="239" t="s">
        <v>288</v>
      </c>
      <c r="I51" s="270">
        <v>45747</v>
      </c>
      <c r="J51" s="242">
        <v>3653</v>
      </c>
      <c r="K51" s="242">
        <v>0</v>
      </c>
      <c r="L51" s="242">
        <v>3653</v>
      </c>
      <c r="M51" s="242">
        <v>14885</v>
      </c>
      <c r="N51" s="242">
        <v>282815</v>
      </c>
      <c r="O51" s="242">
        <v>297700</v>
      </c>
      <c r="P51" s="242">
        <v>3653</v>
      </c>
      <c r="Q51" s="242">
        <v>282815</v>
      </c>
      <c r="R51" s="337">
        <v>365</v>
      </c>
      <c r="S51" s="336">
        <v>28258</v>
      </c>
      <c r="T51" s="336">
        <v>197932</v>
      </c>
      <c r="U51" s="336">
        <v>99768</v>
      </c>
    </row>
    <row r="52" spans="2:21" s="22" customFormat="1" ht="27">
      <c r="B52" s="37">
        <v>45</v>
      </c>
      <c r="C52" s="249" t="s">
        <v>3879</v>
      </c>
      <c r="D52" s="254" t="s">
        <v>314</v>
      </c>
      <c r="E52" s="250">
        <v>583950</v>
      </c>
      <c r="F52" s="285" t="s">
        <v>3880</v>
      </c>
      <c r="G52" s="233">
        <v>42095</v>
      </c>
      <c r="H52" s="239" t="s">
        <v>288</v>
      </c>
      <c r="I52" s="270">
        <v>45747</v>
      </c>
      <c r="J52" s="242">
        <v>3653</v>
      </c>
      <c r="K52" s="242">
        <v>0</v>
      </c>
      <c r="L52" s="242">
        <v>3653</v>
      </c>
      <c r="M52" s="242">
        <v>29198</v>
      </c>
      <c r="N52" s="242">
        <v>554752</v>
      </c>
      <c r="O52" s="242">
        <v>583950</v>
      </c>
      <c r="P52" s="242">
        <v>3653</v>
      </c>
      <c r="Q52" s="242">
        <v>554753</v>
      </c>
      <c r="R52" s="337">
        <v>365</v>
      </c>
      <c r="S52" s="336">
        <v>55430</v>
      </c>
      <c r="T52" s="336">
        <v>388314</v>
      </c>
      <c r="U52" s="336">
        <v>195636</v>
      </c>
    </row>
    <row r="53" spans="2:21" s="22" customFormat="1" ht="27">
      <c r="B53" s="37">
        <v>46</v>
      </c>
      <c r="C53" s="249" t="s">
        <v>3879</v>
      </c>
      <c r="D53" s="254" t="s">
        <v>314</v>
      </c>
      <c r="E53" s="250">
        <v>137400</v>
      </c>
      <c r="F53" s="285" t="s">
        <v>3880</v>
      </c>
      <c r="G53" s="233">
        <v>42095</v>
      </c>
      <c r="H53" s="239" t="s">
        <v>288</v>
      </c>
      <c r="I53" s="270">
        <v>45747</v>
      </c>
      <c r="J53" s="242">
        <v>3653</v>
      </c>
      <c r="K53" s="242">
        <v>0</v>
      </c>
      <c r="L53" s="242">
        <v>3653</v>
      </c>
      <c r="M53" s="242">
        <v>6870</v>
      </c>
      <c r="N53" s="242">
        <v>130530</v>
      </c>
      <c r="O53" s="242">
        <v>137400</v>
      </c>
      <c r="P53" s="242">
        <v>3653</v>
      </c>
      <c r="Q53" s="242">
        <v>130530</v>
      </c>
      <c r="R53" s="337">
        <v>365</v>
      </c>
      <c r="S53" s="336">
        <v>13042</v>
      </c>
      <c r="T53" s="336">
        <v>91366</v>
      </c>
      <c r="U53" s="336">
        <v>46034</v>
      </c>
    </row>
    <row r="54" spans="2:21" s="22" customFormat="1" ht="27">
      <c r="B54" s="37">
        <v>47</v>
      </c>
      <c r="C54" s="249" t="s">
        <v>3879</v>
      </c>
      <c r="D54" s="254" t="s">
        <v>314</v>
      </c>
      <c r="E54" s="250">
        <v>85875</v>
      </c>
      <c r="F54" s="285" t="s">
        <v>3880</v>
      </c>
      <c r="G54" s="233">
        <v>42095</v>
      </c>
      <c r="H54" s="239" t="s">
        <v>288</v>
      </c>
      <c r="I54" s="270">
        <v>45747</v>
      </c>
      <c r="J54" s="242">
        <v>3653</v>
      </c>
      <c r="K54" s="242">
        <v>0</v>
      </c>
      <c r="L54" s="242">
        <v>3653</v>
      </c>
      <c r="M54" s="242">
        <v>4294</v>
      </c>
      <c r="N54" s="242">
        <v>81581</v>
      </c>
      <c r="O54" s="242">
        <v>85875</v>
      </c>
      <c r="P54" s="242">
        <v>3653</v>
      </c>
      <c r="Q54" s="242">
        <v>81581</v>
      </c>
      <c r="R54" s="337">
        <v>365</v>
      </c>
      <c r="S54" s="336">
        <v>8151</v>
      </c>
      <c r="T54" s="336">
        <v>57103</v>
      </c>
      <c r="U54" s="336">
        <v>28772</v>
      </c>
    </row>
    <row r="55" spans="2:21" s="22" customFormat="1" ht="27">
      <c r="B55" s="37">
        <v>48</v>
      </c>
      <c r="C55" s="249" t="s">
        <v>3879</v>
      </c>
      <c r="D55" s="254" t="s">
        <v>314</v>
      </c>
      <c r="E55" s="250">
        <v>377049</v>
      </c>
      <c r="F55" s="285" t="s">
        <v>3880</v>
      </c>
      <c r="G55" s="233">
        <v>42095</v>
      </c>
      <c r="H55" s="239" t="s">
        <v>288</v>
      </c>
      <c r="I55" s="270">
        <v>45747</v>
      </c>
      <c r="J55" s="242">
        <v>3653</v>
      </c>
      <c r="K55" s="242">
        <v>0</v>
      </c>
      <c r="L55" s="242">
        <v>3653</v>
      </c>
      <c r="M55" s="242">
        <v>18852</v>
      </c>
      <c r="N55" s="242">
        <v>358197</v>
      </c>
      <c r="O55" s="242">
        <v>377049</v>
      </c>
      <c r="P55" s="242">
        <v>3653</v>
      </c>
      <c r="Q55" s="242">
        <v>358197</v>
      </c>
      <c r="R55" s="337">
        <v>365</v>
      </c>
      <c r="S55" s="336">
        <v>35790</v>
      </c>
      <c r="T55" s="336">
        <v>250726</v>
      </c>
      <c r="U55" s="336">
        <v>126323</v>
      </c>
    </row>
    <row r="56" spans="2:21" s="22" customFormat="1" ht="27">
      <c r="B56" s="37">
        <v>49</v>
      </c>
      <c r="C56" s="249" t="s">
        <v>3879</v>
      </c>
      <c r="D56" s="254" t="s">
        <v>314</v>
      </c>
      <c r="E56" s="250">
        <v>40648</v>
      </c>
      <c r="F56" s="285" t="s">
        <v>3880</v>
      </c>
      <c r="G56" s="233">
        <v>42095</v>
      </c>
      <c r="H56" s="239" t="s">
        <v>288</v>
      </c>
      <c r="I56" s="270">
        <v>45747</v>
      </c>
      <c r="J56" s="242">
        <v>3653</v>
      </c>
      <c r="K56" s="242">
        <v>0</v>
      </c>
      <c r="L56" s="242">
        <v>3653</v>
      </c>
      <c r="M56" s="242">
        <v>2032</v>
      </c>
      <c r="N56" s="242">
        <v>38616</v>
      </c>
      <c r="O56" s="242">
        <v>40648</v>
      </c>
      <c r="P56" s="242">
        <v>3653</v>
      </c>
      <c r="Q56" s="242">
        <v>38616</v>
      </c>
      <c r="R56" s="337">
        <v>365</v>
      </c>
      <c r="S56" s="336">
        <v>3858</v>
      </c>
      <c r="T56" s="336">
        <v>27028</v>
      </c>
      <c r="U56" s="336">
        <v>13620</v>
      </c>
    </row>
    <row r="57" spans="2:21" s="22" customFormat="1" ht="27">
      <c r="B57" s="37">
        <v>50</v>
      </c>
      <c r="C57" s="249" t="s">
        <v>3879</v>
      </c>
      <c r="D57" s="254" t="s">
        <v>314</v>
      </c>
      <c r="E57" s="250">
        <v>183200</v>
      </c>
      <c r="F57" s="285" t="s">
        <v>3880</v>
      </c>
      <c r="G57" s="233">
        <v>42095</v>
      </c>
      <c r="H57" s="239" t="s">
        <v>288</v>
      </c>
      <c r="I57" s="270">
        <v>45747</v>
      </c>
      <c r="J57" s="242">
        <v>3653</v>
      </c>
      <c r="K57" s="242">
        <v>0</v>
      </c>
      <c r="L57" s="242">
        <v>3653</v>
      </c>
      <c r="M57" s="242">
        <v>9160</v>
      </c>
      <c r="N57" s="242">
        <v>174040</v>
      </c>
      <c r="O57" s="242">
        <v>183200</v>
      </c>
      <c r="P57" s="242">
        <v>3653</v>
      </c>
      <c r="Q57" s="242">
        <v>174040</v>
      </c>
      <c r="R57" s="337">
        <v>365</v>
      </c>
      <c r="S57" s="336">
        <v>17390</v>
      </c>
      <c r="T57" s="336">
        <v>121824</v>
      </c>
      <c r="U57" s="336">
        <v>61376</v>
      </c>
    </row>
    <row r="58" spans="2:21" s="22" customFormat="1" ht="27">
      <c r="B58" s="37">
        <v>51</v>
      </c>
      <c r="C58" s="249" t="s">
        <v>3879</v>
      </c>
      <c r="D58" s="254" t="s">
        <v>314</v>
      </c>
      <c r="E58" s="250">
        <v>47231</v>
      </c>
      <c r="F58" s="285" t="s">
        <v>3880</v>
      </c>
      <c r="G58" s="233">
        <v>42095</v>
      </c>
      <c r="H58" s="239" t="s">
        <v>288</v>
      </c>
      <c r="I58" s="270">
        <v>45747</v>
      </c>
      <c r="J58" s="242">
        <v>3653</v>
      </c>
      <c r="K58" s="242">
        <v>0</v>
      </c>
      <c r="L58" s="242">
        <v>3653</v>
      </c>
      <c r="M58" s="242">
        <v>2362</v>
      </c>
      <c r="N58" s="242">
        <v>44869</v>
      </c>
      <c r="O58" s="242">
        <v>47231</v>
      </c>
      <c r="P58" s="242">
        <v>3653</v>
      </c>
      <c r="Q58" s="242">
        <v>44869</v>
      </c>
      <c r="R58" s="337">
        <v>365</v>
      </c>
      <c r="S58" s="336">
        <v>4483</v>
      </c>
      <c r="T58" s="336">
        <v>31405</v>
      </c>
      <c r="U58" s="336">
        <v>15826</v>
      </c>
    </row>
    <row r="59" spans="2:21" s="22" customFormat="1" ht="27">
      <c r="B59" s="37">
        <v>52</v>
      </c>
      <c r="C59" s="249" t="s">
        <v>3879</v>
      </c>
      <c r="D59" s="254" t="s">
        <v>314</v>
      </c>
      <c r="E59" s="250">
        <v>190070</v>
      </c>
      <c r="F59" s="275" t="s">
        <v>3881</v>
      </c>
      <c r="G59" s="233">
        <v>42095</v>
      </c>
      <c r="H59" s="239" t="s">
        <v>288</v>
      </c>
      <c r="I59" s="270">
        <v>45747</v>
      </c>
      <c r="J59" s="242">
        <v>3653</v>
      </c>
      <c r="K59" s="242">
        <v>0</v>
      </c>
      <c r="L59" s="242">
        <v>3653</v>
      </c>
      <c r="M59" s="242">
        <v>9504</v>
      </c>
      <c r="N59" s="242">
        <v>180566</v>
      </c>
      <c r="O59" s="242">
        <v>190070</v>
      </c>
      <c r="P59" s="242">
        <v>3653</v>
      </c>
      <c r="Q59" s="242">
        <v>180567</v>
      </c>
      <c r="R59" s="337">
        <v>365</v>
      </c>
      <c r="S59" s="336">
        <v>18042</v>
      </c>
      <c r="T59" s="336">
        <v>126393</v>
      </c>
      <c r="U59" s="336">
        <v>63677</v>
      </c>
    </row>
    <row r="60" spans="2:21" s="22" customFormat="1" ht="27">
      <c r="B60" s="37">
        <v>53</v>
      </c>
      <c r="C60" s="249" t="s">
        <v>3879</v>
      </c>
      <c r="D60" s="254" t="s">
        <v>314</v>
      </c>
      <c r="E60" s="250">
        <v>135110</v>
      </c>
      <c r="F60" s="275" t="s">
        <v>3881</v>
      </c>
      <c r="G60" s="233">
        <v>42095</v>
      </c>
      <c r="H60" s="239" t="s">
        <v>288</v>
      </c>
      <c r="I60" s="270">
        <v>45747</v>
      </c>
      <c r="J60" s="242">
        <v>3653</v>
      </c>
      <c r="K60" s="242">
        <v>0</v>
      </c>
      <c r="L60" s="242">
        <v>3653</v>
      </c>
      <c r="M60" s="242">
        <v>6756</v>
      </c>
      <c r="N60" s="242">
        <v>128354</v>
      </c>
      <c r="O60" s="242">
        <v>135110</v>
      </c>
      <c r="P60" s="242">
        <v>3653</v>
      </c>
      <c r="Q60" s="242">
        <v>128355</v>
      </c>
      <c r="R60" s="337">
        <v>365</v>
      </c>
      <c r="S60" s="336">
        <v>12825</v>
      </c>
      <c r="T60" s="336">
        <v>89845</v>
      </c>
      <c r="U60" s="336">
        <v>45265</v>
      </c>
    </row>
    <row r="61" spans="2:21" s="22" customFormat="1" ht="27">
      <c r="B61" s="37">
        <v>54</v>
      </c>
      <c r="C61" s="249" t="s">
        <v>3879</v>
      </c>
      <c r="D61" s="254" t="s">
        <v>314</v>
      </c>
      <c r="E61" s="250">
        <v>389300</v>
      </c>
      <c r="F61" s="275" t="s">
        <v>3881</v>
      </c>
      <c r="G61" s="233">
        <v>42095</v>
      </c>
      <c r="H61" s="239" t="s">
        <v>288</v>
      </c>
      <c r="I61" s="270">
        <v>45747</v>
      </c>
      <c r="J61" s="242">
        <v>3653</v>
      </c>
      <c r="K61" s="242">
        <v>0</v>
      </c>
      <c r="L61" s="242">
        <v>3653</v>
      </c>
      <c r="M61" s="242">
        <v>19465</v>
      </c>
      <c r="N61" s="242">
        <v>369835</v>
      </c>
      <c r="O61" s="242">
        <v>389300</v>
      </c>
      <c r="P61" s="242">
        <v>3653</v>
      </c>
      <c r="Q61" s="242">
        <v>369835</v>
      </c>
      <c r="R61" s="337">
        <v>365</v>
      </c>
      <c r="S61" s="336">
        <v>36953</v>
      </c>
      <c r="T61" s="336">
        <v>258873</v>
      </c>
      <c r="U61" s="336">
        <v>130427</v>
      </c>
    </row>
    <row r="62" spans="2:21" s="22" customFormat="1" ht="27">
      <c r="B62" s="37">
        <v>55</v>
      </c>
      <c r="C62" s="249" t="s">
        <v>3879</v>
      </c>
      <c r="D62" s="254" t="s">
        <v>314</v>
      </c>
      <c r="E62" s="250">
        <v>61830</v>
      </c>
      <c r="F62" s="275" t="s">
        <v>3881</v>
      </c>
      <c r="G62" s="233">
        <v>42095</v>
      </c>
      <c r="H62" s="239" t="s">
        <v>288</v>
      </c>
      <c r="I62" s="270">
        <v>45747</v>
      </c>
      <c r="J62" s="242">
        <v>3653</v>
      </c>
      <c r="K62" s="242">
        <v>0</v>
      </c>
      <c r="L62" s="242">
        <v>3653</v>
      </c>
      <c r="M62" s="242">
        <v>3092</v>
      </c>
      <c r="N62" s="242">
        <v>58738</v>
      </c>
      <c r="O62" s="242">
        <v>61830</v>
      </c>
      <c r="P62" s="242">
        <v>3653</v>
      </c>
      <c r="Q62" s="242">
        <v>58739</v>
      </c>
      <c r="R62" s="337">
        <v>365</v>
      </c>
      <c r="S62" s="336">
        <v>5869</v>
      </c>
      <c r="T62" s="336">
        <v>41115</v>
      </c>
      <c r="U62" s="336">
        <v>20715</v>
      </c>
    </row>
    <row r="63" spans="2:21" s="22" customFormat="1" ht="27">
      <c r="B63" s="37">
        <v>56</v>
      </c>
      <c r="C63" s="249" t="s">
        <v>3879</v>
      </c>
      <c r="D63" s="254" t="s">
        <v>314</v>
      </c>
      <c r="E63" s="250">
        <v>469450</v>
      </c>
      <c r="F63" s="275" t="s">
        <v>3881</v>
      </c>
      <c r="G63" s="233">
        <v>42095</v>
      </c>
      <c r="H63" s="239" t="s">
        <v>288</v>
      </c>
      <c r="I63" s="270">
        <v>45747</v>
      </c>
      <c r="J63" s="242">
        <v>3653</v>
      </c>
      <c r="K63" s="242">
        <v>0</v>
      </c>
      <c r="L63" s="242">
        <v>3653</v>
      </c>
      <c r="M63" s="242">
        <v>23473</v>
      </c>
      <c r="N63" s="242">
        <v>445977</v>
      </c>
      <c r="O63" s="242">
        <v>469450</v>
      </c>
      <c r="P63" s="242">
        <v>3653</v>
      </c>
      <c r="Q63" s="242">
        <v>445978</v>
      </c>
      <c r="R63" s="337">
        <v>365</v>
      </c>
      <c r="S63" s="336">
        <v>44561</v>
      </c>
      <c r="T63" s="336">
        <v>312171</v>
      </c>
      <c r="U63" s="336">
        <v>157279</v>
      </c>
    </row>
    <row r="64" spans="2:21" s="22" customFormat="1" ht="27">
      <c r="B64" s="37">
        <v>57</v>
      </c>
      <c r="C64" s="249" t="s">
        <v>3879</v>
      </c>
      <c r="D64" s="254" t="s">
        <v>314</v>
      </c>
      <c r="E64" s="250">
        <v>34829</v>
      </c>
      <c r="F64" s="275" t="s">
        <v>3881</v>
      </c>
      <c r="G64" s="233">
        <v>42095</v>
      </c>
      <c r="H64" s="239" t="s">
        <v>288</v>
      </c>
      <c r="I64" s="270">
        <v>45747</v>
      </c>
      <c r="J64" s="242">
        <v>3653</v>
      </c>
      <c r="K64" s="242">
        <v>0</v>
      </c>
      <c r="L64" s="242">
        <v>3653</v>
      </c>
      <c r="M64" s="242">
        <v>1741</v>
      </c>
      <c r="N64" s="242">
        <v>33088</v>
      </c>
      <c r="O64" s="242">
        <v>34829</v>
      </c>
      <c r="P64" s="242">
        <v>3653</v>
      </c>
      <c r="Q64" s="242">
        <v>33088</v>
      </c>
      <c r="R64" s="337">
        <v>365</v>
      </c>
      <c r="S64" s="336">
        <v>3306</v>
      </c>
      <c r="T64" s="336">
        <v>23160</v>
      </c>
      <c r="U64" s="336">
        <v>11669</v>
      </c>
    </row>
    <row r="65" spans="2:21" s="22" customFormat="1" ht="27">
      <c r="B65" s="37">
        <v>58</v>
      </c>
      <c r="C65" s="249" t="s">
        <v>3879</v>
      </c>
      <c r="D65" s="254" t="s">
        <v>314</v>
      </c>
      <c r="E65" s="250">
        <v>188524</v>
      </c>
      <c r="F65" s="275" t="s">
        <v>3881</v>
      </c>
      <c r="G65" s="233">
        <v>42095</v>
      </c>
      <c r="H65" s="239" t="s">
        <v>288</v>
      </c>
      <c r="I65" s="270">
        <v>45747</v>
      </c>
      <c r="J65" s="242">
        <v>3653</v>
      </c>
      <c r="K65" s="242">
        <v>0</v>
      </c>
      <c r="L65" s="242">
        <v>3653</v>
      </c>
      <c r="M65" s="242">
        <v>9426</v>
      </c>
      <c r="N65" s="242">
        <v>179098</v>
      </c>
      <c r="O65" s="242">
        <v>188524</v>
      </c>
      <c r="P65" s="242">
        <v>3653</v>
      </c>
      <c r="Q65" s="242">
        <v>179098</v>
      </c>
      <c r="R65" s="337">
        <v>365</v>
      </c>
      <c r="S65" s="336">
        <v>17895</v>
      </c>
      <c r="T65" s="336">
        <v>125363</v>
      </c>
      <c r="U65" s="336">
        <v>63161</v>
      </c>
    </row>
    <row r="66" spans="2:21" s="22" customFormat="1" ht="27">
      <c r="B66" s="37">
        <v>59</v>
      </c>
      <c r="C66" s="249" t="s">
        <v>3879</v>
      </c>
      <c r="D66" s="254" t="s">
        <v>314</v>
      </c>
      <c r="E66" s="250">
        <v>280525</v>
      </c>
      <c r="F66" s="275" t="s">
        <v>3881</v>
      </c>
      <c r="G66" s="233">
        <v>42095</v>
      </c>
      <c r="H66" s="239" t="s">
        <v>288</v>
      </c>
      <c r="I66" s="270">
        <v>45747</v>
      </c>
      <c r="J66" s="242">
        <v>3653</v>
      </c>
      <c r="K66" s="242">
        <v>0</v>
      </c>
      <c r="L66" s="242">
        <v>3653</v>
      </c>
      <c r="M66" s="242">
        <v>14026</v>
      </c>
      <c r="N66" s="242">
        <v>266499</v>
      </c>
      <c r="O66" s="242">
        <v>280525</v>
      </c>
      <c r="P66" s="242">
        <v>3653</v>
      </c>
      <c r="Q66" s="242">
        <v>266499</v>
      </c>
      <c r="R66" s="337">
        <v>365</v>
      </c>
      <c r="S66" s="336">
        <v>26628</v>
      </c>
      <c r="T66" s="336">
        <v>186542</v>
      </c>
      <c r="U66" s="336">
        <v>93983</v>
      </c>
    </row>
    <row r="67" spans="2:21" s="22" customFormat="1" ht="27">
      <c r="B67" s="37">
        <v>60</v>
      </c>
      <c r="C67" s="249" t="s">
        <v>3879</v>
      </c>
      <c r="D67" s="254" t="s">
        <v>314</v>
      </c>
      <c r="E67" s="250">
        <v>154575</v>
      </c>
      <c r="F67" s="275" t="s">
        <v>3881</v>
      </c>
      <c r="G67" s="233">
        <v>42095</v>
      </c>
      <c r="H67" s="239" t="s">
        <v>288</v>
      </c>
      <c r="I67" s="270">
        <v>45747</v>
      </c>
      <c r="J67" s="242">
        <v>3653</v>
      </c>
      <c r="K67" s="242">
        <v>0</v>
      </c>
      <c r="L67" s="242">
        <v>3653</v>
      </c>
      <c r="M67" s="242">
        <v>7729</v>
      </c>
      <c r="N67" s="242">
        <v>146846</v>
      </c>
      <c r="O67" s="242">
        <v>154575</v>
      </c>
      <c r="P67" s="242">
        <v>3653</v>
      </c>
      <c r="Q67" s="242">
        <v>146846</v>
      </c>
      <c r="R67" s="337">
        <v>365</v>
      </c>
      <c r="S67" s="336">
        <v>14673</v>
      </c>
      <c r="T67" s="336">
        <v>102791</v>
      </c>
      <c r="U67" s="336">
        <v>51784</v>
      </c>
    </row>
    <row r="68" spans="2:21" s="22" customFormat="1" ht="27">
      <c r="B68" s="37">
        <v>61</v>
      </c>
      <c r="C68" s="249" t="s">
        <v>3879</v>
      </c>
      <c r="D68" s="254" t="s">
        <v>314</v>
      </c>
      <c r="E68" s="250">
        <v>123660</v>
      </c>
      <c r="F68" s="275" t="s">
        <v>3881</v>
      </c>
      <c r="G68" s="233">
        <v>42095</v>
      </c>
      <c r="H68" s="239" t="s">
        <v>288</v>
      </c>
      <c r="I68" s="270">
        <v>45747</v>
      </c>
      <c r="J68" s="242">
        <v>3653</v>
      </c>
      <c r="K68" s="242">
        <v>0</v>
      </c>
      <c r="L68" s="242">
        <v>3653</v>
      </c>
      <c r="M68" s="242">
        <v>6183</v>
      </c>
      <c r="N68" s="242">
        <v>117477</v>
      </c>
      <c r="O68" s="242">
        <v>123660</v>
      </c>
      <c r="P68" s="242">
        <v>3653</v>
      </c>
      <c r="Q68" s="242">
        <v>117477</v>
      </c>
      <c r="R68" s="337">
        <v>365</v>
      </c>
      <c r="S68" s="336">
        <v>11738</v>
      </c>
      <c r="T68" s="336">
        <v>82230</v>
      </c>
      <c r="U68" s="336">
        <v>41430</v>
      </c>
    </row>
    <row r="69" spans="2:21" s="22" customFormat="1" ht="27">
      <c r="B69" s="37">
        <v>62</v>
      </c>
      <c r="C69" s="249" t="s">
        <v>3879</v>
      </c>
      <c r="D69" s="254" t="s">
        <v>314</v>
      </c>
      <c r="E69" s="250">
        <v>166025</v>
      </c>
      <c r="F69" s="275" t="s">
        <v>3881</v>
      </c>
      <c r="G69" s="233">
        <v>42095</v>
      </c>
      <c r="H69" s="239" t="s">
        <v>288</v>
      </c>
      <c r="I69" s="270">
        <v>45747</v>
      </c>
      <c r="J69" s="242">
        <v>3653</v>
      </c>
      <c r="K69" s="242">
        <v>0</v>
      </c>
      <c r="L69" s="242">
        <v>3653</v>
      </c>
      <c r="M69" s="242">
        <v>8301</v>
      </c>
      <c r="N69" s="242">
        <v>157724</v>
      </c>
      <c r="O69" s="242">
        <v>166025</v>
      </c>
      <c r="P69" s="242">
        <v>3653</v>
      </c>
      <c r="Q69" s="242">
        <v>157724</v>
      </c>
      <c r="R69" s="337">
        <v>365</v>
      </c>
      <c r="S69" s="336">
        <v>15759</v>
      </c>
      <c r="T69" s="336">
        <v>110402</v>
      </c>
      <c r="U69" s="336">
        <v>55623</v>
      </c>
    </row>
    <row r="70" spans="2:21" s="22" customFormat="1" ht="27">
      <c r="B70" s="37">
        <v>63</v>
      </c>
      <c r="C70" s="249" t="s">
        <v>3879</v>
      </c>
      <c r="D70" s="254" t="s">
        <v>314</v>
      </c>
      <c r="E70" s="250">
        <v>109920</v>
      </c>
      <c r="F70" s="275" t="s">
        <v>3881</v>
      </c>
      <c r="G70" s="233">
        <v>42095</v>
      </c>
      <c r="H70" s="239" t="s">
        <v>288</v>
      </c>
      <c r="I70" s="270">
        <v>45747</v>
      </c>
      <c r="J70" s="242">
        <v>3653</v>
      </c>
      <c r="K70" s="242">
        <v>0</v>
      </c>
      <c r="L70" s="242">
        <v>3653</v>
      </c>
      <c r="M70" s="242">
        <v>5496</v>
      </c>
      <c r="N70" s="242">
        <v>104424</v>
      </c>
      <c r="O70" s="242">
        <v>109920</v>
      </c>
      <c r="P70" s="242">
        <v>3653</v>
      </c>
      <c r="Q70" s="242">
        <v>104424</v>
      </c>
      <c r="R70" s="337">
        <v>365</v>
      </c>
      <c r="S70" s="336">
        <v>10434</v>
      </c>
      <c r="T70" s="336">
        <v>73094</v>
      </c>
      <c r="U70" s="336">
        <v>36826</v>
      </c>
    </row>
    <row r="71" spans="2:21" s="22" customFormat="1" ht="27">
      <c r="B71" s="37">
        <v>64</v>
      </c>
      <c r="C71" s="249" t="s">
        <v>3879</v>
      </c>
      <c r="D71" s="254" t="s">
        <v>314</v>
      </c>
      <c r="E71" s="250">
        <v>114500</v>
      </c>
      <c r="F71" s="275" t="s">
        <v>3881</v>
      </c>
      <c r="G71" s="233">
        <v>42095</v>
      </c>
      <c r="H71" s="239" t="s">
        <v>288</v>
      </c>
      <c r="I71" s="270">
        <v>45747</v>
      </c>
      <c r="J71" s="242">
        <v>3653</v>
      </c>
      <c r="K71" s="242">
        <v>0</v>
      </c>
      <c r="L71" s="242">
        <v>3653</v>
      </c>
      <c r="M71" s="242">
        <v>5725</v>
      </c>
      <c r="N71" s="242">
        <v>108775</v>
      </c>
      <c r="O71" s="242">
        <v>114500</v>
      </c>
      <c r="P71" s="242">
        <v>3653</v>
      </c>
      <c r="Q71" s="242">
        <v>108775</v>
      </c>
      <c r="R71" s="337">
        <v>365</v>
      </c>
      <c r="S71" s="336">
        <v>10869</v>
      </c>
      <c r="T71" s="336">
        <v>76141</v>
      </c>
      <c r="U71" s="336">
        <v>38359</v>
      </c>
    </row>
    <row r="72" spans="2:21" s="22" customFormat="1" ht="27">
      <c r="B72" s="37">
        <v>65</v>
      </c>
      <c r="C72" s="249" t="s">
        <v>3879</v>
      </c>
      <c r="D72" s="254" t="s">
        <v>314</v>
      </c>
      <c r="E72" s="250">
        <v>583950</v>
      </c>
      <c r="F72" s="275" t="s">
        <v>3881</v>
      </c>
      <c r="G72" s="233">
        <v>42095</v>
      </c>
      <c r="H72" s="239" t="s">
        <v>288</v>
      </c>
      <c r="I72" s="270">
        <v>45747</v>
      </c>
      <c r="J72" s="242">
        <v>3653</v>
      </c>
      <c r="K72" s="242">
        <v>0</v>
      </c>
      <c r="L72" s="242">
        <v>3653</v>
      </c>
      <c r="M72" s="242">
        <v>29198</v>
      </c>
      <c r="N72" s="242">
        <v>554752</v>
      </c>
      <c r="O72" s="242">
        <v>583950</v>
      </c>
      <c r="P72" s="242">
        <v>3653</v>
      </c>
      <c r="Q72" s="242">
        <v>554753</v>
      </c>
      <c r="R72" s="337">
        <v>365</v>
      </c>
      <c r="S72" s="336">
        <v>55430</v>
      </c>
      <c r="T72" s="336">
        <v>388314</v>
      </c>
      <c r="U72" s="336">
        <v>195636</v>
      </c>
    </row>
    <row r="73" spans="2:21" s="22" customFormat="1" ht="27">
      <c r="B73" s="37">
        <v>66</v>
      </c>
      <c r="C73" s="249" t="s">
        <v>3879</v>
      </c>
      <c r="D73" s="254" t="s">
        <v>314</v>
      </c>
      <c r="E73" s="250">
        <v>11928</v>
      </c>
      <c r="F73" s="275" t="s">
        <v>3881</v>
      </c>
      <c r="G73" s="233">
        <v>42095</v>
      </c>
      <c r="H73" s="239" t="s">
        <v>288</v>
      </c>
      <c r="I73" s="270">
        <v>45747</v>
      </c>
      <c r="J73" s="242">
        <v>3653</v>
      </c>
      <c r="K73" s="242">
        <v>0</v>
      </c>
      <c r="L73" s="242">
        <v>3653</v>
      </c>
      <c r="M73" s="242">
        <v>596</v>
      </c>
      <c r="N73" s="242">
        <v>11332</v>
      </c>
      <c r="O73" s="242">
        <v>11928</v>
      </c>
      <c r="P73" s="242">
        <v>3653</v>
      </c>
      <c r="Q73" s="242">
        <v>11332</v>
      </c>
      <c r="R73" s="337">
        <v>365</v>
      </c>
      <c r="S73" s="336">
        <v>1132</v>
      </c>
      <c r="T73" s="336">
        <v>7930</v>
      </c>
      <c r="U73" s="336">
        <v>3998</v>
      </c>
    </row>
    <row r="74" spans="2:21" s="22" customFormat="1" ht="27">
      <c r="B74" s="37">
        <v>67</v>
      </c>
      <c r="C74" s="249" t="s">
        <v>3879</v>
      </c>
      <c r="D74" s="254" t="s">
        <v>314</v>
      </c>
      <c r="E74" s="250">
        <v>329625</v>
      </c>
      <c r="F74" s="285" t="s">
        <v>3882</v>
      </c>
      <c r="G74" s="233">
        <v>42095</v>
      </c>
      <c r="H74" s="239" t="s">
        <v>288</v>
      </c>
      <c r="I74" s="270">
        <v>45747</v>
      </c>
      <c r="J74" s="242">
        <v>3653</v>
      </c>
      <c r="K74" s="242">
        <v>0</v>
      </c>
      <c r="L74" s="242">
        <v>3653</v>
      </c>
      <c r="M74" s="242">
        <v>16481</v>
      </c>
      <c r="N74" s="242">
        <v>313144</v>
      </c>
      <c r="O74" s="242">
        <v>329625</v>
      </c>
      <c r="P74" s="242">
        <v>3653</v>
      </c>
      <c r="Q74" s="242">
        <v>313144</v>
      </c>
      <c r="R74" s="337">
        <v>365</v>
      </c>
      <c r="S74" s="336">
        <v>31289</v>
      </c>
      <c r="T74" s="336">
        <v>219193</v>
      </c>
      <c r="U74" s="336">
        <v>110432</v>
      </c>
    </row>
    <row r="75" spans="2:21" s="22" customFormat="1" ht="27">
      <c r="B75" s="37">
        <v>68</v>
      </c>
      <c r="C75" s="249" t="s">
        <v>3879</v>
      </c>
      <c r="D75" s="254" t="s">
        <v>314</v>
      </c>
      <c r="E75" s="250">
        <v>361525</v>
      </c>
      <c r="F75" s="285" t="s">
        <v>3882</v>
      </c>
      <c r="G75" s="233">
        <v>42095</v>
      </c>
      <c r="H75" s="239" t="s">
        <v>288</v>
      </c>
      <c r="I75" s="270">
        <v>45747</v>
      </c>
      <c r="J75" s="242">
        <v>3653</v>
      </c>
      <c r="K75" s="242">
        <v>0</v>
      </c>
      <c r="L75" s="242">
        <v>3653</v>
      </c>
      <c r="M75" s="242">
        <v>18076</v>
      </c>
      <c r="N75" s="242">
        <v>343449</v>
      </c>
      <c r="O75" s="242">
        <v>361525</v>
      </c>
      <c r="P75" s="242">
        <v>3653</v>
      </c>
      <c r="Q75" s="242">
        <v>343449</v>
      </c>
      <c r="R75" s="337">
        <v>365</v>
      </c>
      <c r="S75" s="336">
        <v>34317</v>
      </c>
      <c r="T75" s="336">
        <v>240408</v>
      </c>
      <c r="U75" s="336">
        <v>121117</v>
      </c>
    </row>
    <row r="76" spans="2:21" s="22" customFormat="1" ht="27">
      <c r="B76" s="37">
        <v>69</v>
      </c>
      <c r="C76" s="249" t="s">
        <v>3879</v>
      </c>
      <c r="D76" s="254" t="s">
        <v>314</v>
      </c>
      <c r="E76" s="250">
        <v>175445</v>
      </c>
      <c r="F76" s="285" t="s">
        <v>3882</v>
      </c>
      <c r="G76" s="233">
        <v>42095</v>
      </c>
      <c r="H76" s="239" t="s">
        <v>288</v>
      </c>
      <c r="I76" s="270">
        <v>45747</v>
      </c>
      <c r="J76" s="242">
        <v>3653</v>
      </c>
      <c r="K76" s="242">
        <v>0</v>
      </c>
      <c r="L76" s="242">
        <v>3653</v>
      </c>
      <c r="M76" s="242">
        <v>8772</v>
      </c>
      <c r="N76" s="242">
        <v>166673</v>
      </c>
      <c r="O76" s="242">
        <v>175445</v>
      </c>
      <c r="P76" s="242">
        <v>3653</v>
      </c>
      <c r="Q76" s="242">
        <v>166673</v>
      </c>
      <c r="R76" s="337">
        <v>365</v>
      </c>
      <c r="S76" s="336">
        <v>16654</v>
      </c>
      <c r="T76" s="336">
        <v>116668</v>
      </c>
      <c r="U76" s="336">
        <v>58777</v>
      </c>
    </row>
    <row r="77" spans="2:21" s="22" customFormat="1" ht="27">
      <c r="B77" s="37">
        <v>70</v>
      </c>
      <c r="C77" s="249" t="s">
        <v>3879</v>
      </c>
      <c r="D77" s="254" t="s">
        <v>314</v>
      </c>
      <c r="E77" s="250">
        <v>223295</v>
      </c>
      <c r="F77" s="285" t="s">
        <v>3882</v>
      </c>
      <c r="G77" s="233">
        <v>42095</v>
      </c>
      <c r="H77" s="239" t="s">
        <v>288</v>
      </c>
      <c r="I77" s="270">
        <v>45747</v>
      </c>
      <c r="J77" s="242">
        <v>3653</v>
      </c>
      <c r="K77" s="242">
        <v>0</v>
      </c>
      <c r="L77" s="242">
        <v>3653</v>
      </c>
      <c r="M77" s="242">
        <v>11165</v>
      </c>
      <c r="N77" s="242">
        <v>212130</v>
      </c>
      <c r="O77" s="242">
        <v>223295</v>
      </c>
      <c r="P77" s="242">
        <v>3653</v>
      </c>
      <c r="Q77" s="242">
        <v>212130</v>
      </c>
      <c r="R77" s="337">
        <v>365</v>
      </c>
      <c r="S77" s="336">
        <v>21196</v>
      </c>
      <c r="T77" s="336">
        <v>148488</v>
      </c>
      <c r="U77" s="336">
        <v>74807</v>
      </c>
    </row>
    <row r="78" spans="2:21" s="22" customFormat="1" ht="27">
      <c r="B78" s="37">
        <v>71</v>
      </c>
      <c r="C78" s="249" t="s">
        <v>3879</v>
      </c>
      <c r="D78" s="254" t="s">
        <v>314</v>
      </c>
      <c r="E78" s="250">
        <v>233928</v>
      </c>
      <c r="F78" s="285" t="s">
        <v>3882</v>
      </c>
      <c r="G78" s="233">
        <v>42095</v>
      </c>
      <c r="H78" s="239" t="s">
        <v>288</v>
      </c>
      <c r="I78" s="270">
        <v>45747</v>
      </c>
      <c r="J78" s="242">
        <v>3653</v>
      </c>
      <c r="K78" s="242">
        <v>0</v>
      </c>
      <c r="L78" s="242">
        <v>3653</v>
      </c>
      <c r="M78" s="242">
        <v>11696</v>
      </c>
      <c r="N78" s="242">
        <v>222232</v>
      </c>
      <c r="O78" s="242">
        <v>233928</v>
      </c>
      <c r="P78" s="242">
        <v>3653</v>
      </c>
      <c r="Q78" s="242">
        <v>222232</v>
      </c>
      <c r="R78" s="337">
        <v>365</v>
      </c>
      <c r="S78" s="336">
        <v>22205</v>
      </c>
      <c r="T78" s="336">
        <v>155557</v>
      </c>
      <c r="U78" s="336">
        <v>78371</v>
      </c>
    </row>
    <row r="79" spans="2:21" s="22" customFormat="1" ht="27">
      <c r="B79" s="37">
        <v>72</v>
      </c>
      <c r="C79" s="249" t="s">
        <v>3879</v>
      </c>
      <c r="D79" s="254" t="s">
        <v>314</v>
      </c>
      <c r="E79" s="250">
        <v>46786</v>
      </c>
      <c r="F79" s="285" t="s">
        <v>3882</v>
      </c>
      <c r="G79" s="233">
        <v>42095</v>
      </c>
      <c r="H79" s="239" t="s">
        <v>288</v>
      </c>
      <c r="I79" s="270">
        <v>45747</v>
      </c>
      <c r="J79" s="242">
        <v>3653</v>
      </c>
      <c r="K79" s="242">
        <v>0</v>
      </c>
      <c r="L79" s="242">
        <v>3653</v>
      </c>
      <c r="M79" s="242">
        <v>2339</v>
      </c>
      <c r="N79" s="242">
        <v>44447</v>
      </c>
      <c r="O79" s="242">
        <v>46786</v>
      </c>
      <c r="P79" s="242">
        <v>3653</v>
      </c>
      <c r="Q79" s="242">
        <v>44447</v>
      </c>
      <c r="R79" s="337">
        <v>365</v>
      </c>
      <c r="S79" s="336">
        <v>4441</v>
      </c>
      <c r="T79" s="336">
        <v>31111</v>
      </c>
      <c r="U79" s="336">
        <v>15675</v>
      </c>
    </row>
    <row r="80" spans="2:21" s="22" customFormat="1" ht="27">
      <c r="B80" s="37">
        <v>73</v>
      </c>
      <c r="C80" s="249" t="s">
        <v>3879</v>
      </c>
      <c r="D80" s="254" t="s">
        <v>314</v>
      </c>
      <c r="E80" s="250">
        <v>116964</v>
      </c>
      <c r="F80" s="285" t="s">
        <v>3882</v>
      </c>
      <c r="G80" s="233">
        <v>42095</v>
      </c>
      <c r="H80" s="239" t="s">
        <v>288</v>
      </c>
      <c r="I80" s="270">
        <v>45747</v>
      </c>
      <c r="J80" s="242">
        <v>3653</v>
      </c>
      <c r="K80" s="242">
        <v>0</v>
      </c>
      <c r="L80" s="242">
        <v>3653</v>
      </c>
      <c r="M80" s="242">
        <v>5848</v>
      </c>
      <c r="N80" s="242">
        <v>111116</v>
      </c>
      <c r="O80" s="242">
        <v>116964</v>
      </c>
      <c r="P80" s="242">
        <v>3653</v>
      </c>
      <c r="Q80" s="242">
        <v>111116</v>
      </c>
      <c r="R80" s="337">
        <v>365</v>
      </c>
      <c r="S80" s="336">
        <v>11102</v>
      </c>
      <c r="T80" s="336">
        <v>77776</v>
      </c>
      <c r="U80" s="336">
        <v>39188</v>
      </c>
    </row>
    <row r="81" spans="2:21" s="22" customFormat="1" ht="27">
      <c r="B81" s="37">
        <v>74</v>
      </c>
      <c r="C81" s="249" t="s">
        <v>3879</v>
      </c>
      <c r="D81" s="254" t="s">
        <v>314</v>
      </c>
      <c r="E81" s="250">
        <v>127598</v>
      </c>
      <c r="F81" s="285" t="s">
        <v>3882</v>
      </c>
      <c r="G81" s="233">
        <v>42095</v>
      </c>
      <c r="H81" s="239" t="s">
        <v>288</v>
      </c>
      <c r="I81" s="270">
        <v>45747</v>
      </c>
      <c r="J81" s="242">
        <v>3653</v>
      </c>
      <c r="K81" s="242">
        <v>0</v>
      </c>
      <c r="L81" s="242">
        <v>3653</v>
      </c>
      <c r="M81" s="242">
        <v>6380</v>
      </c>
      <c r="N81" s="242">
        <v>121218</v>
      </c>
      <c r="O81" s="242">
        <v>127598</v>
      </c>
      <c r="P81" s="242">
        <v>3653</v>
      </c>
      <c r="Q81" s="242">
        <v>121218</v>
      </c>
      <c r="R81" s="337">
        <v>365</v>
      </c>
      <c r="S81" s="336">
        <v>12112</v>
      </c>
      <c r="T81" s="336">
        <v>84850</v>
      </c>
      <c r="U81" s="336">
        <v>42748</v>
      </c>
    </row>
    <row r="82" spans="2:21" s="22" customFormat="1" ht="27">
      <c r="B82" s="37">
        <v>75</v>
      </c>
      <c r="C82" s="249" t="s">
        <v>3879</v>
      </c>
      <c r="D82" s="254" t="s">
        <v>314</v>
      </c>
      <c r="E82" s="250">
        <v>52102</v>
      </c>
      <c r="F82" s="285" t="s">
        <v>3882</v>
      </c>
      <c r="G82" s="233">
        <v>42095</v>
      </c>
      <c r="H82" s="239" t="s">
        <v>288</v>
      </c>
      <c r="I82" s="270">
        <v>45747</v>
      </c>
      <c r="J82" s="242">
        <v>3653</v>
      </c>
      <c r="K82" s="242">
        <v>0</v>
      </c>
      <c r="L82" s="242">
        <v>3653</v>
      </c>
      <c r="M82" s="242">
        <v>2605</v>
      </c>
      <c r="N82" s="242">
        <v>49497</v>
      </c>
      <c r="O82" s="242">
        <v>52102</v>
      </c>
      <c r="P82" s="242">
        <v>3653</v>
      </c>
      <c r="Q82" s="242">
        <v>49497</v>
      </c>
      <c r="R82" s="337">
        <v>365</v>
      </c>
      <c r="S82" s="336">
        <v>4946</v>
      </c>
      <c r="T82" s="336">
        <v>34648</v>
      </c>
      <c r="U82" s="336">
        <v>17454</v>
      </c>
    </row>
    <row r="83" spans="2:21" s="22" customFormat="1" ht="27">
      <c r="B83" s="37">
        <v>76</v>
      </c>
      <c r="C83" s="249" t="s">
        <v>3879</v>
      </c>
      <c r="D83" s="254" t="s">
        <v>314</v>
      </c>
      <c r="E83" s="250">
        <v>52102</v>
      </c>
      <c r="F83" s="285" t="s">
        <v>3882</v>
      </c>
      <c r="G83" s="233">
        <v>42095</v>
      </c>
      <c r="H83" s="239" t="s">
        <v>288</v>
      </c>
      <c r="I83" s="270">
        <v>45747</v>
      </c>
      <c r="J83" s="242">
        <v>3653</v>
      </c>
      <c r="K83" s="242">
        <v>0</v>
      </c>
      <c r="L83" s="242">
        <v>3653</v>
      </c>
      <c r="M83" s="242">
        <v>2605</v>
      </c>
      <c r="N83" s="242">
        <v>49497</v>
      </c>
      <c r="O83" s="242">
        <v>52102</v>
      </c>
      <c r="P83" s="242">
        <v>3653</v>
      </c>
      <c r="Q83" s="242">
        <v>49497</v>
      </c>
      <c r="R83" s="337">
        <v>365</v>
      </c>
      <c r="S83" s="336">
        <v>4946</v>
      </c>
      <c r="T83" s="336">
        <v>34648</v>
      </c>
      <c r="U83" s="336">
        <v>17454</v>
      </c>
    </row>
    <row r="84" spans="2:21" s="22" customFormat="1" ht="27">
      <c r="B84" s="37">
        <v>77</v>
      </c>
      <c r="C84" s="249" t="s">
        <v>3879</v>
      </c>
      <c r="D84" s="254" t="s">
        <v>314</v>
      </c>
      <c r="E84" s="250">
        <v>47850</v>
      </c>
      <c r="F84" s="285" t="s">
        <v>3882</v>
      </c>
      <c r="G84" s="233">
        <v>42095</v>
      </c>
      <c r="H84" s="239" t="s">
        <v>288</v>
      </c>
      <c r="I84" s="270">
        <v>45747</v>
      </c>
      <c r="J84" s="242">
        <v>3653</v>
      </c>
      <c r="K84" s="242">
        <v>0</v>
      </c>
      <c r="L84" s="242">
        <v>3653</v>
      </c>
      <c r="M84" s="242">
        <v>2393</v>
      </c>
      <c r="N84" s="242">
        <v>45457</v>
      </c>
      <c r="O84" s="242">
        <v>47850</v>
      </c>
      <c r="P84" s="242">
        <v>3653</v>
      </c>
      <c r="Q84" s="242">
        <v>45458</v>
      </c>
      <c r="R84" s="337">
        <v>365</v>
      </c>
      <c r="S84" s="336">
        <v>4542</v>
      </c>
      <c r="T84" s="336">
        <v>31820</v>
      </c>
      <c r="U84" s="336">
        <v>16030</v>
      </c>
    </row>
    <row r="85" spans="2:21" s="22" customFormat="1" ht="27">
      <c r="B85" s="37">
        <v>78</v>
      </c>
      <c r="C85" s="249" t="s">
        <v>3879</v>
      </c>
      <c r="D85" s="254" t="s">
        <v>314</v>
      </c>
      <c r="E85" s="250">
        <v>80812</v>
      </c>
      <c r="F85" s="285" t="s">
        <v>3882</v>
      </c>
      <c r="G85" s="233">
        <v>42095</v>
      </c>
      <c r="H85" s="239" t="s">
        <v>288</v>
      </c>
      <c r="I85" s="270">
        <v>45747</v>
      </c>
      <c r="J85" s="242">
        <v>3653</v>
      </c>
      <c r="K85" s="242">
        <v>0</v>
      </c>
      <c r="L85" s="242">
        <v>3653</v>
      </c>
      <c r="M85" s="242">
        <v>4041</v>
      </c>
      <c r="N85" s="242">
        <v>76771</v>
      </c>
      <c r="O85" s="242">
        <v>80812</v>
      </c>
      <c r="P85" s="242">
        <v>3653</v>
      </c>
      <c r="Q85" s="242">
        <v>76771</v>
      </c>
      <c r="R85" s="337">
        <v>365</v>
      </c>
      <c r="S85" s="336">
        <v>7671</v>
      </c>
      <c r="T85" s="336">
        <v>53739</v>
      </c>
      <c r="U85" s="336">
        <v>27073</v>
      </c>
    </row>
    <row r="86" spans="2:21" s="22" customFormat="1" ht="27">
      <c r="B86" s="37">
        <v>79</v>
      </c>
      <c r="C86" s="249" t="s">
        <v>3879</v>
      </c>
      <c r="D86" s="254" t="s">
        <v>314</v>
      </c>
      <c r="E86" s="250">
        <v>398742</v>
      </c>
      <c r="F86" s="285" t="s">
        <v>3882</v>
      </c>
      <c r="G86" s="233">
        <v>42095</v>
      </c>
      <c r="H86" s="239" t="s">
        <v>288</v>
      </c>
      <c r="I86" s="270">
        <v>45747</v>
      </c>
      <c r="J86" s="242">
        <v>3653</v>
      </c>
      <c r="K86" s="242">
        <v>0</v>
      </c>
      <c r="L86" s="242">
        <v>3653</v>
      </c>
      <c r="M86" s="242">
        <v>19937</v>
      </c>
      <c r="N86" s="242">
        <v>378805</v>
      </c>
      <c r="O86" s="242">
        <v>398742</v>
      </c>
      <c r="P86" s="242">
        <v>3653</v>
      </c>
      <c r="Q86" s="242">
        <v>378805</v>
      </c>
      <c r="R86" s="337">
        <v>365</v>
      </c>
      <c r="S86" s="336">
        <v>37849</v>
      </c>
      <c r="T86" s="336">
        <v>265151</v>
      </c>
      <c r="U86" s="336">
        <v>133591</v>
      </c>
    </row>
    <row r="87" spans="2:21" s="22" customFormat="1" ht="27">
      <c r="B87" s="37">
        <v>80</v>
      </c>
      <c r="C87" s="249" t="s">
        <v>3879</v>
      </c>
      <c r="D87" s="254" t="s">
        <v>314</v>
      </c>
      <c r="E87" s="250">
        <v>154180</v>
      </c>
      <c r="F87" s="285" t="s">
        <v>3882</v>
      </c>
      <c r="G87" s="233">
        <v>42095</v>
      </c>
      <c r="H87" s="239" t="s">
        <v>288</v>
      </c>
      <c r="I87" s="270">
        <v>45747</v>
      </c>
      <c r="J87" s="242">
        <v>3653</v>
      </c>
      <c r="K87" s="242">
        <v>0</v>
      </c>
      <c r="L87" s="242">
        <v>3653</v>
      </c>
      <c r="M87" s="242">
        <v>7709</v>
      </c>
      <c r="N87" s="242">
        <v>146471</v>
      </c>
      <c r="O87" s="242">
        <v>154180</v>
      </c>
      <c r="P87" s="242">
        <v>3653</v>
      </c>
      <c r="Q87" s="242">
        <v>146471</v>
      </c>
      <c r="R87" s="337">
        <v>365</v>
      </c>
      <c r="S87" s="336">
        <v>14635</v>
      </c>
      <c r="T87" s="336">
        <v>102525</v>
      </c>
      <c r="U87" s="336">
        <v>51655</v>
      </c>
    </row>
    <row r="88" spans="2:21" s="22" customFormat="1" ht="27">
      <c r="B88" s="37">
        <v>81</v>
      </c>
      <c r="C88" s="249" t="s">
        <v>3879</v>
      </c>
      <c r="D88" s="254" t="s">
        <v>314</v>
      </c>
      <c r="E88" s="250">
        <v>38280</v>
      </c>
      <c r="F88" s="285" t="s">
        <v>3882</v>
      </c>
      <c r="G88" s="233">
        <v>42095</v>
      </c>
      <c r="H88" s="239" t="s">
        <v>288</v>
      </c>
      <c r="I88" s="270">
        <v>45747</v>
      </c>
      <c r="J88" s="242">
        <v>3653</v>
      </c>
      <c r="K88" s="242">
        <v>0</v>
      </c>
      <c r="L88" s="242">
        <v>3653</v>
      </c>
      <c r="M88" s="242">
        <v>1914</v>
      </c>
      <c r="N88" s="242">
        <v>36366</v>
      </c>
      <c r="O88" s="242">
        <v>38280</v>
      </c>
      <c r="P88" s="242">
        <v>3653</v>
      </c>
      <c r="Q88" s="242">
        <v>36366</v>
      </c>
      <c r="R88" s="337">
        <v>365</v>
      </c>
      <c r="S88" s="336">
        <v>3634</v>
      </c>
      <c r="T88" s="336">
        <v>25458</v>
      </c>
      <c r="U88" s="336">
        <v>12822</v>
      </c>
    </row>
    <row r="89" spans="2:21" s="22" customFormat="1" ht="27">
      <c r="B89" s="37">
        <v>82</v>
      </c>
      <c r="C89" s="249" t="s">
        <v>3879</v>
      </c>
      <c r="D89" s="254" t="s">
        <v>314</v>
      </c>
      <c r="E89" s="250">
        <v>164814</v>
      </c>
      <c r="F89" s="285" t="s">
        <v>3882</v>
      </c>
      <c r="G89" s="233">
        <v>42095</v>
      </c>
      <c r="H89" s="239" t="s">
        <v>288</v>
      </c>
      <c r="I89" s="270">
        <v>45747</v>
      </c>
      <c r="J89" s="242">
        <v>3653</v>
      </c>
      <c r="K89" s="242">
        <v>0</v>
      </c>
      <c r="L89" s="242">
        <v>3653</v>
      </c>
      <c r="M89" s="242">
        <v>8241</v>
      </c>
      <c r="N89" s="242">
        <v>156573</v>
      </c>
      <c r="O89" s="242">
        <v>164814</v>
      </c>
      <c r="P89" s="242">
        <v>3653</v>
      </c>
      <c r="Q89" s="242">
        <v>156573</v>
      </c>
      <c r="R89" s="337">
        <v>365</v>
      </c>
      <c r="S89" s="336">
        <v>15644</v>
      </c>
      <c r="T89" s="336">
        <v>109594</v>
      </c>
      <c r="U89" s="336">
        <v>55220</v>
      </c>
    </row>
    <row r="90" spans="2:21" s="22" customFormat="1" ht="27">
      <c r="B90" s="37">
        <v>83</v>
      </c>
      <c r="C90" s="249" t="s">
        <v>3879</v>
      </c>
      <c r="D90" s="254" t="s">
        <v>314</v>
      </c>
      <c r="E90" s="250">
        <v>138230</v>
      </c>
      <c r="F90" s="285" t="s">
        <v>3882</v>
      </c>
      <c r="G90" s="233">
        <v>42095</v>
      </c>
      <c r="H90" s="239" t="s">
        <v>288</v>
      </c>
      <c r="I90" s="270">
        <v>45747</v>
      </c>
      <c r="J90" s="242">
        <v>3653</v>
      </c>
      <c r="K90" s="242">
        <v>0</v>
      </c>
      <c r="L90" s="242">
        <v>3653</v>
      </c>
      <c r="M90" s="242">
        <v>6912</v>
      </c>
      <c r="N90" s="242">
        <v>131318</v>
      </c>
      <c r="O90" s="242">
        <v>138230</v>
      </c>
      <c r="P90" s="242">
        <v>3653</v>
      </c>
      <c r="Q90" s="242">
        <v>131319</v>
      </c>
      <c r="R90" s="337">
        <v>365</v>
      </c>
      <c r="S90" s="336">
        <v>13121</v>
      </c>
      <c r="T90" s="336">
        <v>91919</v>
      </c>
      <c r="U90" s="336">
        <v>46311</v>
      </c>
    </row>
    <row r="91" spans="2:21" s="22" customFormat="1" ht="27">
      <c r="B91" s="37">
        <v>84</v>
      </c>
      <c r="C91" s="249" t="s">
        <v>3879</v>
      </c>
      <c r="D91" s="254" t="s">
        <v>314</v>
      </c>
      <c r="E91" s="250">
        <v>202030</v>
      </c>
      <c r="F91" s="285" t="s">
        <v>3882</v>
      </c>
      <c r="G91" s="233">
        <v>42095</v>
      </c>
      <c r="H91" s="239" t="s">
        <v>288</v>
      </c>
      <c r="I91" s="270">
        <v>45747</v>
      </c>
      <c r="J91" s="242">
        <v>3653</v>
      </c>
      <c r="K91" s="242">
        <v>0</v>
      </c>
      <c r="L91" s="242">
        <v>3653</v>
      </c>
      <c r="M91" s="242">
        <v>10102</v>
      </c>
      <c r="N91" s="242">
        <v>191928</v>
      </c>
      <c r="O91" s="242">
        <v>202030</v>
      </c>
      <c r="P91" s="242">
        <v>3653</v>
      </c>
      <c r="Q91" s="242">
        <v>191929</v>
      </c>
      <c r="R91" s="337">
        <v>365</v>
      </c>
      <c r="S91" s="336">
        <v>19177</v>
      </c>
      <c r="T91" s="336">
        <v>134345</v>
      </c>
      <c r="U91" s="336">
        <v>67685</v>
      </c>
    </row>
    <row r="92" spans="2:21" s="22" customFormat="1" ht="27">
      <c r="B92" s="37">
        <v>85</v>
      </c>
      <c r="C92" s="249" t="s">
        <v>3879</v>
      </c>
      <c r="D92" s="254" t="s">
        <v>314</v>
      </c>
      <c r="E92" s="250">
        <v>57418</v>
      </c>
      <c r="F92" s="285" t="s">
        <v>3882</v>
      </c>
      <c r="G92" s="233">
        <v>42095</v>
      </c>
      <c r="H92" s="239" t="s">
        <v>288</v>
      </c>
      <c r="I92" s="270">
        <v>45747</v>
      </c>
      <c r="J92" s="242">
        <v>3653</v>
      </c>
      <c r="K92" s="242">
        <v>0</v>
      </c>
      <c r="L92" s="242">
        <v>3653</v>
      </c>
      <c r="M92" s="242">
        <v>2871</v>
      </c>
      <c r="N92" s="242">
        <v>54547</v>
      </c>
      <c r="O92" s="242">
        <v>57418</v>
      </c>
      <c r="P92" s="242">
        <v>3653</v>
      </c>
      <c r="Q92" s="242">
        <v>54547</v>
      </c>
      <c r="R92" s="337">
        <v>365</v>
      </c>
      <c r="S92" s="336">
        <v>5450</v>
      </c>
      <c r="T92" s="336">
        <v>38180</v>
      </c>
      <c r="U92" s="336">
        <v>19238</v>
      </c>
    </row>
    <row r="93" spans="2:21" s="22" customFormat="1" ht="27">
      <c r="B93" s="37">
        <v>86</v>
      </c>
      <c r="C93" s="249" t="s">
        <v>3879</v>
      </c>
      <c r="D93" s="254" t="s">
        <v>314</v>
      </c>
      <c r="E93" s="250">
        <v>132914</v>
      </c>
      <c r="F93" s="285" t="s">
        <v>3882</v>
      </c>
      <c r="G93" s="233">
        <v>42095</v>
      </c>
      <c r="H93" s="239" t="s">
        <v>288</v>
      </c>
      <c r="I93" s="270">
        <v>45747</v>
      </c>
      <c r="J93" s="242">
        <v>3653</v>
      </c>
      <c r="K93" s="242">
        <v>0</v>
      </c>
      <c r="L93" s="242">
        <v>3653</v>
      </c>
      <c r="M93" s="242">
        <v>6646</v>
      </c>
      <c r="N93" s="242">
        <v>126268</v>
      </c>
      <c r="O93" s="242">
        <v>132914</v>
      </c>
      <c r="P93" s="242">
        <v>3653</v>
      </c>
      <c r="Q93" s="242">
        <v>126268</v>
      </c>
      <c r="R93" s="337">
        <v>365</v>
      </c>
      <c r="S93" s="336">
        <v>12616</v>
      </c>
      <c r="T93" s="336">
        <v>88382</v>
      </c>
      <c r="U93" s="336">
        <v>44532</v>
      </c>
    </row>
    <row r="94" spans="2:21" s="22" customFormat="1" ht="27">
      <c r="B94" s="37">
        <v>87</v>
      </c>
      <c r="C94" s="249" t="s">
        <v>3879</v>
      </c>
      <c r="D94" s="254" t="s">
        <v>314</v>
      </c>
      <c r="E94" s="250">
        <v>89318</v>
      </c>
      <c r="F94" s="285" t="s">
        <v>3882</v>
      </c>
      <c r="G94" s="233">
        <v>42095</v>
      </c>
      <c r="H94" s="239" t="s">
        <v>288</v>
      </c>
      <c r="I94" s="270">
        <v>45747</v>
      </c>
      <c r="J94" s="242">
        <v>3653</v>
      </c>
      <c r="K94" s="242">
        <v>0</v>
      </c>
      <c r="L94" s="242">
        <v>3653</v>
      </c>
      <c r="M94" s="242">
        <v>4466</v>
      </c>
      <c r="N94" s="242">
        <v>84852</v>
      </c>
      <c r="O94" s="242">
        <v>89318</v>
      </c>
      <c r="P94" s="242">
        <v>3653</v>
      </c>
      <c r="Q94" s="242">
        <v>84852</v>
      </c>
      <c r="R94" s="337">
        <v>365</v>
      </c>
      <c r="S94" s="336">
        <v>8478</v>
      </c>
      <c r="T94" s="336">
        <v>59392</v>
      </c>
      <c r="U94" s="336">
        <v>29926</v>
      </c>
    </row>
    <row r="95" spans="2:21" s="22" customFormat="1" ht="27">
      <c r="B95" s="37">
        <v>88</v>
      </c>
      <c r="C95" s="249" t="s">
        <v>3879</v>
      </c>
      <c r="D95" s="254" t="s">
        <v>314</v>
      </c>
      <c r="E95" s="250">
        <v>382792</v>
      </c>
      <c r="F95" s="285" t="s">
        <v>3882</v>
      </c>
      <c r="G95" s="233">
        <v>42095</v>
      </c>
      <c r="H95" s="239" t="s">
        <v>288</v>
      </c>
      <c r="I95" s="270">
        <v>45747</v>
      </c>
      <c r="J95" s="242">
        <v>3653</v>
      </c>
      <c r="K95" s="242">
        <v>0</v>
      </c>
      <c r="L95" s="242">
        <v>3653</v>
      </c>
      <c r="M95" s="242">
        <v>19140</v>
      </c>
      <c r="N95" s="242">
        <v>363652</v>
      </c>
      <c r="O95" s="242">
        <v>382792</v>
      </c>
      <c r="P95" s="242">
        <v>3653</v>
      </c>
      <c r="Q95" s="242">
        <v>363652</v>
      </c>
      <c r="R95" s="337">
        <v>365</v>
      </c>
      <c r="S95" s="336">
        <v>36335</v>
      </c>
      <c r="T95" s="336">
        <v>254545</v>
      </c>
      <c r="U95" s="336">
        <v>128247</v>
      </c>
    </row>
    <row r="96" spans="2:21" s="22" customFormat="1">
      <c r="B96" s="37"/>
      <c r="C96" s="249"/>
      <c r="D96" s="254"/>
      <c r="E96" s="250"/>
      <c r="F96" s="249"/>
      <c r="G96" s="233"/>
      <c r="H96" s="228"/>
      <c r="I96" s="321"/>
      <c r="J96" s="322"/>
      <c r="K96" s="322"/>
      <c r="L96" s="322"/>
      <c r="M96" s="322"/>
      <c r="N96" s="322"/>
      <c r="O96" s="322"/>
      <c r="P96" s="322"/>
      <c r="Q96" s="338"/>
      <c r="R96" s="339"/>
      <c r="S96" s="322"/>
      <c r="T96" s="322"/>
      <c r="U96" s="239"/>
    </row>
    <row r="97" spans="2:21" s="22" customFormat="1" ht="14.25">
      <c r="B97" s="6" t="s">
        <v>91</v>
      </c>
      <c r="C97" s="229"/>
      <c r="D97" s="230"/>
      <c r="E97" s="252"/>
      <c r="F97" s="230"/>
      <c r="G97" s="230"/>
      <c r="H97" s="228"/>
      <c r="I97" s="228"/>
      <c r="J97" s="228"/>
      <c r="K97" s="228"/>
      <c r="L97" s="228"/>
      <c r="M97" s="242"/>
      <c r="N97" s="228"/>
      <c r="O97" s="242"/>
      <c r="P97" s="242"/>
      <c r="Q97" s="272"/>
      <c r="R97" s="318"/>
      <c r="S97" s="242"/>
      <c r="T97" s="242"/>
      <c r="U97" s="228"/>
    </row>
    <row r="98" spans="2:21" s="22" customFormat="1" ht="27">
      <c r="B98" s="15">
        <v>1</v>
      </c>
      <c r="C98" s="249" t="s">
        <v>215</v>
      </c>
      <c r="D98" s="254">
        <v>1</v>
      </c>
      <c r="E98" s="250">
        <v>20740</v>
      </c>
      <c r="F98" s="230" t="s">
        <v>450</v>
      </c>
      <c r="G98" s="232">
        <v>40309</v>
      </c>
      <c r="H98" s="228" t="s">
        <v>161</v>
      </c>
      <c r="I98" s="270">
        <v>43961</v>
      </c>
      <c r="J98" s="242">
        <v>3653</v>
      </c>
      <c r="K98" s="242">
        <v>1421</v>
      </c>
      <c r="L98" s="242">
        <v>2232</v>
      </c>
      <c r="M98" s="242">
        <v>1037</v>
      </c>
      <c r="N98" s="242">
        <v>14596</v>
      </c>
      <c r="O98" s="242">
        <v>13246</v>
      </c>
      <c r="P98" s="242">
        <v>1867</v>
      </c>
      <c r="Q98" s="242">
        <v>12209</v>
      </c>
      <c r="R98" s="337">
        <v>0</v>
      </c>
      <c r="S98" s="336">
        <v>0</v>
      </c>
      <c r="T98" s="336">
        <v>13246</v>
      </c>
      <c r="U98" s="336">
        <v>0</v>
      </c>
    </row>
    <row r="99" spans="2:21" s="22" customFormat="1" ht="40.5">
      <c r="B99" s="15">
        <v>2</v>
      </c>
      <c r="C99" s="249" t="s">
        <v>595</v>
      </c>
      <c r="D99" s="254">
        <v>2</v>
      </c>
      <c r="E99" s="250">
        <v>518600</v>
      </c>
      <c r="F99" s="230" t="s">
        <v>1014</v>
      </c>
      <c r="G99" s="232">
        <v>40560</v>
      </c>
      <c r="H99" s="228" t="s">
        <v>368</v>
      </c>
      <c r="I99" s="270">
        <v>44212</v>
      </c>
      <c r="J99" s="242">
        <v>3653</v>
      </c>
      <c r="K99" s="242">
        <v>1170</v>
      </c>
      <c r="L99" s="242">
        <v>2483</v>
      </c>
      <c r="M99" s="242">
        <v>25930</v>
      </c>
      <c r="N99" s="242">
        <v>387533</v>
      </c>
      <c r="O99" s="242">
        <v>356496</v>
      </c>
      <c r="P99" s="242">
        <v>2118</v>
      </c>
      <c r="Q99" s="242">
        <v>330566</v>
      </c>
      <c r="R99" s="337">
        <v>0</v>
      </c>
      <c r="S99" s="336">
        <v>0</v>
      </c>
      <c r="T99" s="336">
        <v>356496</v>
      </c>
      <c r="U99" s="336">
        <v>0</v>
      </c>
    </row>
    <row r="100" spans="2:21" s="22" customFormat="1">
      <c r="B100" s="15">
        <v>1</v>
      </c>
      <c r="C100" s="249" t="s">
        <v>1248</v>
      </c>
      <c r="D100" s="254" t="s">
        <v>314</v>
      </c>
      <c r="E100" s="250">
        <v>1442420</v>
      </c>
      <c r="F100" s="230" t="s">
        <v>42</v>
      </c>
      <c r="G100" s="232">
        <v>40634</v>
      </c>
      <c r="H100" s="228" t="s">
        <v>368</v>
      </c>
      <c r="I100" s="270">
        <v>44286</v>
      </c>
      <c r="J100" s="242">
        <v>3653</v>
      </c>
      <c r="K100" s="242">
        <v>1096</v>
      </c>
      <c r="L100" s="242">
        <v>2557</v>
      </c>
      <c r="M100" s="242">
        <v>72121</v>
      </c>
      <c r="N100" s="242">
        <v>1096383</v>
      </c>
      <c r="O100" s="242">
        <v>1012000</v>
      </c>
      <c r="P100" s="242">
        <v>2192</v>
      </c>
      <c r="Q100" s="242">
        <v>939879</v>
      </c>
      <c r="R100" s="337">
        <v>0</v>
      </c>
      <c r="S100" s="336">
        <v>0</v>
      </c>
      <c r="T100" s="336">
        <v>1012000</v>
      </c>
      <c r="U100" s="336">
        <v>0</v>
      </c>
    </row>
    <row r="101" spans="2:21" s="22" customFormat="1">
      <c r="B101" s="15">
        <v>2</v>
      </c>
      <c r="C101" s="249" t="s">
        <v>1248</v>
      </c>
      <c r="D101" s="254" t="s">
        <v>314</v>
      </c>
      <c r="E101" s="250">
        <v>1325437</v>
      </c>
      <c r="F101" s="230" t="s">
        <v>42</v>
      </c>
      <c r="G101" s="232">
        <v>40634</v>
      </c>
      <c r="H101" s="228" t="s">
        <v>368</v>
      </c>
      <c r="I101" s="270">
        <v>44286</v>
      </c>
      <c r="J101" s="242">
        <v>3653</v>
      </c>
      <c r="K101" s="242">
        <v>1096</v>
      </c>
      <c r="L101" s="242">
        <v>2557</v>
      </c>
      <c r="M101" s="242">
        <v>66272</v>
      </c>
      <c r="N101" s="242">
        <v>1007465</v>
      </c>
      <c r="O101" s="242">
        <v>929926</v>
      </c>
      <c r="P101" s="242">
        <v>2192</v>
      </c>
      <c r="Q101" s="242">
        <v>863654</v>
      </c>
      <c r="R101" s="337">
        <v>0</v>
      </c>
      <c r="S101" s="336">
        <v>0</v>
      </c>
      <c r="T101" s="336">
        <v>929926</v>
      </c>
      <c r="U101" s="336">
        <v>0</v>
      </c>
    </row>
    <row r="102" spans="2:21" s="22" customFormat="1" ht="27">
      <c r="B102" s="15">
        <v>3</v>
      </c>
      <c r="C102" s="249" t="s">
        <v>1426</v>
      </c>
      <c r="D102" s="254" t="s">
        <v>314</v>
      </c>
      <c r="E102" s="250">
        <v>87156</v>
      </c>
      <c r="F102" s="230" t="s">
        <v>1427</v>
      </c>
      <c r="G102" s="232">
        <v>40844</v>
      </c>
      <c r="H102" s="228" t="s">
        <v>119</v>
      </c>
      <c r="I102" s="270">
        <v>44496</v>
      </c>
      <c r="J102" s="242">
        <v>3653</v>
      </c>
      <c r="K102" s="242">
        <v>886</v>
      </c>
      <c r="L102" s="242">
        <v>2767</v>
      </c>
      <c r="M102" s="242">
        <v>4358</v>
      </c>
      <c r="N102" s="242">
        <v>69412</v>
      </c>
      <c r="O102" s="242">
        <v>64614</v>
      </c>
      <c r="P102" s="242">
        <v>2402</v>
      </c>
      <c r="Q102" s="242">
        <v>60256</v>
      </c>
      <c r="R102" s="337">
        <v>210</v>
      </c>
      <c r="S102" s="336">
        <v>9628</v>
      </c>
      <c r="T102" s="336">
        <v>64614</v>
      </c>
      <c r="U102" s="336">
        <v>0</v>
      </c>
    </row>
    <row r="103" spans="2:21" s="22" customFormat="1" ht="40.5">
      <c r="B103" s="15">
        <v>4</v>
      </c>
      <c r="C103" s="249" t="s">
        <v>1428</v>
      </c>
      <c r="D103" s="254" t="s">
        <v>314</v>
      </c>
      <c r="E103" s="250">
        <v>193792</v>
      </c>
      <c r="F103" s="230" t="s">
        <v>1429</v>
      </c>
      <c r="G103" s="232">
        <v>40828</v>
      </c>
      <c r="H103" s="228" t="s">
        <v>368</v>
      </c>
      <c r="I103" s="270">
        <v>44480</v>
      </c>
      <c r="J103" s="242">
        <v>3653</v>
      </c>
      <c r="K103" s="242">
        <v>902</v>
      </c>
      <c r="L103" s="242">
        <v>2751</v>
      </c>
      <c r="M103" s="242">
        <v>9690</v>
      </c>
      <c r="N103" s="242">
        <v>153803</v>
      </c>
      <c r="O103" s="242">
        <v>143087</v>
      </c>
      <c r="P103" s="242">
        <v>2386</v>
      </c>
      <c r="Q103" s="242">
        <v>133397</v>
      </c>
      <c r="R103" s="337">
        <v>194</v>
      </c>
      <c r="S103" s="336">
        <v>20539</v>
      </c>
      <c r="T103" s="336">
        <v>143087</v>
      </c>
      <c r="U103" s="336">
        <v>0</v>
      </c>
    </row>
    <row r="104" spans="2:21" s="22" customFormat="1" ht="40.5">
      <c r="B104" s="15">
        <v>5</v>
      </c>
      <c r="C104" s="249" t="s">
        <v>1762</v>
      </c>
      <c r="D104" s="254" t="s">
        <v>314</v>
      </c>
      <c r="E104" s="250">
        <f>156172+202545+208332</f>
        <v>567049</v>
      </c>
      <c r="F104" s="230" t="s">
        <v>1763</v>
      </c>
      <c r="G104" s="232">
        <v>40928</v>
      </c>
      <c r="H104" s="228" t="s">
        <v>368</v>
      </c>
      <c r="I104" s="270">
        <v>44580</v>
      </c>
      <c r="J104" s="242">
        <v>3653</v>
      </c>
      <c r="K104" s="242">
        <v>802</v>
      </c>
      <c r="L104" s="242">
        <v>2851</v>
      </c>
      <c r="M104" s="242">
        <v>28352</v>
      </c>
      <c r="N104" s="242">
        <v>459848</v>
      </c>
      <c r="O104" s="242">
        <v>429328</v>
      </c>
      <c r="P104" s="242">
        <v>2486</v>
      </c>
      <c r="Q104" s="242">
        <v>400976</v>
      </c>
      <c r="R104" s="337">
        <v>294</v>
      </c>
      <c r="S104" s="336">
        <v>75774</v>
      </c>
      <c r="T104" s="336">
        <v>429328</v>
      </c>
      <c r="U104" s="336">
        <v>0</v>
      </c>
    </row>
    <row r="105" spans="2:21" s="22" customFormat="1" ht="40.5">
      <c r="B105" s="15">
        <v>6</v>
      </c>
      <c r="C105" s="228" t="s">
        <v>1789</v>
      </c>
      <c r="D105" s="230" t="s">
        <v>314</v>
      </c>
      <c r="E105" s="250">
        <v>825000</v>
      </c>
      <c r="F105" s="230" t="s">
        <v>1790</v>
      </c>
      <c r="G105" s="232">
        <v>40996</v>
      </c>
      <c r="H105" s="228" t="s">
        <v>368</v>
      </c>
      <c r="I105" s="270">
        <v>44647</v>
      </c>
      <c r="J105" s="242">
        <v>3652</v>
      </c>
      <c r="K105" s="242">
        <v>734</v>
      </c>
      <c r="L105" s="242">
        <v>2918</v>
      </c>
      <c r="M105" s="242">
        <v>41250</v>
      </c>
      <c r="N105" s="242">
        <v>678733</v>
      </c>
      <c r="O105" s="242">
        <v>635083</v>
      </c>
      <c r="P105" s="242">
        <v>2553</v>
      </c>
      <c r="Q105" s="242">
        <v>593833</v>
      </c>
      <c r="R105" s="337">
        <v>361</v>
      </c>
      <c r="S105" s="336">
        <v>125219</v>
      </c>
      <c r="T105" s="336">
        <v>635083</v>
      </c>
      <c r="U105" s="336">
        <v>0</v>
      </c>
    </row>
    <row r="106" spans="2:21" s="22" customFormat="1" ht="27">
      <c r="B106" s="15">
        <v>7</v>
      </c>
      <c r="C106" s="228" t="s">
        <v>2375</v>
      </c>
      <c r="D106" s="230" t="s">
        <v>314</v>
      </c>
      <c r="E106" s="250">
        <v>191696</v>
      </c>
      <c r="F106" s="230" t="s">
        <v>42</v>
      </c>
      <c r="G106" s="232">
        <v>41640</v>
      </c>
      <c r="H106" s="228" t="s">
        <v>368</v>
      </c>
      <c r="I106" s="270">
        <v>45291</v>
      </c>
      <c r="J106" s="242">
        <v>3652</v>
      </c>
      <c r="K106" s="242">
        <v>90</v>
      </c>
      <c r="L106" s="242">
        <v>3562</v>
      </c>
      <c r="M106" s="242">
        <v>9585</v>
      </c>
      <c r="N106" s="242">
        <v>179119</v>
      </c>
      <c r="O106" s="242">
        <v>170350</v>
      </c>
      <c r="P106" s="242">
        <v>3197</v>
      </c>
      <c r="Q106" s="242">
        <v>160765</v>
      </c>
      <c r="R106" s="337">
        <v>365</v>
      </c>
      <c r="S106" s="336">
        <v>18354</v>
      </c>
      <c r="T106" s="336">
        <v>128580</v>
      </c>
      <c r="U106" s="336">
        <v>41770</v>
      </c>
    </row>
    <row r="107" spans="2:21" s="22" customFormat="1" ht="14.25">
      <c r="B107" s="6" t="s">
        <v>242</v>
      </c>
      <c r="C107" s="229"/>
      <c r="D107" s="230"/>
      <c r="E107" s="252"/>
      <c r="F107" s="230"/>
      <c r="G107" s="230"/>
      <c r="H107" s="228"/>
      <c r="I107" s="228"/>
      <c r="J107" s="228"/>
      <c r="K107" s="228"/>
      <c r="L107" s="228"/>
      <c r="M107" s="242"/>
      <c r="N107" s="228"/>
      <c r="O107" s="242"/>
      <c r="P107" s="242"/>
      <c r="Q107" s="272"/>
      <c r="R107" s="318"/>
      <c r="S107" s="242"/>
      <c r="T107" s="242"/>
      <c r="U107" s="228"/>
    </row>
    <row r="108" spans="2:21" s="22" customFormat="1">
      <c r="B108" s="15">
        <v>1</v>
      </c>
      <c r="C108" s="249" t="s">
        <v>350</v>
      </c>
      <c r="D108" s="254" t="s">
        <v>887</v>
      </c>
      <c r="E108" s="242">
        <v>547401</v>
      </c>
      <c r="F108" s="230" t="s">
        <v>351</v>
      </c>
      <c r="G108" s="233">
        <v>40553</v>
      </c>
      <c r="H108" s="228" t="s">
        <v>368</v>
      </c>
      <c r="I108" s="270">
        <v>44205</v>
      </c>
      <c r="J108" s="242">
        <v>3653</v>
      </c>
      <c r="K108" s="242">
        <v>1177</v>
      </c>
      <c r="L108" s="242">
        <v>2476</v>
      </c>
      <c r="M108" s="242">
        <v>27370</v>
      </c>
      <c r="N108" s="242">
        <v>408391</v>
      </c>
      <c r="O108" s="242">
        <v>375558</v>
      </c>
      <c r="P108" s="242">
        <v>2111</v>
      </c>
      <c r="Q108" s="242">
        <v>348188</v>
      </c>
      <c r="R108" s="337">
        <v>0</v>
      </c>
      <c r="S108" s="336">
        <v>0</v>
      </c>
      <c r="T108" s="336">
        <v>375558</v>
      </c>
      <c r="U108" s="336">
        <v>0</v>
      </c>
    </row>
    <row r="109" spans="2:21" s="22" customFormat="1" ht="27">
      <c r="B109" s="15">
        <v>2</v>
      </c>
      <c r="C109" s="249" t="s">
        <v>811</v>
      </c>
      <c r="D109" s="254" t="s">
        <v>887</v>
      </c>
      <c r="E109" s="242">
        <v>112995</v>
      </c>
      <c r="F109" s="340" t="s">
        <v>812</v>
      </c>
      <c r="G109" s="233">
        <v>40596</v>
      </c>
      <c r="H109" s="228" t="s">
        <v>368</v>
      </c>
      <c r="I109" s="270">
        <v>44248</v>
      </c>
      <c r="J109" s="242">
        <v>3653</v>
      </c>
      <c r="K109" s="242">
        <v>1134</v>
      </c>
      <c r="L109" s="242">
        <v>2519</v>
      </c>
      <c r="M109" s="242">
        <v>5650</v>
      </c>
      <c r="N109" s="242">
        <v>85142</v>
      </c>
      <c r="O109" s="242">
        <v>78455</v>
      </c>
      <c r="P109" s="242">
        <v>2154</v>
      </c>
      <c r="Q109" s="242">
        <v>72805</v>
      </c>
      <c r="R109" s="337">
        <v>0</v>
      </c>
      <c r="S109" s="336">
        <v>0</v>
      </c>
      <c r="T109" s="336">
        <v>78455</v>
      </c>
      <c r="U109" s="336">
        <v>0</v>
      </c>
    </row>
    <row r="110" spans="2:21" s="22" customFormat="1" ht="27">
      <c r="B110" s="15">
        <v>3</v>
      </c>
      <c r="C110" s="249" t="s">
        <v>379</v>
      </c>
      <c r="D110" s="254" t="s">
        <v>887</v>
      </c>
      <c r="E110" s="242">
        <v>191366</v>
      </c>
      <c r="F110" s="340" t="s">
        <v>145</v>
      </c>
      <c r="G110" s="233">
        <v>40553</v>
      </c>
      <c r="H110" s="228" t="s">
        <v>368</v>
      </c>
      <c r="I110" s="242">
        <v>0</v>
      </c>
      <c r="J110" s="242">
        <v>0</v>
      </c>
      <c r="K110" s="242">
        <v>0</v>
      </c>
      <c r="L110" s="242">
        <v>0</v>
      </c>
      <c r="M110" s="242">
        <v>0</v>
      </c>
      <c r="N110" s="242">
        <v>0</v>
      </c>
      <c r="O110" s="242">
        <v>0</v>
      </c>
      <c r="P110" s="242">
        <v>0</v>
      </c>
      <c r="Q110" s="242"/>
      <c r="R110" s="337">
        <v>0</v>
      </c>
      <c r="S110" s="336">
        <v>0</v>
      </c>
      <c r="T110" s="336">
        <v>0</v>
      </c>
      <c r="U110" s="336">
        <v>0</v>
      </c>
    </row>
    <row r="111" spans="2:21" s="22" customFormat="1" ht="27">
      <c r="B111" s="15">
        <v>4</v>
      </c>
      <c r="C111" s="249" t="s">
        <v>142</v>
      </c>
      <c r="D111" s="254">
        <v>1</v>
      </c>
      <c r="E111" s="242">
        <v>10800</v>
      </c>
      <c r="F111" s="340" t="s">
        <v>144</v>
      </c>
      <c r="G111" s="233">
        <v>40553</v>
      </c>
      <c r="H111" s="228" t="s">
        <v>368</v>
      </c>
      <c r="I111" s="270">
        <v>44205</v>
      </c>
      <c r="J111" s="242">
        <v>3653</v>
      </c>
      <c r="K111" s="242">
        <v>1177</v>
      </c>
      <c r="L111" s="242">
        <v>2476</v>
      </c>
      <c r="M111" s="242">
        <v>540</v>
      </c>
      <c r="N111" s="242">
        <v>8056</v>
      </c>
      <c r="O111" s="242">
        <v>7408</v>
      </c>
      <c r="P111" s="242">
        <v>2111</v>
      </c>
      <c r="Q111" s="242">
        <v>6868</v>
      </c>
      <c r="R111" s="337">
        <v>0</v>
      </c>
      <c r="S111" s="336">
        <v>0</v>
      </c>
      <c r="T111" s="336">
        <v>7408</v>
      </c>
      <c r="U111" s="336">
        <v>0</v>
      </c>
    </row>
    <row r="112" spans="2:21" s="22" customFormat="1" ht="27">
      <c r="B112" s="15">
        <v>5</v>
      </c>
      <c r="C112" s="249" t="s">
        <v>143</v>
      </c>
      <c r="D112" s="254" t="s">
        <v>887</v>
      </c>
      <c r="E112" s="242">
        <f>28404-E111</f>
        <v>17604</v>
      </c>
      <c r="F112" s="340" t="s">
        <v>144</v>
      </c>
      <c r="G112" s="233">
        <v>40553</v>
      </c>
      <c r="H112" s="228" t="s">
        <v>368</v>
      </c>
      <c r="I112" s="242">
        <v>0</v>
      </c>
      <c r="J112" s="242">
        <v>0</v>
      </c>
      <c r="K112" s="242">
        <v>0</v>
      </c>
      <c r="L112" s="242">
        <v>0</v>
      </c>
      <c r="M112" s="242">
        <v>0</v>
      </c>
      <c r="N112" s="242">
        <v>0</v>
      </c>
      <c r="O112" s="242">
        <v>-9.9999999983992893E-3</v>
      </c>
      <c r="P112" s="242">
        <v>0</v>
      </c>
      <c r="Q112" s="242"/>
      <c r="R112" s="337">
        <v>0</v>
      </c>
      <c r="S112" s="336">
        <v>0</v>
      </c>
      <c r="T112" s="336">
        <v>0</v>
      </c>
      <c r="U112" s="336">
        <v>0</v>
      </c>
    </row>
    <row r="113" spans="2:21" s="22" customFormat="1" ht="27">
      <c r="B113" s="15">
        <v>6</v>
      </c>
      <c r="C113" s="249" t="s">
        <v>146</v>
      </c>
      <c r="D113" s="254">
        <v>1</v>
      </c>
      <c r="E113" s="242">
        <v>9000</v>
      </c>
      <c r="F113" s="340" t="s">
        <v>147</v>
      </c>
      <c r="G113" s="233">
        <v>40553</v>
      </c>
      <c r="H113" s="228" t="s">
        <v>368</v>
      </c>
      <c r="I113" s="270">
        <v>44205</v>
      </c>
      <c r="J113" s="242">
        <v>3653</v>
      </c>
      <c r="K113" s="242">
        <v>1177</v>
      </c>
      <c r="L113" s="242">
        <v>2476</v>
      </c>
      <c r="M113" s="242">
        <v>450</v>
      </c>
      <c r="N113" s="242">
        <v>6714</v>
      </c>
      <c r="O113" s="242">
        <v>6174</v>
      </c>
      <c r="P113" s="242">
        <v>2111</v>
      </c>
      <c r="Q113" s="242">
        <v>5724</v>
      </c>
      <c r="R113" s="337">
        <v>0</v>
      </c>
      <c r="S113" s="336">
        <v>0</v>
      </c>
      <c r="T113" s="336">
        <v>6174</v>
      </c>
      <c r="U113" s="336">
        <v>0</v>
      </c>
    </row>
    <row r="114" spans="2:21" s="22" customFormat="1" ht="27">
      <c r="B114" s="15">
        <v>7</v>
      </c>
      <c r="C114" s="249" t="s">
        <v>148</v>
      </c>
      <c r="D114" s="254">
        <v>1</v>
      </c>
      <c r="E114" s="242">
        <v>5850</v>
      </c>
      <c r="F114" s="340" t="s">
        <v>147</v>
      </c>
      <c r="G114" s="233">
        <v>40553</v>
      </c>
      <c r="H114" s="228" t="s">
        <v>368</v>
      </c>
      <c r="I114" s="270">
        <v>44205</v>
      </c>
      <c r="J114" s="242">
        <v>3653</v>
      </c>
      <c r="K114" s="242">
        <v>1177</v>
      </c>
      <c r="L114" s="242">
        <v>2476</v>
      </c>
      <c r="M114" s="242">
        <v>293</v>
      </c>
      <c r="N114" s="242">
        <v>4365</v>
      </c>
      <c r="O114" s="242">
        <v>4015</v>
      </c>
      <c r="P114" s="242">
        <v>2111</v>
      </c>
      <c r="Q114" s="242">
        <v>3723</v>
      </c>
      <c r="R114" s="337">
        <v>0</v>
      </c>
      <c r="S114" s="336">
        <v>0</v>
      </c>
      <c r="T114" s="336">
        <v>4015</v>
      </c>
      <c r="U114" s="336">
        <v>0</v>
      </c>
    </row>
    <row r="115" spans="2:21" s="22" customFormat="1" ht="27">
      <c r="B115" s="15">
        <v>8</v>
      </c>
      <c r="C115" s="249" t="s">
        <v>149</v>
      </c>
      <c r="D115" s="254">
        <v>1</v>
      </c>
      <c r="E115" s="242">
        <v>6480</v>
      </c>
      <c r="F115" s="340" t="s">
        <v>147</v>
      </c>
      <c r="G115" s="233">
        <v>40553</v>
      </c>
      <c r="H115" s="228" t="s">
        <v>368</v>
      </c>
      <c r="I115" s="270">
        <v>44205</v>
      </c>
      <c r="J115" s="242">
        <v>3653</v>
      </c>
      <c r="K115" s="242">
        <v>1177</v>
      </c>
      <c r="L115" s="242">
        <v>2476</v>
      </c>
      <c r="M115" s="242">
        <v>324</v>
      </c>
      <c r="N115" s="242">
        <v>4835</v>
      </c>
      <c r="O115" s="242">
        <v>4446</v>
      </c>
      <c r="P115" s="242">
        <v>2111</v>
      </c>
      <c r="Q115" s="242">
        <v>4122</v>
      </c>
      <c r="R115" s="337">
        <v>0</v>
      </c>
      <c r="S115" s="336">
        <v>0</v>
      </c>
      <c r="T115" s="336">
        <v>4446</v>
      </c>
      <c r="U115" s="336">
        <v>0</v>
      </c>
    </row>
    <row r="116" spans="2:21" s="22" customFormat="1" ht="27">
      <c r="B116" s="15">
        <v>9</v>
      </c>
      <c r="C116" s="249" t="s">
        <v>150</v>
      </c>
      <c r="D116" s="254">
        <v>1</v>
      </c>
      <c r="E116" s="242">
        <v>10350</v>
      </c>
      <c r="F116" s="340" t="s">
        <v>147</v>
      </c>
      <c r="G116" s="233">
        <v>40553</v>
      </c>
      <c r="H116" s="228" t="s">
        <v>368</v>
      </c>
      <c r="I116" s="270">
        <v>44205</v>
      </c>
      <c r="J116" s="242">
        <v>3653</v>
      </c>
      <c r="K116" s="242">
        <v>1177</v>
      </c>
      <c r="L116" s="242">
        <v>2476</v>
      </c>
      <c r="M116" s="242">
        <v>518</v>
      </c>
      <c r="N116" s="242">
        <v>7721</v>
      </c>
      <c r="O116" s="242">
        <v>7101</v>
      </c>
      <c r="P116" s="242">
        <v>2111</v>
      </c>
      <c r="Q116" s="242">
        <v>6584</v>
      </c>
      <c r="R116" s="337">
        <v>0</v>
      </c>
      <c r="S116" s="336">
        <v>0</v>
      </c>
      <c r="T116" s="336">
        <v>7101</v>
      </c>
      <c r="U116" s="336">
        <v>0</v>
      </c>
    </row>
    <row r="117" spans="2:21" s="22" customFormat="1" ht="27">
      <c r="B117" s="15">
        <v>10</v>
      </c>
      <c r="C117" s="249" t="s">
        <v>151</v>
      </c>
      <c r="D117" s="254">
        <v>1</v>
      </c>
      <c r="E117" s="242">
        <v>16110</v>
      </c>
      <c r="F117" s="340" t="s">
        <v>147</v>
      </c>
      <c r="G117" s="233">
        <v>40553</v>
      </c>
      <c r="H117" s="228" t="s">
        <v>368</v>
      </c>
      <c r="I117" s="270">
        <v>44205</v>
      </c>
      <c r="J117" s="242">
        <v>3653</v>
      </c>
      <c r="K117" s="242">
        <v>1177</v>
      </c>
      <c r="L117" s="242">
        <v>2476</v>
      </c>
      <c r="M117" s="242">
        <v>806</v>
      </c>
      <c r="N117" s="242">
        <v>12018</v>
      </c>
      <c r="O117" s="242">
        <v>11052</v>
      </c>
      <c r="P117" s="242">
        <v>2111</v>
      </c>
      <c r="Q117" s="242">
        <v>10247</v>
      </c>
      <c r="R117" s="337">
        <v>0</v>
      </c>
      <c r="S117" s="336">
        <v>0</v>
      </c>
      <c r="T117" s="336">
        <v>11052</v>
      </c>
      <c r="U117" s="336">
        <v>0</v>
      </c>
    </row>
    <row r="118" spans="2:21" s="22" customFormat="1" ht="27">
      <c r="B118" s="15">
        <v>11</v>
      </c>
      <c r="C118" s="249" t="s">
        <v>143</v>
      </c>
      <c r="D118" s="254" t="s">
        <v>887</v>
      </c>
      <c r="E118" s="242">
        <f>187155-E117-E116-E115-E114-E113</f>
        <v>139365</v>
      </c>
      <c r="F118" s="340" t="s">
        <v>147</v>
      </c>
      <c r="G118" s="233">
        <v>40553</v>
      </c>
      <c r="H118" s="228" t="s">
        <v>368</v>
      </c>
      <c r="I118" s="242">
        <v>0</v>
      </c>
      <c r="J118" s="242">
        <v>0</v>
      </c>
      <c r="K118" s="242">
        <v>0</v>
      </c>
      <c r="L118" s="242">
        <v>0</v>
      </c>
      <c r="M118" s="242">
        <v>0</v>
      </c>
      <c r="N118" s="242">
        <v>0</v>
      </c>
      <c r="O118" s="242">
        <v>0</v>
      </c>
      <c r="P118" s="242">
        <v>0</v>
      </c>
      <c r="Q118" s="242">
        <v>-6968</v>
      </c>
      <c r="R118" s="337">
        <v>0</v>
      </c>
      <c r="S118" s="336">
        <v>0</v>
      </c>
      <c r="T118" s="336">
        <v>0</v>
      </c>
      <c r="U118" s="336">
        <v>0</v>
      </c>
    </row>
    <row r="119" spans="2:21" s="22" customFormat="1" ht="27">
      <c r="B119" s="15">
        <v>12</v>
      </c>
      <c r="C119" s="249" t="s">
        <v>152</v>
      </c>
      <c r="D119" s="254">
        <v>1</v>
      </c>
      <c r="E119" s="242">
        <v>7600</v>
      </c>
      <c r="F119" s="340" t="s">
        <v>153</v>
      </c>
      <c r="G119" s="233">
        <v>40553</v>
      </c>
      <c r="H119" s="228" t="s">
        <v>368</v>
      </c>
      <c r="I119" s="270">
        <v>44205</v>
      </c>
      <c r="J119" s="242">
        <v>3653</v>
      </c>
      <c r="K119" s="242">
        <v>1177</v>
      </c>
      <c r="L119" s="242">
        <v>2476</v>
      </c>
      <c r="M119" s="242">
        <v>380</v>
      </c>
      <c r="N119" s="242">
        <v>5669</v>
      </c>
      <c r="O119" s="242">
        <v>5213</v>
      </c>
      <c r="P119" s="242">
        <v>2111</v>
      </c>
      <c r="Q119" s="242">
        <v>4833</v>
      </c>
      <c r="R119" s="337">
        <v>0</v>
      </c>
      <c r="S119" s="336">
        <v>0</v>
      </c>
      <c r="T119" s="336">
        <v>5213</v>
      </c>
      <c r="U119" s="336">
        <v>0</v>
      </c>
    </row>
    <row r="120" spans="2:21" s="22" customFormat="1" ht="27">
      <c r="B120" s="15">
        <v>13</v>
      </c>
      <c r="C120" s="249" t="s">
        <v>143</v>
      </c>
      <c r="D120" s="254" t="s">
        <v>887</v>
      </c>
      <c r="E120" s="242">
        <f>14272-E119</f>
        <v>6672</v>
      </c>
      <c r="F120" s="340" t="s">
        <v>153</v>
      </c>
      <c r="G120" s="233">
        <v>40553</v>
      </c>
      <c r="H120" s="228" t="s">
        <v>368</v>
      </c>
      <c r="I120" s="242">
        <v>0</v>
      </c>
      <c r="J120" s="242">
        <v>0</v>
      </c>
      <c r="K120" s="242"/>
      <c r="L120" s="242">
        <v>0</v>
      </c>
      <c r="M120" s="242">
        <v>0</v>
      </c>
      <c r="N120" s="242">
        <v>0</v>
      </c>
      <c r="O120" s="242">
        <v>0</v>
      </c>
      <c r="P120" s="242">
        <v>0</v>
      </c>
      <c r="Q120" s="242">
        <v>-334</v>
      </c>
      <c r="R120" s="337">
        <v>0</v>
      </c>
      <c r="S120" s="336">
        <v>0</v>
      </c>
      <c r="T120" s="336">
        <v>0</v>
      </c>
      <c r="U120" s="336">
        <v>0</v>
      </c>
    </row>
    <row r="121" spans="2:21" s="22" customFormat="1" ht="40.5">
      <c r="B121" s="15">
        <v>14</v>
      </c>
      <c r="C121" s="249" t="s">
        <v>1656</v>
      </c>
      <c r="D121" s="254" t="s">
        <v>314</v>
      </c>
      <c r="E121" s="242">
        <v>154567</v>
      </c>
      <c r="F121" s="278" t="s">
        <v>1657</v>
      </c>
      <c r="G121" s="233">
        <v>40898</v>
      </c>
      <c r="H121" s="228" t="s">
        <v>368</v>
      </c>
      <c r="I121" s="242">
        <v>0</v>
      </c>
      <c r="J121" s="242">
        <v>0</v>
      </c>
      <c r="K121" s="242">
        <v>0</v>
      </c>
      <c r="L121" s="242">
        <v>0</v>
      </c>
      <c r="M121" s="242">
        <v>0</v>
      </c>
      <c r="N121" s="242">
        <v>0</v>
      </c>
      <c r="O121" s="242">
        <v>0</v>
      </c>
      <c r="P121" s="242">
        <v>0</v>
      </c>
      <c r="Q121" s="242">
        <v>-7728</v>
      </c>
      <c r="R121" s="337">
        <v>0</v>
      </c>
      <c r="S121" s="336">
        <v>0</v>
      </c>
      <c r="T121" s="336">
        <v>0</v>
      </c>
      <c r="U121" s="336">
        <v>0</v>
      </c>
    </row>
    <row r="122" spans="2:21" s="22" customFormat="1" ht="27">
      <c r="B122" s="15">
        <v>15</v>
      </c>
      <c r="C122" s="249" t="s">
        <v>1707</v>
      </c>
      <c r="D122" s="254">
        <v>2</v>
      </c>
      <c r="E122" s="242">
        <v>113344</v>
      </c>
      <c r="F122" s="278" t="s">
        <v>1708</v>
      </c>
      <c r="G122" s="233">
        <v>40933</v>
      </c>
      <c r="H122" s="228" t="s">
        <v>368</v>
      </c>
      <c r="I122" s="270">
        <v>44585</v>
      </c>
      <c r="J122" s="242">
        <v>3653</v>
      </c>
      <c r="K122" s="242">
        <v>797</v>
      </c>
      <c r="L122" s="242">
        <v>2856</v>
      </c>
      <c r="M122" s="242">
        <v>5667</v>
      </c>
      <c r="N122" s="242">
        <v>92014</v>
      </c>
      <c r="O122" s="242">
        <v>85922</v>
      </c>
      <c r="P122" s="242">
        <v>2491</v>
      </c>
      <c r="Q122" s="242">
        <v>80255</v>
      </c>
      <c r="R122" s="337">
        <v>299</v>
      </c>
      <c r="S122" s="336">
        <v>15298</v>
      </c>
      <c r="T122" s="336">
        <v>85922</v>
      </c>
      <c r="U122" s="336">
        <v>0</v>
      </c>
    </row>
    <row r="123" spans="2:21" s="22" customFormat="1" ht="27">
      <c r="B123" s="15">
        <v>16</v>
      </c>
      <c r="C123" s="249" t="s">
        <v>1983</v>
      </c>
      <c r="D123" s="254">
        <v>1</v>
      </c>
      <c r="E123" s="242">
        <v>1600</v>
      </c>
      <c r="F123" s="278" t="s">
        <v>1984</v>
      </c>
      <c r="G123" s="233">
        <v>41263</v>
      </c>
      <c r="H123" s="228" t="s">
        <v>368</v>
      </c>
      <c r="I123" s="242">
        <v>0</v>
      </c>
      <c r="J123" s="242">
        <v>0</v>
      </c>
      <c r="K123" s="242">
        <v>0</v>
      </c>
      <c r="L123" s="242">
        <v>0</v>
      </c>
      <c r="M123" s="242">
        <v>0</v>
      </c>
      <c r="N123" s="242">
        <v>0</v>
      </c>
      <c r="O123" s="242">
        <v>0</v>
      </c>
      <c r="P123" s="242">
        <v>0</v>
      </c>
      <c r="Q123" s="242">
        <v>-80</v>
      </c>
      <c r="R123" s="337">
        <v>0</v>
      </c>
      <c r="S123" s="336">
        <v>0</v>
      </c>
      <c r="T123" s="336">
        <v>0</v>
      </c>
      <c r="U123" s="336">
        <v>0</v>
      </c>
    </row>
    <row r="124" spans="2:21" s="22" customFormat="1" ht="27">
      <c r="B124" s="15">
        <v>17</v>
      </c>
      <c r="C124" s="249" t="s">
        <v>2080</v>
      </c>
      <c r="D124" s="254" t="s">
        <v>314</v>
      </c>
      <c r="E124" s="242">
        <f>75054+12672</f>
        <v>87726</v>
      </c>
      <c r="F124" s="278" t="s">
        <v>2081</v>
      </c>
      <c r="G124" s="233">
        <v>41348</v>
      </c>
      <c r="H124" s="228" t="s">
        <v>368</v>
      </c>
      <c r="I124" s="242">
        <v>0</v>
      </c>
      <c r="J124" s="242">
        <v>0</v>
      </c>
      <c r="K124" s="242">
        <v>0</v>
      </c>
      <c r="L124" s="242">
        <v>0</v>
      </c>
      <c r="M124" s="242">
        <v>0</v>
      </c>
      <c r="N124" s="242">
        <v>0</v>
      </c>
      <c r="O124" s="242">
        <v>0</v>
      </c>
      <c r="P124" s="242">
        <v>0</v>
      </c>
      <c r="Q124" s="242">
        <v>-4386</v>
      </c>
      <c r="R124" s="337">
        <v>0</v>
      </c>
      <c r="S124" s="336">
        <v>0</v>
      </c>
      <c r="T124" s="336">
        <v>0</v>
      </c>
      <c r="U124" s="336">
        <v>0</v>
      </c>
    </row>
    <row r="125" spans="2:21" s="22" customFormat="1" ht="27">
      <c r="B125" s="15">
        <v>18</v>
      </c>
      <c r="C125" s="249" t="s">
        <v>2074</v>
      </c>
      <c r="D125" s="254">
        <v>1</v>
      </c>
      <c r="E125" s="242">
        <f>ROUND(5040*114.5%,)+974</f>
        <v>6745</v>
      </c>
      <c r="F125" s="278" t="s">
        <v>2081</v>
      </c>
      <c r="G125" s="233">
        <v>41348</v>
      </c>
      <c r="H125" s="228" t="s">
        <v>368</v>
      </c>
      <c r="I125" s="270">
        <v>44999</v>
      </c>
      <c r="J125" s="242">
        <v>3652</v>
      </c>
      <c r="K125" s="242">
        <v>382</v>
      </c>
      <c r="L125" s="242">
        <v>3270</v>
      </c>
      <c r="M125" s="242">
        <v>337</v>
      </c>
      <c r="N125" s="242">
        <v>5961</v>
      </c>
      <c r="O125" s="242">
        <v>5633</v>
      </c>
      <c r="P125" s="242">
        <v>2905</v>
      </c>
      <c r="Q125" s="242">
        <v>5296</v>
      </c>
      <c r="R125" s="337">
        <v>365</v>
      </c>
      <c r="S125" s="336">
        <v>665</v>
      </c>
      <c r="T125" s="336">
        <v>4659</v>
      </c>
      <c r="U125" s="336">
        <v>974</v>
      </c>
    </row>
    <row r="126" spans="2:21" s="22" customFormat="1" ht="27">
      <c r="B126" s="15">
        <v>19</v>
      </c>
      <c r="C126" s="249" t="s">
        <v>2075</v>
      </c>
      <c r="D126" s="254">
        <v>1</v>
      </c>
      <c r="E126" s="242">
        <f>ROUND(4500*114.5%,)+870</f>
        <v>6023</v>
      </c>
      <c r="F126" s="278" t="s">
        <v>2081</v>
      </c>
      <c r="G126" s="233">
        <v>41348</v>
      </c>
      <c r="H126" s="228" t="s">
        <v>368</v>
      </c>
      <c r="I126" s="270">
        <v>44999</v>
      </c>
      <c r="J126" s="242">
        <v>3652</v>
      </c>
      <c r="K126" s="242">
        <v>382</v>
      </c>
      <c r="L126" s="242">
        <v>3270</v>
      </c>
      <c r="M126" s="242">
        <v>301</v>
      </c>
      <c r="N126" s="242">
        <v>5323</v>
      </c>
      <c r="O126" s="242">
        <v>5030</v>
      </c>
      <c r="P126" s="242">
        <v>2905</v>
      </c>
      <c r="Q126" s="242">
        <v>4729</v>
      </c>
      <c r="R126" s="337">
        <v>365</v>
      </c>
      <c r="S126" s="336">
        <v>594</v>
      </c>
      <c r="T126" s="336">
        <v>4162</v>
      </c>
      <c r="U126" s="336">
        <v>868</v>
      </c>
    </row>
    <row r="127" spans="2:21" s="22" customFormat="1" ht="27">
      <c r="B127" s="15">
        <v>20</v>
      </c>
      <c r="C127" s="249" t="s">
        <v>2076</v>
      </c>
      <c r="D127" s="254">
        <v>2</v>
      </c>
      <c r="E127" s="242">
        <f>ROUND(21600*114.5%,)+4176</f>
        <v>28908</v>
      </c>
      <c r="F127" s="278" t="s">
        <v>2081</v>
      </c>
      <c r="G127" s="233">
        <v>41348</v>
      </c>
      <c r="H127" s="228" t="s">
        <v>368</v>
      </c>
      <c r="I127" s="270">
        <v>44999</v>
      </c>
      <c r="J127" s="242">
        <v>3652</v>
      </c>
      <c r="K127" s="242">
        <v>382</v>
      </c>
      <c r="L127" s="242">
        <v>3270</v>
      </c>
      <c r="M127" s="242">
        <v>1445</v>
      </c>
      <c r="N127" s="242">
        <v>25548</v>
      </c>
      <c r="O127" s="242">
        <v>24141</v>
      </c>
      <c r="P127" s="242">
        <v>2905</v>
      </c>
      <c r="Q127" s="242">
        <v>22696</v>
      </c>
      <c r="R127" s="337">
        <v>365</v>
      </c>
      <c r="S127" s="336">
        <v>2852</v>
      </c>
      <c r="T127" s="336">
        <v>19978</v>
      </c>
      <c r="U127" s="336">
        <v>4163</v>
      </c>
    </row>
    <row r="128" spans="2:21" s="22" customFormat="1" ht="27">
      <c r="B128" s="15">
        <v>21</v>
      </c>
      <c r="C128" s="249" t="s">
        <v>2077</v>
      </c>
      <c r="D128" s="254">
        <v>1</v>
      </c>
      <c r="E128" s="242">
        <f>ROUND(7650*114.5%,)+1479</f>
        <v>10238</v>
      </c>
      <c r="F128" s="278" t="s">
        <v>2081</v>
      </c>
      <c r="G128" s="233">
        <v>41348</v>
      </c>
      <c r="H128" s="228" t="s">
        <v>368</v>
      </c>
      <c r="I128" s="270">
        <v>44999</v>
      </c>
      <c r="J128" s="242">
        <v>3652</v>
      </c>
      <c r="K128" s="242">
        <v>382</v>
      </c>
      <c r="L128" s="242">
        <v>3270</v>
      </c>
      <c r="M128" s="242">
        <v>512</v>
      </c>
      <c r="N128" s="242">
        <v>9048</v>
      </c>
      <c r="O128" s="242">
        <v>8550</v>
      </c>
      <c r="P128" s="242">
        <v>2905</v>
      </c>
      <c r="Q128" s="242">
        <v>8038</v>
      </c>
      <c r="R128" s="337">
        <v>365</v>
      </c>
      <c r="S128" s="336">
        <v>1010</v>
      </c>
      <c r="T128" s="336">
        <v>7076</v>
      </c>
      <c r="U128" s="336">
        <v>1474</v>
      </c>
    </row>
    <row r="129" spans="2:21" s="22" customFormat="1" ht="27">
      <c r="B129" s="15">
        <v>22</v>
      </c>
      <c r="C129" s="249" t="s">
        <v>2078</v>
      </c>
      <c r="D129" s="254">
        <v>1</v>
      </c>
      <c r="E129" s="242">
        <f>ROUND(13500*114.5%,)+2610</f>
        <v>18068</v>
      </c>
      <c r="F129" s="278" t="s">
        <v>2081</v>
      </c>
      <c r="G129" s="233">
        <v>41348</v>
      </c>
      <c r="H129" s="228" t="s">
        <v>368</v>
      </c>
      <c r="I129" s="270">
        <v>44999</v>
      </c>
      <c r="J129" s="242">
        <v>3652</v>
      </c>
      <c r="K129" s="242">
        <v>382</v>
      </c>
      <c r="L129" s="242">
        <v>3270</v>
      </c>
      <c r="M129" s="242">
        <v>903</v>
      </c>
      <c r="N129" s="242">
        <v>15968</v>
      </c>
      <c r="O129" s="242">
        <v>15089</v>
      </c>
      <c r="P129" s="242">
        <v>2905</v>
      </c>
      <c r="Q129" s="242">
        <v>14186</v>
      </c>
      <c r="R129" s="337">
        <v>365</v>
      </c>
      <c r="S129" s="336">
        <v>1782</v>
      </c>
      <c r="T129" s="336">
        <v>12484</v>
      </c>
      <c r="U129" s="336">
        <v>2605</v>
      </c>
    </row>
    <row r="130" spans="2:21" s="22" customFormat="1" ht="27">
      <c r="B130" s="15">
        <v>23</v>
      </c>
      <c r="C130" s="249" t="s">
        <v>2079</v>
      </c>
      <c r="D130" s="254">
        <v>1</v>
      </c>
      <c r="E130" s="242">
        <f>ROUND(16650*114.5%,)+3219</f>
        <v>22283</v>
      </c>
      <c r="F130" s="278" t="s">
        <v>2081</v>
      </c>
      <c r="G130" s="233">
        <v>41348</v>
      </c>
      <c r="H130" s="228" t="s">
        <v>368</v>
      </c>
      <c r="I130" s="270">
        <v>44999</v>
      </c>
      <c r="J130" s="242">
        <v>3652</v>
      </c>
      <c r="K130" s="242">
        <v>382</v>
      </c>
      <c r="L130" s="242">
        <v>3270</v>
      </c>
      <c r="M130" s="242">
        <v>1114</v>
      </c>
      <c r="N130" s="242">
        <v>19692</v>
      </c>
      <c r="O130" s="242">
        <v>18608</v>
      </c>
      <c r="P130" s="242">
        <v>2905</v>
      </c>
      <c r="Q130" s="242">
        <v>17494</v>
      </c>
      <c r="R130" s="337">
        <v>365</v>
      </c>
      <c r="S130" s="336">
        <v>2198</v>
      </c>
      <c r="T130" s="336">
        <v>15398</v>
      </c>
      <c r="U130" s="336">
        <v>3210</v>
      </c>
    </row>
    <row r="131" spans="2:21" s="22" customFormat="1" ht="27">
      <c r="B131" s="15">
        <v>24</v>
      </c>
      <c r="C131" s="249" t="s">
        <v>2074</v>
      </c>
      <c r="D131" s="254">
        <v>1</v>
      </c>
      <c r="E131" s="242">
        <f>ROUND(5040*114.5%,)</f>
        <v>5771</v>
      </c>
      <c r="F131" s="278" t="s">
        <v>2056</v>
      </c>
      <c r="G131" s="233">
        <v>41348</v>
      </c>
      <c r="H131" s="228" t="s">
        <v>368</v>
      </c>
      <c r="I131" s="270">
        <v>44999</v>
      </c>
      <c r="J131" s="242">
        <v>3652</v>
      </c>
      <c r="K131" s="242">
        <v>382</v>
      </c>
      <c r="L131" s="242">
        <v>3270</v>
      </c>
      <c r="M131" s="242">
        <v>289</v>
      </c>
      <c r="N131" s="242">
        <v>5100</v>
      </c>
      <c r="O131" s="242">
        <v>4820</v>
      </c>
      <c r="P131" s="242">
        <v>2905</v>
      </c>
      <c r="Q131" s="242">
        <v>4531</v>
      </c>
      <c r="R131" s="337">
        <v>365</v>
      </c>
      <c r="S131" s="336">
        <v>569</v>
      </c>
      <c r="T131" s="336">
        <v>3987</v>
      </c>
      <c r="U131" s="336">
        <v>833</v>
      </c>
    </row>
    <row r="132" spans="2:21" s="22" customFormat="1">
      <c r="B132" s="15">
        <v>25</v>
      </c>
      <c r="C132" s="245" t="s">
        <v>792</v>
      </c>
      <c r="D132" s="388">
        <v>1</v>
      </c>
      <c r="E132" s="231">
        <v>3900</v>
      </c>
      <c r="F132" s="237">
        <v>298</v>
      </c>
      <c r="G132" s="238">
        <v>43026</v>
      </c>
      <c r="H132" s="394" t="s">
        <v>119</v>
      </c>
      <c r="I132" s="270">
        <v>46677</v>
      </c>
      <c r="J132" s="242">
        <v>3652</v>
      </c>
      <c r="K132" s="242">
        <v>0</v>
      </c>
      <c r="L132" s="242">
        <v>3652</v>
      </c>
      <c r="M132" s="242">
        <v>195</v>
      </c>
      <c r="N132" s="242">
        <v>3705</v>
      </c>
      <c r="O132" s="242">
        <v>3900</v>
      </c>
      <c r="P132" s="242">
        <v>3652</v>
      </c>
      <c r="Q132" s="242">
        <v>3705</v>
      </c>
      <c r="R132" s="251">
        <v>0</v>
      </c>
      <c r="S132" s="250">
        <v>0</v>
      </c>
      <c r="T132" s="250">
        <v>3900</v>
      </c>
      <c r="U132" s="250">
        <v>0</v>
      </c>
    </row>
    <row r="133" spans="2:21" s="22" customFormat="1">
      <c r="B133" s="15">
        <v>26</v>
      </c>
      <c r="C133" s="245" t="s">
        <v>4090</v>
      </c>
      <c r="D133" s="388">
        <v>1</v>
      </c>
      <c r="E133" s="231">
        <v>2200</v>
      </c>
      <c r="F133" s="237">
        <v>298</v>
      </c>
      <c r="G133" s="238">
        <v>43026</v>
      </c>
      <c r="H133" s="394" t="s">
        <v>119</v>
      </c>
      <c r="I133" s="270">
        <v>46677</v>
      </c>
      <c r="J133" s="242">
        <v>3652</v>
      </c>
      <c r="K133" s="242">
        <v>0</v>
      </c>
      <c r="L133" s="242">
        <v>3652</v>
      </c>
      <c r="M133" s="242">
        <v>110</v>
      </c>
      <c r="N133" s="242">
        <v>2090</v>
      </c>
      <c r="O133" s="242">
        <v>2200</v>
      </c>
      <c r="P133" s="242">
        <v>3652</v>
      </c>
      <c r="Q133" s="242">
        <v>2090</v>
      </c>
      <c r="R133" s="251">
        <v>0</v>
      </c>
      <c r="S133" s="250">
        <v>0</v>
      </c>
      <c r="T133" s="250">
        <v>2200</v>
      </c>
      <c r="U133" s="250">
        <v>0</v>
      </c>
    </row>
    <row r="134" spans="2:21" s="22" customFormat="1">
      <c r="B134" s="15"/>
      <c r="C134" s="249"/>
      <c r="D134" s="254"/>
      <c r="E134" s="242"/>
      <c r="F134" s="278"/>
      <c r="G134" s="233"/>
      <c r="H134" s="228"/>
      <c r="I134" s="270"/>
      <c r="J134" s="242"/>
      <c r="K134" s="242"/>
      <c r="L134" s="242"/>
      <c r="M134" s="242"/>
      <c r="N134" s="242"/>
      <c r="O134" s="242"/>
      <c r="P134" s="242"/>
      <c r="Q134" s="242"/>
      <c r="R134" s="337"/>
      <c r="S134" s="336"/>
      <c r="T134" s="336"/>
      <c r="U134" s="336"/>
    </row>
    <row r="135" spans="2:21" s="22" customFormat="1" ht="14.25">
      <c r="B135" s="32" t="s">
        <v>243</v>
      </c>
      <c r="C135" s="228"/>
      <c r="D135" s="230"/>
      <c r="E135" s="242"/>
      <c r="F135" s="228"/>
      <c r="G135" s="228"/>
      <c r="H135" s="228"/>
      <c r="I135" s="228"/>
      <c r="J135" s="228"/>
      <c r="K135" s="228"/>
      <c r="L135" s="228"/>
      <c r="M135" s="242"/>
      <c r="N135" s="228"/>
      <c r="O135" s="242"/>
      <c r="P135" s="242"/>
      <c r="Q135" s="272"/>
      <c r="R135" s="318"/>
      <c r="S135" s="242"/>
      <c r="T135" s="242"/>
      <c r="U135" s="228"/>
    </row>
    <row r="136" spans="2:21" s="22" customFormat="1">
      <c r="B136" s="15">
        <v>1</v>
      </c>
      <c r="C136" s="249" t="s">
        <v>244</v>
      </c>
      <c r="D136" s="254">
        <v>1</v>
      </c>
      <c r="E136" s="250">
        <v>4188</v>
      </c>
      <c r="F136" s="230">
        <v>1166</v>
      </c>
      <c r="G136" s="232">
        <v>39576</v>
      </c>
      <c r="H136" s="228" t="s">
        <v>161</v>
      </c>
      <c r="I136" s="270">
        <v>0</v>
      </c>
      <c r="J136" s="242">
        <v>0</v>
      </c>
      <c r="K136" s="242">
        <v>0</v>
      </c>
      <c r="L136" s="242">
        <v>0</v>
      </c>
      <c r="M136" s="242">
        <v>0</v>
      </c>
      <c r="N136" s="242">
        <v>0</v>
      </c>
      <c r="O136" s="242">
        <v>0</v>
      </c>
      <c r="P136" s="242">
        <v>0</v>
      </c>
      <c r="Q136" s="242">
        <v>-209</v>
      </c>
      <c r="R136" s="337">
        <v>0</v>
      </c>
      <c r="S136" s="336">
        <v>0</v>
      </c>
      <c r="T136" s="336">
        <v>0</v>
      </c>
      <c r="U136" s="336">
        <v>0</v>
      </c>
    </row>
    <row r="137" spans="2:21" s="22" customFormat="1">
      <c r="B137" s="15">
        <v>2</v>
      </c>
      <c r="C137" s="249" t="s">
        <v>244</v>
      </c>
      <c r="D137" s="254">
        <v>1</v>
      </c>
      <c r="E137" s="250">
        <v>7121</v>
      </c>
      <c r="F137" s="230">
        <v>77</v>
      </c>
      <c r="G137" s="232">
        <v>39576</v>
      </c>
      <c r="H137" s="228" t="s">
        <v>161</v>
      </c>
      <c r="I137" s="270">
        <v>43227</v>
      </c>
      <c r="J137" s="242">
        <v>3652</v>
      </c>
      <c r="K137" s="242">
        <v>2154</v>
      </c>
      <c r="L137" s="242">
        <v>1498</v>
      </c>
      <c r="M137" s="242">
        <v>356</v>
      </c>
      <c r="N137" s="242">
        <v>4105.9341084931511</v>
      </c>
      <c r="O137" s="242">
        <v>3461.9341084931507</v>
      </c>
      <c r="P137" s="242">
        <v>1133</v>
      </c>
      <c r="Q137" s="242">
        <v>3106</v>
      </c>
      <c r="R137" s="337">
        <v>0</v>
      </c>
      <c r="S137" s="336">
        <v>0</v>
      </c>
      <c r="T137" s="336">
        <v>3462</v>
      </c>
      <c r="U137" s="336">
        <v>-6.5891506848856807E-2</v>
      </c>
    </row>
    <row r="138" spans="2:21" s="22" customFormat="1">
      <c r="B138" s="15">
        <v>3</v>
      </c>
      <c r="C138" s="249" t="s">
        <v>244</v>
      </c>
      <c r="D138" s="254">
        <v>1</v>
      </c>
      <c r="E138" s="250">
        <v>4158</v>
      </c>
      <c r="F138" s="230">
        <v>1174</v>
      </c>
      <c r="G138" s="232">
        <v>39590</v>
      </c>
      <c r="H138" s="228" t="s">
        <v>161</v>
      </c>
      <c r="I138" s="270">
        <v>0</v>
      </c>
      <c r="J138" s="242">
        <v>0</v>
      </c>
      <c r="K138" s="242">
        <v>0</v>
      </c>
      <c r="L138" s="242">
        <v>0</v>
      </c>
      <c r="M138" s="242">
        <v>0</v>
      </c>
      <c r="N138" s="242">
        <v>0</v>
      </c>
      <c r="O138" s="242">
        <v>0</v>
      </c>
      <c r="P138" s="242">
        <v>0</v>
      </c>
      <c r="Q138" s="242">
        <v>-208</v>
      </c>
      <c r="R138" s="337">
        <v>0</v>
      </c>
      <c r="S138" s="336">
        <v>0</v>
      </c>
      <c r="T138" s="336">
        <v>0</v>
      </c>
      <c r="U138" s="336">
        <v>0</v>
      </c>
    </row>
    <row r="139" spans="2:21" s="22" customFormat="1">
      <c r="B139" s="15">
        <v>4</v>
      </c>
      <c r="C139" s="249" t="s">
        <v>244</v>
      </c>
      <c r="D139" s="254">
        <v>1</v>
      </c>
      <c r="E139" s="250">
        <v>7121</v>
      </c>
      <c r="F139" s="230" t="s">
        <v>245</v>
      </c>
      <c r="G139" s="232">
        <v>39576</v>
      </c>
      <c r="H139" s="228" t="s">
        <v>161</v>
      </c>
      <c r="I139" s="270">
        <v>43227</v>
      </c>
      <c r="J139" s="242">
        <v>3652</v>
      </c>
      <c r="K139" s="242">
        <v>2154</v>
      </c>
      <c r="L139" s="242">
        <v>1498</v>
      </c>
      <c r="M139" s="242">
        <v>356</v>
      </c>
      <c r="N139" s="242">
        <v>4105.9341084931511</v>
      </c>
      <c r="O139" s="242">
        <v>3461.9341084931507</v>
      </c>
      <c r="P139" s="242">
        <v>1133</v>
      </c>
      <c r="Q139" s="242">
        <v>3106</v>
      </c>
      <c r="R139" s="337">
        <v>0</v>
      </c>
      <c r="S139" s="336">
        <v>0</v>
      </c>
      <c r="T139" s="336">
        <v>3462</v>
      </c>
      <c r="U139" s="336">
        <v>-6.5891506848856807E-2</v>
      </c>
    </row>
    <row r="140" spans="2:21" s="22" customFormat="1">
      <c r="B140" s="15">
        <v>5</v>
      </c>
      <c r="C140" s="249" t="s">
        <v>244</v>
      </c>
      <c r="D140" s="254"/>
      <c r="E140" s="250">
        <v>269</v>
      </c>
      <c r="F140" s="230">
        <v>1167</v>
      </c>
      <c r="G140" s="232">
        <v>39577</v>
      </c>
      <c r="H140" s="228" t="s">
        <v>161</v>
      </c>
      <c r="I140" s="270">
        <v>0</v>
      </c>
      <c r="J140" s="242">
        <v>0</v>
      </c>
      <c r="K140" s="242">
        <v>0</v>
      </c>
      <c r="L140" s="242">
        <v>0</v>
      </c>
      <c r="M140" s="242">
        <v>0</v>
      </c>
      <c r="N140" s="242">
        <v>0</v>
      </c>
      <c r="O140" s="242">
        <v>0</v>
      </c>
      <c r="P140" s="242">
        <v>0</v>
      </c>
      <c r="Q140" s="242">
        <v>-13</v>
      </c>
      <c r="R140" s="337">
        <v>0</v>
      </c>
      <c r="S140" s="336">
        <v>0</v>
      </c>
      <c r="T140" s="336">
        <v>0</v>
      </c>
      <c r="U140" s="336">
        <v>0</v>
      </c>
    </row>
    <row r="141" spans="2:21" s="22" customFormat="1">
      <c r="B141" s="15">
        <v>6</v>
      </c>
      <c r="C141" s="249" t="s">
        <v>246</v>
      </c>
      <c r="D141" s="254">
        <v>2</v>
      </c>
      <c r="E141" s="250">
        <v>1440</v>
      </c>
      <c r="F141" s="230">
        <v>96</v>
      </c>
      <c r="G141" s="232">
        <v>39664</v>
      </c>
      <c r="H141" s="228" t="s">
        <v>160</v>
      </c>
      <c r="I141" s="270">
        <v>0</v>
      </c>
      <c r="J141" s="242">
        <v>0</v>
      </c>
      <c r="K141" s="242">
        <v>0</v>
      </c>
      <c r="L141" s="242">
        <v>0</v>
      </c>
      <c r="M141" s="242">
        <v>0</v>
      </c>
      <c r="N141" s="242">
        <v>0</v>
      </c>
      <c r="O141" s="242">
        <v>0</v>
      </c>
      <c r="P141" s="242">
        <v>0</v>
      </c>
      <c r="Q141" s="242">
        <v>-72</v>
      </c>
      <c r="R141" s="337">
        <v>0</v>
      </c>
      <c r="S141" s="336">
        <v>0</v>
      </c>
      <c r="T141" s="336">
        <v>0</v>
      </c>
      <c r="U141" s="336">
        <v>0</v>
      </c>
    </row>
    <row r="142" spans="2:21" s="22" customFormat="1">
      <c r="B142" s="15">
        <v>7</v>
      </c>
      <c r="C142" s="249" t="s">
        <v>247</v>
      </c>
      <c r="D142" s="254">
        <v>4</v>
      </c>
      <c r="E142" s="250">
        <v>11340</v>
      </c>
      <c r="F142" s="230">
        <v>791</v>
      </c>
      <c r="G142" s="232">
        <v>39856</v>
      </c>
      <c r="H142" s="228" t="s">
        <v>282</v>
      </c>
      <c r="I142" s="270">
        <v>43507</v>
      </c>
      <c r="J142" s="242">
        <v>3652</v>
      </c>
      <c r="K142" s="242">
        <v>1874</v>
      </c>
      <c r="L142" s="242">
        <v>1778</v>
      </c>
      <c r="M142" s="242">
        <v>567</v>
      </c>
      <c r="N142" s="242">
        <v>7090.6014904109597</v>
      </c>
      <c r="O142" s="242">
        <v>6201.6014904109588</v>
      </c>
      <c r="P142" s="242">
        <v>1413</v>
      </c>
      <c r="Q142" s="242">
        <v>5635</v>
      </c>
      <c r="R142" s="337">
        <v>0</v>
      </c>
      <c r="S142" s="336">
        <v>0</v>
      </c>
      <c r="T142" s="336">
        <v>6202</v>
      </c>
      <c r="U142" s="336">
        <v>-0.39850958904025902</v>
      </c>
    </row>
    <row r="143" spans="2:21" s="22" customFormat="1">
      <c r="B143" s="15">
        <v>8</v>
      </c>
      <c r="C143" s="249" t="s">
        <v>247</v>
      </c>
      <c r="D143" s="254">
        <v>4</v>
      </c>
      <c r="E143" s="250">
        <v>11340</v>
      </c>
      <c r="F143" s="230">
        <v>790</v>
      </c>
      <c r="G143" s="232">
        <v>39856</v>
      </c>
      <c r="H143" s="228" t="s">
        <v>282</v>
      </c>
      <c r="I143" s="270">
        <v>43507</v>
      </c>
      <c r="J143" s="242">
        <v>3652</v>
      </c>
      <c r="K143" s="242">
        <v>1874</v>
      </c>
      <c r="L143" s="242">
        <v>1778</v>
      </c>
      <c r="M143" s="242">
        <v>567</v>
      </c>
      <c r="N143" s="242">
        <v>7090.6014904109597</v>
      </c>
      <c r="O143" s="242">
        <v>6201.6014904109588</v>
      </c>
      <c r="P143" s="242">
        <v>1413</v>
      </c>
      <c r="Q143" s="242">
        <v>5635</v>
      </c>
      <c r="R143" s="337">
        <v>0</v>
      </c>
      <c r="S143" s="336">
        <v>0</v>
      </c>
      <c r="T143" s="336">
        <v>6202</v>
      </c>
      <c r="U143" s="336">
        <v>-0.39850958904025902</v>
      </c>
    </row>
    <row r="144" spans="2:21" s="22" customFormat="1">
      <c r="B144" s="15">
        <v>9</v>
      </c>
      <c r="C144" s="249" t="s">
        <v>257</v>
      </c>
      <c r="D144" s="254">
        <v>1</v>
      </c>
      <c r="E144" s="250">
        <v>1000</v>
      </c>
      <c r="F144" s="230" t="s">
        <v>258</v>
      </c>
      <c r="G144" s="232">
        <v>40456</v>
      </c>
      <c r="H144" s="228" t="s">
        <v>160</v>
      </c>
      <c r="I144" s="270">
        <v>0</v>
      </c>
      <c r="J144" s="242">
        <v>0</v>
      </c>
      <c r="K144" s="242">
        <v>0</v>
      </c>
      <c r="L144" s="242">
        <v>0</v>
      </c>
      <c r="M144" s="242">
        <v>0</v>
      </c>
      <c r="N144" s="242">
        <v>0</v>
      </c>
      <c r="O144" s="242">
        <v>0</v>
      </c>
      <c r="P144" s="242">
        <v>0</v>
      </c>
      <c r="Q144" s="242">
        <v>-50</v>
      </c>
      <c r="R144" s="337">
        <v>0</v>
      </c>
      <c r="S144" s="336">
        <v>0</v>
      </c>
      <c r="T144" s="336">
        <v>0</v>
      </c>
      <c r="U144" s="336">
        <v>0</v>
      </c>
    </row>
    <row r="145" spans="2:21" s="22" customFormat="1" ht="14.25">
      <c r="B145" s="32" t="s">
        <v>248</v>
      </c>
      <c r="C145" s="228"/>
      <c r="D145" s="230"/>
      <c r="E145" s="242"/>
      <c r="F145" s="228"/>
      <c r="G145" s="228"/>
      <c r="H145" s="228"/>
      <c r="I145" s="228"/>
      <c r="J145" s="228"/>
      <c r="K145" s="228"/>
      <c r="L145" s="228"/>
      <c r="M145" s="242"/>
      <c r="N145" s="228"/>
      <c r="O145" s="242"/>
      <c r="P145" s="242"/>
      <c r="Q145" s="272"/>
      <c r="R145" s="318"/>
      <c r="S145" s="242"/>
      <c r="T145" s="242"/>
      <c r="U145" s="228"/>
    </row>
    <row r="146" spans="2:21" s="22" customFormat="1">
      <c r="B146" s="15">
        <v>1</v>
      </c>
      <c r="C146" s="249" t="s">
        <v>182</v>
      </c>
      <c r="D146" s="254">
        <v>1</v>
      </c>
      <c r="E146" s="250">
        <v>29684.5</v>
      </c>
      <c r="F146" s="230">
        <v>4230</v>
      </c>
      <c r="G146" s="232">
        <v>39862</v>
      </c>
      <c r="H146" s="228" t="s">
        <v>282</v>
      </c>
      <c r="I146" s="335">
        <v>43513</v>
      </c>
      <c r="J146" s="336">
        <v>3652</v>
      </c>
      <c r="K146" s="336">
        <v>1868</v>
      </c>
      <c r="L146" s="336">
        <v>1784</v>
      </c>
      <c r="M146" s="336">
        <v>1484</v>
      </c>
      <c r="N146" s="336">
        <v>18597.852981643835</v>
      </c>
      <c r="O146" s="336">
        <v>16276.852981643835</v>
      </c>
      <c r="P146" s="336">
        <v>1419</v>
      </c>
      <c r="Q146" s="336">
        <v>14793</v>
      </c>
      <c r="R146" s="337">
        <v>0</v>
      </c>
      <c r="S146" s="336">
        <v>0</v>
      </c>
      <c r="T146" s="336">
        <v>16277</v>
      </c>
      <c r="U146" s="336">
        <v>-0.14701835616506287</v>
      </c>
    </row>
    <row r="147" spans="2:21" s="22" customFormat="1">
      <c r="B147" s="15">
        <f>+B146+1</f>
        <v>2</v>
      </c>
      <c r="C147" s="249" t="s">
        <v>553</v>
      </c>
      <c r="D147" s="254">
        <v>2</v>
      </c>
      <c r="E147" s="250">
        <v>31131</v>
      </c>
      <c r="F147" s="230" t="s">
        <v>1058</v>
      </c>
      <c r="G147" s="232">
        <v>40059</v>
      </c>
      <c r="H147" s="228" t="s">
        <v>949</v>
      </c>
      <c r="I147" s="270">
        <v>43710</v>
      </c>
      <c r="J147" s="242">
        <v>3652</v>
      </c>
      <c r="K147" s="242">
        <v>1671</v>
      </c>
      <c r="L147" s="242">
        <v>1981</v>
      </c>
      <c r="M147" s="242">
        <v>1557</v>
      </c>
      <c r="N147" s="242">
        <v>20557</v>
      </c>
      <c r="O147" s="242">
        <v>18326</v>
      </c>
      <c r="P147" s="242">
        <v>1616</v>
      </c>
      <c r="Q147" s="242">
        <v>16769</v>
      </c>
      <c r="R147" s="337">
        <v>0</v>
      </c>
      <c r="S147" s="336">
        <v>0</v>
      </c>
      <c r="T147" s="336">
        <v>18326</v>
      </c>
      <c r="U147" s="336">
        <v>0</v>
      </c>
    </row>
    <row r="148" spans="2:21" s="22" customFormat="1">
      <c r="B148" s="15">
        <f>+B147+1</f>
        <v>3</v>
      </c>
      <c r="C148" s="249" t="s">
        <v>554</v>
      </c>
      <c r="D148" s="254">
        <v>2</v>
      </c>
      <c r="E148" s="250">
        <v>10313</v>
      </c>
      <c r="F148" s="230" t="s">
        <v>1058</v>
      </c>
      <c r="G148" s="232">
        <v>40059</v>
      </c>
      <c r="H148" s="228" t="s">
        <v>949</v>
      </c>
      <c r="I148" s="270">
        <v>43710</v>
      </c>
      <c r="J148" s="242">
        <v>3652</v>
      </c>
      <c r="K148" s="242">
        <v>1671</v>
      </c>
      <c r="L148" s="242">
        <v>1981</v>
      </c>
      <c r="M148" s="242">
        <v>516</v>
      </c>
      <c r="N148" s="242">
        <v>6809</v>
      </c>
      <c r="O148" s="242">
        <v>6070</v>
      </c>
      <c r="P148" s="242">
        <v>1616</v>
      </c>
      <c r="Q148" s="242">
        <v>5554</v>
      </c>
      <c r="R148" s="337">
        <v>0</v>
      </c>
      <c r="S148" s="336">
        <v>0</v>
      </c>
      <c r="T148" s="336">
        <v>6070</v>
      </c>
      <c r="U148" s="336">
        <v>0</v>
      </c>
    </row>
    <row r="149" spans="2:21" s="22" customFormat="1">
      <c r="B149" s="15">
        <f t="shared" ref="B149:B164" si="0">+B148+1</f>
        <v>4</v>
      </c>
      <c r="C149" s="249" t="s">
        <v>717</v>
      </c>
      <c r="D149" s="254">
        <v>1</v>
      </c>
      <c r="E149" s="250">
        <v>19000</v>
      </c>
      <c r="F149" s="230">
        <v>1014</v>
      </c>
      <c r="G149" s="232">
        <v>40092</v>
      </c>
      <c r="H149" s="228" t="s">
        <v>4366</v>
      </c>
      <c r="I149" s="270">
        <v>43743</v>
      </c>
      <c r="J149" s="242">
        <v>3652</v>
      </c>
      <c r="K149" s="242">
        <v>1638</v>
      </c>
      <c r="L149" s="242">
        <v>2014</v>
      </c>
      <c r="M149" s="242">
        <v>950</v>
      </c>
      <c r="N149" s="242">
        <v>12656</v>
      </c>
      <c r="O149" s="242">
        <v>11312</v>
      </c>
      <c r="P149" s="242">
        <v>1649</v>
      </c>
      <c r="Q149" s="242">
        <v>10362</v>
      </c>
      <c r="R149" s="337">
        <v>0</v>
      </c>
      <c r="S149" s="336">
        <v>0</v>
      </c>
      <c r="T149" s="336">
        <v>11312</v>
      </c>
      <c r="U149" s="336">
        <v>0</v>
      </c>
    </row>
    <row r="150" spans="2:21" s="22" customFormat="1" ht="27">
      <c r="B150" s="15">
        <f t="shared" si="0"/>
        <v>5</v>
      </c>
      <c r="C150" s="249" t="s">
        <v>1056</v>
      </c>
      <c r="D150" s="254">
        <v>1</v>
      </c>
      <c r="E150" s="250">
        <v>3943</v>
      </c>
      <c r="F150" s="230" t="s">
        <v>1057</v>
      </c>
      <c r="G150" s="232">
        <v>40059</v>
      </c>
      <c r="H150" s="228" t="s">
        <v>282</v>
      </c>
      <c r="I150" s="270">
        <v>43710</v>
      </c>
      <c r="J150" s="242">
        <v>3652</v>
      </c>
      <c r="K150" s="242">
        <v>1671</v>
      </c>
      <c r="L150" s="242">
        <v>1981</v>
      </c>
      <c r="M150" s="242">
        <v>197</v>
      </c>
      <c r="N150" s="242">
        <v>2602</v>
      </c>
      <c r="O150" s="242">
        <v>2320</v>
      </c>
      <c r="P150" s="242">
        <v>1616</v>
      </c>
      <c r="Q150" s="242">
        <v>2123</v>
      </c>
      <c r="R150" s="337">
        <v>0</v>
      </c>
      <c r="S150" s="336">
        <v>0</v>
      </c>
      <c r="T150" s="336">
        <v>2320</v>
      </c>
      <c r="U150" s="336">
        <v>0</v>
      </c>
    </row>
    <row r="151" spans="2:21" s="22" customFormat="1" ht="27">
      <c r="B151" s="15">
        <f t="shared" si="0"/>
        <v>6</v>
      </c>
      <c r="C151" s="249" t="s">
        <v>1059</v>
      </c>
      <c r="D151" s="254">
        <v>1</v>
      </c>
      <c r="E151" s="250">
        <f>19500*1.14</f>
        <v>22229.999999999996</v>
      </c>
      <c r="F151" s="230" t="s">
        <v>1060</v>
      </c>
      <c r="G151" s="232">
        <v>40263</v>
      </c>
      <c r="H151" s="228" t="s">
        <v>282</v>
      </c>
      <c r="I151" s="270">
        <v>43915</v>
      </c>
      <c r="J151" s="242">
        <v>3653</v>
      </c>
      <c r="K151" s="242">
        <v>1467</v>
      </c>
      <c r="L151" s="242">
        <v>2186</v>
      </c>
      <c r="M151" s="242">
        <v>1112</v>
      </c>
      <c r="N151" s="242">
        <v>15464.999999999996</v>
      </c>
      <c r="O151" s="242">
        <v>13994.999999999996</v>
      </c>
      <c r="P151" s="242">
        <v>1821</v>
      </c>
      <c r="Q151" s="242">
        <v>12884</v>
      </c>
      <c r="R151" s="337">
        <v>0</v>
      </c>
      <c r="S151" s="336">
        <v>0</v>
      </c>
      <c r="T151" s="336">
        <v>13995</v>
      </c>
      <c r="U151" s="336">
        <v>-3.637978807091713E-12</v>
      </c>
    </row>
    <row r="152" spans="2:21" s="22" customFormat="1" ht="27">
      <c r="B152" s="15">
        <f t="shared" si="0"/>
        <v>7</v>
      </c>
      <c r="C152" s="249" t="s">
        <v>666</v>
      </c>
      <c r="D152" s="254">
        <v>1</v>
      </c>
      <c r="E152" s="250">
        <v>32763</v>
      </c>
      <c r="F152" s="230" t="s">
        <v>1034</v>
      </c>
      <c r="G152" s="232">
        <v>40316</v>
      </c>
      <c r="H152" s="228" t="s">
        <v>11</v>
      </c>
      <c r="I152" s="270">
        <v>43968</v>
      </c>
      <c r="J152" s="242">
        <v>3653</v>
      </c>
      <c r="K152" s="242">
        <v>1414</v>
      </c>
      <c r="L152" s="242">
        <v>2239</v>
      </c>
      <c r="M152" s="242">
        <v>1638</v>
      </c>
      <c r="N152" s="242">
        <v>23096</v>
      </c>
      <c r="O152" s="242">
        <v>20969</v>
      </c>
      <c r="P152" s="242">
        <v>1874</v>
      </c>
      <c r="Q152" s="242">
        <v>19331</v>
      </c>
      <c r="R152" s="337">
        <v>0</v>
      </c>
      <c r="S152" s="336">
        <v>0</v>
      </c>
      <c r="T152" s="336">
        <v>20969</v>
      </c>
      <c r="U152" s="336">
        <v>0</v>
      </c>
    </row>
    <row r="153" spans="2:21" s="22" customFormat="1" ht="27">
      <c r="B153" s="15">
        <f t="shared" si="0"/>
        <v>8</v>
      </c>
      <c r="C153" s="249" t="s">
        <v>267</v>
      </c>
      <c r="D153" s="254" t="s">
        <v>1100</v>
      </c>
      <c r="E153" s="250">
        <v>32490</v>
      </c>
      <c r="F153" s="230" t="s">
        <v>1077</v>
      </c>
      <c r="G153" s="232">
        <v>40478</v>
      </c>
      <c r="H153" s="228" t="s">
        <v>1177</v>
      </c>
      <c r="I153" s="270">
        <v>44130</v>
      </c>
      <c r="J153" s="242">
        <v>3653</v>
      </c>
      <c r="K153" s="242">
        <v>1252</v>
      </c>
      <c r="L153" s="242">
        <v>2401</v>
      </c>
      <c r="M153" s="242">
        <v>1625</v>
      </c>
      <c r="N153" s="242">
        <v>23816</v>
      </c>
      <c r="O153" s="242">
        <v>21820</v>
      </c>
      <c r="P153" s="242">
        <v>2036</v>
      </c>
      <c r="Q153" s="242">
        <v>20196</v>
      </c>
      <c r="R153" s="337">
        <v>0</v>
      </c>
      <c r="S153" s="336">
        <v>0</v>
      </c>
      <c r="T153" s="336">
        <v>21820</v>
      </c>
      <c r="U153" s="336">
        <v>0</v>
      </c>
    </row>
    <row r="154" spans="2:21" s="22" customFormat="1" ht="27">
      <c r="B154" s="15">
        <f t="shared" si="0"/>
        <v>9</v>
      </c>
      <c r="C154" s="249" t="s">
        <v>440</v>
      </c>
      <c r="D154" s="254" t="s">
        <v>1100</v>
      </c>
      <c r="E154" s="250">
        <v>32490</v>
      </c>
      <c r="F154" s="230" t="s">
        <v>441</v>
      </c>
      <c r="G154" s="232">
        <v>40502</v>
      </c>
      <c r="H154" s="228" t="s">
        <v>80</v>
      </c>
      <c r="I154" s="270">
        <v>44154</v>
      </c>
      <c r="J154" s="242">
        <v>3653</v>
      </c>
      <c r="K154" s="242">
        <v>1228</v>
      </c>
      <c r="L154" s="242">
        <v>2425</v>
      </c>
      <c r="M154" s="242">
        <v>1625</v>
      </c>
      <c r="N154" s="242">
        <v>23951</v>
      </c>
      <c r="O154" s="242">
        <v>21971</v>
      </c>
      <c r="P154" s="242">
        <v>2060</v>
      </c>
      <c r="Q154" s="242">
        <v>20347</v>
      </c>
      <c r="R154" s="337">
        <v>0</v>
      </c>
      <c r="S154" s="336">
        <v>0</v>
      </c>
      <c r="T154" s="336">
        <v>21971</v>
      </c>
      <c r="U154" s="336">
        <v>0</v>
      </c>
    </row>
    <row r="155" spans="2:21" s="22" customFormat="1" ht="27">
      <c r="B155" s="15">
        <f t="shared" si="0"/>
        <v>10</v>
      </c>
      <c r="C155" s="249" t="s">
        <v>833</v>
      </c>
      <c r="D155" s="254" t="s">
        <v>1100</v>
      </c>
      <c r="E155" s="250">
        <v>28500</v>
      </c>
      <c r="F155" s="230" t="s">
        <v>706</v>
      </c>
      <c r="G155" s="232">
        <v>40526</v>
      </c>
      <c r="H155" s="228" t="s">
        <v>282</v>
      </c>
      <c r="I155" s="270">
        <v>44178</v>
      </c>
      <c r="J155" s="242">
        <v>3653</v>
      </c>
      <c r="K155" s="242">
        <v>1204</v>
      </c>
      <c r="L155" s="242">
        <v>2449</v>
      </c>
      <c r="M155" s="242">
        <v>1425</v>
      </c>
      <c r="N155" s="242">
        <v>21129</v>
      </c>
      <c r="O155" s="242">
        <v>19405</v>
      </c>
      <c r="P155" s="242">
        <v>2084</v>
      </c>
      <c r="Q155" s="242">
        <v>17980</v>
      </c>
      <c r="R155" s="337">
        <v>0</v>
      </c>
      <c r="S155" s="336">
        <v>0</v>
      </c>
      <c r="T155" s="336">
        <v>19405</v>
      </c>
      <c r="U155" s="336">
        <v>0</v>
      </c>
    </row>
    <row r="156" spans="2:21" s="22" customFormat="1" ht="27">
      <c r="B156" s="15">
        <f t="shared" si="0"/>
        <v>11</v>
      </c>
      <c r="C156" s="249" t="s">
        <v>226</v>
      </c>
      <c r="D156" s="254">
        <v>8</v>
      </c>
      <c r="E156" s="250">
        <v>47768</v>
      </c>
      <c r="F156" s="230" t="s">
        <v>810</v>
      </c>
      <c r="G156" s="232">
        <v>40588</v>
      </c>
      <c r="H156" s="228" t="s">
        <v>119</v>
      </c>
      <c r="I156" s="270">
        <v>44240</v>
      </c>
      <c r="J156" s="242">
        <v>3653</v>
      </c>
      <c r="K156" s="242">
        <v>1142</v>
      </c>
      <c r="L156" s="242">
        <v>2511</v>
      </c>
      <c r="M156" s="242">
        <v>2388</v>
      </c>
      <c r="N156" s="242">
        <v>35927</v>
      </c>
      <c r="O156" s="242">
        <v>33093</v>
      </c>
      <c r="P156" s="242">
        <v>2146</v>
      </c>
      <c r="Q156" s="242">
        <v>30705</v>
      </c>
      <c r="R156" s="337">
        <v>0</v>
      </c>
      <c r="S156" s="336">
        <v>0</v>
      </c>
      <c r="T156" s="336">
        <v>33093</v>
      </c>
      <c r="U156" s="336">
        <v>0</v>
      </c>
    </row>
    <row r="157" spans="2:21" s="22" customFormat="1" ht="54">
      <c r="B157" s="15">
        <f t="shared" si="0"/>
        <v>12</v>
      </c>
      <c r="C157" s="249" t="s">
        <v>758</v>
      </c>
      <c r="D157" s="254">
        <v>12</v>
      </c>
      <c r="E157" s="250">
        <v>150251</v>
      </c>
      <c r="F157" s="230" t="s">
        <v>759</v>
      </c>
      <c r="G157" s="232">
        <v>40688</v>
      </c>
      <c r="H157" s="228" t="s">
        <v>895</v>
      </c>
      <c r="I157" s="270">
        <v>44340</v>
      </c>
      <c r="J157" s="242">
        <v>3653</v>
      </c>
      <c r="K157" s="242">
        <v>1042</v>
      </c>
      <c r="L157" s="242">
        <v>2611</v>
      </c>
      <c r="M157" s="242">
        <v>7513</v>
      </c>
      <c r="N157" s="242">
        <v>115609</v>
      </c>
      <c r="O157" s="242">
        <v>106961</v>
      </c>
      <c r="P157" s="242">
        <v>2246</v>
      </c>
      <c r="Q157" s="242">
        <v>99448</v>
      </c>
      <c r="R157" s="337">
        <v>54</v>
      </c>
      <c r="S157" s="336">
        <v>9905</v>
      </c>
      <c r="T157" s="336">
        <v>106961</v>
      </c>
      <c r="U157" s="336">
        <v>0</v>
      </c>
    </row>
    <row r="158" spans="2:21" s="22" customFormat="1">
      <c r="B158" s="15">
        <f t="shared" si="0"/>
        <v>13</v>
      </c>
      <c r="C158" s="249" t="s">
        <v>4624</v>
      </c>
      <c r="D158" s="254">
        <v>-12</v>
      </c>
      <c r="E158" s="250">
        <v>-150251</v>
      </c>
      <c r="F158" s="230"/>
      <c r="G158" s="232"/>
      <c r="H158" s="228" t="s">
        <v>895</v>
      </c>
      <c r="I158" s="270">
        <v>44340</v>
      </c>
      <c r="J158" s="242">
        <v>3653</v>
      </c>
      <c r="K158" s="242">
        <v>1042</v>
      </c>
      <c r="L158" s="242">
        <v>2611</v>
      </c>
      <c r="M158" s="242">
        <v>0</v>
      </c>
      <c r="N158" s="242">
        <v>0</v>
      </c>
      <c r="O158" s="242">
        <v>-106961</v>
      </c>
      <c r="P158" s="242">
        <v>2611</v>
      </c>
      <c r="Q158" s="242"/>
      <c r="R158" s="337">
        <v>0</v>
      </c>
      <c r="S158" s="336">
        <v>0</v>
      </c>
      <c r="T158" s="336">
        <v>-106961</v>
      </c>
      <c r="U158" s="336">
        <v>0</v>
      </c>
    </row>
    <row r="159" spans="2:21" s="22" customFormat="1" ht="27">
      <c r="B159" s="15">
        <f t="shared" si="0"/>
        <v>14</v>
      </c>
      <c r="C159" s="249" t="s">
        <v>1649</v>
      </c>
      <c r="D159" s="254">
        <v>4</v>
      </c>
      <c r="E159" s="250">
        <v>104230</v>
      </c>
      <c r="F159" s="230" t="s">
        <v>1650</v>
      </c>
      <c r="G159" s="232">
        <v>40902</v>
      </c>
      <c r="H159" s="228" t="s">
        <v>119</v>
      </c>
      <c r="I159" s="270">
        <v>44554</v>
      </c>
      <c r="J159" s="242">
        <v>3653</v>
      </c>
      <c r="K159" s="242">
        <v>828</v>
      </c>
      <c r="L159" s="242">
        <v>2825</v>
      </c>
      <c r="M159" s="242">
        <v>5212</v>
      </c>
      <c r="N159" s="242">
        <v>84055</v>
      </c>
      <c r="O159" s="242">
        <v>78407</v>
      </c>
      <c r="P159" s="242">
        <v>2460</v>
      </c>
      <c r="Q159" s="242">
        <v>73196</v>
      </c>
      <c r="R159" s="337">
        <v>268</v>
      </c>
      <c r="S159" s="336">
        <v>13187</v>
      </c>
      <c r="T159" s="336">
        <v>78407</v>
      </c>
      <c r="U159" s="336">
        <v>0</v>
      </c>
    </row>
    <row r="160" spans="2:21" s="22" customFormat="1" ht="27">
      <c r="B160" s="15">
        <f t="shared" si="0"/>
        <v>15</v>
      </c>
      <c r="C160" s="249" t="s">
        <v>1676</v>
      </c>
      <c r="D160" s="254" t="s">
        <v>1100</v>
      </c>
      <c r="E160" s="250">
        <v>10400</v>
      </c>
      <c r="F160" s="230" t="s">
        <v>1677</v>
      </c>
      <c r="G160" s="232">
        <v>40925</v>
      </c>
      <c r="H160" s="228" t="s">
        <v>161</v>
      </c>
      <c r="I160" s="270">
        <v>44577</v>
      </c>
      <c r="J160" s="242">
        <v>3653</v>
      </c>
      <c r="K160" s="242">
        <v>805</v>
      </c>
      <c r="L160" s="242">
        <v>2848</v>
      </c>
      <c r="M160" s="242">
        <v>520</v>
      </c>
      <c r="N160" s="242">
        <v>8429</v>
      </c>
      <c r="O160" s="242">
        <v>7869</v>
      </c>
      <c r="P160" s="242">
        <v>2483</v>
      </c>
      <c r="Q160" s="242">
        <v>7349</v>
      </c>
      <c r="R160" s="337">
        <v>291</v>
      </c>
      <c r="S160" s="336">
        <v>1383</v>
      </c>
      <c r="T160" s="336">
        <v>7869</v>
      </c>
      <c r="U160" s="336">
        <v>0</v>
      </c>
    </row>
    <row r="161" spans="2:21" s="22" customFormat="1" ht="27">
      <c r="B161" s="15">
        <f t="shared" si="0"/>
        <v>16</v>
      </c>
      <c r="C161" s="249" t="s">
        <v>1678</v>
      </c>
      <c r="D161" s="254" t="s">
        <v>1100</v>
      </c>
      <c r="E161" s="250">
        <v>28825</v>
      </c>
      <c r="F161" s="230" t="s">
        <v>1679</v>
      </c>
      <c r="G161" s="232">
        <v>40909</v>
      </c>
      <c r="H161" s="228" t="s">
        <v>161</v>
      </c>
      <c r="I161" s="270">
        <v>44561</v>
      </c>
      <c r="J161" s="242">
        <v>3653</v>
      </c>
      <c r="K161" s="242">
        <v>821</v>
      </c>
      <c r="L161" s="242">
        <v>2832</v>
      </c>
      <c r="M161" s="242">
        <v>1441</v>
      </c>
      <c r="N161" s="242">
        <v>23280</v>
      </c>
      <c r="O161" s="242">
        <v>21721</v>
      </c>
      <c r="P161" s="242">
        <v>2467</v>
      </c>
      <c r="Q161" s="242">
        <v>20280</v>
      </c>
      <c r="R161" s="337">
        <v>275</v>
      </c>
      <c r="S161" s="336">
        <v>3703</v>
      </c>
      <c r="T161" s="336">
        <v>21721</v>
      </c>
      <c r="U161" s="336">
        <v>0</v>
      </c>
    </row>
    <row r="162" spans="2:21" s="22" customFormat="1" ht="40.5">
      <c r="B162" s="15">
        <f t="shared" si="0"/>
        <v>17</v>
      </c>
      <c r="C162" s="249" t="s">
        <v>2708</v>
      </c>
      <c r="D162" s="254">
        <v>5</v>
      </c>
      <c r="E162" s="250">
        <f>55209+421</f>
        <v>55630</v>
      </c>
      <c r="F162" s="230" t="s">
        <v>2679</v>
      </c>
      <c r="G162" s="232">
        <v>42005</v>
      </c>
      <c r="H162" s="228" t="s">
        <v>368</v>
      </c>
      <c r="I162" s="270">
        <v>45657</v>
      </c>
      <c r="J162" s="242">
        <v>3653</v>
      </c>
      <c r="K162" s="242">
        <v>0</v>
      </c>
      <c r="L162" s="242">
        <v>3653</v>
      </c>
      <c r="M162" s="242">
        <v>2782</v>
      </c>
      <c r="N162" s="242">
        <v>52848</v>
      </c>
      <c r="O162" s="242">
        <v>54328</v>
      </c>
      <c r="P162" s="242">
        <v>3563</v>
      </c>
      <c r="Q162" s="242">
        <v>51547</v>
      </c>
      <c r="R162" s="337">
        <v>365</v>
      </c>
      <c r="S162" s="336">
        <v>5281</v>
      </c>
      <c r="T162" s="336">
        <v>36995</v>
      </c>
      <c r="U162" s="336">
        <v>17333</v>
      </c>
    </row>
    <row r="163" spans="2:21" s="22" customFormat="1" ht="67.5">
      <c r="B163" s="15">
        <f t="shared" si="0"/>
        <v>18</v>
      </c>
      <c r="C163" s="249" t="s">
        <v>605</v>
      </c>
      <c r="D163" s="254">
        <v>1</v>
      </c>
      <c r="E163" s="250">
        <v>31455</v>
      </c>
      <c r="F163" s="230" t="s">
        <v>2737</v>
      </c>
      <c r="G163" s="232">
        <v>42005</v>
      </c>
      <c r="H163" s="228" t="s">
        <v>368</v>
      </c>
      <c r="I163" s="270">
        <v>45657</v>
      </c>
      <c r="J163" s="242">
        <v>3653</v>
      </c>
      <c r="K163" s="242">
        <v>0</v>
      </c>
      <c r="L163" s="242">
        <v>3653</v>
      </c>
      <c r="M163" s="242">
        <v>1573</v>
      </c>
      <c r="N163" s="242">
        <v>29882</v>
      </c>
      <c r="O163" s="242">
        <v>30719</v>
      </c>
      <c r="P163" s="242">
        <v>3563</v>
      </c>
      <c r="Q163" s="242">
        <v>29146</v>
      </c>
      <c r="R163" s="337">
        <v>365</v>
      </c>
      <c r="S163" s="336">
        <v>2986</v>
      </c>
      <c r="T163" s="336">
        <v>20918</v>
      </c>
      <c r="U163" s="336">
        <v>9801</v>
      </c>
    </row>
    <row r="164" spans="2:21" s="22" customFormat="1">
      <c r="B164" s="15">
        <f t="shared" si="0"/>
        <v>19</v>
      </c>
      <c r="C164" s="245" t="s">
        <v>4088</v>
      </c>
      <c r="D164" s="237">
        <v>1</v>
      </c>
      <c r="E164" s="231">
        <v>43392</v>
      </c>
      <c r="F164" s="237">
        <v>28</v>
      </c>
      <c r="G164" s="238">
        <v>43026</v>
      </c>
      <c r="H164" s="394" t="s">
        <v>119</v>
      </c>
      <c r="I164" s="270">
        <v>46677</v>
      </c>
      <c r="J164" s="242">
        <v>3652</v>
      </c>
      <c r="K164" s="242">
        <v>0</v>
      </c>
      <c r="L164" s="242">
        <v>3652</v>
      </c>
      <c r="M164" s="242">
        <v>2170</v>
      </c>
      <c r="N164" s="242">
        <v>41222</v>
      </c>
      <c r="O164" s="242">
        <v>43392</v>
      </c>
      <c r="P164" s="242">
        <v>3652</v>
      </c>
      <c r="Q164" s="242">
        <v>41222</v>
      </c>
      <c r="R164" s="251">
        <v>365</v>
      </c>
      <c r="S164" s="250">
        <v>4120</v>
      </c>
      <c r="T164" s="250">
        <v>18353</v>
      </c>
      <c r="U164" s="250">
        <v>25039</v>
      </c>
    </row>
    <row r="165" spans="2:21" s="22" customFormat="1">
      <c r="B165" s="15"/>
      <c r="C165" s="249"/>
      <c r="D165" s="254"/>
      <c r="E165" s="250"/>
      <c r="F165" s="230"/>
      <c r="G165" s="232"/>
      <c r="H165" s="228"/>
      <c r="I165" s="321"/>
      <c r="J165" s="322"/>
      <c r="K165" s="322"/>
      <c r="L165" s="322"/>
      <c r="M165" s="322"/>
      <c r="N165" s="322"/>
      <c r="O165" s="322"/>
      <c r="P165" s="322"/>
      <c r="Q165" s="322"/>
      <c r="R165" s="231"/>
      <c r="S165" s="322"/>
      <c r="T165" s="322"/>
      <c r="U165" s="322"/>
    </row>
    <row r="166" spans="2:21" s="22" customFormat="1" ht="14.25">
      <c r="B166" s="32" t="s">
        <v>17</v>
      </c>
      <c r="C166" s="228"/>
      <c r="D166" s="230"/>
      <c r="E166" s="242"/>
      <c r="F166" s="230"/>
      <c r="G166" s="228"/>
      <c r="H166" s="228"/>
      <c r="I166" s="228"/>
      <c r="J166" s="228"/>
      <c r="K166" s="228"/>
      <c r="L166" s="228"/>
      <c r="M166" s="242"/>
      <c r="N166" s="228"/>
      <c r="O166" s="242"/>
      <c r="P166" s="242"/>
      <c r="Q166" s="272"/>
      <c r="R166" s="318"/>
      <c r="S166" s="242"/>
      <c r="T166" s="242"/>
      <c r="U166" s="228"/>
    </row>
    <row r="167" spans="2:21" s="22" customFormat="1">
      <c r="B167" s="15">
        <v>1</v>
      </c>
      <c r="C167" s="249" t="s">
        <v>18</v>
      </c>
      <c r="D167" s="254">
        <v>6</v>
      </c>
      <c r="E167" s="250">
        <v>55322.44</v>
      </c>
      <c r="F167" s="230">
        <v>15002619</v>
      </c>
      <c r="G167" s="232">
        <v>39539</v>
      </c>
      <c r="H167" s="228" t="s">
        <v>4366</v>
      </c>
      <c r="I167" s="270">
        <v>43190</v>
      </c>
      <c r="J167" s="242">
        <v>3652</v>
      </c>
      <c r="K167" s="242">
        <v>2191</v>
      </c>
      <c r="L167" s="242">
        <v>1461</v>
      </c>
      <c r="M167" s="242">
        <v>2766</v>
      </c>
      <c r="N167" s="242">
        <v>31544.529548000006</v>
      </c>
      <c r="O167" s="242">
        <v>26429.529548000002</v>
      </c>
      <c r="P167" s="242">
        <v>1096</v>
      </c>
      <c r="Q167" s="242">
        <v>23663</v>
      </c>
      <c r="R167" s="337">
        <v>0</v>
      </c>
      <c r="S167" s="336">
        <v>0</v>
      </c>
      <c r="T167" s="336">
        <v>26430</v>
      </c>
      <c r="U167" s="336">
        <v>-0.47045199999411125</v>
      </c>
    </row>
    <row r="168" spans="2:21" s="22" customFormat="1">
      <c r="B168" s="15">
        <f>+B167+1</f>
        <v>2</v>
      </c>
      <c r="C168" s="249" t="s">
        <v>18</v>
      </c>
      <c r="D168" s="254">
        <v>24</v>
      </c>
      <c r="E168" s="250">
        <v>126636</v>
      </c>
      <c r="F168" s="230" t="s">
        <v>549</v>
      </c>
      <c r="G168" s="232">
        <v>39776</v>
      </c>
      <c r="H168" s="228" t="s">
        <v>368</v>
      </c>
      <c r="I168" s="270">
        <v>43427</v>
      </c>
      <c r="J168" s="242">
        <v>3652</v>
      </c>
      <c r="K168" s="242">
        <v>1954</v>
      </c>
      <c r="L168" s="242">
        <v>1698</v>
      </c>
      <c r="M168" s="242">
        <v>6332</v>
      </c>
      <c r="N168" s="242">
        <v>77412.888968767118</v>
      </c>
      <c r="O168" s="242">
        <v>67103.888968767133</v>
      </c>
      <c r="P168" s="242">
        <v>1333</v>
      </c>
      <c r="Q168" s="242">
        <v>60772</v>
      </c>
      <c r="R168" s="337">
        <v>0</v>
      </c>
      <c r="S168" s="336">
        <v>0</v>
      </c>
      <c r="T168" s="336">
        <v>67104</v>
      </c>
      <c r="U168" s="336">
        <v>-0.11103123288194183</v>
      </c>
    </row>
    <row r="169" spans="2:21" s="22" customFormat="1">
      <c r="B169" s="15">
        <f t="shared" ref="B169:B232" si="1">+B168+1</f>
        <v>3</v>
      </c>
      <c r="C169" s="249" t="s">
        <v>18</v>
      </c>
      <c r="D169" s="254">
        <v>12</v>
      </c>
      <c r="E169" s="250">
        <v>3900</v>
      </c>
      <c r="F169" s="230">
        <v>1418</v>
      </c>
      <c r="G169" s="232">
        <v>39874</v>
      </c>
      <c r="H169" s="228" t="s">
        <v>282</v>
      </c>
      <c r="I169" s="270">
        <v>0</v>
      </c>
      <c r="J169" s="242">
        <v>0</v>
      </c>
      <c r="K169" s="242">
        <v>0</v>
      </c>
      <c r="L169" s="242">
        <v>0</v>
      </c>
      <c r="M169" s="242">
        <v>0</v>
      </c>
      <c r="N169" s="242">
        <v>0</v>
      </c>
      <c r="O169" s="242">
        <v>0</v>
      </c>
      <c r="P169" s="242">
        <v>0</v>
      </c>
      <c r="Q169" s="242">
        <v>-195</v>
      </c>
      <c r="R169" s="337">
        <v>0</v>
      </c>
      <c r="S169" s="336">
        <v>0</v>
      </c>
      <c r="T169" s="336">
        <v>0</v>
      </c>
      <c r="U169" s="336">
        <v>0</v>
      </c>
    </row>
    <row r="170" spans="2:21" s="22" customFormat="1">
      <c r="B170" s="15">
        <f t="shared" si="1"/>
        <v>4</v>
      </c>
      <c r="C170" s="249" t="s">
        <v>18</v>
      </c>
      <c r="D170" s="254">
        <v>4</v>
      </c>
      <c r="E170" s="250">
        <v>2654</v>
      </c>
      <c r="F170" s="230">
        <v>1450</v>
      </c>
      <c r="G170" s="232">
        <v>39892</v>
      </c>
      <c r="H170" s="228" t="s">
        <v>282</v>
      </c>
      <c r="I170" s="270">
        <v>0</v>
      </c>
      <c r="J170" s="242">
        <v>0</v>
      </c>
      <c r="K170" s="242">
        <v>0</v>
      </c>
      <c r="L170" s="242">
        <v>0</v>
      </c>
      <c r="M170" s="242">
        <v>0</v>
      </c>
      <c r="N170" s="242">
        <v>0</v>
      </c>
      <c r="O170" s="242">
        <v>0</v>
      </c>
      <c r="P170" s="242">
        <v>0</v>
      </c>
      <c r="Q170" s="242">
        <v>-133</v>
      </c>
      <c r="R170" s="337">
        <v>0</v>
      </c>
      <c r="S170" s="336">
        <v>0</v>
      </c>
      <c r="T170" s="336">
        <v>0</v>
      </c>
      <c r="U170" s="336">
        <v>0</v>
      </c>
    </row>
    <row r="171" spans="2:21" s="22" customFormat="1" ht="27">
      <c r="B171" s="15">
        <f t="shared" si="1"/>
        <v>5</v>
      </c>
      <c r="C171" s="249" t="s">
        <v>18</v>
      </c>
      <c r="D171" s="254">
        <v>18</v>
      </c>
      <c r="E171" s="250">
        <v>95337.46</v>
      </c>
      <c r="F171" s="230" t="s">
        <v>550</v>
      </c>
      <c r="G171" s="232">
        <v>39878</v>
      </c>
      <c r="H171" s="228" t="s">
        <v>282</v>
      </c>
      <c r="I171" s="270">
        <v>43529</v>
      </c>
      <c r="J171" s="242">
        <v>3652</v>
      </c>
      <c r="K171" s="242">
        <v>1852</v>
      </c>
      <c r="L171" s="242">
        <v>1800</v>
      </c>
      <c r="M171" s="242">
        <v>4767</v>
      </c>
      <c r="N171" s="242">
        <v>59966.579474882194</v>
      </c>
      <c r="O171" s="242">
        <v>52573.579474882194</v>
      </c>
      <c r="P171" s="242">
        <v>1435</v>
      </c>
      <c r="Q171" s="242">
        <v>47807</v>
      </c>
      <c r="R171" s="337">
        <v>0</v>
      </c>
      <c r="S171" s="336">
        <v>0</v>
      </c>
      <c r="T171" s="336">
        <v>52574</v>
      </c>
      <c r="U171" s="336">
        <v>-0.42052511780639179</v>
      </c>
    </row>
    <row r="172" spans="2:21" s="22" customFormat="1" ht="27">
      <c r="B172" s="15">
        <f t="shared" si="1"/>
        <v>6</v>
      </c>
      <c r="C172" s="249" t="s">
        <v>18</v>
      </c>
      <c r="D172" s="254">
        <v>6</v>
      </c>
      <c r="E172" s="250">
        <v>31779</v>
      </c>
      <c r="F172" s="230" t="s">
        <v>551</v>
      </c>
      <c r="G172" s="232">
        <v>39891</v>
      </c>
      <c r="H172" s="228" t="s">
        <v>282</v>
      </c>
      <c r="I172" s="270">
        <v>43542</v>
      </c>
      <c r="J172" s="242">
        <v>3652</v>
      </c>
      <c r="K172" s="242">
        <v>1839</v>
      </c>
      <c r="L172" s="242">
        <v>1813</v>
      </c>
      <c r="M172" s="242">
        <v>1589</v>
      </c>
      <c r="N172" s="242">
        <v>20058.35359150685</v>
      </c>
      <c r="O172" s="242">
        <v>17609.35359150685</v>
      </c>
      <c r="P172" s="242">
        <v>1448</v>
      </c>
      <c r="Q172" s="242">
        <v>16020</v>
      </c>
      <c r="R172" s="337">
        <v>0</v>
      </c>
      <c r="S172" s="336">
        <v>0</v>
      </c>
      <c r="T172" s="336">
        <v>17609</v>
      </c>
      <c r="U172" s="336">
        <v>0.35359150684962515</v>
      </c>
    </row>
    <row r="173" spans="2:21" s="22" customFormat="1">
      <c r="B173" s="15">
        <f t="shared" si="1"/>
        <v>7</v>
      </c>
      <c r="C173" s="249" t="s">
        <v>556</v>
      </c>
      <c r="D173" s="254">
        <v>6</v>
      </c>
      <c r="E173" s="250">
        <v>4200</v>
      </c>
      <c r="F173" s="230"/>
      <c r="G173" s="232">
        <v>39989</v>
      </c>
      <c r="H173" s="228" t="s">
        <v>368</v>
      </c>
      <c r="I173" s="270">
        <v>0</v>
      </c>
      <c r="J173" s="242">
        <v>0</v>
      </c>
      <c r="K173" s="242">
        <v>0</v>
      </c>
      <c r="L173" s="242">
        <v>0</v>
      </c>
      <c r="M173" s="242">
        <v>0</v>
      </c>
      <c r="N173" s="242">
        <v>0</v>
      </c>
      <c r="O173" s="242">
        <v>0</v>
      </c>
      <c r="P173" s="242">
        <v>0</v>
      </c>
      <c r="Q173" s="242">
        <v>-210</v>
      </c>
      <c r="R173" s="337">
        <v>0</v>
      </c>
      <c r="S173" s="336">
        <v>0</v>
      </c>
      <c r="T173" s="336">
        <v>0</v>
      </c>
      <c r="U173" s="336">
        <v>0</v>
      </c>
    </row>
    <row r="174" spans="2:21" s="22" customFormat="1">
      <c r="B174" s="15">
        <f t="shared" si="1"/>
        <v>8</v>
      </c>
      <c r="C174" s="249" t="s">
        <v>557</v>
      </c>
      <c r="D174" s="254">
        <v>10</v>
      </c>
      <c r="E174" s="250">
        <v>14765</v>
      </c>
      <c r="F174" s="230" t="s">
        <v>1058</v>
      </c>
      <c r="G174" s="232">
        <v>40059</v>
      </c>
      <c r="H174" s="228" t="s">
        <v>282</v>
      </c>
      <c r="I174" s="270">
        <v>0</v>
      </c>
      <c r="J174" s="242">
        <v>0</v>
      </c>
      <c r="K174" s="242">
        <v>0</v>
      </c>
      <c r="L174" s="242">
        <v>0</v>
      </c>
      <c r="M174" s="242">
        <v>0</v>
      </c>
      <c r="N174" s="242">
        <v>0</v>
      </c>
      <c r="O174" s="242">
        <v>0</v>
      </c>
      <c r="P174" s="242">
        <v>0</v>
      </c>
      <c r="Q174" s="242">
        <v>-738</v>
      </c>
      <c r="R174" s="337">
        <v>0</v>
      </c>
      <c r="S174" s="336">
        <v>0</v>
      </c>
      <c r="T174" s="336">
        <v>0</v>
      </c>
      <c r="U174" s="336">
        <v>0</v>
      </c>
    </row>
    <row r="175" spans="2:21" s="22" customFormat="1">
      <c r="B175" s="15">
        <f t="shared" si="1"/>
        <v>9</v>
      </c>
      <c r="C175" s="249" t="s">
        <v>558</v>
      </c>
      <c r="D175" s="254">
        <v>10</v>
      </c>
      <c r="E175" s="250">
        <v>25707</v>
      </c>
      <c r="F175" s="230" t="s">
        <v>1058</v>
      </c>
      <c r="G175" s="232">
        <v>40059</v>
      </c>
      <c r="H175" s="228" t="s">
        <v>282</v>
      </c>
      <c r="I175" s="270">
        <v>0</v>
      </c>
      <c r="J175" s="242">
        <v>0</v>
      </c>
      <c r="K175" s="242">
        <v>0</v>
      </c>
      <c r="L175" s="242">
        <v>0</v>
      </c>
      <c r="M175" s="242">
        <v>0</v>
      </c>
      <c r="N175" s="242">
        <v>0</v>
      </c>
      <c r="O175" s="242">
        <v>0</v>
      </c>
      <c r="P175" s="242">
        <v>0</v>
      </c>
      <c r="Q175" s="242">
        <v>-1285</v>
      </c>
      <c r="R175" s="337">
        <v>0</v>
      </c>
      <c r="S175" s="336">
        <v>0</v>
      </c>
      <c r="T175" s="336">
        <v>0</v>
      </c>
      <c r="U175" s="336">
        <v>0</v>
      </c>
    </row>
    <row r="176" spans="2:21" s="22" customFormat="1">
      <c r="B176" s="15">
        <f t="shared" si="1"/>
        <v>10</v>
      </c>
      <c r="C176" s="249" t="s">
        <v>559</v>
      </c>
      <c r="D176" s="254">
        <v>7</v>
      </c>
      <c r="E176" s="250">
        <v>33127</v>
      </c>
      <c r="F176" s="230" t="s">
        <v>1058</v>
      </c>
      <c r="G176" s="232">
        <v>40059</v>
      </c>
      <c r="H176" s="228" t="s">
        <v>282</v>
      </c>
      <c r="I176" s="270">
        <v>0</v>
      </c>
      <c r="J176" s="242">
        <v>0</v>
      </c>
      <c r="K176" s="242">
        <v>0</v>
      </c>
      <c r="L176" s="242">
        <v>0</v>
      </c>
      <c r="M176" s="242">
        <v>0</v>
      </c>
      <c r="N176" s="242">
        <v>0</v>
      </c>
      <c r="O176" s="242">
        <v>0</v>
      </c>
      <c r="P176" s="242">
        <v>0</v>
      </c>
      <c r="Q176" s="242">
        <v>-1656</v>
      </c>
      <c r="R176" s="337">
        <v>0</v>
      </c>
      <c r="S176" s="336">
        <v>0</v>
      </c>
      <c r="T176" s="336">
        <v>0</v>
      </c>
      <c r="U176" s="336">
        <v>0</v>
      </c>
    </row>
    <row r="177" spans="2:21" s="22" customFormat="1">
      <c r="B177" s="15">
        <f t="shared" si="1"/>
        <v>11</v>
      </c>
      <c r="C177" s="249" t="s">
        <v>164</v>
      </c>
      <c r="D177" s="254">
        <v>45</v>
      </c>
      <c r="E177" s="250">
        <v>204014</v>
      </c>
      <c r="F177" s="230" t="s">
        <v>1058</v>
      </c>
      <c r="G177" s="232">
        <v>40059</v>
      </c>
      <c r="H177" s="228" t="s">
        <v>282</v>
      </c>
      <c r="I177" s="270">
        <v>0</v>
      </c>
      <c r="J177" s="242">
        <v>0</v>
      </c>
      <c r="K177" s="242">
        <v>0</v>
      </c>
      <c r="L177" s="242">
        <v>0</v>
      </c>
      <c r="M177" s="242">
        <v>0</v>
      </c>
      <c r="N177" s="242">
        <v>0</v>
      </c>
      <c r="O177" s="242">
        <v>0</v>
      </c>
      <c r="P177" s="242">
        <v>0</v>
      </c>
      <c r="Q177" s="242">
        <v>-10201</v>
      </c>
      <c r="R177" s="337">
        <v>0</v>
      </c>
      <c r="S177" s="336">
        <v>0</v>
      </c>
      <c r="T177" s="336">
        <v>0</v>
      </c>
      <c r="U177" s="336">
        <v>0</v>
      </c>
    </row>
    <row r="178" spans="2:21" s="22" customFormat="1">
      <c r="B178" s="15">
        <f t="shared" si="1"/>
        <v>12</v>
      </c>
      <c r="C178" s="249" t="s">
        <v>165</v>
      </c>
      <c r="D178" s="254" t="s">
        <v>166</v>
      </c>
      <c r="E178" s="250">
        <v>6150</v>
      </c>
      <c r="F178" s="230"/>
      <c r="G178" s="232">
        <v>40073</v>
      </c>
      <c r="H178" s="228" t="s">
        <v>160</v>
      </c>
      <c r="I178" s="270">
        <v>0</v>
      </c>
      <c r="J178" s="242">
        <v>0</v>
      </c>
      <c r="K178" s="242">
        <v>0</v>
      </c>
      <c r="L178" s="242">
        <v>0</v>
      </c>
      <c r="M178" s="242">
        <v>0</v>
      </c>
      <c r="N178" s="242">
        <v>0</v>
      </c>
      <c r="O178" s="242">
        <v>0</v>
      </c>
      <c r="P178" s="242">
        <v>0</v>
      </c>
      <c r="Q178" s="242">
        <v>-308</v>
      </c>
      <c r="R178" s="337">
        <v>0</v>
      </c>
      <c r="S178" s="336">
        <v>0</v>
      </c>
      <c r="T178" s="336">
        <v>0</v>
      </c>
      <c r="U178" s="336">
        <v>0</v>
      </c>
    </row>
    <row r="179" spans="2:21" s="22" customFormat="1">
      <c r="B179" s="15">
        <f t="shared" si="1"/>
        <v>13</v>
      </c>
      <c r="C179" s="249" t="s">
        <v>718</v>
      </c>
      <c r="D179" s="254">
        <v>1</v>
      </c>
      <c r="E179" s="250">
        <v>5984</v>
      </c>
      <c r="F179" s="230">
        <v>319</v>
      </c>
      <c r="G179" s="232">
        <v>40092</v>
      </c>
      <c r="H179" s="228" t="s">
        <v>4366</v>
      </c>
      <c r="I179" s="270">
        <v>43743</v>
      </c>
      <c r="J179" s="242">
        <v>3652</v>
      </c>
      <c r="K179" s="242">
        <v>1638</v>
      </c>
      <c r="L179" s="242">
        <v>2014</v>
      </c>
      <c r="M179" s="242">
        <v>299</v>
      </c>
      <c r="N179" s="242">
        <v>3989</v>
      </c>
      <c r="O179" s="242">
        <v>3565</v>
      </c>
      <c r="P179" s="242">
        <v>1649</v>
      </c>
      <c r="Q179" s="242">
        <v>3266</v>
      </c>
      <c r="R179" s="337">
        <v>0</v>
      </c>
      <c r="S179" s="336">
        <v>0</v>
      </c>
      <c r="T179" s="336">
        <v>3565</v>
      </c>
      <c r="U179" s="336">
        <v>0</v>
      </c>
    </row>
    <row r="180" spans="2:21" s="22" customFormat="1">
      <c r="B180" s="15">
        <f t="shared" si="1"/>
        <v>14</v>
      </c>
      <c r="C180" s="249" t="s">
        <v>719</v>
      </c>
      <c r="D180" s="254">
        <v>23</v>
      </c>
      <c r="E180" s="250">
        <v>125754</v>
      </c>
      <c r="F180" s="230">
        <v>319</v>
      </c>
      <c r="G180" s="232">
        <v>40092</v>
      </c>
      <c r="H180" s="228" t="s">
        <v>4366</v>
      </c>
      <c r="I180" s="270">
        <v>43743</v>
      </c>
      <c r="J180" s="242">
        <v>3652</v>
      </c>
      <c r="K180" s="242">
        <v>1638</v>
      </c>
      <c r="L180" s="242">
        <v>2014</v>
      </c>
      <c r="M180" s="242">
        <v>6288</v>
      </c>
      <c r="N180" s="242">
        <v>83766</v>
      </c>
      <c r="O180" s="242">
        <v>74873</v>
      </c>
      <c r="P180" s="242">
        <v>1649</v>
      </c>
      <c r="Q180" s="242">
        <v>68585</v>
      </c>
      <c r="R180" s="337">
        <v>0</v>
      </c>
      <c r="S180" s="336">
        <v>0</v>
      </c>
      <c r="T180" s="336">
        <v>74873</v>
      </c>
      <c r="U180" s="336">
        <v>0</v>
      </c>
    </row>
    <row r="181" spans="2:21" s="22" customFormat="1">
      <c r="B181" s="15">
        <f t="shared" si="1"/>
        <v>15</v>
      </c>
      <c r="C181" s="249" t="s">
        <v>720</v>
      </c>
      <c r="D181" s="254">
        <v>41</v>
      </c>
      <c r="E181" s="250">
        <v>109971</v>
      </c>
      <c r="F181" s="230">
        <v>319</v>
      </c>
      <c r="G181" s="232">
        <v>40092</v>
      </c>
      <c r="H181" s="228" t="s">
        <v>4366</v>
      </c>
      <c r="I181" s="270">
        <v>0</v>
      </c>
      <c r="J181" s="242">
        <v>0</v>
      </c>
      <c r="K181" s="242">
        <v>0</v>
      </c>
      <c r="L181" s="242">
        <v>0</v>
      </c>
      <c r="M181" s="242">
        <v>0</v>
      </c>
      <c r="N181" s="242">
        <v>0</v>
      </c>
      <c r="O181" s="242">
        <v>0</v>
      </c>
      <c r="P181" s="242">
        <v>0</v>
      </c>
      <c r="Q181" s="242">
        <v>-5499</v>
      </c>
      <c r="R181" s="337">
        <v>0</v>
      </c>
      <c r="S181" s="336">
        <v>0</v>
      </c>
      <c r="T181" s="336">
        <v>0</v>
      </c>
      <c r="U181" s="336">
        <v>0</v>
      </c>
    </row>
    <row r="182" spans="2:21" s="22" customFormat="1">
      <c r="B182" s="15">
        <f t="shared" si="1"/>
        <v>16</v>
      </c>
      <c r="C182" s="249" t="s">
        <v>923</v>
      </c>
      <c r="D182" s="254">
        <v>75</v>
      </c>
      <c r="E182" s="250">
        <v>340436</v>
      </c>
      <c r="F182" s="230">
        <v>319</v>
      </c>
      <c r="G182" s="232">
        <v>40092</v>
      </c>
      <c r="H182" s="228" t="s">
        <v>4366</v>
      </c>
      <c r="I182" s="270">
        <v>0</v>
      </c>
      <c r="J182" s="242">
        <v>0</v>
      </c>
      <c r="K182" s="242">
        <v>0</v>
      </c>
      <c r="L182" s="242">
        <v>0</v>
      </c>
      <c r="M182" s="242">
        <v>0</v>
      </c>
      <c r="N182" s="242">
        <v>0</v>
      </c>
      <c r="O182" s="242">
        <v>0</v>
      </c>
      <c r="P182" s="242">
        <v>0</v>
      </c>
      <c r="Q182" s="242">
        <v>-17022</v>
      </c>
      <c r="R182" s="337">
        <v>0</v>
      </c>
      <c r="S182" s="336">
        <v>0</v>
      </c>
      <c r="T182" s="336">
        <v>0</v>
      </c>
      <c r="U182" s="336">
        <v>0</v>
      </c>
    </row>
    <row r="183" spans="2:21" s="22" customFormat="1" ht="27">
      <c r="B183" s="15">
        <f t="shared" si="1"/>
        <v>17</v>
      </c>
      <c r="C183" s="249" t="s">
        <v>924</v>
      </c>
      <c r="D183" s="254">
        <v>22</v>
      </c>
      <c r="E183" s="250">
        <v>99862</v>
      </c>
      <c r="F183" s="230">
        <v>319</v>
      </c>
      <c r="G183" s="232">
        <v>40092</v>
      </c>
      <c r="H183" s="228" t="s">
        <v>4366</v>
      </c>
      <c r="I183" s="270">
        <v>0</v>
      </c>
      <c r="J183" s="242">
        <v>0</v>
      </c>
      <c r="K183" s="242">
        <v>0</v>
      </c>
      <c r="L183" s="242">
        <v>0</v>
      </c>
      <c r="M183" s="242">
        <v>0</v>
      </c>
      <c r="N183" s="242">
        <v>0</v>
      </c>
      <c r="O183" s="242">
        <v>0</v>
      </c>
      <c r="P183" s="242">
        <v>0</v>
      </c>
      <c r="Q183" s="242">
        <v>-4993</v>
      </c>
      <c r="R183" s="337">
        <v>0</v>
      </c>
      <c r="S183" s="336">
        <v>0</v>
      </c>
      <c r="T183" s="336">
        <v>0</v>
      </c>
      <c r="U183" s="336">
        <v>0</v>
      </c>
    </row>
    <row r="184" spans="2:21" s="22" customFormat="1">
      <c r="B184" s="15">
        <f t="shared" si="1"/>
        <v>18</v>
      </c>
      <c r="C184" s="249" t="s">
        <v>18</v>
      </c>
      <c r="D184" s="254">
        <v>6</v>
      </c>
      <c r="E184" s="250">
        <v>3900</v>
      </c>
      <c r="F184" s="230">
        <v>294</v>
      </c>
      <c r="G184" s="232">
        <v>40129</v>
      </c>
      <c r="H184" s="228" t="s">
        <v>368</v>
      </c>
      <c r="I184" s="270">
        <v>0</v>
      </c>
      <c r="J184" s="242">
        <v>0</v>
      </c>
      <c r="K184" s="242">
        <v>0</v>
      </c>
      <c r="L184" s="242">
        <v>0</v>
      </c>
      <c r="M184" s="242">
        <v>0</v>
      </c>
      <c r="N184" s="242">
        <v>0</v>
      </c>
      <c r="O184" s="242">
        <v>0</v>
      </c>
      <c r="P184" s="242">
        <v>0</v>
      </c>
      <c r="Q184" s="242">
        <v>-195</v>
      </c>
      <c r="R184" s="337">
        <v>0</v>
      </c>
      <c r="S184" s="336">
        <v>0</v>
      </c>
      <c r="T184" s="336">
        <v>0</v>
      </c>
      <c r="U184" s="336">
        <v>0</v>
      </c>
    </row>
    <row r="185" spans="2:21" s="22" customFormat="1">
      <c r="B185" s="15">
        <f t="shared" si="1"/>
        <v>19</v>
      </c>
      <c r="C185" s="249" t="s">
        <v>1323</v>
      </c>
      <c r="D185" s="254">
        <v>19</v>
      </c>
      <c r="E185" s="250">
        <v>105514</v>
      </c>
      <c r="F185" s="230">
        <v>3096</v>
      </c>
      <c r="G185" s="232">
        <v>40189</v>
      </c>
      <c r="H185" s="228" t="s">
        <v>282</v>
      </c>
      <c r="I185" s="270">
        <v>43840</v>
      </c>
      <c r="J185" s="242">
        <v>3652</v>
      </c>
      <c r="K185" s="242">
        <v>1541</v>
      </c>
      <c r="L185" s="242">
        <v>2111</v>
      </c>
      <c r="M185" s="242">
        <v>5276</v>
      </c>
      <c r="N185" s="242">
        <v>72058</v>
      </c>
      <c r="O185" s="242">
        <v>64875</v>
      </c>
      <c r="P185" s="242">
        <v>1746</v>
      </c>
      <c r="Q185" s="242">
        <v>59599</v>
      </c>
      <c r="R185" s="337">
        <v>0</v>
      </c>
      <c r="S185" s="336">
        <v>0</v>
      </c>
      <c r="T185" s="336">
        <v>64875</v>
      </c>
      <c r="U185" s="336">
        <v>0</v>
      </c>
    </row>
    <row r="186" spans="2:21" s="22" customFormat="1">
      <c r="B186" s="15">
        <f t="shared" si="1"/>
        <v>20</v>
      </c>
      <c r="C186" s="249" t="s">
        <v>978</v>
      </c>
      <c r="D186" s="254">
        <v>1</v>
      </c>
      <c r="E186" s="250">
        <v>26416</v>
      </c>
      <c r="F186" s="230" t="s">
        <v>1058</v>
      </c>
      <c r="G186" s="232">
        <v>40059</v>
      </c>
      <c r="H186" s="228" t="s">
        <v>282</v>
      </c>
      <c r="I186" s="270">
        <v>43710</v>
      </c>
      <c r="J186" s="242">
        <v>3652</v>
      </c>
      <c r="K186" s="242">
        <v>1671</v>
      </c>
      <c r="L186" s="242">
        <v>1981</v>
      </c>
      <c r="M186" s="242">
        <v>1321</v>
      </c>
      <c r="N186" s="242">
        <v>17446</v>
      </c>
      <c r="O186" s="242">
        <v>15553</v>
      </c>
      <c r="P186" s="242">
        <v>1616</v>
      </c>
      <c r="Q186" s="242">
        <v>14232</v>
      </c>
      <c r="R186" s="337">
        <v>0</v>
      </c>
      <c r="S186" s="336">
        <v>0</v>
      </c>
      <c r="T186" s="336">
        <v>15553</v>
      </c>
      <c r="U186" s="336">
        <v>0</v>
      </c>
    </row>
    <row r="187" spans="2:21" s="22" customFormat="1" ht="27">
      <c r="B187" s="15">
        <f t="shared" si="1"/>
        <v>21</v>
      </c>
      <c r="C187" s="249" t="s">
        <v>1324</v>
      </c>
      <c r="D187" s="254">
        <v>3</v>
      </c>
      <c r="E187" s="250">
        <v>10889</v>
      </c>
      <c r="F187" s="230" t="s">
        <v>433</v>
      </c>
      <c r="G187" s="232">
        <v>40254</v>
      </c>
      <c r="H187" s="228" t="s">
        <v>368</v>
      </c>
      <c r="I187" s="270">
        <v>0</v>
      </c>
      <c r="J187" s="242">
        <v>0</v>
      </c>
      <c r="K187" s="242">
        <v>0</v>
      </c>
      <c r="L187" s="242">
        <v>0</v>
      </c>
      <c r="M187" s="242">
        <v>0</v>
      </c>
      <c r="N187" s="242">
        <v>0</v>
      </c>
      <c r="O187" s="242">
        <v>0</v>
      </c>
      <c r="P187" s="242">
        <v>0</v>
      </c>
      <c r="Q187" s="242">
        <v>-544</v>
      </c>
      <c r="R187" s="337">
        <v>0</v>
      </c>
      <c r="S187" s="336">
        <v>0</v>
      </c>
      <c r="T187" s="336">
        <v>0</v>
      </c>
      <c r="U187" s="336">
        <v>0</v>
      </c>
    </row>
    <row r="188" spans="2:21" s="22" customFormat="1">
      <c r="B188" s="15">
        <f t="shared" si="1"/>
        <v>22</v>
      </c>
      <c r="C188" s="249" t="s">
        <v>1325</v>
      </c>
      <c r="D188" s="254" t="s">
        <v>434</v>
      </c>
      <c r="E188" s="250">
        <v>4020</v>
      </c>
      <c r="F188" s="230" t="s">
        <v>611</v>
      </c>
      <c r="G188" s="232">
        <v>40260</v>
      </c>
      <c r="H188" s="228" t="s">
        <v>282</v>
      </c>
      <c r="I188" s="270">
        <v>0</v>
      </c>
      <c r="J188" s="242">
        <v>0</v>
      </c>
      <c r="K188" s="242">
        <v>0</v>
      </c>
      <c r="L188" s="242">
        <v>0</v>
      </c>
      <c r="M188" s="242">
        <v>0</v>
      </c>
      <c r="N188" s="242">
        <v>0</v>
      </c>
      <c r="O188" s="242">
        <v>0</v>
      </c>
      <c r="P188" s="242">
        <v>0</v>
      </c>
      <c r="Q188" s="242">
        <v>-201</v>
      </c>
      <c r="R188" s="337">
        <v>0</v>
      </c>
      <c r="S188" s="336">
        <v>0</v>
      </c>
      <c r="T188" s="336">
        <v>0</v>
      </c>
      <c r="U188" s="336">
        <v>0</v>
      </c>
    </row>
    <row r="189" spans="2:21" s="22" customFormat="1">
      <c r="B189" s="15">
        <f t="shared" si="1"/>
        <v>23</v>
      </c>
      <c r="C189" s="249" t="s">
        <v>451</v>
      </c>
      <c r="D189" s="254">
        <v>30</v>
      </c>
      <c r="E189" s="250">
        <v>8800</v>
      </c>
      <c r="F189" s="230" t="s">
        <v>452</v>
      </c>
      <c r="G189" s="232">
        <v>40347</v>
      </c>
      <c r="H189" s="228" t="s">
        <v>368</v>
      </c>
      <c r="I189" s="270">
        <v>0</v>
      </c>
      <c r="J189" s="242">
        <v>0</v>
      </c>
      <c r="K189" s="242">
        <v>0</v>
      </c>
      <c r="L189" s="242">
        <v>0</v>
      </c>
      <c r="M189" s="242">
        <v>0</v>
      </c>
      <c r="N189" s="242">
        <v>0</v>
      </c>
      <c r="O189" s="242">
        <v>0</v>
      </c>
      <c r="P189" s="242">
        <v>0</v>
      </c>
      <c r="Q189" s="242">
        <v>-440</v>
      </c>
      <c r="R189" s="337">
        <v>0</v>
      </c>
      <c r="S189" s="336">
        <v>0</v>
      </c>
      <c r="T189" s="336">
        <v>0</v>
      </c>
      <c r="U189" s="336">
        <v>0</v>
      </c>
    </row>
    <row r="190" spans="2:21" s="22" customFormat="1" ht="54">
      <c r="B190" s="15">
        <f t="shared" si="1"/>
        <v>24</v>
      </c>
      <c r="C190" s="249" t="s">
        <v>1024</v>
      </c>
      <c r="D190" s="254">
        <v>42</v>
      </c>
      <c r="E190" s="250">
        <v>220643</v>
      </c>
      <c r="F190" s="230" t="s">
        <v>721</v>
      </c>
      <c r="G190" s="232">
        <v>40336</v>
      </c>
      <c r="H190" s="228" t="s">
        <v>368</v>
      </c>
      <c r="I190" s="270">
        <v>43988</v>
      </c>
      <c r="J190" s="242">
        <v>3653</v>
      </c>
      <c r="K190" s="242">
        <v>1394</v>
      </c>
      <c r="L190" s="242">
        <v>2259</v>
      </c>
      <c r="M190" s="242">
        <v>11032</v>
      </c>
      <c r="N190" s="242">
        <v>156307</v>
      </c>
      <c r="O190" s="242">
        <v>142084</v>
      </c>
      <c r="P190" s="242">
        <v>1894</v>
      </c>
      <c r="Q190" s="242">
        <v>131052</v>
      </c>
      <c r="R190" s="337">
        <v>0</v>
      </c>
      <c r="S190" s="336">
        <v>0</v>
      </c>
      <c r="T190" s="336">
        <v>142084</v>
      </c>
      <c r="U190" s="336">
        <v>0</v>
      </c>
    </row>
    <row r="191" spans="2:21" s="22" customFormat="1" ht="27">
      <c r="B191" s="15">
        <f t="shared" si="1"/>
        <v>25</v>
      </c>
      <c r="C191" s="249" t="s">
        <v>200</v>
      </c>
      <c r="D191" s="254">
        <v>60</v>
      </c>
      <c r="E191" s="250">
        <v>247840</v>
      </c>
      <c r="F191" s="230" t="s">
        <v>722</v>
      </c>
      <c r="G191" s="232">
        <v>40355</v>
      </c>
      <c r="H191" s="228" t="s">
        <v>368</v>
      </c>
      <c r="I191" s="270">
        <v>0</v>
      </c>
      <c r="J191" s="242">
        <v>0</v>
      </c>
      <c r="K191" s="242">
        <v>0</v>
      </c>
      <c r="L191" s="242">
        <v>0</v>
      </c>
      <c r="M191" s="242">
        <v>0</v>
      </c>
      <c r="N191" s="242">
        <v>0</v>
      </c>
      <c r="O191" s="242">
        <v>0</v>
      </c>
      <c r="P191" s="242">
        <v>0</v>
      </c>
      <c r="Q191" s="242">
        <v>-12392</v>
      </c>
      <c r="R191" s="337">
        <v>0</v>
      </c>
      <c r="S191" s="336">
        <v>0</v>
      </c>
      <c r="T191" s="336">
        <v>0</v>
      </c>
      <c r="U191" s="336">
        <v>0</v>
      </c>
    </row>
    <row r="192" spans="2:21" s="22" customFormat="1">
      <c r="B192" s="15">
        <f t="shared" si="1"/>
        <v>26</v>
      </c>
      <c r="C192" s="249" t="s">
        <v>973</v>
      </c>
      <c r="D192" s="254">
        <v>25</v>
      </c>
      <c r="E192" s="250">
        <v>15000</v>
      </c>
      <c r="F192" s="230" t="s">
        <v>1035</v>
      </c>
      <c r="G192" s="232">
        <v>40417</v>
      </c>
      <c r="H192" s="228" t="s">
        <v>282</v>
      </c>
      <c r="I192" s="270">
        <v>0</v>
      </c>
      <c r="J192" s="242">
        <v>0</v>
      </c>
      <c r="K192" s="242">
        <v>0</v>
      </c>
      <c r="L192" s="242">
        <v>0</v>
      </c>
      <c r="M192" s="242">
        <v>0</v>
      </c>
      <c r="N192" s="242">
        <v>0</v>
      </c>
      <c r="O192" s="242">
        <v>0</v>
      </c>
      <c r="P192" s="242">
        <v>0</v>
      </c>
      <c r="Q192" s="242">
        <v>-750</v>
      </c>
      <c r="R192" s="337">
        <v>0</v>
      </c>
      <c r="S192" s="336">
        <v>0</v>
      </c>
      <c r="T192" s="336">
        <v>0</v>
      </c>
      <c r="U192" s="336">
        <v>0</v>
      </c>
    </row>
    <row r="193" spans="2:21" s="22" customFormat="1">
      <c r="B193" s="15">
        <f t="shared" si="1"/>
        <v>27</v>
      </c>
      <c r="C193" s="249" t="s">
        <v>690</v>
      </c>
      <c r="D193" s="254">
        <v>1</v>
      </c>
      <c r="E193" s="250">
        <v>2565</v>
      </c>
      <c r="F193" s="230" t="s">
        <v>347</v>
      </c>
      <c r="G193" s="232">
        <v>40460</v>
      </c>
      <c r="H193" s="228" t="s">
        <v>368</v>
      </c>
      <c r="I193" s="270">
        <v>0</v>
      </c>
      <c r="J193" s="242">
        <v>0</v>
      </c>
      <c r="K193" s="242">
        <v>0</v>
      </c>
      <c r="L193" s="242">
        <v>0</v>
      </c>
      <c r="M193" s="242">
        <v>0</v>
      </c>
      <c r="N193" s="242">
        <v>0</v>
      </c>
      <c r="O193" s="242">
        <v>0</v>
      </c>
      <c r="P193" s="242">
        <v>0</v>
      </c>
      <c r="Q193" s="242">
        <v>-128</v>
      </c>
      <c r="R193" s="337">
        <v>0</v>
      </c>
      <c r="S193" s="336">
        <v>0</v>
      </c>
      <c r="T193" s="336">
        <v>0</v>
      </c>
      <c r="U193" s="336">
        <v>0</v>
      </c>
    </row>
    <row r="194" spans="2:21" s="22" customFormat="1" ht="27">
      <c r="B194" s="15">
        <f t="shared" si="1"/>
        <v>28</v>
      </c>
      <c r="C194" s="249" t="s">
        <v>621</v>
      </c>
      <c r="D194" s="254">
        <v>4</v>
      </c>
      <c r="E194" s="250">
        <v>25199</v>
      </c>
      <c r="F194" s="230" t="s">
        <v>622</v>
      </c>
      <c r="G194" s="232">
        <v>40477</v>
      </c>
      <c r="H194" s="228" t="s">
        <v>161</v>
      </c>
      <c r="I194" s="270">
        <v>44129</v>
      </c>
      <c r="J194" s="242">
        <v>3653</v>
      </c>
      <c r="K194" s="242">
        <v>1253</v>
      </c>
      <c r="L194" s="242">
        <v>2400</v>
      </c>
      <c r="M194" s="242">
        <v>1260</v>
      </c>
      <c r="N194" s="242">
        <v>18467</v>
      </c>
      <c r="O194" s="242">
        <v>16918</v>
      </c>
      <c r="P194" s="242">
        <v>2035</v>
      </c>
      <c r="Q194" s="242">
        <v>15658</v>
      </c>
      <c r="R194" s="337">
        <v>0</v>
      </c>
      <c r="S194" s="336">
        <v>0</v>
      </c>
      <c r="T194" s="336">
        <v>16918</v>
      </c>
      <c r="U194" s="336">
        <v>0</v>
      </c>
    </row>
    <row r="195" spans="2:21" s="22" customFormat="1" ht="27">
      <c r="B195" s="15">
        <f t="shared" si="1"/>
        <v>29</v>
      </c>
      <c r="C195" s="249" t="s">
        <v>265</v>
      </c>
      <c r="D195" s="254">
        <v>2</v>
      </c>
      <c r="E195" s="250">
        <v>7387</v>
      </c>
      <c r="F195" s="230" t="s">
        <v>1077</v>
      </c>
      <c r="G195" s="232">
        <v>40478</v>
      </c>
      <c r="H195" s="228" t="s">
        <v>1177</v>
      </c>
      <c r="I195" s="270">
        <v>0</v>
      </c>
      <c r="J195" s="242">
        <v>0</v>
      </c>
      <c r="K195" s="242">
        <v>0</v>
      </c>
      <c r="L195" s="242">
        <v>0</v>
      </c>
      <c r="M195" s="242">
        <v>0</v>
      </c>
      <c r="N195" s="242">
        <v>0</v>
      </c>
      <c r="O195" s="242">
        <v>0</v>
      </c>
      <c r="P195" s="242">
        <v>0</v>
      </c>
      <c r="Q195" s="242">
        <v>-369</v>
      </c>
      <c r="R195" s="337">
        <v>0</v>
      </c>
      <c r="S195" s="336">
        <v>0</v>
      </c>
      <c r="T195" s="336">
        <v>0</v>
      </c>
      <c r="U195" s="336">
        <v>0</v>
      </c>
    </row>
    <row r="196" spans="2:21" s="22" customFormat="1" ht="27">
      <c r="B196" s="15">
        <f t="shared" si="1"/>
        <v>30</v>
      </c>
      <c r="C196" s="249" t="s">
        <v>531</v>
      </c>
      <c r="D196" s="254">
        <v>12</v>
      </c>
      <c r="E196" s="250">
        <v>9275</v>
      </c>
      <c r="F196" s="230" t="s">
        <v>1077</v>
      </c>
      <c r="G196" s="232">
        <v>40478</v>
      </c>
      <c r="H196" s="228" t="s">
        <v>1177</v>
      </c>
      <c r="I196" s="270">
        <v>0</v>
      </c>
      <c r="J196" s="242">
        <v>0</v>
      </c>
      <c r="K196" s="242">
        <v>0</v>
      </c>
      <c r="L196" s="242">
        <v>0</v>
      </c>
      <c r="M196" s="242">
        <v>0</v>
      </c>
      <c r="N196" s="242">
        <v>0</v>
      </c>
      <c r="O196" s="242">
        <v>0</v>
      </c>
      <c r="P196" s="242">
        <v>0</v>
      </c>
      <c r="Q196" s="242">
        <v>-464</v>
      </c>
      <c r="R196" s="337">
        <v>0</v>
      </c>
      <c r="S196" s="336">
        <v>0</v>
      </c>
      <c r="T196" s="336">
        <v>0</v>
      </c>
      <c r="U196" s="336">
        <v>0</v>
      </c>
    </row>
    <row r="197" spans="2:21" s="22" customFormat="1" ht="27">
      <c r="B197" s="15">
        <f t="shared" si="1"/>
        <v>31</v>
      </c>
      <c r="C197" s="249" t="s">
        <v>530</v>
      </c>
      <c r="D197" s="254">
        <v>2</v>
      </c>
      <c r="E197" s="250">
        <v>11448</v>
      </c>
      <c r="F197" s="230" t="s">
        <v>1077</v>
      </c>
      <c r="G197" s="232">
        <v>40478</v>
      </c>
      <c r="H197" s="228" t="s">
        <v>1177</v>
      </c>
      <c r="I197" s="270">
        <v>44130</v>
      </c>
      <c r="J197" s="242">
        <v>3653</v>
      </c>
      <c r="K197" s="242">
        <v>1252</v>
      </c>
      <c r="L197" s="242">
        <v>2401</v>
      </c>
      <c r="M197" s="242">
        <v>572</v>
      </c>
      <c r="N197" s="242">
        <v>8392</v>
      </c>
      <c r="O197" s="242">
        <v>7688</v>
      </c>
      <c r="P197" s="242">
        <v>2036</v>
      </c>
      <c r="Q197" s="242">
        <v>7116</v>
      </c>
      <c r="R197" s="337">
        <v>0</v>
      </c>
      <c r="S197" s="336">
        <v>0</v>
      </c>
      <c r="T197" s="336">
        <v>7688</v>
      </c>
      <c r="U197" s="336">
        <v>0</v>
      </c>
    </row>
    <row r="198" spans="2:21" s="22" customFormat="1">
      <c r="B198" s="15">
        <f t="shared" si="1"/>
        <v>32</v>
      </c>
      <c r="C198" s="249" t="s">
        <v>68</v>
      </c>
      <c r="D198" s="254">
        <v>26</v>
      </c>
      <c r="E198" s="250">
        <v>15600</v>
      </c>
      <c r="F198" s="230" t="s">
        <v>69</v>
      </c>
      <c r="G198" s="232">
        <v>40493</v>
      </c>
      <c r="H198" s="228" t="s">
        <v>368</v>
      </c>
      <c r="I198" s="270">
        <v>0</v>
      </c>
      <c r="J198" s="242">
        <v>0</v>
      </c>
      <c r="K198" s="242">
        <v>0</v>
      </c>
      <c r="L198" s="242">
        <v>0</v>
      </c>
      <c r="M198" s="242">
        <v>0</v>
      </c>
      <c r="N198" s="242">
        <v>0</v>
      </c>
      <c r="O198" s="242">
        <v>0</v>
      </c>
      <c r="P198" s="242">
        <v>0</v>
      </c>
      <c r="Q198" s="242">
        <v>-780</v>
      </c>
      <c r="R198" s="337">
        <v>0</v>
      </c>
      <c r="S198" s="336">
        <v>0</v>
      </c>
      <c r="T198" s="336">
        <v>0</v>
      </c>
      <c r="U198" s="336">
        <v>0</v>
      </c>
    </row>
    <row r="199" spans="2:21" s="22" customFormat="1" ht="27">
      <c r="B199" s="15">
        <f t="shared" si="1"/>
        <v>33</v>
      </c>
      <c r="C199" s="249" t="s">
        <v>460</v>
      </c>
      <c r="D199" s="254">
        <v>250</v>
      </c>
      <c r="E199" s="250">
        <v>351563</v>
      </c>
      <c r="F199" s="230" t="s">
        <v>461</v>
      </c>
      <c r="G199" s="232">
        <v>40513</v>
      </c>
      <c r="H199" s="228" t="s">
        <v>368</v>
      </c>
      <c r="I199" s="270">
        <v>0</v>
      </c>
      <c r="J199" s="242">
        <v>0</v>
      </c>
      <c r="K199" s="242">
        <v>0</v>
      </c>
      <c r="L199" s="242">
        <v>0</v>
      </c>
      <c r="M199" s="242">
        <v>0</v>
      </c>
      <c r="N199" s="242">
        <v>0</v>
      </c>
      <c r="O199" s="242">
        <v>0</v>
      </c>
      <c r="P199" s="242">
        <v>0</v>
      </c>
      <c r="Q199" s="242">
        <v>-17578</v>
      </c>
      <c r="R199" s="337">
        <v>0</v>
      </c>
      <c r="S199" s="336">
        <v>0</v>
      </c>
      <c r="T199" s="336">
        <v>0</v>
      </c>
      <c r="U199" s="336">
        <v>0</v>
      </c>
    </row>
    <row r="200" spans="2:21" s="22" customFormat="1" ht="67.5">
      <c r="B200" s="15">
        <f t="shared" si="1"/>
        <v>34</v>
      </c>
      <c r="C200" s="249" t="s">
        <v>834</v>
      </c>
      <c r="D200" s="254">
        <f>2+4+16</f>
        <v>22</v>
      </c>
      <c r="E200" s="250">
        <f>7387+9275+22896</f>
        <v>39558</v>
      </c>
      <c r="F200" s="230" t="s">
        <v>640</v>
      </c>
      <c r="G200" s="232">
        <v>40502</v>
      </c>
      <c r="H200" s="228" t="s">
        <v>80</v>
      </c>
      <c r="I200" s="270">
        <v>0</v>
      </c>
      <c r="J200" s="242">
        <v>0</v>
      </c>
      <c r="K200" s="242">
        <v>0</v>
      </c>
      <c r="L200" s="242">
        <v>0</v>
      </c>
      <c r="M200" s="242">
        <v>0</v>
      </c>
      <c r="N200" s="242">
        <v>0</v>
      </c>
      <c r="O200" s="242">
        <v>0</v>
      </c>
      <c r="P200" s="242">
        <v>0</v>
      </c>
      <c r="Q200" s="242">
        <v>-1978</v>
      </c>
      <c r="R200" s="337">
        <v>0</v>
      </c>
      <c r="S200" s="336">
        <v>0</v>
      </c>
      <c r="T200" s="336">
        <v>0</v>
      </c>
      <c r="U200" s="336">
        <v>0</v>
      </c>
    </row>
    <row r="201" spans="2:21" s="22" customFormat="1" ht="40.5">
      <c r="B201" s="15">
        <f t="shared" si="1"/>
        <v>35</v>
      </c>
      <c r="C201" s="249" t="s">
        <v>835</v>
      </c>
      <c r="D201" s="254">
        <v>70</v>
      </c>
      <c r="E201" s="250">
        <v>384632</v>
      </c>
      <c r="F201" s="230" t="s">
        <v>454</v>
      </c>
      <c r="G201" s="232">
        <v>40499</v>
      </c>
      <c r="H201" s="228" t="s">
        <v>368</v>
      </c>
      <c r="I201" s="270">
        <v>44151</v>
      </c>
      <c r="J201" s="242">
        <v>3653</v>
      </c>
      <c r="K201" s="242">
        <v>1231</v>
      </c>
      <c r="L201" s="242">
        <v>2422</v>
      </c>
      <c r="M201" s="242">
        <v>19232</v>
      </c>
      <c r="N201" s="242">
        <v>283353</v>
      </c>
      <c r="O201" s="242">
        <v>259883</v>
      </c>
      <c r="P201" s="242">
        <v>2057</v>
      </c>
      <c r="Q201" s="242">
        <v>240651</v>
      </c>
      <c r="R201" s="337">
        <v>0</v>
      </c>
      <c r="S201" s="336">
        <v>0</v>
      </c>
      <c r="T201" s="336">
        <v>259883</v>
      </c>
      <c r="U201" s="336">
        <v>0</v>
      </c>
    </row>
    <row r="202" spans="2:21" s="22" customFormat="1" ht="27">
      <c r="B202" s="15">
        <f t="shared" si="1"/>
        <v>36</v>
      </c>
      <c r="C202" s="249" t="s">
        <v>702</v>
      </c>
      <c r="D202" s="254">
        <v>30</v>
      </c>
      <c r="E202" s="250">
        <v>118125</v>
      </c>
      <c r="F202" s="230" t="s">
        <v>705</v>
      </c>
      <c r="G202" s="232">
        <v>40513</v>
      </c>
      <c r="H202" s="228" t="s">
        <v>368</v>
      </c>
      <c r="I202" s="270">
        <v>0</v>
      </c>
      <c r="J202" s="242">
        <v>0</v>
      </c>
      <c r="K202" s="242">
        <v>0</v>
      </c>
      <c r="L202" s="242">
        <v>0</v>
      </c>
      <c r="M202" s="242">
        <v>0</v>
      </c>
      <c r="N202" s="242">
        <v>0</v>
      </c>
      <c r="O202" s="242">
        <v>0</v>
      </c>
      <c r="P202" s="242">
        <v>0</v>
      </c>
      <c r="Q202" s="242">
        <v>-5906</v>
      </c>
      <c r="R202" s="337">
        <v>0</v>
      </c>
      <c r="S202" s="336">
        <v>0</v>
      </c>
      <c r="T202" s="336">
        <v>0</v>
      </c>
      <c r="U202" s="336">
        <v>0</v>
      </c>
    </row>
    <row r="203" spans="2:21" s="22" customFormat="1" ht="27">
      <c r="B203" s="15">
        <f t="shared" si="1"/>
        <v>37</v>
      </c>
      <c r="C203" s="249" t="s">
        <v>703</v>
      </c>
      <c r="D203" s="254">
        <f>20+6</f>
        <v>26</v>
      </c>
      <c r="E203" s="250">
        <v>105750</v>
      </c>
      <c r="F203" s="230" t="s">
        <v>455</v>
      </c>
      <c r="G203" s="232">
        <v>40513</v>
      </c>
      <c r="H203" s="228" t="s">
        <v>368</v>
      </c>
      <c r="I203" s="270">
        <v>0</v>
      </c>
      <c r="J203" s="242">
        <v>0</v>
      </c>
      <c r="K203" s="242">
        <v>0</v>
      </c>
      <c r="L203" s="242">
        <v>0</v>
      </c>
      <c r="M203" s="242">
        <v>0</v>
      </c>
      <c r="N203" s="242">
        <v>0</v>
      </c>
      <c r="O203" s="242">
        <v>0</v>
      </c>
      <c r="P203" s="242">
        <v>0</v>
      </c>
      <c r="Q203" s="242">
        <v>-5288</v>
      </c>
      <c r="R203" s="337">
        <v>0</v>
      </c>
      <c r="S203" s="336">
        <v>0</v>
      </c>
      <c r="T203" s="336">
        <v>0</v>
      </c>
      <c r="U203" s="336">
        <v>0</v>
      </c>
    </row>
    <row r="204" spans="2:21" s="22" customFormat="1" ht="27">
      <c r="B204" s="15">
        <f t="shared" si="1"/>
        <v>38</v>
      </c>
      <c r="C204" s="249" t="s">
        <v>438</v>
      </c>
      <c r="D204" s="254">
        <v>4</v>
      </c>
      <c r="E204" s="250">
        <v>22896</v>
      </c>
      <c r="F204" s="230" t="s">
        <v>439</v>
      </c>
      <c r="G204" s="232">
        <v>40532</v>
      </c>
      <c r="H204" s="228" t="s">
        <v>160</v>
      </c>
      <c r="I204" s="270">
        <v>44184</v>
      </c>
      <c r="J204" s="242">
        <v>3653</v>
      </c>
      <c r="K204" s="242">
        <v>1198</v>
      </c>
      <c r="L204" s="242">
        <v>2455</v>
      </c>
      <c r="M204" s="242">
        <v>1145</v>
      </c>
      <c r="N204" s="242">
        <v>17000</v>
      </c>
      <c r="O204" s="242">
        <v>15618</v>
      </c>
      <c r="P204" s="242">
        <v>2090</v>
      </c>
      <c r="Q204" s="242">
        <v>14473</v>
      </c>
      <c r="R204" s="337">
        <v>0</v>
      </c>
      <c r="S204" s="336">
        <v>0</v>
      </c>
      <c r="T204" s="336">
        <v>15618</v>
      </c>
      <c r="U204" s="336">
        <v>0</v>
      </c>
    </row>
    <row r="205" spans="2:21" s="22" customFormat="1" ht="27">
      <c r="B205" s="15">
        <f t="shared" si="1"/>
        <v>39</v>
      </c>
      <c r="C205" s="249" t="s">
        <v>875</v>
      </c>
      <c r="D205" s="254">
        <v>40</v>
      </c>
      <c r="E205" s="250">
        <f>(2380*40)*112.5%</f>
        <v>107100</v>
      </c>
      <c r="F205" s="230" t="s">
        <v>876</v>
      </c>
      <c r="G205" s="232">
        <v>40585</v>
      </c>
      <c r="H205" s="228" t="s">
        <v>368</v>
      </c>
      <c r="I205" s="270">
        <v>0</v>
      </c>
      <c r="J205" s="242">
        <v>0</v>
      </c>
      <c r="K205" s="242">
        <v>0</v>
      </c>
      <c r="L205" s="242">
        <v>0</v>
      </c>
      <c r="M205" s="242">
        <v>0</v>
      </c>
      <c r="N205" s="242">
        <v>0</v>
      </c>
      <c r="O205" s="242">
        <v>0</v>
      </c>
      <c r="P205" s="242">
        <v>0</v>
      </c>
      <c r="Q205" s="242">
        <v>-5355</v>
      </c>
      <c r="R205" s="337">
        <v>0</v>
      </c>
      <c r="S205" s="336">
        <v>0</v>
      </c>
      <c r="T205" s="336">
        <v>0</v>
      </c>
      <c r="U205" s="336">
        <v>0</v>
      </c>
    </row>
    <row r="206" spans="2:21" s="22" customFormat="1">
      <c r="B206" s="15">
        <f t="shared" si="1"/>
        <v>40</v>
      </c>
      <c r="C206" s="249" t="s">
        <v>93</v>
      </c>
      <c r="D206" s="254">
        <v>4</v>
      </c>
      <c r="E206" s="250">
        <v>11200</v>
      </c>
      <c r="F206" s="230" t="s">
        <v>349</v>
      </c>
      <c r="G206" s="232">
        <v>40571</v>
      </c>
      <c r="H206" s="228" t="s">
        <v>119</v>
      </c>
      <c r="I206" s="270">
        <v>0</v>
      </c>
      <c r="J206" s="242">
        <v>0</v>
      </c>
      <c r="K206" s="242">
        <v>0</v>
      </c>
      <c r="L206" s="242">
        <v>0</v>
      </c>
      <c r="M206" s="242">
        <v>0</v>
      </c>
      <c r="N206" s="242">
        <v>0</v>
      </c>
      <c r="O206" s="242">
        <v>0</v>
      </c>
      <c r="P206" s="242">
        <v>0</v>
      </c>
      <c r="Q206" s="242">
        <v>-560</v>
      </c>
      <c r="R206" s="337">
        <v>0</v>
      </c>
      <c r="S206" s="336">
        <v>0</v>
      </c>
      <c r="T206" s="336">
        <v>0</v>
      </c>
      <c r="U206" s="336">
        <v>0</v>
      </c>
    </row>
    <row r="207" spans="2:21" s="22" customFormat="1">
      <c r="B207" s="15">
        <f t="shared" si="1"/>
        <v>41</v>
      </c>
      <c r="C207" s="249" t="s">
        <v>223</v>
      </c>
      <c r="D207" s="254">
        <v>75</v>
      </c>
      <c r="E207" s="250">
        <v>45000</v>
      </c>
      <c r="F207" s="230" t="s">
        <v>349</v>
      </c>
      <c r="G207" s="232">
        <v>40571</v>
      </c>
      <c r="H207" s="228" t="s">
        <v>119</v>
      </c>
      <c r="I207" s="270">
        <v>0</v>
      </c>
      <c r="J207" s="242">
        <v>0</v>
      </c>
      <c r="K207" s="242">
        <v>0</v>
      </c>
      <c r="L207" s="242">
        <v>0</v>
      </c>
      <c r="M207" s="242">
        <v>0</v>
      </c>
      <c r="N207" s="242">
        <v>0</v>
      </c>
      <c r="O207" s="242">
        <v>0</v>
      </c>
      <c r="P207" s="242">
        <v>0</v>
      </c>
      <c r="Q207" s="242">
        <v>-2250</v>
      </c>
      <c r="R207" s="337">
        <v>0</v>
      </c>
      <c r="S207" s="336">
        <v>0</v>
      </c>
      <c r="T207" s="336">
        <v>0</v>
      </c>
      <c r="U207" s="336">
        <v>0</v>
      </c>
    </row>
    <row r="208" spans="2:21" s="22" customFormat="1" ht="27">
      <c r="B208" s="15">
        <f t="shared" si="1"/>
        <v>42</v>
      </c>
      <c r="C208" s="249" t="s">
        <v>1006</v>
      </c>
      <c r="D208" s="254">
        <v>36</v>
      </c>
      <c r="E208" s="250">
        <v>22520</v>
      </c>
      <c r="F208" s="230" t="s">
        <v>1007</v>
      </c>
      <c r="G208" s="232">
        <v>40602</v>
      </c>
      <c r="H208" s="228" t="s">
        <v>368</v>
      </c>
      <c r="I208" s="270">
        <v>0</v>
      </c>
      <c r="J208" s="242">
        <v>0</v>
      </c>
      <c r="K208" s="242">
        <v>0</v>
      </c>
      <c r="L208" s="242">
        <v>0</v>
      </c>
      <c r="M208" s="242">
        <v>0</v>
      </c>
      <c r="N208" s="242">
        <v>0</v>
      </c>
      <c r="O208" s="242">
        <v>0</v>
      </c>
      <c r="P208" s="242">
        <v>0</v>
      </c>
      <c r="Q208" s="242">
        <v>-1126</v>
      </c>
      <c r="R208" s="337">
        <v>0</v>
      </c>
      <c r="S208" s="336">
        <v>0</v>
      </c>
      <c r="T208" s="336">
        <v>0</v>
      </c>
      <c r="U208" s="336">
        <v>0</v>
      </c>
    </row>
    <row r="209" spans="2:21" s="22" customFormat="1" ht="40.5">
      <c r="B209" s="15">
        <f t="shared" si="1"/>
        <v>43</v>
      </c>
      <c r="C209" s="249" t="s">
        <v>600</v>
      </c>
      <c r="D209" s="254">
        <v>30</v>
      </c>
      <c r="E209" s="250">
        <f>ROUND(494400/50*30,)</f>
        <v>296640</v>
      </c>
      <c r="F209" s="230" t="s">
        <v>1014</v>
      </c>
      <c r="G209" s="232">
        <v>40560</v>
      </c>
      <c r="H209" s="228" t="s">
        <v>368</v>
      </c>
      <c r="I209" s="270">
        <v>0</v>
      </c>
      <c r="J209" s="242">
        <v>0</v>
      </c>
      <c r="K209" s="242">
        <v>0</v>
      </c>
      <c r="L209" s="242">
        <v>0</v>
      </c>
      <c r="M209" s="242">
        <v>0</v>
      </c>
      <c r="N209" s="242">
        <v>0</v>
      </c>
      <c r="O209" s="242">
        <v>0</v>
      </c>
      <c r="P209" s="242">
        <v>0</v>
      </c>
      <c r="Q209" s="242">
        <v>-14832</v>
      </c>
      <c r="R209" s="337">
        <v>0</v>
      </c>
      <c r="S209" s="336">
        <v>0</v>
      </c>
      <c r="T209" s="336">
        <v>0</v>
      </c>
      <c r="U209" s="336">
        <v>0</v>
      </c>
    </row>
    <row r="210" spans="2:21" s="22" customFormat="1" ht="27">
      <c r="B210" s="15">
        <f t="shared" si="1"/>
        <v>44</v>
      </c>
      <c r="C210" s="249" t="s">
        <v>1175</v>
      </c>
      <c r="D210" s="254">
        <v>2</v>
      </c>
      <c r="E210" s="250">
        <v>12624</v>
      </c>
      <c r="F210" s="230" t="s">
        <v>1174</v>
      </c>
      <c r="G210" s="232">
        <v>40700</v>
      </c>
      <c r="H210" s="228" t="s">
        <v>368</v>
      </c>
      <c r="I210" s="270">
        <v>44352</v>
      </c>
      <c r="J210" s="242">
        <v>3653</v>
      </c>
      <c r="K210" s="242">
        <v>1030</v>
      </c>
      <c r="L210" s="242">
        <v>2623</v>
      </c>
      <c r="M210" s="242">
        <v>631</v>
      </c>
      <c r="N210" s="242">
        <v>9739</v>
      </c>
      <c r="O210" s="242">
        <v>9015</v>
      </c>
      <c r="P210" s="242">
        <v>2258</v>
      </c>
      <c r="Q210" s="242">
        <v>8384</v>
      </c>
      <c r="R210" s="337">
        <v>66</v>
      </c>
      <c r="S210" s="336">
        <v>877</v>
      </c>
      <c r="T210" s="336">
        <v>9015</v>
      </c>
      <c r="U210" s="336">
        <v>0</v>
      </c>
    </row>
    <row r="211" spans="2:21" s="22" customFormat="1">
      <c r="B211" s="15">
        <f t="shared" si="1"/>
        <v>45</v>
      </c>
      <c r="C211" s="249" t="s">
        <v>1246</v>
      </c>
      <c r="D211" s="254">
        <v>68</v>
      </c>
      <c r="E211" s="250">
        <v>326400</v>
      </c>
      <c r="F211" s="230" t="s">
        <v>42</v>
      </c>
      <c r="G211" s="232">
        <v>40584</v>
      </c>
      <c r="H211" s="228" t="s">
        <v>368</v>
      </c>
      <c r="I211" s="270">
        <v>0</v>
      </c>
      <c r="J211" s="242">
        <v>0</v>
      </c>
      <c r="K211" s="242">
        <v>0</v>
      </c>
      <c r="L211" s="242">
        <v>0</v>
      </c>
      <c r="M211" s="242">
        <v>0</v>
      </c>
      <c r="N211" s="242">
        <v>0</v>
      </c>
      <c r="O211" s="242">
        <v>0</v>
      </c>
      <c r="P211" s="242">
        <v>0</v>
      </c>
      <c r="Q211" s="242">
        <v>-16320</v>
      </c>
      <c r="R211" s="337">
        <v>0</v>
      </c>
      <c r="S211" s="336">
        <v>0</v>
      </c>
      <c r="T211" s="336">
        <v>0</v>
      </c>
      <c r="U211" s="336">
        <v>0</v>
      </c>
    </row>
    <row r="212" spans="2:21" s="22" customFormat="1">
      <c r="B212" s="15">
        <f t="shared" si="1"/>
        <v>46</v>
      </c>
      <c r="C212" s="249" t="s">
        <v>1246</v>
      </c>
      <c r="D212" s="254">
        <v>60</v>
      </c>
      <c r="E212" s="250">
        <v>288000</v>
      </c>
      <c r="F212" s="230" t="s">
        <v>42</v>
      </c>
      <c r="G212" s="232">
        <v>40607</v>
      </c>
      <c r="H212" s="228" t="s">
        <v>368</v>
      </c>
      <c r="I212" s="270">
        <v>0</v>
      </c>
      <c r="J212" s="242">
        <v>0</v>
      </c>
      <c r="K212" s="242">
        <v>0</v>
      </c>
      <c r="L212" s="242">
        <v>0</v>
      </c>
      <c r="M212" s="242">
        <v>0</v>
      </c>
      <c r="N212" s="242">
        <v>0</v>
      </c>
      <c r="O212" s="242">
        <v>0</v>
      </c>
      <c r="P212" s="242">
        <v>0</v>
      </c>
      <c r="Q212" s="242">
        <v>-14400</v>
      </c>
      <c r="R212" s="337">
        <v>0</v>
      </c>
      <c r="S212" s="336">
        <v>0</v>
      </c>
      <c r="T212" s="336">
        <v>0</v>
      </c>
      <c r="U212" s="336">
        <v>0</v>
      </c>
    </row>
    <row r="213" spans="2:21" s="22" customFormat="1" ht="27">
      <c r="B213" s="15">
        <f t="shared" si="1"/>
        <v>47</v>
      </c>
      <c r="C213" s="249" t="s">
        <v>1269</v>
      </c>
      <c r="D213" s="254">
        <v>50</v>
      </c>
      <c r="E213" s="250">
        <v>35340</v>
      </c>
      <c r="F213" s="230" t="s">
        <v>1270</v>
      </c>
      <c r="G213" s="232">
        <v>40773</v>
      </c>
      <c r="H213" s="228" t="s">
        <v>368</v>
      </c>
      <c r="I213" s="270">
        <v>0</v>
      </c>
      <c r="J213" s="242">
        <v>0</v>
      </c>
      <c r="K213" s="242">
        <v>0</v>
      </c>
      <c r="L213" s="242">
        <v>0</v>
      </c>
      <c r="M213" s="242">
        <v>0</v>
      </c>
      <c r="N213" s="242">
        <v>0</v>
      </c>
      <c r="O213" s="242">
        <v>0</v>
      </c>
      <c r="P213" s="242">
        <v>0</v>
      </c>
      <c r="Q213" s="242">
        <v>-1767</v>
      </c>
      <c r="R213" s="337">
        <v>0</v>
      </c>
      <c r="S213" s="336">
        <v>0</v>
      </c>
      <c r="T213" s="336">
        <v>0</v>
      </c>
      <c r="U213" s="336">
        <v>0</v>
      </c>
    </row>
    <row r="214" spans="2:21" s="22" customFormat="1" ht="27">
      <c r="B214" s="15">
        <f t="shared" si="1"/>
        <v>48</v>
      </c>
      <c r="C214" s="249" t="s">
        <v>18</v>
      </c>
      <c r="D214" s="254">
        <v>36</v>
      </c>
      <c r="E214" s="250">
        <v>25448</v>
      </c>
      <c r="F214" s="230" t="s">
        <v>1403</v>
      </c>
      <c r="G214" s="232">
        <v>40792</v>
      </c>
      <c r="H214" s="228" t="s">
        <v>368</v>
      </c>
      <c r="I214" s="270">
        <v>0</v>
      </c>
      <c r="J214" s="242">
        <v>0</v>
      </c>
      <c r="K214" s="242">
        <v>0</v>
      </c>
      <c r="L214" s="242">
        <v>0</v>
      </c>
      <c r="M214" s="242">
        <v>0</v>
      </c>
      <c r="N214" s="242">
        <v>0</v>
      </c>
      <c r="O214" s="242">
        <v>0</v>
      </c>
      <c r="P214" s="242">
        <v>0</v>
      </c>
      <c r="Q214" s="242">
        <v>-1272</v>
      </c>
      <c r="R214" s="337">
        <v>0</v>
      </c>
      <c r="S214" s="336">
        <v>0</v>
      </c>
      <c r="T214" s="336">
        <v>0</v>
      </c>
      <c r="U214" s="336">
        <v>0</v>
      </c>
    </row>
    <row r="215" spans="2:21" s="22" customFormat="1" ht="27">
      <c r="B215" s="15">
        <f t="shared" si="1"/>
        <v>49</v>
      </c>
      <c r="C215" s="249" t="s">
        <v>1401</v>
      </c>
      <c r="D215" s="254">
        <v>5</v>
      </c>
      <c r="E215" s="250">
        <v>13626</v>
      </c>
      <c r="F215" s="230" t="s">
        <v>1402</v>
      </c>
      <c r="G215" s="232">
        <v>40829</v>
      </c>
      <c r="H215" s="228" t="s">
        <v>368</v>
      </c>
      <c r="I215" s="270">
        <v>0</v>
      </c>
      <c r="J215" s="242">
        <v>0</v>
      </c>
      <c r="K215" s="242">
        <v>0</v>
      </c>
      <c r="L215" s="242">
        <v>0</v>
      </c>
      <c r="M215" s="242">
        <v>0</v>
      </c>
      <c r="N215" s="242">
        <v>0</v>
      </c>
      <c r="O215" s="242">
        <v>0</v>
      </c>
      <c r="P215" s="242">
        <v>0</v>
      </c>
      <c r="Q215" s="242">
        <v>-681</v>
      </c>
      <c r="R215" s="337">
        <v>0</v>
      </c>
      <c r="S215" s="336">
        <v>0</v>
      </c>
      <c r="T215" s="336">
        <v>0</v>
      </c>
      <c r="U215" s="336">
        <v>0</v>
      </c>
    </row>
    <row r="216" spans="2:21" s="22" customFormat="1" ht="27">
      <c r="B216" s="15">
        <f t="shared" si="1"/>
        <v>50</v>
      </c>
      <c r="C216" s="249" t="s">
        <v>1415</v>
      </c>
      <c r="D216" s="254">
        <v>12</v>
      </c>
      <c r="E216" s="250">
        <v>8482</v>
      </c>
      <c r="F216" s="230" t="s">
        <v>1413</v>
      </c>
      <c r="G216" s="232">
        <v>40820</v>
      </c>
      <c r="H216" s="228" t="s">
        <v>119</v>
      </c>
      <c r="I216" s="270">
        <v>0</v>
      </c>
      <c r="J216" s="242">
        <v>0</v>
      </c>
      <c r="K216" s="242">
        <v>0</v>
      </c>
      <c r="L216" s="242">
        <v>0</v>
      </c>
      <c r="M216" s="242">
        <v>0</v>
      </c>
      <c r="N216" s="242">
        <v>0</v>
      </c>
      <c r="O216" s="242">
        <v>0</v>
      </c>
      <c r="P216" s="242">
        <v>0</v>
      </c>
      <c r="Q216" s="242">
        <v>-424</v>
      </c>
      <c r="R216" s="337">
        <v>0</v>
      </c>
      <c r="S216" s="336">
        <v>0</v>
      </c>
      <c r="T216" s="336">
        <v>0</v>
      </c>
      <c r="U216" s="336">
        <v>0</v>
      </c>
    </row>
    <row r="217" spans="2:21" s="22" customFormat="1" ht="27">
      <c r="B217" s="15">
        <f t="shared" si="1"/>
        <v>51</v>
      </c>
      <c r="C217" s="249" t="s">
        <v>1415</v>
      </c>
      <c r="D217" s="254">
        <v>14</v>
      </c>
      <c r="E217" s="250">
        <v>9895</v>
      </c>
      <c r="F217" s="230" t="s">
        <v>1425</v>
      </c>
      <c r="G217" s="232">
        <v>40837</v>
      </c>
      <c r="H217" s="228" t="s">
        <v>368</v>
      </c>
      <c r="I217" s="270">
        <v>0</v>
      </c>
      <c r="J217" s="242">
        <v>0</v>
      </c>
      <c r="K217" s="242">
        <v>0</v>
      </c>
      <c r="L217" s="242">
        <v>0</v>
      </c>
      <c r="M217" s="242">
        <v>0</v>
      </c>
      <c r="N217" s="242">
        <v>0</v>
      </c>
      <c r="O217" s="242">
        <v>0</v>
      </c>
      <c r="P217" s="242">
        <v>0</v>
      </c>
      <c r="Q217" s="242">
        <v>-495</v>
      </c>
      <c r="R217" s="337">
        <v>0</v>
      </c>
      <c r="S217" s="336">
        <v>0</v>
      </c>
      <c r="T217" s="336">
        <v>0</v>
      </c>
      <c r="U217" s="336">
        <v>0</v>
      </c>
    </row>
    <row r="218" spans="2:21" s="22" customFormat="1" ht="27">
      <c r="B218" s="15">
        <f t="shared" si="1"/>
        <v>52</v>
      </c>
      <c r="C218" s="249" t="s">
        <v>18</v>
      </c>
      <c r="D218" s="254"/>
      <c r="E218" s="250">
        <v>63156</v>
      </c>
      <c r="F218" s="230" t="s">
        <v>1439</v>
      </c>
      <c r="G218" s="232">
        <v>40834</v>
      </c>
      <c r="H218" s="228" t="s">
        <v>282</v>
      </c>
      <c r="I218" s="270">
        <v>0</v>
      </c>
      <c r="J218" s="242">
        <v>0</v>
      </c>
      <c r="K218" s="242">
        <v>0</v>
      </c>
      <c r="L218" s="242">
        <v>0</v>
      </c>
      <c r="M218" s="242">
        <v>0</v>
      </c>
      <c r="N218" s="242">
        <v>0</v>
      </c>
      <c r="O218" s="242">
        <v>0</v>
      </c>
      <c r="P218" s="242">
        <v>0</v>
      </c>
      <c r="Q218" s="242">
        <v>-3158</v>
      </c>
      <c r="R218" s="337">
        <v>0</v>
      </c>
      <c r="S218" s="336">
        <v>0</v>
      </c>
      <c r="T218" s="336">
        <v>0</v>
      </c>
      <c r="U218" s="336">
        <v>0</v>
      </c>
    </row>
    <row r="219" spans="2:21" s="22" customFormat="1" ht="27">
      <c r="B219" s="15">
        <f t="shared" si="1"/>
        <v>53</v>
      </c>
      <c r="C219" s="249" t="s">
        <v>18</v>
      </c>
      <c r="D219" s="254">
        <v>4</v>
      </c>
      <c r="E219" s="250">
        <v>26064</v>
      </c>
      <c r="F219" s="230" t="s">
        <v>1442</v>
      </c>
      <c r="G219" s="232">
        <v>40837</v>
      </c>
      <c r="H219" s="228" t="s">
        <v>368</v>
      </c>
      <c r="I219" s="270">
        <v>44489</v>
      </c>
      <c r="J219" s="242">
        <v>3653</v>
      </c>
      <c r="K219" s="242">
        <v>893</v>
      </c>
      <c r="L219" s="242">
        <v>2760</v>
      </c>
      <c r="M219" s="242">
        <v>1303</v>
      </c>
      <c r="N219" s="242">
        <v>20726</v>
      </c>
      <c r="O219" s="242">
        <v>19288</v>
      </c>
      <c r="P219" s="242">
        <v>2395</v>
      </c>
      <c r="Q219" s="242">
        <v>17985</v>
      </c>
      <c r="R219" s="337">
        <v>203</v>
      </c>
      <c r="S219" s="336">
        <v>2828</v>
      </c>
      <c r="T219" s="336">
        <v>19288</v>
      </c>
      <c r="U219" s="336">
        <v>0</v>
      </c>
    </row>
    <row r="220" spans="2:21" s="22" customFormat="1" ht="40.5">
      <c r="B220" s="15">
        <f t="shared" si="1"/>
        <v>54</v>
      </c>
      <c r="C220" s="249" t="s">
        <v>1444</v>
      </c>
      <c r="D220" s="254">
        <v>24</v>
      </c>
      <c r="E220" s="250">
        <v>137054</v>
      </c>
      <c r="F220" s="230" t="s">
        <v>1443</v>
      </c>
      <c r="G220" s="232">
        <v>40837</v>
      </c>
      <c r="H220" s="228" t="s">
        <v>368</v>
      </c>
      <c r="I220" s="270">
        <v>44489</v>
      </c>
      <c r="J220" s="242">
        <v>3653</v>
      </c>
      <c r="K220" s="242">
        <v>893</v>
      </c>
      <c r="L220" s="242">
        <v>2760</v>
      </c>
      <c r="M220" s="242">
        <v>6853</v>
      </c>
      <c r="N220" s="242">
        <v>108985</v>
      </c>
      <c r="O220" s="242">
        <v>101425</v>
      </c>
      <c r="P220" s="242">
        <v>2395</v>
      </c>
      <c r="Q220" s="242">
        <v>94572</v>
      </c>
      <c r="R220" s="337">
        <v>203</v>
      </c>
      <c r="S220" s="336">
        <v>14869</v>
      </c>
      <c r="T220" s="336">
        <v>101425</v>
      </c>
      <c r="U220" s="336">
        <v>0</v>
      </c>
    </row>
    <row r="221" spans="2:21" s="22" customFormat="1" ht="40.5">
      <c r="B221" s="15">
        <f t="shared" si="1"/>
        <v>55</v>
      </c>
      <c r="C221" s="249" t="s">
        <v>1445</v>
      </c>
      <c r="D221" s="254">
        <v>42</v>
      </c>
      <c r="E221" s="250">
        <v>206558</v>
      </c>
      <c r="F221" s="230" t="s">
        <v>1446</v>
      </c>
      <c r="G221" s="232">
        <v>40857</v>
      </c>
      <c r="H221" s="228" t="s">
        <v>368</v>
      </c>
      <c r="I221" s="270">
        <v>0</v>
      </c>
      <c r="J221" s="242">
        <v>0</v>
      </c>
      <c r="K221" s="242">
        <v>0</v>
      </c>
      <c r="L221" s="242">
        <v>0</v>
      </c>
      <c r="M221" s="242">
        <v>0</v>
      </c>
      <c r="N221" s="242">
        <v>0</v>
      </c>
      <c r="O221" s="242">
        <v>0</v>
      </c>
      <c r="P221" s="242">
        <v>0</v>
      </c>
      <c r="Q221" s="242">
        <v>-10328</v>
      </c>
      <c r="R221" s="337">
        <v>0</v>
      </c>
      <c r="S221" s="336">
        <v>0</v>
      </c>
      <c r="T221" s="336">
        <v>0</v>
      </c>
      <c r="U221" s="336">
        <v>0</v>
      </c>
    </row>
    <row r="222" spans="2:21" s="22" customFormat="1" ht="27">
      <c r="B222" s="15">
        <f t="shared" si="1"/>
        <v>56</v>
      </c>
      <c r="C222" s="249" t="s">
        <v>1630</v>
      </c>
      <c r="D222" s="254">
        <v>5</v>
      </c>
      <c r="E222" s="250">
        <v>1900</v>
      </c>
      <c r="F222" s="230" t="s">
        <v>1631</v>
      </c>
      <c r="G222" s="232">
        <v>40859</v>
      </c>
      <c r="H222" s="228" t="s">
        <v>161</v>
      </c>
      <c r="I222" s="270">
        <v>0</v>
      </c>
      <c r="J222" s="242">
        <v>0</v>
      </c>
      <c r="K222" s="242">
        <v>0</v>
      </c>
      <c r="L222" s="242">
        <v>0</v>
      </c>
      <c r="M222" s="242">
        <v>0</v>
      </c>
      <c r="N222" s="242">
        <v>0</v>
      </c>
      <c r="O222" s="242">
        <v>0</v>
      </c>
      <c r="P222" s="242">
        <v>0</v>
      </c>
      <c r="Q222" s="242">
        <v>-95</v>
      </c>
      <c r="R222" s="337">
        <v>0</v>
      </c>
      <c r="S222" s="336">
        <v>0</v>
      </c>
      <c r="T222" s="336">
        <v>0</v>
      </c>
      <c r="U222" s="336">
        <v>0</v>
      </c>
    </row>
    <row r="223" spans="2:21" s="22" customFormat="1" ht="27">
      <c r="B223" s="15">
        <f t="shared" si="1"/>
        <v>57</v>
      </c>
      <c r="C223" s="249" t="s">
        <v>1640</v>
      </c>
      <c r="D223" s="254">
        <v>7</v>
      </c>
      <c r="E223" s="250">
        <v>79948</v>
      </c>
      <c r="F223" s="230" t="s">
        <v>1641</v>
      </c>
      <c r="G223" s="232">
        <v>40870</v>
      </c>
      <c r="H223" s="228" t="s">
        <v>119</v>
      </c>
      <c r="I223" s="270">
        <v>44522</v>
      </c>
      <c r="J223" s="242">
        <v>3653</v>
      </c>
      <c r="K223" s="242">
        <v>860</v>
      </c>
      <c r="L223" s="242">
        <v>2793</v>
      </c>
      <c r="M223" s="242">
        <v>3997</v>
      </c>
      <c r="N223" s="242">
        <v>64031</v>
      </c>
      <c r="O223" s="242">
        <v>59660</v>
      </c>
      <c r="P223" s="242">
        <v>2428</v>
      </c>
      <c r="Q223" s="242">
        <v>55663</v>
      </c>
      <c r="R223" s="337">
        <v>236</v>
      </c>
      <c r="S223" s="336">
        <v>9406</v>
      </c>
      <c r="T223" s="336">
        <v>59660</v>
      </c>
      <c r="U223" s="336">
        <v>0</v>
      </c>
    </row>
    <row r="224" spans="2:21" s="22" customFormat="1" ht="27">
      <c r="B224" s="15">
        <f t="shared" si="1"/>
        <v>58</v>
      </c>
      <c r="C224" s="249" t="s">
        <v>1640</v>
      </c>
      <c r="D224" s="254">
        <v>2</v>
      </c>
      <c r="E224" s="250">
        <v>11422</v>
      </c>
      <c r="F224" s="230" t="s">
        <v>1642</v>
      </c>
      <c r="G224" s="232">
        <v>40902</v>
      </c>
      <c r="H224" s="228" t="s">
        <v>119</v>
      </c>
      <c r="I224" s="270">
        <v>44554</v>
      </c>
      <c r="J224" s="242">
        <v>3653</v>
      </c>
      <c r="K224" s="242">
        <v>828</v>
      </c>
      <c r="L224" s="242">
        <v>2825</v>
      </c>
      <c r="M224" s="242">
        <v>571</v>
      </c>
      <c r="N224" s="242">
        <v>9211</v>
      </c>
      <c r="O224" s="242">
        <v>8592</v>
      </c>
      <c r="P224" s="242">
        <v>2460</v>
      </c>
      <c r="Q224" s="242">
        <v>8021</v>
      </c>
      <c r="R224" s="337">
        <v>268</v>
      </c>
      <c r="S224" s="336">
        <v>1446</v>
      </c>
      <c r="T224" s="336">
        <v>8592</v>
      </c>
      <c r="U224" s="336">
        <v>0</v>
      </c>
    </row>
    <row r="225" spans="2:21" s="22" customFormat="1" ht="27">
      <c r="B225" s="15">
        <f t="shared" si="1"/>
        <v>59</v>
      </c>
      <c r="C225" s="249" t="s">
        <v>1655</v>
      </c>
      <c r="D225" s="254">
        <v>60</v>
      </c>
      <c r="E225" s="250">
        <v>252360</v>
      </c>
      <c r="F225" s="230" t="s">
        <v>1561</v>
      </c>
      <c r="G225" s="232">
        <v>40890</v>
      </c>
      <c r="H225" s="228" t="s">
        <v>368</v>
      </c>
      <c r="I225" s="270">
        <v>0</v>
      </c>
      <c r="J225" s="242">
        <v>0</v>
      </c>
      <c r="K225" s="242">
        <v>0</v>
      </c>
      <c r="L225" s="242">
        <v>0</v>
      </c>
      <c r="M225" s="242">
        <v>0</v>
      </c>
      <c r="N225" s="242">
        <v>0</v>
      </c>
      <c r="O225" s="242">
        <v>0</v>
      </c>
      <c r="P225" s="242">
        <v>0</v>
      </c>
      <c r="Q225" s="242">
        <v>-12618</v>
      </c>
      <c r="R225" s="337">
        <v>0</v>
      </c>
      <c r="S225" s="336">
        <v>0</v>
      </c>
      <c r="T225" s="336">
        <v>0</v>
      </c>
      <c r="U225" s="336">
        <v>0</v>
      </c>
    </row>
    <row r="226" spans="2:21" s="22" customFormat="1" ht="27">
      <c r="B226" s="15">
        <f t="shared" si="1"/>
        <v>60</v>
      </c>
      <c r="C226" s="249" t="s">
        <v>1674</v>
      </c>
      <c r="D226" s="254">
        <v>46</v>
      </c>
      <c r="E226" s="250">
        <v>28520</v>
      </c>
      <c r="F226" s="230" t="s">
        <v>1675</v>
      </c>
      <c r="G226" s="232">
        <v>40946</v>
      </c>
      <c r="H226" s="228" t="s">
        <v>368</v>
      </c>
      <c r="I226" s="270">
        <v>0</v>
      </c>
      <c r="J226" s="242">
        <v>0</v>
      </c>
      <c r="K226" s="242">
        <v>0</v>
      </c>
      <c r="L226" s="242">
        <v>0</v>
      </c>
      <c r="M226" s="242">
        <v>0</v>
      </c>
      <c r="N226" s="242">
        <v>0</v>
      </c>
      <c r="O226" s="242">
        <v>0</v>
      </c>
      <c r="P226" s="242">
        <v>0</v>
      </c>
      <c r="Q226" s="242">
        <v>-1426</v>
      </c>
      <c r="R226" s="337">
        <v>0</v>
      </c>
      <c r="S226" s="336">
        <v>0</v>
      </c>
      <c r="T226" s="336">
        <v>0</v>
      </c>
      <c r="U226" s="336">
        <v>0</v>
      </c>
    </row>
    <row r="227" spans="2:21" s="22" customFormat="1" ht="27">
      <c r="B227" s="15">
        <f t="shared" si="1"/>
        <v>61</v>
      </c>
      <c r="C227" s="249" t="s">
        <v>1703</v>
      </c>
      <c r="D227" s="254">
        <v>60</v>
      </c>
      <c r="E227" s="250">
        <v>106875</v>
      </c>
      <c r="F227" s="230" t="s">
        <v>1704</v>
      </c>
      <c r="G227" s="232">
        <v>40954</v>
      </c>
      <c r="H227" s="228" t="s">
        <v>368</v>
      </c>
      <c r="I227" s="270">
        <v>0</v>
      </c>
      <c r="J227" s="242">
        <v>0</v>
      </c>
      <c r="K227" s="242">
        <v>0</v>
      </c>
      <c r="L227" s="242">
        <v>0</v>
      </c>
      <c r="M227" s="242">
        <v>0</v>
      </c>
      <c r="N227" s="242">
        <v>0</v>
      </c>
      <c r="O227" s="242">
        <v>0</v>
      </c>
      <c r="P227" s="242">
        <v>0</v>
      </c>
      <c r="Q227" s="242">
        <v>-5344</v>
      </c>
      <c r="R227" s="337">
        <v>0</v>
      </c>
      <c r="S227" s="336">
        <v>0</v>
      </c>
      <c r="T227" s="336">
        <v>0</v>
      </c>
      <c r="U227" s="336">
        <v>0</v>
      </c>
    </row>
    <row r="228" spans="2:21" s="22" customFormat="1" ht="27">
      <c r="B228" s="15">
        <f t="shared" si="1"/>
        <v>62</v>
      </c>
      <c r="C228" s="249" t="s">
        <v>1705</v>
      </c>
      <c r="D228" s="254">
        <v>20</v>
      </c>
      <c r="E228" s="250">
        <v>12400</v>
      </c>
      <c r="F228" s="230" t="s">
        <v>1706</v>
      </c>
      <c r="G228" s="232">
        <v>40952</v>
      </c>
      <c r="H228" s="228" t="s">
        <v>368</v>
      </c>
      <c r="I228" s="270">
        <v>0</v>
      </c>
      <c r="J228" s="242">
        <v>0</v>
      </c>
      <c r="K228" s="242">
        <v>0</v>
      </c>
      <c r="L228" s="242">
        <v>0</v>
      </c>
      <c r="M228" s="242">
        <v>0</v>
      </c>
      <c r="N228" s="242">
        <v>0</v>
      </c>
      <c r="O228" s="242">
        <v>0</v>
      </c>
      <c r="P228" s="242">
        <v>0</v>
      </c>
      <c r="Q228" s="242">
        <v>-620</v>
      </c>
      <c r="R228" s="337">
        <v>0</v>
      </c>
      <c r="S228" s="336">
        <v>0</v>
      </c>
      <c r="T228" s="336">
        <v>0</v>
      </c>
      <c r="U228" s="336">
        <v>0</v>
      </c>
    </row>
    <row r="229" spans="2:21" s="22" customFormat="1" ht="27">
      <c r="B229" s="15">
        <f t="shared" si="1"/>
        <v>63</v>
      </c>
      <c r="C229" s="249" t="s">
        <v>1820</v>
      </c>
      <c r="D229" s="254">
        <v>100</v>
      </c>
      <c r="E229" s="250">
        <v>191387</v>
      </c>
      <c r="F229" s="230" t="s">
        <v>1821</v>
      </c>
      <c r="G229" s="232">
        <v>41038</v>
      </c>
      <c r="H229" s="228" t="s">
        <v>368</v>
      </c>
      <c r="I229" s="270">
        <v>0</v>
      </c>
      <c r="J229" s="242">
        <v>0</v>
      </c>
      <c r="K229" s="242">
        <v>0</v>
      </c>
      <c r="L229" s="242">
        <v>0</v>
      </c>
      <c r="M229" s="242">
        <v>0</v>
      </c>
      <c r="N229" s="242">
        <v>0</v>
      </c>
      <c r="O229" s="242">
        <v>0</v>
      </c>
      <c r="P229" s="242">
        <v>0</v>
      </c>
      <c r="Q229" s="242">
        <v>-9569</v>
      </c>
      <c r="R229" s="337">
        <v>0</v>
      </c>
      <c r="S229" s="336">
        <v>0</v>
      </c>
      <c r="T229" s="336">
        <v>0</v>
      </c>
      <c r="U229" s="336">
        <v>0</v>
      </c>
    </row>
    <row r="230" spans="2:21" s="22" customFormat="1" ht="27">
      <c r="B230" s="15">
        <f t="shared" si="1"/>
        <v>64</v>
      </c>
      <c r="C230" s="249" t="s">
        <v>2010</v>
      </c>
      <c r="D230" s="254">
        <v>24</v>
      </c>
      <c r="E230" s="250">
        <v>16128</v>
      </c>
      <c r="F230" s="230" t="s">
        <v>2011</v>
      </c>
      <c r="G230" s="232">
        <v>41282</v>
      </c>
      <c r="H230" s="228" t="s">
        <v>368</v>
      </c>
      <c r="I230" s="270">
        <v>0</v>
      </c>
      <c r="J230" s="242">
        <v>0</v>
      </c>
      <c r="K230" s="242">
        <v>0</v>
      </c>
      <c r="L230" s="242">
        <v>0</v>
      </c>
      <c r="M230" s="242">
        <v>0</v>
      </c>
      <c r="N230" s="242">
        <v>0</v>
      </c>
      <c r="O230" s="242">
        <v>0</v>
      </c>
      <c r="P230" s="242">
        <v>0</v>
      </c>
      <c r="Q230" s="242">
        <v>-806</v>
      </c>
      <c r="R230" s="337">
        <v>0</v>
      </c>
      <c r="S230" s="336">
        <v>0</v>
      </c>
      <c r="T230" s="336">
        <v>0</v>
      </c>
      <c r="U230" s="336">
        <v>0</v>
      </c>
    </row>
    <row r="231" spans="2:21" s="22" customFormat="1" ht="27">
      <c r="B231" s="15">
        <f t="shared" si="1"/>
        <v>65</v>
      </c>
      <c r="C231" s="249" t="s">
        <v>2017</v>
      </c>
      <c r="D231" s="254">
        <v>25</v>
      </c>
      <c r="E231" s="250">
        <v>16800</v>
      </c>
      <c r="F231" s="230" t="s">
        <v>2018</v>
      </c>
      <c r="G231" s="232">
        <v>41347</v>
      </c>
      <c r="H231" s="228" t="s">
        <v>368</v>
      </c>
      <c r="I231" s="270">
        <v>0</v>
      </c>
      <c r="J231" s="242">
        <v>0</v>
      </c>
      <c r="K231" s="242">
        <v>0</v>
      </c>
      <c r="L231" s="242">
        <v>0</v>
      </c>
      <c r="M231" s="242">
        <v>0</v>
      </c>
      <c r="N231" s="242">
        <v>0</v>
      </c>
      <c r="O231" s="242">
        <v>0</v>
      </c>
      <c r="P231" s="242">
        <v>0</v>
      </c>
      <c r="Q231" s="242">
        <v>-840</v>
      </c>
      <c r="R231" s="337">
        <v>0</v>
      </c>
      <c r="S231" s="336">
        <v>0</v>
      </c>
      <c r="T231" s="336">
        <v>0</v>
      </c>
      <c r="U231" s="336">
        <v>0</v>
      </c>
    </row>
    <row r="232" spans="2:21" s="22" customFormat="1" ht="27">
      <c r="B232" s="15">
        <f t="shared" si="1"/>
        <v>66</v>
      </c>
      <c r="C232" s="249" t="s">
        <v>1674</v>
      </c>
      <c r="D232" s="254">
        <v>40</v>
      </c>
      <c r="E232" s="250">
        <v>26880</v>
      </c>
      <c r="F232" s="230" t="s">
        <v>2082</v>
      </c>
      <c r="G232" s="232">
        <v>41365</v>
      </c>
      <c r="H232" s="228" t="s">
        <v>368</v>
      </c>
      <c r="I232" s="270">
        <v>0</v>
      </c>
      <c r="J232" s="242">
        <v>0</v>
      </c>
      <c r="K232" s="242">
        <v>0</v>
      </c>
      <c r="L232" s="242">
        <v>0</v>
      </c>
      <c r="M232" s="242">
        <v>0</v>
      </c>
      <c r="N232" s="242">
        <v>0</v>
      </c>
      <c r="O232" s="242">
        <v>0</v>
      </c>
      <c r="P232" s="242">
        <v>0</v>
      </c>
      <c r="Q232" s="242">
        <v>-1344</v>
      </c>
      <c r="R232" s="337">
        <v>0</v>
      </c>
      <c r="S232" s="336">
        <v>0</v>
      </c>
      <c r="T232" s="336">
        <v>0</v>
      </c>
      <c r="U232" s="336">
        <v>0</v>
      </c>
    </row>
    <row r="233" spans="2:21" s="22" customFormat="1" ht="27">
      <c r="B233" s="15">
        <f t="shared" ref="B233:B257" si="2">+B232+1</f>
        <v>67</v>
      </c>
      <c r="C233" s="249" t="s">
        <v>2107</v>
      </c>
      <c r="D233" s="254"/>
      <c r="E233" s="250">
        <v>160512</v>
      </c>
      <c r="F233" s="230" t="s">
        <v>2108</v>
      </c>
      <c r="G233" s="232">
        <v>41382</v>
      </c>
      <c r="H233" s="228" t="s">
        <v>368</v>
      </c>
      <c r="I233" s="270">
        <v>0</v>
      </c>
      <c r="J233" s="242">
        <v>0</v>
      </c>
      <c r="K233" s="242">
        <v>0</v>
      </c>
      <c r="L233" s="242">
        <v>0</v>
      </c>
      <c r="M233" s="242">
        <v>0</v>
      </c>
      <c r="N233" s="242">
        <v>0</v>
      </c>
      <c r="O233" s="242">
        <v>0</v>
      </c>
      <c r="P233" s="242">
        <v>0</v>
      </c>
      <c r="Q233" s="242">
        <v>-8026</v>
      </c>
      <c r="R233" s="337">
        <v>0</v>
      </c>
      <c r="S233" s="336">
        <v>0</v>
      </c>
      <c r="T233" s="336">
        <v>0</v>
      </c>
      <c r="U233" s="336">
        <v>0</v>
      </c>
    </row>
    <row r="234" spans="2:21" s="22" customFormat="1" ht="27">
      <c r="B234" s="15">
        <f t="shared" si="2"/>
        <v>68</v>
      </c>
      <c r="C234" s="249" t="s">
        <v>2212</v>
      </c>
      <c r="D234" s="254">
        <v>48</v>
      </c>
      <c r="E234" s="250">
        <v>32256</v>
      </c>
      <c r="F234" s="230" t="s">
        <v>2110</v>
      </c>
      <c r="G234" s="232">
        <v>41370</v>
      </c>
      <c r="H234" s="228" t="s">
        <v>368</v>
      </c>
      <c r="I234" s="270">
        <v>0</v>
      </c>
      <c r="J234" s="242">
        <v>0</v>
      </c>
      <c r="K234" s="242">
        <v>0</v>
      </c>
      <c r="L234" s="242">
        <v>0</v>
      </c>
      <c r="M234" s="242">
        <v>0</v>
      </c>
      <c r="N234" s="242">
        <v>0</v>
      </c>
      <c r="O234" s="242">
        <v>0</v>
      </c>
      <c r="P234" s="242">
        <v>0</v>
      </c>
      <c r="Q234" s="242">
        <v>-1613</v>
      </c>
      <c r="R234" s="337">
        <v>0</v>
      </c>
      <c r="S234" s="336">
        <v>0</v>
      </c>
      <c r="T234" s="336">
        <v>0</v>
      </c>
      <c r="U234" s="336">
        <v>0</v>
      </c>
    </row>
    <row r="235" spans="2:21" s="22" customFormat="1" ht="67.5">
      <c r="B235" s="15">
        <f t="shared" si="2"/>
        <v>69</v>
      </c>
      <c r="C235" s="249" t="s">
        <v>2595</v>
      </c>
      <c r="D235" s="254">
        <v>95</v>
      </c>
      <c r="E235" s="250">
        <f>89876+15051</f>
        <v>104927</v>
      </c>
      <c r="F235" s="230" t="s">
        <v>2590</v>
      </c>
      <c r="G235" s="232">
        <v>41913</v>
      </c>
      <c r="H235" s="228" t="s">
        <v>368</v>
      </c>
      <c r="I235" s="270">
        <v>42924</v>
      </c>
      <c r="J235" s="242">
        <v>1012</v>
      </c>
      <c r="K235" s="242">
        <v>0</v>
      </c>
      <c r="L235" s="242">
        <v>1012</v>
      </c>
      <c r="M235" s="242">
        <v>5246</v>
      </c>
      <c r="N235" s="242">
        <v>99681</v>
      </c>
      <c r="O235" s="242">
        <v>87000</v>
      </c>
      <c r="P235" s="242">
        <v>830</v>
      </c>
      <c r="Q235" s="242">
        <v>81754</v>
      </c>
      <c r="R235" s="337">
        <v>0</v>
      </c>
      <c r="S235" s="336">
        <v>0</v>
      </c>
      <c r="T235" s="336">
        <v>87000</v>
      </c>
      <c r="U235" s="336">
        <v>0</v>
      </c>
    </row>
    <row r="236" spans="2:21" s="22" customFormat="1" ht="67.5">
      <c r="B236" s="15">
        <f t="shared" si="2"/>
        <v>70</v>
      </c>
      <c r="C236" s="249" t="s">
        <v>2596</v>
      </c>
      <c r="D236" s="254">
        <v>50</v>
      </c>
      <c r="E236" s="250">
        <f>8407+1408</f>
        <v>9815</v>
      </c>
      <c r="F236" s="230" t="s">
        <v>2590</v>
      </c>
      <c r="G236" s="232">
        <v>41913</v>
      </c>
      <c r="H236" s="228" t="s">
        <v>368</v>
      </c>
      <c r="I236" s="270">
        <v>42981</v>
      </c>
      <c r="J236" s="242">
        <v>1069</v>
      </c>
      <c r="K236" s="242">
        <v>0</v>
      </c>
      <c r="L236" s="242">
        <v>1069</v>
      </c>
      <c r="M236" s="242">
        <v>491</v>
      </c>
      <c r="N236" s="242">
        <v>9324</v>
      </c>
      <c r="O236" s="242">
        <v>8228</v>
      </c>
      <c r="P236" s="242">
        <v>887</v>
      </c>
      <c r="Q236" s="242">
        <v>7737</v>
      </c>
      <c r="R236" s="337">
        <v>0</v>
      </c>
      <c r="S236" s="336">
        <v>0</v>
      </c>
      <c r="T236" s="336">
        <v>8228</v>
      </c>
      <c r="U236" s="336">
        <v>0</v>
      </c>
    </row>
    <row r="237" spans="2:21" s="22" customFormat="1" ht="40.5">
      <c r="B237" s="15">
        <f t="shared" si="2"/>
        <v>71</v>
      </c>
      <c r="C237" s="249" t="s">
        <v>2703</v>
      </c>
      <c r="D237" s="254">
        <v>56</v>
      </c>
      <c r="E237" s="250">
        <f>279503+2130</f>
        <v>281633</v>
      </c>
      <c r="F237" s="230" t="s">
        <v>2679</v>
      </c>
      <c r="G237" s="232">
        <v>42005</v>
      </c>
      <c r="H237" s="228" t="s">
        <v>368</v>
      </c>
      <c r="I237" s="270">
        <v>45657</v>
      </c>
      <c r="J237" s="242">
        <v>3653</v>
      </c>
      <c r="K237" s="242">
        <v>0</v>
      </c>
      <c r="L237" s="242">
        <v>3653</v>
      </c>
      <c r="M237" s="242">
        <v>14082</v>
      </c>
      <c r="N237" s="242">
        <v>267551</v>
      </c>
      <c r="O237" s="242">
        <v>275041</v>
      </c>
      <c r="P237" s="242">
        <v>3563</v>
      </c>
      <c r="Q237" s="242">
        <v>260959</v>
      </c>
      <c r="R237" s="337">
        <v>365</v>
      </c>
      <c r="S237" s="336">
        <v>26733</v>
      </c>
      <c r="T237" s="336">
        <v>187277</v>
      </c>
      <c r="U237" s="336">
        <v>87764</v>
      </c>
    </row>
    <row r="238" spans="2:21" s="22" customFormat="1" ht="40.5">
      <c r="B238" s="15">
        <f t="shared" si="2"/>
        <v>72</v>
      </c>
      <c r="C238" s="249" t="s">
        <v>2703</v>
      </c>
      <c r="D238" s="254">
        <v>29</v>
      </c>
      <c r="E238" s="250">
        <f>200956+1532</f>
        <v>202488</v>
      </c>
      <c r="F238" s="230" t="s">
        <v>2679</v>
      </c>
      <c r="G238" s="232">
        <v>42005</v>
      </c>
      <c r="H238" s="228" t="s">
        <v>368</v>
      </c>
      <c r="I238" s="270">
        <v>45657</v>
      </c>
      <c r="J238" s="242">
        <v>3653</v>
      </c>
      <c r="K238" s="242">
        <v>0</v>
      </c>
      <c r="L238" s="242">
        <v>3653</v>
      </c>
      <c r="M238" s="242">
        <v>10124</v>
      </c>
      <c r="N238" s="242">
        <v>192364</v>
      </c>
      <c r="O238" s="242">
        <v>197749</v>
      </c>
      <c r="P238" s="242">
        <v>3563</v>
      </c>
      <c r="Q238" s="242">
        <v>187625</v>
      </c>
      <c r="R238" s="337">
        <v>365</v>
      </c>
      <c r="S238" s="336">
        <v>19221</v>
      </c>
      <c r="T238" s="336">
        <v>134651</v>
      </c>
      <c r="U238" s="336">
        <v>63098</v>
      </c>
    </row>
    <row r="239" spans="2:21" s="22" customFormat="1" ht="40.5">
      <c r="B239" s="15">
        <f t="shared" si="2"/>
        <v>73</v>
      </c>
      <c r="C239" s="249" t="s">
        <v>2703</v>
      </c>
      <c r="D239" s="254">
        <v>8</v>
      </c>
      <c r="E239" s="250">
        <f>37418+285</f>
        <v>37703</v>
      </c>
      <c r="F239" s="230" t="s">
        <v>2679</v>
      </c>
      <c r="G239" s="232">
        <v>42005</v>
      </c>
      <c r="H239" s="228" t="s">
        <v>368</v>
      </c>
      <c r="I239" s="270">
        <v>45657</v>
      </c>
      <c r="J239" s="242">
        <v>3653</v>
      </c>
      <c r="K239" s="242">
        <v>0</v>
      </c>
      <c r="L239" s="242">
        <v>3653</v>
      </c>
      <c r="M239" s="242">
        <v>1885</v>
      </c>
      <c r="N239" s="242">
        <v>35818</v>
      </c>
      <c r="O239" s="242">
        <v>36821</v>
      </c>
      <c r="P239" s="242">
        <v>3563</v>
      </c>
      <c r="Q239" s="242">
        <v>34936</v>
      </c>
      <c r="R239" s="337">
        <v>365</v>
      </c>
      <c r="S239" s="336">
        <v>3579</v>
      </c>
      <c r="T239" s="336">
        <v>25073</v>
      </c>
      <c r="U239" s="336">
        <v>11748</v>
      </c>
    </row>
    <row r="240" spans="2:21" s="22" customFormat="1" ht="40.5">
      <c r="B240" s="15">
        <f t="shared" si="2"/>
        <v>74</v>
      </c>
      <c r="C240" s="249" t="s">
        <v>2703</v>
      </c>
      <c r="D240" s="254">
        <v>16</v>
      </c>
      <c r="E240" s="250">
        <f>21458+164</f>
        <v>21622</v>
      </c>
      <c r="F240" s="230" t="s">
        <v>2679</v>
      </c>
      <c r="G240" s="232">
        <v>42005</v>
      </c>
      <c r="H240" s="228" t="s">
        <v>368</v>
      </c>
      <c r="I240" s="270">
        <v>45657</v>
      </c>
      <c r="J240" s="242">
        <v>3653</v>
      </c>
      <c r="K240" s="242">
        <v>0</v>
      </c>
      <c r="L240" s="242">
        <v>3653</v>
      </c>
      <c r="M240" s="242">
        <v>1081</v>
      </c>
      <c r="N240" s="242">
        <v>20541</v>
      </c>
      <c r="O240" s="242">
        <v>21116</v>
      </c>
      <c r="P240" s="242">
        <v>3563</v>
      </c>
      <c r="Q240" s="242">
        <v>20035</v>
      </c>
      <c r="R240" s="337">
        <v>365</v>
      </c>
      <c r="S240" s="336">
        <v>2052</v>
      </c>
      <c r="T240" s="336">
        <v>14376</v>
      </c>
      <c r="U240" s="336">
        <v>6740</v>
      </c>
    </row>
    <row r="241" spans="2:21" s="22" customFormat="1" ht="40.5">
      <c r="B241" s="15">
        <f t="shared" si="2"/>
        <v>75</v>
      </c>
      <c r="C241" s="249" t="s">
        <v>2703</v>
      </c>
      <c r="D241" s="254">
        <v>15</v>
      </c>
      <c r="E241" s="250">
        <f>20116+153</f>
        <v>20269</v>
      </c>
      <c r="F241" s="230" t="s">
        <v>2679</v>
      </c>
      <c r="G241" s="232">
        <v>42005</v>
      </c>
      <c r="H241" s="228" t="s">
        <v>368</v>
      </c>
      <c r="I241" s="270">
        <v>45657</v>
      </c>
      <c r="J241" s="242">
        <v>3653</v>
      </c>
      <c r="K241" s="242">
        <v>0</v>
      </c>
      <c r="L241" s="242">
        <v>3653</v>
      </c>
      <c r="M241" s="242">
        <v>1013</v>
      </c>
      <c r="N241" s="242">
        <v>19256</v>
      </c>
      <c r="O241" s="242">
        <v>19795</v>
      </c>
      <c r="P241" s="242">
        <v>3563</v>
      </c>
      <c r="Q241" s="242">
        <v>18782</v>
      </c>
      <c r="R241" s="337">
        <v>365</v>
      </c>
      <c r="S241" s="336">
        <v>1924</v>
      </c>
      <c r="T241" s="336">
        <v>13478</v>
      </c>
      <c r="U241" s="336">
        <v>6317</v>
      </c>
    </row>
    <row r="242" spans="2:21" s="22" customFormat="1" ht="40.5">
      <c r="B242" s="15">
        <f t="shared" si="2"/>
        <v>76</v>
      </c>
      <c r="C242" s="249" t="s">
        <v>2703</v>
      </c>
      <c r="D242" s="254">
        <v>3</v>
      </c>
      <c r="E242" s="250">
        <f>17671+135</f>
        <v>17806</v>
      </c>
      <c r="F242" s="230" t="s">
        <v>2679</v>
      </c>
      <c r="G242" s="232">
        <v>42005</v>
      </c>
      <c r="H242" s="228" t="s">
        <v>368</v>
      </c>
      <c r="I242" s="270">
        <v>45657</v>
      </c>
      <c r="J242" s="242">
        <v>3653</v>
      </c>
      <c r="K242" s="242">
        <v>0</v>
      </c>
      <c r="L242" s="242">
        <v>3653</v>
      </c>
      <c r="M242" s="242">
        <v>890</v>
      </c>
      <c r="N242" s="242">
        <v>16916</v>
      </c>
      <c r="O242" s="242">
        <v>17389</v>
      </c>
      <c r="P242" s="242">
        <v>3563</v>
      </c>
      <c r="Q242" s="242">
        <v>16499</v>
      </c>
      <c r="R242" s="337">
        <v>365</v>
      </c>
      <c r="S242" s="336">
        <v>1690</v>
      </c>
      <c r="T242" s="336">
        <v>11840</v>
      </c>
      <c r="U242" s="336">
        <v>5549</v>
      </c>
    </row>
    <row r="243" spans="2:21" s="22" customFormat="1" ht="40.5">
      <c r="B243" s="15">
        <f t="shared" si="2"/>
        <v>77</v>
      </c>
      <c r="C243" s="249" t="s">
        <v>2714</v>
      </c>
      <c r="D243" s="254">
        <v>3</v>
      </c>
      <c r="E243" s="250">
        <f>17613+134</f>
        <v>17747</v>
      </c>
      <c r="F243" s="230" t="s">
        <v>2679</v>
      </c>
      <c r="G243" s="232">
        <v>42005</v>
      </c>
      <c r="H243" s="228" t="s">
        <v>368</v>
      </c>
      <c r="I243" s="270">
        <v>45657</v>
      </c>
      <c r="J243" s="242">
        <v>3653</v>
      </c>
      <c r="K243" s="242">
        <v>0</v>
      </c>
      <c r="L243" s="242">
        <v>3653</v>
      </c>
      <c r="M243" s="242">
        <v>887</v>
      </c>
      <c r="N243" s="242">
        <v>16860</v>
      </c>
      <c r="O243" s="242">
        <v>17332</v>
      </c>
      <c r="P243" s="242">
        <v>3563</v>
      </c>
      <c r="Q243" s="242">
        <v>16445</v>
      </c>
      <c r="R243" s="337">
        <v>365</v>
      </c>
      <c r="S243" s="336">
        <v>1685</v>
      </c>
      <c r="T243" s="336">
        <v>11803</v>
      </c>
      <c r="U243" s="336">
        <v>5529</v>
      </c>
    </row>
    <row r="244" spans="2:21" s="22" customFormat="1" ht="40.5">
      <c r="B244" s="15">
        <f t="shared" si="2"/>
        <v>78</v>
      </c>
      <c r="C244" s="249" t="s">
        <v>2703</v>
      </c>
      <c r="D244" s="254">
        <v>10</v>
      </c>
      <c r="E244" s="250">
        <f>13412+102</f>
        <v>13514</v>
      </c>
      <c r="F244" s="230" t="s">
        <v>2679</v>
      </c>
      <c r="G244" s="232">
        <v>42005</v>
      </c>
      <c r="H244" s="228" t="s">
        <v>368</v>
      </c>
      <c r="I244" s="270">
        <v>45657</v>
      </c>
      <c r="J244" s="242">
        <v>3653</v>
      </c>
      <c r="K244" s="242">
        <v>0</v>
      </c>
      <c r="L244" s="242">
        <v>3653</v>
      </c>
      <c r="M244" s="242">
        <v>676</v>
      </c>
      <c r="N244" s="242">
        <v>12838</v>
      </c>
      <c r="O244" s="242">
        <v>13198</v>
      </c>
      <c r="P244" s="242">
        <v>3563</v>
      </c>
      <c r="Q244" s="242">
        <v>12522</v>
      </c>
      <c r="R244" s="337">
        <v>365</v>
      </c>
      <c r="S244" s="336">
        <v>1283</v>
      </c>
      <c r="T244" s="336">
        <v>8987</v>
      </c>
      <c r="U244" s="336">
        <v>4211</v>
      </c>
    </row>
    <row r="245" spans="2:21" s="22" customFormat="1" ht="40.5">
      <c r="B245" s="15">
        <f t="shared" si="2"/>
        <v>79</v>
      </c>
      <c r="C245" s="249" t="s">
        <v>2703</v>
      </c>
      <c r="D245" s="254">
        <v>5</v>
      </c>
      <c r="E245" s="250">
        <f>6706+51</f>
        <v>6757</v>
      </c>
      <c r="F245" s="230" t="s">
        <v>2679</v>
      </c>
      <c r="G245" s="232">
        <v>42005</v>
      </c>
      <c r="H245" s="228" t="s">
        <v>368</v>
      </c>
      <c r="I245" s="270">
        <v>45657</v>
      </c>
      <c r="J245" s="242">
        <v>3653</v>
      </c>
      <c r="K245" s="242">
        <v>0</v>
      </c>
      <c r="L245" s="242">
        <v>3653</v>
      </c>
      <c r="M245" s="242">
        <v>338</v>
      </c>
      <c r="N245" s="242">
        <v>6419</v>
      </c>
      <c r="O245" s="242">
        <v>6599</v>
      </c>
      <c r="P245" s="242">
        <v>3563</v>
      </c>
      <c r="Q245" s="242">
        <v>6261</v>
      </c>
      <c r="R245" s="337">
        <v>365</v>
      </c>
      <c r="S245" s="336">
        <v>641</v>
      </c>
      <c r="T245" s="336">
        <v>4491</v>
      </c>
      <c r="U245" s="336">
        <v>2108</v>
      </c>
    </row>
    <row r="246" spans="2:21" s="22" customFormat="1" ht="40.5">
      <c r="B246" s="15">
        <f t="shared" si="2"/>
        <v>80</v>
      </c>
      <c r="C246" s="249" t="s">
        <v>2725</v>
      </c>
      <c r="D246" s="254">
        <v>1</v>
      </c>
      <c r="E246" s="250">
        <f>6292+48</f>
        <v>6340</v>
      </c>
      <c r="F246" s="230" t="s">
        <v>2679</v>
      </c>
      <c r="G246" s="232">
        <v>42005</v>
      </c>
      <c r="H246" s="228" t="s">
        <v>368</v>
      </c>
      <c r="I246" s="270">
        <v>45657</v>
      </c>
      <c r="J246" s="242">
        <v>3653</v>
      </c>
      <c r="K246" s="242">
        <v>0</v>
      </c>
      <c r="L246" s="242">
        <v>3653</v>
      </c>
      <c r="M246" s="242">
        <v>317</v>
      </c>
      <c r="N246" s="242">
        <v>6023</v>
      </c>
      <c r="O246" s="242">
        <v>6192</v>
      </c>
      <c r="P246" s="242">
        <v>3563</v>
      </c>
      <c r="Q246" s="242">
        <v>5875</v>
      </c>
      <c r="R246" s="337">
        <v>365</v>
      </c>
      <c r="S246" s="336">
        <v>602</v>
      </c>
      <c r="T246" s="336">
        <v>4216</v>
      </c>
      <c r="U246" s="336">
        <v>1976</v>
      </c>
    </row>
    <row r="247" spans="2:21" s="22" customFormat="1" ht="40.5">
      <c r="B247" s="15">
        <f t="shared" si="2"/>
        <v>81</v>
      </c>
      <c r="C247" s="249" t="s">
        <v>2703</v>
      </c>
      <c r="D247" s="254">
        <v>2</v>
      </c>
      <c r="E247" s="250">
        <f>5854+45</f>
        <v>5899</v>
      </c>
      <c r="F247" s="230" t="s">
        <v>2679</v>
      </c>
      <c r="G247" s="232">
        <v>42005</v>
      </c>
      <c r="H247" s="228" t="s">
        <v>368</v>
      </c>
      <c r="I247" s="270">
        <v>45657</v>
      </c>
      <c r="J247" s="242">
        <v>3653</v>
      </c>
      <c r="K247" s="242">
        <v>0</v>
      </c>
      <c r="L247" s="242">
        <v>3653</v>
      </c>
      <c r="M247" s="242">
        <v>295</v>
      </c>
      <c r="N247" s="242">
        <v>5604</v>
      </c>
      <c r="O247" s="242">
        <v>5761</v>
      </c>
      <c r="P247" s="242">
        <v>3563</v>
      </c>
      <c r="Q247" s="242">
        <v>5466</v>
      </c>
      <c r="R247" s="337">
        <v>365</v>
      </c>
      <c r="S247" s="336">
        <v>560</v>
      </c>
      <c r="T247" s="336">
        <v>3922</v>
      </c>
      <c r="U247" s="336">
        <v>1839</v>
      </c>
    </row>
    <row r="248" spans="2:21" s="22" customFormat="1" ht="40.5">
      <c r="B248" s="15">
        <f t="shared" si="2"/>
        <v>82</v>
      </c>
      <c r="C248" s="249" t="s">
        <v>2728</v>
      </c>
      <c r="D248" s="254">
        <v>1</v>
      </c>
      <c r="E248" s="250">
        <f>5690+43</f>
        <v>5733</v>
      </c>
      <c r="F248" s="230" t="s">
        <v>2679</v>
      </c>
      <c r="G248" s="232">
        <v>42005</v>
      </c>
      <c r="H248" s="228" t="s">
        <v>368</v>
      </c>
      <c r="I248" s="270">
        <v>45657</v>
      </c>
      <c r="J248" s="242">
        <v>3653</v>
      </c>
      <c r="K248" s="242">
        <v>0</v>
      </c>
      <c r="L248" s="242">
        <v>3653</v>
      </c>
      <c r="M248" s="242">
        <v>287</v>
      </c>
      <c r="N248" s="242">
        <v>5446</v>
      </c>
      <c r="O248" s="242">
        <v>5599</v>
      </c>
      <c r="P248" s="242">
        <v>3563</v>
      </c>
      <c r="Q248" s="242">
        <v>5312</v>
      </c>
      <c r="R248" s="337">
        <v>365</v>
      </c>
      <c r="S248" s="336">
        <v>544</v>
      </c>
      <c r="T248" s="336">
        <v>3812</v>
      </c>
      <c r="U248" s="336">
        <v>1787</v>
      </c>
    </row>
    <row r="249" spans="2:21" s="22" customFormat="1" ht="40.5">
      <c r="B249" s="15">
        <f t="shared" si="2"/>
        <v>83</v>
      </c>
      <c r="C249" s="249" t="s">
        <v>2729</v>
      </c>
      <c r="D249" s="254">
        <v>4</v>
      </c>
      <c r="E249" s="250">
        <f>5364+41</f>
        <v>5405</v>
      </c>
      <c r="F249" s="230" t="s">
        <v>2679</v>
      </c>
      <c r="G249" s="232">
        <v>42005</v>
      </c>
      <c r="H249" s="228" t="s">
        <v>368</v>
      </c>
      <c r="I249" s="270">
        <v>45657</v>
      </c>
      <c r="J249" s="242">
        <v>3653</v>
      </c>
      <c r="K249" s="242">
        <v>0</v>
      </c>
      <c r="L249" s="242">
        <v>3653</v>
      </c>
      <c r="M249" s="242">
        <v>270</v>
      </c>
      <c r="N249" s="242">
        <v>5135</v>
      </c>
      <c r="O249" s="242">
        <v>5278</v>
      </c>
      <c r="P249" s="242">
        <v>3563</v>
      </c>
      <c r="Q249" s="242">
        <v>5008</v>
      </c>
      <c r="R249" s="337">
        <v>365</v>
      </c>
      <c r="S249" s="336">
        <v>513</v>
      </c>
      <c r="T249" s="336">
        <v>3593</v>
      </c>
      <c r="U249" s="336">
        <v>1685</v>
      </c>
    </row>
    <row r="250" spans="2:21" s="22" customFormat="1" ht="67.5">
      <c r="B250" s="15">
        <f t="shared" si="2"/>
        <v>84</v>
      </c>
      <c r="C250" s="249" t="s">
        <v>18</v>
      </c>
      <c r="D250" s="254">
        <v>29</v>
      </c>
      <c r="E250" s="250">
        <v>82557</v>
      </c>
      <c r="F250" s="230" t="s">
        <v>2736</v>
      </c>
      <c r="G250" s="232">
        <v>42005</v>
      </c>
      <c r="H250" s="228" t="s">
        <v>368</v>
      </c>
      <c r="I250" s="270">
        <v>45657</v>
      </c>
      <c r="J250" s="242">
        <v>3653</v>
      </c>
      <c r="K250" s="242">
        <v>0</v>
      </c>
      <c r="L250" s="242">
        <v>3653</v>
      </c>
      <c r="M250" s="242">
        <v>4128</v>
      </c>
      <c r="N250" s="242">
        <v>78429</v>
      </c>
      <c r="O250" s="242">
        <v>80625</v>
      </c>
      <c r="P250" s="242">
        <v>3563</v>
      </c>
      <c r="Q250" s="242">
        <v>76497</v>
      </c>
      <c r="R250" s="337">
        <v>365</v>
      </c>
      <c r="S250" s="336">
        <v>7836</v>
      </c>
      <c r="T250" s="336">
        <v>54896</v>
      </c>
      <c r="U250" s="336">
        <v>25729</v>
      </c>
    </row>
    <row r="251" spans="2:21" s="22" customFormat="1" ht="40.5">
      <c r="B251" s="15">
        <f t="shared" si="2"/>
        <v>85</v>
      </c>
      <c r="C251" s="249" t="s">
        <v>2747</v>
      </c>
      <c r="D251" s="254">
        <v>2</v>
      </c>
      <c r="E251" s="250">
        <v>11385</v>
      </c>
      <c r="F251" s="230" t="s">
        <v>2742</v>
      </c>
      <c r="G251" s="232">
        <v>42005</v>
      </c>
      <c r="H251" s="228" t="s">
        <v>368</v>
      </c>
      <c r="I251" s="270">
        <v>45657</v>
      </c>
      <c r="J251" s="242">
        <v>3653</v>
      </c>
      <c r="K251" s="242">
        <v>0</v>
      </c>
      <c r="L251" s="242">
        <v>3653</v>
      </c>
      <c r="M251" s="242">
        <v>569</v>
      </c>
      <c r="N251" s="242">
        <v>10816</v>
      </c>
      <c r="O251" s="242">
        <v>11119</v>
      </c>
      <c r="P251" s="242">
        <v>3563</v>
      </c>
      <c r="Q251" s="242">
        <v>10550</v>
      </c>
      <c r="R251" s="337">
        <v>365</v>
      </c>
      <c r="S251" s="336">
        <v>1081</v>
      </c>
      <c r="T251" s="336">
        <v>7573</v>
      </c>
      <c r="U251" s="336">
        <v>3546</v>
      </c>
    </row>
    <row r="252" spans="2:21" s="22" customFormat="1" ht="27">
      <c r="B252" s="15">
        <f t="shared" si="2"/>
        <v>86</v>
      </c>
      <c r="C252" s="249" t="s">
        <v>552</v>
      </c>
      <c r="D252" s="254">
        <v>3</v>
      </c>
      <c r="E252" s="250">
        <v>16200</v>
      </c>
      <c r="F252" s="230" t="s">
        <v>3888</v>
      </c>
      <c r="G252" s="232">
        <v>42531</v>
      </c>
      <c r="H252" s="228" t="s">
        <v>4366</v>
      </c>
      <c r="I252" s="270">
        <v>46182</v>
      </c>
      <c r="J252" s="242">
        <v>3652</v>
      </c>
      <c r="K252" s="242">
        <v>0</v>
      </c>
      <c r="L252" s="242">
        <v>3652</v>
      </c>
      <c r="M252" s="242">
        <v>810</v>
      </c>
      <c r="N252" s="242">
        <v>15390</v>
      </c>
      <c r="O252" s="242">
        <v>16200</v>
      </c>
      <c r="P252" s="242">
        <v>3652</v>
      </c>
      <c r="Q252" s="242">
        <v>15390</v>
      </c>
      <c r="R252" s="337">
        <v>0</v>
      </c>
      <c r="S252" s="336">
        <v>0</v>
      </c>
      <c r="T252" s="336">
        <v>16200</v>
      </c>
      <c r="U252" s="336">
        <v>0</v>
      </c>
    </row>
    <row r="253" spans="2:21" s="22" customFormat="1" ht="27">
      <c r="B253" s="15">
        <f t="shared" si="2"/>
        <v>87</v>
      </c>
      <c r="C253" s="249" t="s">
        <v>3887</v>
      </c>
      <c r="D253" s="254">
        <v>6</v>
      </c>
      <c r="E253" s="250">
        <v>22800</v>
      </c>
      <c r="F253" s="230" t="s">
        <v>3888</v>
      </c>
      <c r="G253" s="232">
        <v>42531</v>
      </c>
      <c r="H253" s="228" t="s">
        <v>4366</v>
      </c>
      <c r="I253" s="270">
        <v>46182</v>
      </c>
      <c r="J253" s="242">
        <v>3652</v>
      </c>
      <c r="K253" s="242">
        <v>0</v>
      </c>
      <c r="L253" s="242">
        <v>3652</v>
      </c>
      <c r="M253" s="242">
        <v>1140</v>
      </c>
      <c r="N253" s="242">
        <v>21660</v>
      </c>
      <c r="O253" s="242">
        <v>22800</v>
      </c>
      <c r="P253" s="242">
        <v>3652</v>
      </c>
      <c r="Q253" s="242">
        <v>21660</v>
      </c>
      <c r="R253" s="337">
        <v>0</v>
      </c>
      <c r="S253" s="336">
        <v>0</v>
      </c>
      <c r="T253" s="336">
        <v>22800</v>
      </c>
      <c r="U253" s="336">
        <v>0</v>
      </c>
    </row>
    <row r="254" spans="2:21" s="22" customFormat="1">
      <c r="B254" s="15">
        <f t="shared" si="2"/>
        <v>88</v>
      </c>
      <c r="C254" s="249" t="s">
        <v>18</v>
      </c>
      <c r="D254" s="254">
        <v>40</v>
      </c>
      <c r="E254" s="250">
        <v>168200</v>
      </c>
      <c r="F254" s="254" t="s">
        <v>4441</v>
      </c>
      <c r="G254" s="233">
        <v>44065</v>
      </c>
      <c r="H254" s="394" t="s">
        <v>368</v>
      </c>
      <c r="I254" s="270">
        <v>47716</v>
      </c>
      <c r="J254" s="242">
        <v>3652</v>
      </c>
      <c r="K254" s="242">
        <v>0</v>
      </c>
      <c r="L254" s="242">
        <v>3652</v>
      </c>
      <c r="M254" s="242">
        <v>8410</v>
      </c>
      <c r="N254" s="242">
        <v>159790</v>
      </c>
      <c r="O254" s="242">
        <v>168200</v>
      </c>
      <c r="P254" s="242">
        <v>3652</v>
      </c>
      <c r="Q254" s="242">
        <v>159790</v>
      </c>
      <c r="R254" s="251">
        <v>365</v>
      </c>
      <c r="S254" s="250">
        <v>15970</v>
      </c>
      <c r="T254" s="250">
        <v>25683</v>
      </c>
      <c r="U254" s="250">
        <v>142517</v>
      </c>
    </row>
    <row r="255" spans="2:21" s="22" customFormat="1">
      <c r="B255" s="15">
        <f t="shared" si="2"/>
        <v>89</v>
      </c>
      <c r="C255" s="245" t="s">
        <v>4582</v>
      </c>
      <c r="D255" s="237">
        <v>100</v>
      </c>
      <c r="E255" s="231">
        <v>14986</v>
      </c>
      <c r="F255" s="237">
        <v>154</v>
      </c>
      <c r="G255" s="238">
        <v>44218</v>
      </c>
      <c r="H255" s="395" t="s">
        <v>368</v>
      </c>
      <c r="I255" s="270">
        <v>44286</v>
      </c>
      <c r="J255" s="242">
        <v>69</v>
      </c>
      <c r="K255" s="242">
        <v>0</v>
      </c>
      <c r="L255" s="242">
        <v>69</v>
      </c>
      <c r="M255" s="242">
        <v>749</v>
      </c>
      <c r="N255" s="242">
        <v>14237</v>
      </c>
      <c r="O255" s="242">
        <v>14986</v>
      </c>
      <c r="P255" s="242">
        <v>69</v>
      </c>
      <c r="Q255" s="242">
        <v>14237</v>
      </c>
      <c r="R255" s="251">
        <v>0</v>
      </c>
      <c r="S255" s="250">
        <v>0</v>
      </c>
      <c r="T255" s="250">
        <v>14986</v>
      </c>
      <c r="U255" s="250">
        <v>0</v>
      </c>
    </row>
    <row r="256" spans="2:21" s="22" customFormat="1">
      <c r="B256" s="15">
        <f t="shared" si="2"/>
        <v>90</v>
      </c>
      <c r="C256" s="245" t="s">
        <v>552</v>
      </c>
      <c r="D256" s="230">
        <v>110</v>
      </c>
      <c r="E256" s="250">
        <v>82553</v>
      </c>
      <c r="F256" s="237">
        <v>154</v>
      </c>
      <c r="G256" s="238">
        <v>44218</v>
      </c>
      <c r="H256" s="395" t="s">
        <v>368</v>
      </c>
      <c r="I256" s="270">
        <v>44286</v>
      </c>
      <c r="J256" s="242">
        <v>69</v>
      </c>
      <c r="K256" s="242">
        <v>0</v>
      </c>
      <c r="L256" s="242">
        <v>69</v>
      </c>
      <c r="M256" s="242">
        <v>4128</v>
      </c>
      <c r="N256" s="242">
        <v>78425</v>
      </c>
      <c r="O256" s="242">
        <v>82553</v>
      </c>
      <c r="P256" s="242">
        <v>69</v>
      </c>
      <c r="Q256" s="242">
        <v>78425</v>
      </c>
      <c r="R256" s="251">
        <v>0</v>
      </c>
      <c r="S256" s="250">
        <v>0</v>
      </c>
      <c r="T256" s="250">
        <v>82553</v>
      </c>
      <c r="U256" s="250">
        <v>0</v>
      </c>
    </row>
    <row r="257" spans="2:21" s="22" customFormat="1">
      <c r="B257" s="15">
        <f t="shared" si="2"/>
        <v>91</v>
      </c>
      <c r="C257" s="245" t="s">
        <v>4631</v>
      </c>
      <c r="D257" s="230">
        <v>1</v>
      </c>
      <c r="E257" s="250">
        <f>3500+315+315</f>
        <v>4130</v>
      </c>
      <c r="F257" s="283" t="s">
        <v>4632</v>
      </c>
      <c r="G257" s="238">
        <v>44546</v>
      </c>
      <c r="H257" s="394" t="s">
        <v>895</v>
      </c>
      <c r="I257" s="270">
        <v>44561</v>
      </c>
      <c r="J257" s="242">
        <v>16</v>
      </c>
      <c r="K257" s="242">
        <v>0</v>
      </c>
      <c r="L257" s="242">
        <v>16</v>
      </c>
      <c r="M257" s="242">
        <v>207</v>
      </c>
      <c r="N257" s="242">
        <v>3923</v>
      </c>
      <c r="O257" s="242">
        <v>4130</v>
      </c>
      <c r="P257" s="242">
        <v>16</v>
      </c>
      <c r="Q257" s="242">
        <v>3924</v>
      </c>
      <c r="R257" s="251">
        <v>0</v>
      </c>
      <c r="S257" s="250">
        <v>0</v>
      </c>
      <c r="T257" s="250">
        <v>0</v>
      </c>
      <c r="U257" s="250">
        <v>4130</v>
      </c>
    </row>
    <row r="258" spans="2:21" s="22" customFormat="1">
      <c r="B258" s="15"/>
      <c r="C258" s="249"/>
      <c r="D258" s="254"/>
      <c r="E258" s="250"/>
      <c r="F258" s="249"/>
      <c r="G258" s="233"/>
      <c r="H258" s="228"/>
      <c r="I258" s="270"/>
      <c r="J258" s="242"/>
      <c r="K258" s="242"/>
      <c r="L258" s="242"/>
      <c r="M258" s="242"/>
      <c r="N258" s="242"/>
      <c r="O258" s="242"/>
      <c r="P258" s="242"/>
      <c r="Q258" s="242"/>
      <c r="R258" s="318"/>
      <c r="S258" s="242"/>
      <c r="T258" s="242"/>
      <c r="U258" s="228"/>
    </row>
    <row r="259" spans="2:21" s="22" customFormat="1" ht="14.25">
      <c r="B259" s="32" t="s">
        <v>392</v>
      </c>
      <c r="C259" s="228"/>
      <c r="D259" s="230"/>
      <c r="E259" s="242"/>
      <c r="F259" s="230"/>
      <c r="G259" s="230"/>
      <c r="H259" s="228"/>
      <c r="I259" s="228"/>
      <c r="J259" s="228"/>
      <c r="K259" s="228"/>
      <c r="L259" s="228"/>
      <c r="M259" s="242"/>
      <c r="N259" s="228"/>
      <c r="O259" s="242"/>
      <c r="P259" s="242"/>
      <c r="Q259" s="242"/>
      <c r="R259" s="318"/>
      <c r="S259" s="242"/>
      <c r="T259" s="242"/>
      <c r="U259" s="228"/>
    </row>
    <row r="260" spans="2:21" s="22" customFormat="1" ht="40.5">
      <c r="B260" s="15">
        <v>1</v>
      </c>
      <c r="C260" s="249" t="s">
        <v>501</v>
      </c>
      <c r="D260" s="254" t="s">
        <v>723</v>
      </c>
      <c r="E260" s="250">
        <v>45167</v>
      </c>
      <c r="F260" s="254" t="s">
        <v>724</v>
      </c>
      <c r="G260" s="233">
        <v>40367</v>
      </c>
      <c r="H260" s="228" t="s">
        <v>282</v>
      </c>
      <c r="I260" s="242">
        <v>0</v>
      </c>
      <c r="J260" s="242">
        <v>0</v>
      </c>
      <c r="K260" s="242">
        <v>0</v>
      </c>
      <c r="L260" s="242">
        <v>0</v>
      </c>
      <c r="M260" s="242">
        <v>0</v>
      </c>
      <c r="N260" s="242">
        <v>0</v>
      </c>
      <c r="O260" s="242">
        <v>0</v>
      </c>
      <c r="P260" s="242">
        <v>0</v>
      </c>
      <c r="Q260" s="242">
        <v>-2258</v>
      </c>
      <c r="R260" s="337">
        <v>0</v>
      </c>
      <c r="S260" s="336">
        <v>0</v>
      </c>
      <c r="T260" s="336">
        <v>0</v>
      </c>
      <c r="U260" s="336">
        <v>0</v>
      </c>
    </row>
    <row r="261" spans="2:21" s="22" customFormat="1" ht="27">
      <c r="B261" s="15">
        <v>2</v>
      </c>
      <c r="C261" s="249" t="s">
        <v>1171</v>
      </c>
      <c r="D261" s="254">
        <v>15.68</v>
      </c>
      <c r="E261" s="250">
        <v>32890</v>
      </c>
      <c r="F261" s="230" t="s">
        <v>42</v>
      </c>
      <c r="G261" s="233">
        <v>40724</v>
      </c>
      <c r="H261" s="228" t="s">
        <v>368</v>
      </c>
      <c r="I261" s="242">
        <v>0</v>
      </c>
      <c r="J261" s="242">
        <v>0</v>
      </c>
      <c r="K261" s="242">
        <v>0</v>
      </c>
      <c r="L261" s="242">
        <v>0</v>
      </c>
      <c r="M261" s="242">
        <v>0</v>
      </c>
      <c r="N261" s="242">
        <v>0</v>
      </c>
      <c r="O261" s="242">
        <v>0</v>
      </c>
      <c r="P261" s="242">
        <v>0</v>
      </c>
      <c r="Q261" s="242">
        <v>-1645</v>
      </c>
      <c r="R261" s="337">
        <v>0</v>
      </c>
      <c r="S261" s="336">
        <v>0</v>
      </c>
      <c r="T261" s="336">
        <v>0</v>
      </c>
      <c r="U261" s="336">
        <v>0</v>
      </c>
    </row>
    <row r="262" spans="2:21" s="22" customFormat="1">
      <c r="B262" s="15">
        <v>3</v>
      </c>
      <c r="C262" s="249" t="s">
        <v>2098</v>
      </c>
      <c r="D262" s="254">
        <v>40.21</v>
      </c>
      <c r="E262" s="250">
        <v>25747</v>
      </c>
      <c r="F262" s="230" t="s">
        <v>2099</v>
      </c>
      <c r="G262" s="233">
        <v>41416</v>
      </c>
      <c r="H262" s="228" t="s">
        <v>368</v>
      </c>
      <c r="I262" s="242">
        <v>0</v>
      </c>
      <c r="J262" s="242">
        <v>0</v>
      </c>
      <c r="K262" s="242">
        <v>0</v>
      </c>
      <c r="L262" s="242">
        <v>0</v>
      </c>
      <c r="M262" s="242">
        <v>0</v>
      </c>
      <c r="N262" s="242">
        <v>0</v>
      </c>
      <c r="O262" s="242">
        <v>0</v>
      </c>
      <c r="P262" s="242">
        <v>0</v>
      </c>
      <c r="Q262" s="242">
        <v>-1287</v>
      </c>
      <c r="R262" s="337">
        <v>0</v>
      </c>
      <c r="S262" s="336">
        <v>0</v>
      </c>
      <c r="T262" s="336">
        <v>0</v>
      </c>
      <c r="U262" s="336">
        <v>0</v>
      </c>
    </row>
    <row r="263" spans="2:21" s="22" customFormat="1" ht="40.5">
      <c r="B263" s="15">
        <f>+B262+1</f>
        <v>4</v>
      </c>
      <c r="C263" s="249" t="s">
        <v>2707</v>
      </c>
      <c r="D263" s="254" t="s">
        <v>314</v>
      </c>
      <c r="E263" s="250">
        <f>90276+688</f>
        <v>90964</v>
      </c>
      <c r="F263" s="341" t="s">
        <v>2679</v>
      </c>
      <c r="G263" s="233">
        <v>42005</v>
      </c>
      <c r="H263" s="228" t="s">
        <v>368</v>
      </c>
      <c r="I263" s="270">
        <v>45657</v>
      </c>
      <c r="J263" s="242">
        <v>3653</v>
      </c>
      <c r="K263" s="242">
        <v>0</v>
      </c>
      <c r="L263" s="242">
        <v>3653</v>
      </c>
      <c r="M263" s="242">
        <v>4548</v>
      </c>
      <c r="N263" s="242">
        <v>86416</v>
      </c>
      <c r="O263" s="242">
        <v>88835</v>
      </c>
      <c r="P263" s="242">
        <v>3563</v>
      </c>
      <c r="Q263" s="242">
        <v>84287</v>
      </c>
      <c r="R263" s="337">
        <v>365</v>
      </c>
      <c r="S263" s="336">
        <v>8635</v>
      </c>
      <c r="T263" s="336">
        <v>60491</v>
      </c>
      <c r="U263" s="336">
        <v>28344</v>
      </c>
    </row>
    <row r="264" spans="2:21" s="22" customFormat="1" ht="40.5">
      <c r="B264" s="15">
        <f>+B263+1</f>
        <v>5</v>
      </c>
      <c r="C264" s="249" t="s">
        <v>2749</v>
      </c>
      <c r="D264" s="254">
        <v>1</v>
      </c>
      <c r="E264" s="250">
        <v>27477</v>
      </c>
      <c r="F264" s="249" t="s">
        <v>2742</v>
      </c>
      <c r="G264" s="233">
        <v>42005</v>
      </c>
      <c r="H264" s="228" t="s">
        <v>368</v>
      </c>
      <c r="I264" s="321">
        <v>45657</v>
      </c>
      <c r="J264" s="322">
        <v>3653</v>
      </c>
      <c r="K264" s="322">
        <v>0</v>
      </c>
      <c r="L264" s="322">
        <v>3653</v>
      </c>
      <c r="M264" s="322">
        <v>1374</v>
      </c>
      <c r="N264" s="322">
        <v>26103</v>
      </c>
      <c r="O264" s="322">
        <v>26834</v>
      </c>
      <c r="P264" s="322">
        <v>3563</v>
      </c>
      <c r="Q264" s="322">
        <v>25460</v>
      </c>
      <c r="R264" s="337">
        <v>365</v>
      </c>
      <c r="S264" s="336">
        <v>2608</v>
      </c>
      <c r="T264" s="336">
        <v>18270</v>
      </c>
      <c r="U264" s="336">
        <v>8564</v>
      </c>
    </row>
    <row r="265" spans="2:21" s="22" customFormat="1" ht="27">
      <c r="B265" s="15">
        <v>6</v>
      </c>
      <c r="C265" s="249" t="s">
        <v>2556</v>
      </c>
      <c r="D265" s="254" t="s">
        <v>887</v>
      </c>
      <c r="E265" s="250">
        <v>137559</v>
      </c>
      <c r="F265" s="254" t="s">
        <v>2557</v>
      </c>
      <c r="G265" s="233">
        <v>41906</v>
      </c>
      <c r="H265" s="394" t="s">
        <v>368</v>
      </c>
      <c r="I265" s="270">
        <v>45558</v>
      </c>
      <c r="J265" s="242">
        <v>3653</v>
      </c>
      <c r="K265" s="242">
        <v>0</v>
      </c>
      <c r="L265" s="242">
        <v>3653</v>
      </c>
      <c r="M265" s="242">
        <v>6878</v>
      </c>
      <c r="N265" s="242">
        <v>130681</v>
      </c>
      <c r="O265" s="242">
        <v>130798</v>
      </c>
      <c r="P265" s="242">
        <v>3464</v>
      </c>
      <c r="Q265" s="242">
        <v>123920</v>
      </c>
      <c r="R265" s="251">
        <v>365</v>
      </c>
      <c r="S265" s="250">
        <v>13057</v>
      </c>
      <c r="T265" s="250">
        <v>91471</v>
      </c>
      <c r="U265" s="250">
        <v>39327</v>
      </c>
    </row>
    <row r="266" spans="2:21" s="22" customFormat="1" ht="14.25">
      <c r="B266" s="32" t="s">
        <v>327</v>
      </c>
      <c r="C266" s="229"/>
      <c r="D266" s="230"/>
      <c r="E266" s="252"/>
      <c r="F266" s="230"/>
      <c r="G266" s="230"/>
      <c r="H266" s="228"/>
      <c r="I266" s="228"/>
      <c r="J266" s="228"/>
      <c r="K266" s="228"/>
      <c r="L266" s="228"/>
      <c r="M266" s="242"/>
      <c r="N266" s="228"/>
      <c r="O266" s="242"/>
      <c r="P266" s="242"/>
      <c r="Q266" s="242"/>
      <c r="R266" s="318"/>
      <c r="S266" s="242"/>
      <c r="T266" s="242"/>
      <c r="U266" s="228"/>
    </row>
    <row r="267" spans="2:21" s="22" customFormat="1" ht="27">
      <c r="B267" s="15">
        <v>1</v>
      </c>
      <c r="C267" s="249" t="s">
        <v>328</v>
      </c>
      <c r="D267" s="254">
        <v>8</v>
      </c>
      <c r="E267" s="250">
        <f>+ROUND(109173/18*8,)</f>
        <v>48521</v>
      </c>
      <c r="F267" s="230" t="s">
        <v>550</v>
      </c>
      <c r="G267" s="233">
        <v>39878</v>
      </c>
      <c r="H267" s="228" t="s">
        <v>282</v>
      </c>
      <c r="I267" s="321">
        <v>43529</v>
      </c>
      <c r="J267" s="242">
        <v>3652</v>
      </c>
      <c r="K267" s="242">
        <v>1852</v>
      </c>
      <c r="L267" s="242">
        <v>1800</v>
      </c>
      <c r="M267" s="242">
        <v>2426</v>
      </c>
      <c r="N267" s="242">
        <v>30518</v>
      </c>
      <c r="O267" s="242">
        <v>26757</v>
      </c>
      <c r="P267" s="242">
        <v>1435</v>
      </c>
      <c r="Q267" s="242">
        <v>24330</v>
      </c>
      <c r="R267" s="337">
        <v>0</v>
      </c>
      <c r="S267" s="336">
        <v>0</v>
      </c>
      <c r="T267" s="336">
        <v>26756</v>
      </c>
      <c r="U267" s="336">
        <v>0</v>
      </c>
    </row>
    <row r="268" spans="2:21" s="22" customFormat="1" ht="27">
      <c r="B268" s="15">
        <f>+B267+1</f>
        <v>2</v>
      </c>
      <c r="C268" s="249" t="s">
        <v>274</v>
      </c>
      <c r="D268" s="254">
        <v>1</v>
      </c>
      <c r="E268" s="250">
        <v>20000</v>
      </c>
      <c r="F268" s="230" t="s">
        <v>725</v>
      </c>
      <c r="G268" s="233">
        <v>40406</v>
      </c>
      <c r="H268" s="228" t="s">
        <v>368</v>
      </c>
      <c r="I268" s="321">
        <v>44058</v>
      </c>
      <c r="J268" s="242">
        <v>3653</v>
      </c>
      <c r="K268" s="242">
        <v>1324</v>
      </c>
      <c r="L268" s="242">
        <v>2329</v>
      </c>
      <c r="M268" s="242">
        <v>1000</v>
      </c>
      <c r="N268" s="242">
        <v>14411</v>
      </c>
      <c r="O268" s="242">
        <v>13153</v>
      </c>
      <c r="P268" s="242">
        <v>1964</v>
      </c>
      <c r="Q268" s="242">
        <v>12153</v>
      </c>
      <c r="R268" s="337">
        <v>0</v>
      </c>
      <c r="S268" s="336">
        <v>0</v>
      </c>
      <c r="T268" s="336">
        <v>13153</v>
      </c>
      <c r="U268" s="336">
        <v>0</v>
      </c>
    </row>
    <row r="269" spans="2:21" s="22" customFormat="1" ht="27">
      <c r="B269" s="15">
        <f>+B268+1</f>
        <v>3</v>
      </c>
      <c r="C269" s="249" t="s">
        <v>586</v>
      </c>
      <c r="D269" s="254" t="s">
        <v>887</v>
      </c>
      <c r="E269" s="250">
        <v>2450360</v>
      </c>
      <c r="F269" s="230" t="s">
        <v>587</v>
      </c>
      <c r="G269" s="233">
        <v>40595</v>
      </c>
      <c r="H269" s="228" t="s">
        <v>368</v>
      </c>
      <c r="I269" s="321">
        <v>44247</v>
      </c>
      <c r="J269" s="242">
        <v>3653</v>
      </c>
      <c r="K269" s="242">
        <v>1135</v>
      </c>
      <c r="L269" s="242">
        <v>2518</v>
      </c>
      <c r="M269" s="242">
        <v>122518</v>
      </c>
      <c r="N269" s="242">
        <v>1845945</v>
      </c>
      <c r="O269" s="242">
        <v>1700882</v>
      </c>
      <c r="P269" s="242">
        <v>2153</v>
      </c>
      <c r="Q269" s="242">
        <v>1578364</v>
      </c>
      <c r="R269" s="337">
        <v>0</v>
      </c>
      <c r="S269" s="336">
        <v>0</v>
      </c>
      <c r="T269" s="336">
        <v>1700882</v>
      </c>
      <c r="U269" s="336">
        <v>0</v>
      </c>
    </row>
    <row r="270" spans="2:21" s="22" customFormat="1" ht="40.5">
      <c r="B270" s="15">
        <f t="shared" ref="B270:B292" si="3">+B269+1</f>
        <v>4</v>
      </c>
      <c r="C270" s="249" t="s">
        <v>1016</v>
      </c>
      <c r="D270" s="254">
        <v>0</v>
      </c>
      <c r="E270" s="250">
        <v>1140000</v>
      </c>
      <c r="F270" s="230" t="s">
        <v>1014</v>
      </c>
      <c r="G270" s="233">
        <v>40560</v>
      </c>
      <c r="H270" s="228" t="s">
        <v>368</v>
      </c>
      <c r="I270" s="321">
        <v>44212</v>
      </c>
      <c r="J270" s="242">
        <v>3653</v>
      </c>
      <c r="K270" s="242">
        <v>1170</v>
      </c>
      <c r="L270" s="242">
        <v>2483</v>
      </c>
      <c r="M270" s="242">
        <v>57000</v>
      </c>
      <c r="N270" s="242">
        <v>851884</v>
      </c>
      <c r="O270" s="242">
        <v>783657</v>
      </c>
      <c r="P270" s="242">
        <v>2118</v>
      </c>
      <c r="Q270" s="242">
        <v>726657</v>
      </c>
      <c r="R270" s="337">
        <v>0</v>
      </c>
      <c r="S270" s="336">
        <v>0</v>
      </c>
      <c r="T270" s="336">
        <v>783657</v>
      </c>
      <c r="U270" s="336">
        <v>0</v>
      </c>
    </row>
    <row r="271" spans="2:21" s="22" customFormat="1" ht="27">
      <c r="B271" s="15">
        <f t="shared" si="3"/>
        <v>5</v>
      </c>
      <c r="C271" s="249" t="s">
        <v>769</v>
      </c>
      <c r="D271" s="254">
        <v>14</v>
      </c>
      <c r="E271" s="250">
        <v>230952</v>
      </c>
      <c r="F271" s="230" t="s">
        <v>413</v>
      </c>
      <c r="G271" s="233">
        <v>40686</v>
      </c>
      <c r="H271" s="228" t="s">
        <v>895</v>
      </c>
      <c r="I271" s="321">
        <v>44338</v>
      </c>
      <c r="J271" s="242">
        <v>3653</v>
      </c>
      <c r="K271" s="242">
        <v>1044</v>
      </c>
      <c r="L271" s="242">
        <v>2609</v>
      </c>
      <c r="M271" s="242">
        <v>11548</v>
      </c>
      <c r="N271" s="242">
        <v>177663</v>
      </c>
      <c r="O271" s="242">
        <v>164356</v>
      </c>
      <c r="P271" s="242">
        <v>2244</v>
      </c>
      <c r="Q271" s="242">
        <v>152808</v>
      </c>
      <c r="R271" s="337">
        <v>52</v>
      </c>
      <c r="S271" s="336">
        <v>15090</v>
      </c>
      <c r="T271" s="336">
        <v>164356</v>
      </c>
      <c r="U271" s="336">
        <v>0</v>
      </c>
    </row>
    <row r="272" spans="2:21" s="22" customFormat="1" ht="27">
      <c r="B272" s="15">
        <f t="shared" si="3"/>
        <v>6</v>
      </c>
      <c r="C272" s="249" t="s">
        <v>4626</v>
      </c>
      <c r="D272" s="254">
        <v>-14</v>
      </c>
      <c r="E272" s="250">
        <v>-230952</v>
      </c>
      <c r="F272" s="230"/>
      <c r="G272" s="233">
        <v>40686</v>
      </c>
      <c r="H272" s="228" t="s">
        <v>895</v>
      </c>
      <c r="I272" s="321">
        <v>44338</v>
      </c>
      <c r="J272" s="242">
        <v>3653</v>
      </c>
      <c r="K272" s="242">
        <v>1044</v>
      </c>
      <c r="L272" s="242">
        <v>2609</v>
      </c>
      <c r="M272" s="242">
        <v>0</v>
      </c>
      <c r="N272" s="242">
        <v>0</v>
      </c>
      <c r="O272" s="242">
        <v>-164356</v>
      </c>
      <c r="P272" s="242"/>
      <c r="Q272" s="242"/>
      <c r="R272" s="337">
        <v>0</v>
      </c>
      <c r="S272" s="336">
        <v>0</v>
      </c>
      <c r="T272" s="336">
        <v>-164356</v>
      </c>
      <c r="U272" s="336">
        <v>0</v>
      </c>
    </row>
    <row r="273" spans="2:21" s="22" customFormat="1">
      <c r="B273" s="15">
        <f t="shared" si="3"/>
        <v>7</v>
      </c>
      <c r="C273" s="249" t="s">
        <v>1245</v>
      </c>
      <c r="D273" s="254">
        <v>64</v>
      </c>
      <c r="E273" s="250">
        <v>960000</v>
      </c>
      <c r="F273" s="230" t="s">
        <v>42</v>
      </c>
      <c r="G273" s="233">
        <v>40634</v>
      </c>
      <c r="H273" s="228" t="s">
        <v>368</v>
      </c>
      <c r="I273" s="321">
        <v>44286</v>
      </c>
      <c r="J273" s="242">
        <v>3653</v>
      </c>
      <c r="K273" s="242">
        <v>1096</v>
      </c>
      <c r="L273" s="242">
        <v>2557</v>
      </c>
      <c r="M273" s="242">
        <v>48000</v>
      </c>
      <c r="N273" s="242">
        <v>729696</v>
      </c>
      <c r="O273" s="242">
        <v>673535</v>
      </c>
      <c r="P273" s="242">
        <v>2192</v>
      </c>
      <c r="Q273" s="242">
        <v>625535</v>
      </c>
      <c r="R273" s="337">
        <v>0</v>
      </c>
      <c r="S273" s="336">
        <v>0</v>
      </c>
      <c r="T273" s="336">
        <v>673535</v>
      </c>
      <c r="U273" s="336">
        <v>0</v>
      </c>
    </row>
    <row r="274" spans="2:21" s="22" customFormat="1">
      <c r="B274" s="15">
        <f t="shared" si="3"/>
        <v>8</v>
      </c>
      <c r="C274" s="249" t="s">
        <v>1245</v>
      </c>
      <c r="D274" s="254">
        <v>56</v>
      </c>
      <c r="E274" s="250">
        <v>840000</v>
      </c>
      <c r="F274" s="230" t="s">
        <v>42</v>
      </c>
      <c r="G274" s="233">
        <v>40634</v>
      </c>
      <c r="H274" s="228" t="s">
        <v>368</v>
      </c>
      <c r="I274" s="321">
        <v>44286</v>
      </c>
      <c r="J274" s="242">
        <v>3653</v>
      </c>
      <c r="K274" s="242">
        <v>1096</v>
      </c>
      <c r="L274" s="242">
        <v>2557</v>
      </c>
      <c r="M274" s="242">
        <v>42000</v>
      </c>
      <c r="N274" s="242">
        <v>638484</v>
      </c>
      <c r="O274" s="242">
        <v>589343</v>
      </c>
      <c r="P274" s="242">
        <v>2192</v>
      </c>
      <c r="Q274" s="242">
        <v>547343</v>
      </c>
      <c r="R274" s="337">
        <v>0</v>
      </c>
      <c r="S274" s="336">
        <v>0</v>
      </c>
      <c r="T274" s="336">
        <v>589343</v>
      </c>
      <c r="U274" s="336">
        <v>0</v>
      </c>
    </row>
    <row r="275" spans="2:21" s="22" customFormat="1" ht="40.5">
      <c r="B275" s="15">
        <f t="shared" si="3"/>
        <v>9</v>
      </c>
      <c r="C275" s="249" t="s">
        <v>1758</v>
      </c>
      <c r="D275" s="254">
        <v>14</v>
      </c>
      <c r="E275" s="250">
        <v>109326</v>
      </c>
      <c r="F275" s="254" t="s">
        <v>1752</v>
      </c>
      <c r="G275" s="233">
        <v>40928</v>
      </c>
      <c r="H275" s="228" t="s">
        <v>368</v>
      </c>
      <c r="I275" s="321">
        <v>44580</v>
      </c>
      <c r="J275" s="242">
        <v>3653</v>
      </c>
      <c r="K275" s="242">
        <v>802</v>
      </c>
      <c r="L275" s="242">
        <v>2851</v>
      </c>
      <c r="M275" s="242">
        <v>5466</v>
      </c>
      <c r="N275" s="242">
        <v>88659</v>
      </c>
      <c r="O275" s="242">
        <v>82774</v>
      </c>
      <c r="P275" s="242">
        <v>2486</v>
      </c>
      <c r="Q275" s="242">
        <v>77308</v>
      </c>
      <c r="R275" s="337">
        <v>294</v>
      </c>
      <c r="S275" s="336">
        <v>14606</v>
      </c>
      <c r="T275" s="336">
        <v>82774</v>
      </c>
      <c r="U275" s="336">
        <v>0</v>
      </c>
    </row>
    <row r="276" spans="2:21" s="22" customFormat="1" ht="27">
      <c r="B276" s="15">
        <f t="shared" si="3"/>
        <v>10</v>
      </c>
      <c r="C276" s="249" t="s">
        <v>2357</v>
      </c>
      <c r="D276" s="254">
        <f>12+10+3+16</f>
        <v>41</v>
      </c>
      <c r="E276" s="250">
        <v>28700</v>
      </c>
      <c r="F276" s="254">
        <v>75</v>
      </c>
      <c r="G276" s="233">
        <v>41640</v>
      </c>
      <c r="H276" s="228" t="s">
        <v>368</v>
      </c>
      <c r="I276" s="242">
        <v>0</v>
      </c>
      <c r="J276" s="242">
        <v>0</v>
      </c>
      <c r="K276" s="242">
        <v>0</v>
      </c>
      <c r="L276" s="242">
        <v>0</v>
      </c>
      <c r="M276" s="242">
        <v>0</v>
      </c>
      <c r="N276" s="242">
        <v>0</v>
      </c>
      <c r="O276" s="242">
        <v>0</v>
      </c>
      <c r="P276" s="242">
        <v>0</v>
      </c>
      <c r="Q276" s="242">
        <v>-1435</v>
      </c>
      <c r="R276" s="337">
        <v>0</v>
      </c>
      <c r="S276" s="336">
        <v>0</v>
      </c>
      <c r="T276" s="336">
        <v>0</v>
      </c>
      <c r="U276" s="336">
        <v>0</v>
      </c>
    </row>
    <row r="277" spans="2:21" s="22" customFormat="1">
      <c r="B277" s="15">
        <f t="shared" si="3"/>
        <v>11</v>
      </c>
      <c r="C277" s="249" t="s">
        <v>2358</v>
      </c>
      <c r="D277" s="254">
        <f>2+6</f>
        <v>8</v>
      </c>
      <c r="E277" s="250">
        <v>5600</v>
      </c>
      <c r="F277" s="230">
        <v>87</v>
      </c>
      <c r="G277" s="233">
        <v>41660</v>
      </c>
      <c r="H277" s="228" t="s">
        <v>368</v>
      </c>
      <c r="I277" s="321">
        <v>0</v>
      </c>
      <c r="J277" s="242">
        <v>0</v>
      </c>
      <c r="K277" s="242">
        <v>0</v>
      </c>
      <c r="L277" s="242">
        <v>0</v>
      </c>
      <c r="M277" s="242">
        <v>0</v>
      </c>
      <c r="N277" s="242">
        <v>0</v>
      </c>
      <c r="O277" s="242">
        <v>0</v>
      </c>
      <c r="P277" s="242">
        <v>0</v>
      </c>
      <c r="Q277" s="242">
        <v>-280</v>
      </c>
      <c r="R277" s="337">
        <v>0</v>
      </c>
      <c r="S277" s="336">
        <v>0</v>
      </c>
      <c r="T277" s="336">
        <v>0</v>
      </c>
      <c r="U277" s="336">
        <v>0</v>
      </c>
    </row>
    <row r="278" spans="2:21" s="22" customFormat="1">
      <c r="B278" s="15">
        <f t="shared" si="3"/>
        <v>12</v>
      </c>
      <c r="C278" s="249" t="s">
        <v>2358</v>
      </c>
      <c r="D278" s="254">
        <f>4+18</f>
        <v>22</v>
      </c>
      <c r="E278" s="250">
        <v>15400</v>
      </c>
      <c r="F278" s="230">
        <v>81</v>
      </c>
      <c r="G278" s="233">
        <v>41640</v>
      </c>
      <c r="H278" s="228" t="s">
        <v>368</v>
      </c>
      <c r="I278" s="321">
        <v>0</v>
      </c>
      <c r="J278" s="242">
        <v>0</v>
      </c>
      <c r="K278" s="242">
        <v>0</v>
      </c>
      <c r="L278" s="242">
        <v>0</v>
      </c>
      <c r="M278" s="242">
        <v>0</v>
      </c>
      <c r="N278" s="242">
        <v>0</v>
      </c>
      <c r="O278" s="242">
        <v>0</v>
      </c>
      <c r="P278" s="242">
        <v>0</v>
      </c>
      <c r="Q278" s="242">
        <v>-770</v>
      </c>
      <c r="R278" s="337">
        <v>0</v>
      </c>
      <c r="S278" s="336">
        <v>0</v>
      </c>
      <c r="T278" s="336">
        <v>0</v>
      </c>
      <c r="U278" s="336">
        <v>0</v>
      </c>
    </row>
    <row r="279" spans="2:21" s="22" customFormat="1" ht="67.5">
      <c r="B279" s="15">
        <f t="shared" si="3"/>
        <v>13</v>
      </c>
      <c r="C279" s="249" t="s">
        <v>2594</v>
      </c>
      <c r="D279" s="254" t="s">
        <v>314</v>
      </c>
      <c r="E279" s="250">
        <f>481596+80650</f>
        <v>562246</v>
      </c>
      <c r="F279" s="230" t="s">
        <v>2589</v>
      </c>
      <c r="G279" s="233">
        <v>41913</v>
      </c>
      <c r="H279" s="228" t="s">
        <v>368</v>
      </c>
      <c r="I279" s="321">
        <v>42925</v>
      </c>
      <c r="J279" s="242">
        <v>1013</v>
      </c>
      <c r="K279" s="242">
        <v>0</v>
      </c>
      <c r="L279" s="242">
        <v>1013</v>
      </c>
      <c r="M279" s="242">
        <v>28112</v>
      </c>
      <c r="N279" s="242">
        <v>534134</v>
      </c>
      <c r="O279" s="242">
        <v>466281</v>
      </c>
      <c r="P279" s="242">
        <v>831</v>
      </c>
      <c r="Q279" s="242">
        <v>438169</v>
      </c>
      <c r="R279" s="337">
        <v>0</v>
      </c>
      <c r="S279" s="336">
        <v>0</v>
      </c>
      <c r="T279" s="336">
        <v>466281</v>
      </c>
      <c r="U279" s="336">
        <v>0</v>
      </c>
    </row>
    <row r="280" spans="2:21" s="22" customFormat="1" ht="67.5">
      <c r="B280" s="15">
        <f t="shared" si="3"/>
        <v>14</v>
      </c>
      <c r="C280" s="249" t="s">
        <v>2599</v>
      </c>
      <c r="D280" s="254">
        <v>4</v>
      </c>
      <c r="E280" s="250">
        <f>38612+6466</f>
        <v>45078</v>
      </c>
      <c r="F280" s="230" t="s">
        <v>2589</v>
      </c>
      <c r="G280" s="233">
        <v>41913</v>
      </c>
      <c r="H280" s="228" t="s">
        <v>368</v>
      </c>
      <c r="I280" s="321">
        <v>43589</v>
      </c>
      <c r="J280" s="242">
        <v>1677</v>
      </c>
      <c r="K280" s="242">
        <v>0</v>
      </c>
      <c r="L280" s="242">
        <v>1677</v>
      </c>
      <c r="M280" s="242">
        <v>2254</v>
      </c>
      <c r="N280" s="242">
        <v>42824</v>
      </c>
      <c r="O280" s="242">
        <v>40430</v>
      </c>
      <c r="P280" s="242">
        <v>1495</v>
      </c>
      <c r="Q280" s="242">
        <v>38176</v>
      </c>
      <c r="R280" s="337">
        <v>0</v>
      </c>
      <c r="S280" s="336">
        <v>0</v>
      </c>
      <c r="T280" s="336">
        <v>40430</v>
      </c>
      <c r="U280" s="336">
        <v>0</v>
      </c>
    </row>
    <row r="281" spans="2:21" s="22" customFormat="1" ht="67.5">
      <c r="B281" s="15">
        <f t="shared" si="3"/>
        <v>15</v>
      </c>
      <c r="C281" s="249" t="s">
        <v>2600</v>
      </c>
      <c r="D281" s="254">
        <v>4</v>
      </c>
      <c r="E281" s="250">
        <f>5682+952</f>
        <v>6634</v>
      </c>
      <c r="F281" s="230" t="s">
        <v>2589</v>
      </c>
      <c r="G281" s="233">
        <v>41913</v>
      </c>
      <c r="H281" s="228" t="s">
        <v>368</v>
      </c>
      <c r="I281" s="321">
        <v>0</v>
      </c>
      <c r="J281" s="242">
        <v>0</v>
      </c>
      <c r="K281" s="242">
        <v>0</v>
      </c>
      <c r="L281" s="242">
        <v>0</v>
      </c>
      <c r="M281" s="242">
        <v>0</v>
      </c>
      <c r="N281" s="242">
        <v>6634</v>
      </c>
      <c r="O281" s="242">
        <v>0</v>
      </c>
      <c r="P281" s="242">
        <v>0</v>
      </c>
      <c r="Q281" s="242">
        <v>-332</v>
      </c>
      <c r="R281" s="337">
        <v>0</v>
      </c>
      <c r="S281" s="336">
        <v>0</v>
      </c>
      <c r="T281" s="336">
        <v>0</v>
      </c>
      <c r="U281" s="336">
        <v>0</v>
      </c>
    </row>
    <row r="282" spans="2:21" s="22" customFormat="1" ht="40.5">
      <c r="B282" s="15">
        <f t="shared" si="3"/>
        <v>16</v>
      </c>
      <c r="C282" s="249" t="s">
        <v>2699</v>
      </c>
      <c r="D282" s="254" t="s">
        <v>314</v>
      </c>
      <c r="E282" s="250">
        <f>469327+3577</f>
        <v>472904</v>
      </c>
      <c r="F282" s="230" t="s">
        <v>2679</v>
      </c>
      <c r="G282" s="233">
        <v>42005</v>
      </c>
      <c r="H282" s="228" t="s">
        <v>368</v>
      </c>
      <c r="I282" s="321">
        <v>45657</v>
      </c>
      <c r="J282" s="242">
        <v>3653</v>
      </c>
      <c r="K282" s="242">
        <v>0</v>
      </c>
      <c r="L282" s="242">
        <v>3653</v>
      </c>
      <c r="M282" s="242">
        <v>23645</v>
      </c>
      <c r="N282" s="242">
        <v>449259</v>
      </c>
      <c r="O282" s="242">
        <v>461835</v>
      </c>
      <c r="P282" s="242">
        <v>3563</v>
      </c>
      <c r="Q282" s="242">
        <v>438190</v>
      </c>
      <c r="R282" s="337">
        <v>365</v>
      </c>
      <c r="S282" s="336">
        <v>44889</v>
      </c>
      <c r="T282" s="336">
        <v>314469</v>
      </c>
      <c r="U282" s="336">
        <v>147366</v>
      </c>
    </row>
    <row r="283" spans="2:21" s="22" customFormat="1" ht="40.5">
      <c r="B283" s="15">
        <f t="shared" si="3"/>
        <v>17</v>
      </c>
      <c r="C283" s="249" t="s">
        <v>2699</v>
      </c>
      <c r="D283" s="254" t="s">
        <v>314</v>
      </c>
      <c r="E283" s="250">
        <f>32756+250</f>
        <v>33006</v>
      </c>
      <c r="F283" s="230" t="s">
        <v>2679</v>
      </c>
      <c r="G283" s="233">
        <v>42005</v>
      </c>
      <c r="H283" s="228" t="s">
        <v>368</v>
      </c>
      <c r="I283" s="321">
        <v>45657</v>
      </c>
      <c r="J283" s="242">
        <v>3653</v>
      </c>
      <c r="K283" s="242">
        <v>0</v>
      </c>
      <c r="L283" s="242">
        <v>3653</v>
      </c>
      <c r="M283" s="242">
        <v>1650</v>
      </c>
      <c r="N283" s="242">
        <v>31356</v>
      </c>
      <c r="O283" s="242">
        <v>32233</v>
      </c>
      <c r="P283" s="242">
        <v>3563</v>
      </c>
      <c r="Q283" s="242">
        <v>30583</v>
      </c>
      <c r="R283" s="337">
        <v>365</v>
      </c>
      <c r="S283" s="336">
        <v>3133</v>
      </c>
      <c r="T283" s="336">
        <v>21949</v>
      </c>
      <c r="U283" s="336">
        <v>10284</v>
      </c>
    </row>
    <row r="284" spans="2:21" s="22" customFormat="1" ht="40.5">
      <c r="B284" s="15">
        <f t="shared" si="3"/>
        <v>18</v>
      </c>
      <c r="C284" s="249" t="s">
        <v>2699</v>
      </c>
      <c r="D284" s="254" t="s">
        <v>314</v>
      </c>
      <c r="E284" s="250">
        <f>59477+453</f>
        <v>59930</v>
      </c>
      <c r="F284" s="230" t="s">
        <v>2679</v>
      </c>
      <c r="G284" s="233">
        <v>42005</v>
      </c>
      <c r="H284" s="228" t="s">
        <v>368</v>
      </c>
      <c r="I284" s="321">
        <v>45657</v>
      </c>
      <c r="J284" s="242">
        <v>3653</v>
      </c>
      <c r="K284" s="242">
        <v>0</v>
      </c>
      <c r="L284" s="242">
        <v>3653</v>
      </c>
      <c r="M284" s="242">
        <v>2997</v>
      </c>
      <c r="N284" s="242">
        <v>56933</v>
      </c>
      <c r="O284" s="242">
        <v>58527</v>
      </c>
      <c r="P284" s="242">
        <v>3563</v>
      </c>
      <c r="Q284" s="242">
        <v>55531</v>
      </c>
      <c r="R284" s="337">
        <v>365</v>
      </c>
      <c r="S284" s="336">
        <v>5689</v>
      </c>
      <c r="T284" s="336">
        <v>39853</v>
      </c>
      <c r="U284" s="336">
        <v>18674</v>
      </c>
    </row>
    <row r="285" spans="2:21" s="22" customFormat="1" ht="40.5">
      <c r="B285" s="15">
        <f t="shared" si="3"/>
        <v>19</v>
      </c>
      <c r="C285" s="249" t="s">
        <v>2699</v>
      </c>
      <c r="D285" s="254" t="s">
        <v>314</v>
      </c>
      <c r="E285" s="250">
        <f>198365+1512</f>
        <v>199877</v>
      </c>
      <c r="F285" s="249" t="s">
        <v>2679</v>
      </c>
      <c r="G285" s="233">
        <v>42005</v>
      </c>
      <c r="H285" s="228" t="s">
        <v>368</v>
      </c>
      <c r="I285" s="270">
        <v>45657</v>
      </c>
      <c r="J285" s="242">
        <v>3653</v>
      </c>
      <c r="K285" s="242">
        <v>0</v>
      </c>
      <c r="L285" s="242">
        <v>3653</v>
      </c>
      <c r="M285" s="242">
        <v>9994</v>
      </c>
      <c r="N285" s="242">
        <v>189883</v>
      </c>
      <c r="O285" s="242">
        <v>195199</v>
      </c>
      <c r="P285" s="242">
        <v>3563</v>
      </c>
      <c r="Q285" s="242">
        <v>185205</v>
      </c>
      <c r="R285" s="337">
        <v>365</v>
      </c>
      <c r="S285" s="336">
        <v>18973</v>
      </c>
      <c r="T285" s="336">
        <v>132915</v>
      </c>
      <c r="U285" s="336">
        <v>62284</v>
      </c>
    </row>
    <row r="286" spans="2:21" s="22" customFormat="1" ht="40.5">
      <c r="B286" s="15">
        <f t="shared" si="3"/>
        <v>20</v>
      </c>
      <c r="C286" s="249" t="s">
        <v>2699</v>
      </c>
      <c r="D286" s="254" t="s">
        <v>314</v>
      </c>
      <c r="E286" s="250">
        <f>302750+2308</f>
        <v>305058</v>
      </c>
      <c r="F286" s="249" t="s">
        <v>2679</v>
      </c>
      <c r="G286" s="233">
        <v>42005</v>
      </c>
      <c r="H286" s="228" t="s">
        <v>368</v>
      </c>
      <c r="I286" s="270">
        <v>45657</v>
      </c>
      <c r="J286" s="242">
        <v>3653</v>
      </c>
      <c r="K286" s="242">
        <v>0</v>
      </c>
      <c r="L286" s="242">
        <v>3653</v>
      </c>
      <c r="M286" s="242">
        <v>15253</v>
      </c>
      <c r="N286" s="242">
        <v>289805</v>
      </c>
      <c r="O286" s="242">
        <v>297918</v>
      </c>
      <c r="P286" s="242">
        <v>3563</v>
      </c>
      <c r="Q286" s="242">
        <v>282665</v>
      </c>
      <c r="R286" s="337">
        <v>365</v>
      </c>
      <c r="S286" s="336">
        <v>28957</v>
      </c>
      <c r="T286" s="336">
        <v>202857</v>
      </c>
      <c r="U286" s="336">
        <v>95061</v>
      </c>
    </row>
    <row r="287" spans="2:21" s="22" customFormat="1" ht="40.5">
      <c r="B287" s="15">
        <f t="shared" si="3"/>
        <v>21</v>
      </c>
      <c r="C287" s="249" t="s">
        <v>2699</v>
      </c>
      <c r="D287" s="254" t="s">
        <v>314</v>
      </c>
      <c r="E287" s="250">
        <f>7200+55</f>
        <v>7255</v>
      </c>
      <c r="F287" s="249" t="s">
        <v>2679</v>
      </c>
      <c r="G287" s="233">
        <v>42005</v>
      </c>
      <c r="H287" s="228" t="s">
        <v>368</v>
      </c>
      <c r="I287" s="270">
        <v>45657</v>
      </c>
      <c r="J287" s="242">
        <v>3653</v>
      </c>
      <c r="K287" s="242">
        <v>0</v>
      </c>
      <c r="L287" s="242">
        <v>3653</v>
      </c>
      <c r="M287" s="242">
        <v>363</v>
      </c>
      <c r="N287" s="242">
        <v>6892</v>
      </c>
      <c r="O287" s="242">
        <v>7085</v>
      </c>
      <c r="P287" s="242">
        <v>3563</v>
      </c>
      <c r="Q287" s="242">
        <v>6722</v>
      </c>
      <c r="R287" s="337">
        <v>365</v>
      </c>
      <c r="S287" s="336">
        <v>689</v>
      </c>
      <c r="T287" s="336">
        <v>4827</v>
      </c>
      <c r="U287" s="336">
        <v>2258</v>
      </c>
    </row>
    <row r="288" spans="2:21" s="22" customFormat="1" ht="40.5">
      <c r="B288" s="15">
        <f t="shared" si="3"/>
        <v>22</v>
      </c>
      <c r="C288" s="249" t="s">
        <v>2700</v>
      </c>
      <c r="D288" s="254" t="s">
        <v>314</v>
      </c>
      <c r="E288" s="250">
        <f>719123+5481</f>
        <v>724604</v>
      </c>
      <c r="F288" s="249" t="s">
        <v>2679</v>
      </c>
      <c r="G288" s="233">
        <v>42005</v>
      </c>
      <c r="H288" s="228" t="s">
        <v>368</v>
      </c>
      <c r="I288" s="270">
        <v>45657</v>
      </c>
      <c r="J288" s="242">
        <v>3653</v>
      </c>
      <c r="K288" s="242">
        <v>0</v>
      </c>
      <c r="L288" s="242">
        <v>3653</v>
      </c>
      <c r="M288" s="242">
        <v>36230</v>
      </c>
      <c r="N288" s="242">
        <v>688374</v>
      </c>
      <c r="O288" s="242">
        <v>707644</v>
      </c>
      <c r="P288" s="242">
        <v>3563</v>
      </c>
      <c r="Q288" s="242">
        <v>671414</v>
      </c>
      <c r="R288" s="337">
        <v>365</v>
      </c>
      <c r="S288" s="336">
        <v>68781</v>
      </c>
      <c r="T288" s="336">
        <v>481843</v>
      </c>
      <c r="U288" s="336">
        <v>225801</v>
      </c>
    </row>
    <row r="289" spans="2:21" s="22" customFormat="1" ht="40.5">
      <c r="B289" s="15">
        <f t="shared" si="3"/>
        <v>23</v>
      </c>
      <c r="C289" s="245" t="s">
        <v>2746</v>
      </c>
      <c r="D289" s="254">
        <v>4</v>
      </c>
      <c r="E289" s="322">
        <v>18048</v>
      </c>
      <c r="F289" s="278" t="s">
        <v>2739</v>
      </c>
      <c r="G289" s="342">
        <v>42005</v>
      </c>
      <c r="H289" s="228" t="s">
        <v>368</v>
      </c>
      <c r="I289" s="270">
        <v>45657</v>
      </c>
      <c r="J289" s="242">
        <v>3653</v>
      </c>
      <c r="K289" s="242">
        <v>0</v>
      </c>
      <c r="L289" s="242">
        <v>3653</v>
      </c>
      <c r="M289" s="242">
        <v>902</v>
      </c>
      <c r="N289" s="242">
        <v>17146</v>
      </c>
      <c r="O289" s="242">
        <v>17626</v>
      </c>
      <c r="P289" s="242">
        <v>3563</v>
      </c>
      <c r="Q289" s="242">
        <v>16724</v>
      </c>
      <c r="R289" s="337">
        <v>365</v>
      </c>
      <c r="S289" s="336">
        <v>1713</v>
      </c>
      <c r="T289" s="336">
        <v>12001</v>
      </c>
      <c r="U289" s="336">
        <v>5625</v>
      </c>
    </row>
    <row r="290" spans="2:21" s="22" customFormat="1" ht="40.5">
      <c r="B290" s="15">
        <f t="shared" si="3"/>
        <v>24</v>
      </c>
      <c r="C290" s="245" t="s">
        <v>2746</v>
      </c>
      <c r="D290" s="254">
        <v>60</v>
      </c>
      <c r="E290" s="322">
        <v>475158</v>
      </c>
      <c r="F290" s="278" t="s">
        <v>2739</v>
      </c>
      <c r="G290" s="342">
        <v>42005</v>
      </c>
      <c r="H290" s="228" t="s">
        <v>368</v>
      </c>
      <c r="I290" s="270">
        <v>45657</v>
      </c>
      <c r="J290" s="242">
        <v>3653</v>
      </c>
      <c r="K290" s="242">
        <v>0</v>
      </c>
      <c r="L290" s="242">
        <v>3653</v>
      </c>
      <c r="M290" s="242">
        <v>23758</v>
      </c>
      <c r="N290" s="242">
        <v>451400</v>
      </c>
      <c r="O290" s="242">
        <v>464037</v>
      </c>
      <c r="P290" s="242">
        <v>3563</v>
      </c>
      <c r="Q290" s="242">
        <v>440279</v>
      </c>
      <c r="R290" s="337">
        <v>365</v>
      </c>
      <c r="S290" s="336">
        <v>45103</v>
      </c>
      <c r="T290" s="336">
        <v>315969</v>
      </c>
      <c r="U290" s="336">
        <v>148068</v>
      </c>
    </row>
    <row r="291" spans="2:21" s="22" customFormat="1" ht="40.5">
      <c r="B291" s="15">
        <f t="shared" si="3"/>
        <v>25</v>
      </c>
      <c r="C291" s="245" t="s">
        <v>2746</v>
      </c>
      <c r="D291" s="254">
        <v>15</v>
      </c>
      <c r="E291" s="322">
        <v>62143</v>
      </c>
      <c r="F291" s="278" t="s">
        <v>2739</v>
      </c>
      <c r="G291" s="342">
        <v>42005</v>
      </c>
      <c r="H291" s="228" t="s">
        <v>368</v>
      </c>
      <c r="I291" s="321">
        <v>45657</v>
      </c>
      <c r="J291" s="322">
        <v>3653</v>
      </c>
      <c r="K291" s="322">
        <v>0</v>
      </c>
      <c r="L291" s="322">
        <v>3653</v>
      </c>
      <c r="M291" s="322">
        <v>3107</v>
      </c>
      <c r="N291" s="322">
        <v>59036</v>
      </c>
      <c r="O291" s="322">
        <v>60689</v>
      </c>
      <c r="P291" s="322">
        <v>3563</v>
      </c>
      <c r="Q291" s="322">
        <v>57582</v>
      </c>
      <c r="R291" s="337">
        <v>365</v>
      </c>
      <c r="S291" s="336">
        <v>5899</v>
      </c>
      <c r="T291" s="336">
        <v>41325</v>
      </c>
      <c r="U291" s="336">
        <v>19364</v>
      </c>
    </row>
    <row r="292" spans="2:21" s="22" customFormat="1">
      <c r="B292" s="15">
        <f t="shared" si="3"/>
        <v>26</v>
      </c>
      <c r="C292" s="245" t="s">
        <v>4583</v>
      </c>
      <c r="D292" s="237">
        <v>50</v>
      </c>
      <c r="E292" s="231">
        <v>18998</v>
      </c>
      <c r="F292" s="237">
        <v>154</v>
      </c>
      <c r="G292" s="238">
        <v>44218</v>
      </c>
      <c r="H292" s="395" t="s">
        <v>368</v>
      </c>
      <c r="I292" s="270">
        <v>44286</v>
      </c>
      <c r="J292" s="242">
        <v>69</v>
      </c>
      <c r="K292" s="242">
        <v>0</v>
      </c>
      <c r="L292" s="242">
        <v>69</v>
      </c>
      <c r="M292" s="242">
        <v>950</v>
      </c>
      <c r="N292" s="242">
        <v>18048</v>
      </c>
      <c r="O292" s="242">
        <v>18998</v>
      </c>
      <c r="P292" s="242">
        <v>69</v>
      </c>
      <c r="Q292" s="242">
        <v>18048</v>
      </c>
      <c r="R292" s="251">
        <v>0</v>
      </c>
      <c r="S292" s="250">
        <v>0</v>
      </c>
      <c r="T292" s="250">
        <v>18998</v>
      </c>
      <c r="U292" s="250">
        <v>0</v>
      </c>
    </row>
    <row r="293" spans="2:21" s="22" customFormat="1">
      <c r="B293" s="15"/>
      <c r="C293" s="245"/>
      <c r="D293" s="254"/>
      <c r="E293" s="322"/>
      <c r="F293" s="278"/>
      <c r="G293" s="342"/>
      <c r="H293" s="228"/>
      <c r="I293" s="321"/>
      <c r="J293" s="322"/>
      <c r="K293" s="322"/>
      <c r="L293" s="322"/>
      <c r="M293" s="322"/>
      <c r="N293" s="322"/>
      <c r="O293" s="322"/>
      <c r="P293" s="322"/>
      <c r="Q293" s="322"/>
      <c r="R293" s="337"/>
      <c r="S293" s="336"/>
      <c r="T293" s="336"/>
      <c r="U293" s="336"/>
    </row>
    <row r="294" spans="2:21" s="22" customFormat="1" ht="14.25">
      <c r="B294" s="6" t="s">
        <v>2553</v>
      </c>
      <c r="C294" s="241"/>
      <c r="D294" s="230"/>
      <c r="E294" s="250"/>
      <c r="F294" s="230"/>
      <c r="G294" s="233"/>
      <c r="H294" s="394"/>
      <c r="I294" s="242"/>
      <c r="J294" s="228"/>
      <c r="K294" s="228"/>
      <c r="L294" s="228"/>
      <c r="M294" s="228"/>
      <c r="N294" s="228"/>
      <c r="O294" s="228"/>
      <c r="P294" s="228"/>
      <c r="Q294" s="228"/>
      <c r="R294" s="228"/>
      <c r="S294" s="250"/>
      <c r="T294" s="250"/>
      <c r="U294" s="250"/>
    </row>
    <row r="295" spans="2:21" s="22" customFormat="1" ht="27">
      <c r="B295" s="15">
        <v>1</v>
      </c>
      <c r="C295" s="241" t="s">
        <v>2554</v>
      </c>
      <c r="D295" s="230" t="s">
        <v>887</v>
      </c>
      <c r="E295" s="250">
        <v>93750</v>
      </c>
      <c r="F295" s="230" t="s">
        <v>2555</v>
      </c>
      <c r="G295" s="233">
        <v>41954</v>
      </c>
      <c r="H295" s="394" t="s">
        <v>895</v>
      </c>
      <c r="I295" s="242">
        <v>45606</v>
      </c>
      <c r="J295" s="228">
        <v>3653</v>
      </c>
      <c r="K295" s="228">
        <v>0</v>
      </c>
      <c r="L295" s="228">
        <v>3653</v>
      </c>
      <c r="M295" s="228">
        <v>4688</v>
      </c>
      <c r="N295" s="228">
        <v>89062</v>
      </c>
      <c r="O295" s="228">
        <v>90312</v>
      </c>
      <c r="P295" s="228">
        <v>3512</v>
      </c>
      <c r="Q295" s="228">
        <v>85625</v>
      </c>
      <c r="R295" s="228">
        <v>183</v>
      </c>
      <c r="S295" s="250">
        <v>4462</v>
      </c>
      <c r="T295" s="250">
        <v>57904</v>
      </c>
      <c r="U295" s="250">
        <v>32408</v>
      </c>
    </row>
    <row r="296" spans="2:21" s="22" customFormat="1" ht="27">
      <c r="B296" s="15">
        <v>2</v>
      </c>
      <c r="C296" s="241" t="s">
        <v>4626</v>
      </c>
      <c r="D296" s="230" t="s">
        <v>887</v>
      </c>
      <c r="E296" s="250">
        <v>-93750</v>
      </c>
      <c r="F296" s="230"/>
      <c r="G296" s="233">
        <v>41954</v>
      </c>
      <c r="H296" s="394" t="s">
        <v>895</v>
      </c>
      <c r="I296" s="242">
        <v>45606</v>
      </c>
      <c r="J296" s="228">
        <v>3653</v>
      </c>
      <c r="K296" s="228">
        <v>0</v>
      </c>
      <c r="L296" s="228">
        <v>3653</v>
      </c>
      <c r="M296" s="228">
        <v>-4688</v>
      </c>
      <c r="N296" s="228">
        <v>-89062</v>
      </c>
      <c r="O296" s="228">
        <v>-90312</v>
      </c>
      <c r="P296" s="228"/>
      <c r="Q296" s="228"/>
      <c r="R296" s="228">
        <v>0</v>
      </c>
      <c r="S296" s="250">
        <v>0</v>
      </c>
      <c r="T296" s="250">
        <v>-57904</v>
      </c>
      <c r="U296" s="250">
        <v>-32408</v>
      </c>
    </row>
    <row r="297" spans="2:21" s="22" customFormat="1" ht="14.25">
      <c r="B297" s="32" t="s">
        <v>522</v>
      </c>
      <c r="C297" s="228"/>
      <c r="D297" s="230"/>
      <c r="E297" s="250"/>
      <c r="F297" s="230"/>
      <c r="G297" s="230"/>
      <c r="H297" s="228"/>
      <c r="I297" s="228"/>
      <c r="J297" s="228"/>
      <c r="K297" s="228"/>
      <c r="L297" s="228"/>
      <c r="M297" s="242"/>
      <c r="N297" s="228"/>
      <c r="O297" s="242">
        <v>0</v>
      </c>
      <c r="P297" s="242"/>
      <c r="Q297" s="272"/>
      <c r="R297" s="318"/>
      <c r="S297" s="242"/>
      <c r="T297" s="242"/>
      <c r="U297" s="228"/>
    </row>
    <row r="298" spans="2:21" s="22" customFormat="1">
      <c r="B298" s="15">
        <v>1</v>
      </c>
      <c r="C298" s="249" t="s">
        <v>329</v>
      </c>
      <c r="D298" s="254">
        <v>1</v>
      </c>
      <c r="E298" s="250">
        <v>4196</v>
      </c>
      <c r="F298" s="230"/>
      <c r="G298" s="233">
        <v>39539</v>
      </c>
      <c r="H298" s="228" t="s">
        <v>883</v>
      </c>
      <c r="I298" s="300">
        <v>43190</v>
      </c>
      <c r="J298" s="336">
        <v>3652</v>
      </c>
      <c r="K298" s="336">
        <v>2191</v>
      </c>
      <c r="L298" s="336">
        <v>1461</v>
      </c>
      <c r="M298" s="336">
        <v>210</v>
      </c>
      <c r="N298" s="336">
        <v>2392.3932</v>
      </c>
      <c r="O298" s="336">
        <v>2004.3932</v>
      </c>
      <c r="P298" s="336">
        <v>1096</v>
      </c>
      <c r="Q298" s="336">
        <v>1795</v>
      </c>
      <c r="R298" s="337">
        <v>0</v>
      </c>
      <c r="S298" s="336">
        <v>0</v>
      </c>
      <c r="T298" s="336">
        <v>2004</v>
      </c>
      <c r="U298" s="336">
        <v>0.3931999999999789</v>
      </c>
    </row>
    <row r="299" spans="2:21" s="22" customFormat="1">
      <c r="B299" s="15">
        <f>+B298+1</f>
        <v>2</v>
      </c>
      <c r="C299" s="249" t="s">
        <v>330</v>
      </c>
      <c r="D299" s="254">
        <v>2</v>
      </c>
      <c r="E299" s="250">
        <v>24477</v>
      </c>
      <c r="F299" s="230" t="s">
        <v>331</v>
      </c>
      <c r="G299" s="233">
        <v>39767</v>
      </c>
      <c r="H299" s="228" t="s">
        <v>368</v>
      </c>
      <c r="I299" s="321">
        <v>43418</v>
      </c>
      <c r="J299" s="242">
        <v>3652</v>
      </c>
      <c r="K299" s="242">
        <v>1963</v>
      </c>
      <c r="L299" s="242">
        <v>1689</v>
      </c>
      <c r="M299" s="242">
        <v>1224</v>
      </c>
      <c r="N299" s="242">
        <v>14925.446598082191</v>
      </c>
      <c r="O299" s="242">
        <v>12924.446598082191</v>
      </c>
      <c r="P299" s="242">
        <v>1324</v>
      </c>
      <c r="Q299" s="242">
        <v>11701</v>
      </c>
      <c r="R299" s="337">
        <v>0</v>
      </c>
      <c r="S299" s="336">
        <v>0</v>
      </c>
      <c r="T299" s="336">
        <v>12924</v>
      </c>
      <c r="U299" s="336">
        <v>0.44659808219148545</v>
      </c>
    </row>
    <row r="300" spans="2:21" s="22" customFormat="1">
      <c r="B300" s="15">
        <f>+B299+1</f>
        <v>3</v>
      </c>
      <c r="C300" s="249" t="s">
        <v>332</v>
      </c>
      <c r="D300" s="254">
        <v>4</v>
      </c>
      <c r="E300" s="250">
        <v>40612.5</v>
      </c>
      <c r="F300" s="230">
        <v>4230</v>
      </c>
      <c r="G300" s="233">
        <v>39862</v>
      </c>
      <c r="H300" s="228" t="s">
        <v>282</v>
      </c>
      <c r="I300" s="321">
        <v>43513</v>
      </c>
      <c r="J300" s="242">
        <v>3652</v>
      </c>
      <c r="K300" s="242">
        <v>1868</v>
      </c>
      <c r="L300" s="242">
        <v>1784</v>
      </c>
      <c r="M300" s="242">
        <v>2031</v>
      </c>
      <c r="N300" s="242">
        <v>25431.685226027395</v>
      </c>
      <c r="O300" s="242">
        <v>22259.685226027395</v>
      </c>
      <c r="P300" s="242">
        <v>1419</v>
      </c>
      <c r="Q300" s="242">
        <v>20229</v>
      </c>
      <c r="R300" s="337">
        <v>0</v>
      </c>
      <c r="S300" s="336">
        <v>0</v>
      </c>
      <c r="T300" s="336">
        <v>22260</v>
      </c>
      <c r="U300" s="336">
        <v>-0.31477397260459838</v>
      </c>
    </row>
    <row r="301" spans="2:21" s="22" customFormat="1">
      <c r="B301" s="15">
        <f t="shared" ref="B301:B313" si="4">+B300+1</f>
        <v>4</v>
      </c>
      <c r="C301" s="249" t="s">
        <v>333</v>
      </c>
      <c r="D301" s="254">
        <v>1</v>
      </c>
      <c r="E301" s="250">
        <v>14660.8</v>
      </c>
      <c r="F301" s="230">
        <v>24004112</v>
      </c>
      <c r="G301" s="233">
        <v>39539</v>
      </c>
      <c r="H301" s="228" t="s">
        <v>883</v>
      </c>
      <c r="I301" s="321">
        <v>43190</v>
      </c>
      <c r="J301" s="242">
        <v>3652</v>
      </c>
      <c r="K301" s="242">
        <v>2191</v>
      </c>
      <c r="L301" s="242">
        <v>1461</v>
      </c>
      <c r="M301" s="242">
        <v>733</v>
      </c>
      <c r="N301" s="242">
        <v>8359.7713599999988</v>
      </c>
      <c r="O301" s="242">
        <v>7003.7713599999988</v>
      </c>
      <c r="P301" s="242">
        <v>1096</v>
      </c>
      <c r="Q301" s="242">
        <v>6271</v>
      </c>
      <c r="R301" s="337">
        <v>0</v>
      </c>
      <c r="S301" s="336">
        <v>0</v>
      </c>
      <c r="T301" s="336">
        <v>7004</v>
      </c>
      <c r="U301" s="336">
        <v>-0.22864000000117812</v>
      </c>
    </row>
    <row r="302" spans="2:21" s="22" customFormat="1" ht="27">
      <c r="B302" s="15">
        <v>2</v>
      </c>
      <c r="C302" s="249" t="s">
        <v>606</v>
      </c>
      <c r="D302" s="254" t="s">
        <v>943</v>
      </c>
      <c r="E302" s="242">
        <v>12318</v>
      </c>
      <c r="F302" s="275" t="s">
        <v>539</v>
      </c>
      <c r="G302" s="233">
        <v>40458</v>
      </c>
      <c r="H302" s="228" t="s">
        <v>187</v>
      </c>
      <c r="I302" s="335">
        <v>44110</v>
      </c>
      <c r="J302" s="336">
        <v>3653</v>
      </c>
      <c r="K302" s="336">
        <v>1272</v>
      </c>
      <c r="L302" s="336">
        <v>2381</v>
      </c>
      <c r="M302" s="336">
        <v>616</v>
      </c>
      <c r="N302" s="336">
        <v>8986</v>
      </c>
      <c r="O302" s="336">
        <v>8224</v>
      </c>
      <c r="P302" s="336">
        <v>2016</v>
      </c>
      <c r="Q302" s="336">
        <v>7608</v>
      </c>
      <c r="R302" s="337">
        <v>0</v>
      </c>
      <c r="S302" s="336">
        <v>0</v>
      </c>
      <c r="T302" s="336">
        <v>8224</v>
      </c>
      <c r="U302" s="336">
        <v>0</v>
      </c>
    </row>
    <row r="303" spans="2:21" s="22" customFormat="1" ht="27">
      <c r="B303" s="15">
        <f t="shared" ref="B303" si="5">+B302+1</f>
        <v>3</v>
      </c>
      <c r="C303" s="249" t="s">
        <v>588</v>
      </c>
      <c r="D303" s="254">
        <v>1</v>
      </c>
      <c r="E303" s="242">
        <v>11250</v>
      </c>
      <c r="F303" s="230" t="s">
        <v>589</v>
      </c>
      <c r="G303" s="233">
        <v>40613</v>
      </c>
      <c r="H303" s="228" t="s">
        <v>368</v>
      </c>
      <c r="I303" s="270">
        <v>44265</v>
      </c>
      <c r="J303" s="242">
        <v>3653</v>
      </c>
      <c r="K303" s="242">
        <v>1117</v>
      </c>
      <c r="L303" s="242">
        <v>2536</v>
      </c>
      <c r="M303" s="242">
        <v>563</v>
      </c>
      <c r="N303" s="242">
        <v>8510</v>
      </c>
      <c r="O303" s="242">
        <v>7848</v>
      </c>
      <c r="P303" s="242">
        <v>2171</v>
      </c>
      <c r="Q303" s="242">
        <v>7286</v>
      </c>
      <c r="R303" s="337">
        <v>0</v>
      </c>
      <c r="S303" s="336">
        <v>0</v>
      </c>
      <c r="T303" s="336">
        <v>7848</v>
      </c>
      <c r="U303" s="336">
        <v>0</v>
      </c>
    </row>
    <row r="304" spans="2:21" s="22" customFormat="1" ht="27">
      <c r="B304" s="15"/>
      <c r="C304" s="249" t="s">
        <v>1271</v>
      </c>
      <c r="D304" s="254" t="s">
        <v>314</v>
      </c>
      <c r="E304" s="242">
        <v>28014</v>
      </c>
      <c r="F304" s="230" t="s">
        <v>413</v>
      </c>
      <c r="G304" s="233">
        <v>40676</v>
      </c>
      <c r="H304" s="228" t="s">
        <v>895</v>
      </c>
      <c r="I304" s="270">
        <v>44328</v>
      </c>
      <c r="J304" s="242">
        <v>3653</v>
      </c>
      <c r="K304" s="242">
        <v>1054</v>
      </c>
      <c r="L304" s="242">
        <v>2599</v>
      </c>
      <c r="M304" s="242">
        <v>1401</v>
      </c>
      <c r="N304" s="242">
        <v>21497</v>
      </c>
      <c r="O304" s="242">
        <v>19879</v>
      </c>
      <c r="P304" s="242">
        <v>2234</v>
      </c>
      <c r="Q304" s="242">
        <v>18478</v>
      </c>
      <c r="R304" s="337">
        <v>42</v>
      </c>
      <c r="S304" s="336">
        <v>1749</v>
      </c>
      <c r="T304" s="336">
        <v>19879</v>
      </c>
      <c r="U304" s="336">
        <v>0</v>
      </c>
    </row>
    <row r="305" spans="2:21" s="22" customFormat="1">
      <c r="B305" s="15"/>
      <c r="C305" s="249" t="s">
        <v>4625</v>
      </c>
      <c r="D305" s="254" t="s">
        <v>314</v>
      </c>
      <c r="E305" s="242">
        <v>-28014</v>
      </c>
      <c r="F305" s="230"/>
      <c r="G305" s="233">
        <v>40676</v>
      </c>
      <c r="H305" s="228" t="s">
        <v>895</v>
      </c>
      <c r="I305" s="270">
        <v>44328</v>
      </c>
      <c r="J305" s="242">
        <v>3653</v>
      </c>
      <c r="K305" s="242">
        <v>1054</v>
      </c>
      <c r="L305" s="242">
        <v>2599</v>
      </c>
      <c r="M305" s="242">
        <v>0</v>
      </c>
      <c r="N305" s="242">
        <v>0</v>
      </c>
      <c r="O305" s="242">
        <v>-19879</v>
      </c>
      <c r="P305" s="242"/>
      <c r="Q305" s="242"/>
      <c r="R305" s="337">
        <v>0</v>
      </c>
      <c r="S305" s="336">
        <v>0</v>
      </c>
      <c r="T305" s="336">
        <v>-19879</v>
      </c>
      <c r="U305" s="336">
        <v>0</v>
      </c>
    </row>
    <row r="306" spans="2:21" s="22" customFormat="1" ht="27">
      <c r="B306" s="15"/>
      <c r="C306" s="249" t="s">
        <v>332</v>
      </c>
      <c r="D306" s="254" t="s">
        <v>314</v>
      </c>
      <c r="E306" s="242">
        <v>26680</v>
      </c>
      <c r="F306" s="230" t="s">
        <v>1822</v>
      </c>
      <c r="G306" s="233">
        <v>41024</v>
      </c>
      <c r="H306" s="228" t="s">
        <v>895</v>
      </c>
      <c r="I306" s="270">
        <v>44675</v>
      </c>
      <c r="J306" s="242">
        <v>3652</v>
      </c>
      <c r="K306" s="242">
        <v>706</v>
      </c>
      <c r="L306" s="242">
        <v>2946</v>
      </c>
      <c r="M306" s="242">
        <v>1334</v>
      </c>
      <c r="N306" s="242">
        <v>22079</v>
      </c>
      <c r="O306" s="242">
        <v>20677</v>
      </c>
      <c r="P306" s="242">
        <v>2581</v>
      </c>
      <c r="Q306" s="242">
        <v>19343</v>
      </c>
      <c r="R306" s="337">
        <v>183</v>
      </c>
      <c r="S306" s="336">
        <v>1371</v>
      </c>
      <c r="T306" s="336">
        <v>17797</v>
      </c>
      <c r="U306" s="336">
        <v>2880</v>
      </c>
    </row>
    <row r="307" spans="2:21" s="22" customFormat="1">
      <c r="B307" s="15"/>
      <c r="C307" s="249" t="s">
        <v>4625</v>
      </c>
      <c r="D307" s="254" t="s">
        <v>314</v>
      </c>
      <c r="E307" s="242">
        <v>-26680</v>
      </c>
      <c r="F307" s="230"/>
      <c r="G307" s="233">
        <v>41024</v>
      </c>
      <c r="H307" s="228" t="s">
        <v>895</v>
      </c>
      <c r="I307" s="270">
        <v>44675</v>
      </c>
      <c r="J307" s="242">
        <v>3652</v>
      </c>
      <c r="K307" s="242">
        <v>706</v>
      </c>
      <c r="L307" s="242">
        <v>2946</v>
      </c>
      <c r="M307" s="242">
        <v>0</v>
      </c>
      <c r="N307" s="242">
        <v>0</v>
      </c>
      <c r="O307" s="242">
        <v>-20677</v>
      </c>
      <c r="P307" s="242"/>
      <c r="Q307" s="242"/>
      <c r="R307" s="337">
        <v>0</v>
      </c>
      <c r="S307" s="336">
        <v>0</v>
      </c>
      <c r="T307" s="336">
        <v>-17797</v>
      </c>
      <c r="U307" s="336">
        <v>-2880</v>
      </c>
    </row>
    <row r="308" spans="2:21" s="22" customFormat="1" ht="40.5">
      <c r="B308" s="15">
        <f>+B303+1</f>
        <v>4</v>
      </c>
      <c r="C308" s="249" t="s">
        <v>2702</v>
      </c>
      <c r="D308" s="254">
        <v>1</v>
      </c>
      <c r="E308" s="250">
        <f>17350+132</f>
        <v>17482</v>
      </c>
      <c r="F308" s="249" t="s">
        <v>2679</v>
      </c>
      <c r="G308" s="233">
        <v>42005</v>
      </c>
      <c r="H308" s="228" t="s">
        <v>368</v>
      </c>
      <c r="I308" s="270">
        <v>45657</v>
      </c>
      <c r="J308" s="242">
        <v>3653</v>
      </c>
      <c r="K308" s="242">
        <v>0</v>
      </c>
      <c r="L308" s="242">
        <v>3653</v>
      </c>
      <c r="M308" s="242">
        <v>874</v>
      </c>
      <c r="N308" s="242">
        <v>16608</v>
      </c>
      <c r="O308" s="242">
        <v>17073</v>
      </c>
      <c r="P308" s="242">
        <v>3563</v>
      </c>
      <c r="Q308" s="242">
        <v>16199</v>
      </c>
      <c r="R308" s="337">
        <v>365</v>
      </c>
      <c r="S308" s="336">
        <v>1659</v>
      </c>
      <c r="T308" s="336">
        <v>11623</v>
      </c>
      <c r="U308" s="336">
        <v>5450</v>
      </c>
    </row>
    <row r="309" spans="2:21" s="22" customFormat="1" ht="40.5">
      <c r="B309" s="15">
        <f t="shared" si="4"/>
        <v>5</v>
      </c>
      <c r="C309" s="249" t="s">
        <v>2702</v>
      </c>
      <c r="D309" s="254">
        <v>1</v>
      </c>
      <c r="E309" s="250">
        <f>202227+1541</f>
        <v>203768</v>
      </c>
      <c r="F309" s="249" t="s">
        <v>2679</v>
      </c>
      <c r="G309" s="233">
        <v>42005</v>
      </c>
      <c r="H309" s="228" t="s">
        <v>368</v>
      </c>
      <c r="I309" s="270">
        <v>45657</v>
      </c>
      <c r="J309" s="242">
        <v>3653</v>
      </c>
      <c r="K309" s="242">
        <v>0</v>
      </c>
      <c r="L309" s="242">
        <v>3653</v>
      </c>
      <c r="M309" s="242">
        <v>10188</v>
      </c>
      <c r="N309" s="242">
        <v>193580</v>
      </c>
      <c r="O309" s="242">
        <v>198999</v>
      </c>
      <c r="P309" s="242">
        <v>3563</v>
      </c>
      <c r="Q309" s="242">
        <v>188811</v>
      </c>
      <c r="R309" s="337">
        <v>365</v>
      </c>
      <c r="S309" s="336">
        <v>19342</v>
      </c>
      <c r="T309" s="336">
        <v>135500</v>
      </c>
      <c r="U309" s="336">
        <v>63499</v>
      </c>
    </row>
    <row r="310" spans="2:21" s="22" customFormat="1" ht="40.5">
      <c r="B310" s="15">
        <v>3</v>
      </c>
      <c r="C310" s="249" t="s">
        <v>2702</v>
      </c>
      <c r="D310" s="254">
        <v>1</v>
      </c>
      <c r="E310" s="250">
        <f>26128+199</f>
        <v>26327</v>
      </c>
      <c r="F310" s="249" t="s">
        <v>2679</v>
      </c>
      <c r="G310" s="233">
        <v>42005</v>
      </c>
      <c r="H310" s="228" t="s">
        <v>368</v>
      </c>
      <c r="I310" s="270">
        <v>45657</v>
      </c>
      <c r="J310" s="242">
        <v>3653</v>
      </c>
      <c r="K310" s="242">
        <v>0</v>
      </c>
      <c r="L310" s="242">
        <v>3653</v>
      </c>
      <c r="M310" s="242">
        <v>1316</v>
      </c>
      <c r="N310" s="242">
        <v>25011</v>
      </c>
      <c r="O310" s="242">
        <v>25711</v>
      </c>
      <c r="P310" s="242">
        <v>3563</v>
      </c>
      <c r="Q310" s="242">
        <v>24395</v>
      </c>
      <c r="R310" s="337">
        <v>365</v>
      </c>
      <c r="S310" s="336">
        <v>2499</v>
      </c>
      <c r="T310" s="336">
        <v>17507</v>
      </c>
      <c r="U310" s="336">
        <v>8204</v>
      </c>
    </row>
    <row r="311" spans="2:21" s="22" customFormat="1" ht="40.5">
      <c r="B311" s="15">
        <f t="shared" ref="B311:B312" si="6">+B310+1</f>
        <v>4</v>
      </c>
      <c r="C311" s="249" t="s">
        <v>2702</v>
      </c>
      <c r="D311" s="254">
        <v>1</v>
      </c>
      <c r="E311" s="250">
        <f>93559+713</f>
        <v>94272</v>
      </c>
      <c r="F311" s="249" t="s">
        <v>2679</v>
      </c>
      <c r="G311" s="233">
        <v>42005</v>
      </c>
      <c r="H311" s="228" t="s">
        <v>368</v>
      </c>
      <c r="I311" s="270">
        <v>45657</v>
      </c>
      <c r="J311" s="242">
        <v>3653</v>
      </c>
      <c r="K311" s="242">
        <v>0</v>
      </c>
      <c r="L311" s="242">
        <v>3653</v>
      </c>
      <c r="M311" s="242">
        <v>4714</v>
      </c>
      <c r="N311" s="242">
        <v>89558</v>
      </c>
      <c r="O311" s="242">
        <v>92066</v>
      </c>
      <c r="P311" s="242">
        <v>3563</v>
      </c>
      <c r="Q311" s="242">
        <v>87352</v>
      </c>
      <c r="R311" s="337">
        <v>365</v>
      </c>
      <c r="S311" s="336">
        <v>8948</v>
      </c>
      <c r="T311" s="336">
        <v>62686</v>
      </c>
      <c r="U311" s="336">
        <v>29380</v>
      </c>
    </row>
    <row r="312" spans="2:21" s="22" customFormat="1" ht="40.5">
      <c r="B312" s="15">
        <f t="shared" si="6"/>
        <v>5</v>
      </c>
      <c r="C312" s="249" t="s">
        <v>2712</v>
      </c>
      <c r="D312" s="254">
        <v>1</v>
      </c>
      <c r="E312" s="250">
        <f>19934+152</f>
        <v>20086</v>
      </c>
      <c r="F312" s="249" t="s">
        <v>2679</v>
      </c>
      <c r="G312" s="233">
        <v>42005</v>
      </c>
      <c r="H312" s="228" t="s">
        <v>368</v>
      </c>
      <c r="I312" s="270">
        <v>45657</v>
      </c>
      <c r="J312" s="242">
        <v>3653</v>
      </c>
      <c r="K312" s="242">
        <v>0</v>
      </c>
      <c r="L312" s="242">
        <v>3653</v>
      </c>
      <c r="M312" s="242">
        <v>1004</v>
      </c>
      <c r="N312" s="242">
        <v>19082</v>
      </c>
      <c r="O312" s="242">
        <v>19616</v>
      </c>
      <c r="P312" s="242">
        <v>3563</v>
      </c>
      <c r="Q312" s="242">
        <v>18612</v>
      </c>
      <c r="R312" s="337">
        <v>365</v>
      </c>
      <c r="S312" s="336">
        <v>1907</v>
      </c>
      <c r="T312" s="336">
        <v>13359</v>
      </c>
      <c r="U312" s="336">
        <v>6257</v>
      </c>
    </row>
    <row r="313" spans="2:21" s="22" customFormat="1" ht="40.5">
      <c r="B313" s="15">
        <f t="shared" si="4"/>
        <v>6</v>
      </c>
      <c r="C313" s="249" t="s">
        <v>3921</v>
      </c>
      <c r="D313" s="254"/>
      <c r="E313" s="250">
        <v>730800</v>
      </c>
      <c r="F313" s="249" t="s">
        <v>3922</v>
      </c>
      <c r="G313" s="233">
        <v>42746</v>
      </c>
      <c r="H313" s="228" t="s">
        <v>368</v>
      </c>
      <c r="I313" s="270">
        <v>46397</v>
      </c>
      <c r="J313" s="242">
        <v>3652</v>
      </c>
      <c r="K313" s="242">
        <v>0</v>
      </c>
      <c r="L313" s="242">
        <v>3652</v>
      </c>
      <c r="M313" s="242">
        <v>36540</v>
      </c>
      <c r="N313" s="242">
        <v>694260</v>
      </c>
      <c r="O313" s="242">
        <v>730800</v>
      </c>
      <c r="P313" s="242">
        <v>3652</v>
      </c>
      <c r="Q313" s="242">
        <v>694260</v>
      </c>
      <c r="R313" s="337">
        <v>365</v>
      </c>
      <c r="S313" s="336">
        <v>69388</v>
      </c>
      <c r="T313" s="336">
        <v>362338</v>
      </c>
      <c r="U313" s="336">
        <v>368462</v>
      </c>
    </row>
    <row r="314" spans="2:21" s="22" customFormat="1">
      <c r="B314" s="15"/>
      <c r="C314" s="249"/>
      <c r="D314" s="254"/>
      <c r="E314" s="250"/>
      <c r="F314" s="249"/>
      <c r="G314" s="233"/>
      <c r="H314" s="228"/>
      <c r="I314" s="270"/>
      <c r="J314" s="242"/>
      <c r="K314" s="242"/>
      <c r="L314" s="242"/>
      <c r="M314" s="242"/>
      <c r="N314" s="242"/>
      <c r="O314" s="242">
        <v>0</v>
      </c>
      <c r="P314" s="242"/>
      <c r="Q314" s="272"/>
      <c r="R314" s="318"/>
      <c r="S314" s="242"/>
      <c r="T314" s="242"/>
      <c r="U314" s="228"/>
    </row>
    <row r="315" spans="2:21" s="22" customFormat="1" ht="14.25">
      <c r="B315" s="6" t="s">
        <v>523</v>
      </c>
      <c r="C315" s="228"/>
      <c r="D315" s="230"/>
      <c r="E315" s="250"/>
      <c r="F315" s="230"/>
      <c r="G315" s="230"/>
      <c r="H315" s="228"/>
      <c r="I315" s="239"/>
      <c r="J315" s="239"/>
      <c r="K315" s="239"/>
      <c r="L315" s="239"/>
      <c r="M315" s="322"/>
      <c r="N315" s="239"/>
      <c r="O315" s="322">
        <v>0</v>
      </c>
      <c r="P315" s="322"/>
      <c r="Q315" s="338"/>
      <c r="R315" s="339"/>
      <c r="S315" s="322"/>
      <c r="T315" s="322"/>
      <c r="U315" s="239"/>
    </row>
    <row r="316" spans="2:21" s="22" customFormat="1">
      <c r="B316" s="15">
        <v>1</v>
      </c>
      <c r="C316" s="249" t="s">
        <v>334</v>
      </c>
      <c r="D316" s="254">
        <v>1</v>
      </c>
      <c r="E316" s="250">
        <v>13525.26</v>
      </c>
      <c r="F316" s="230">
        <v>24003970</v>
      </c>
      <c r="G316" s="233">
        <v>39539</v>
      </c>
      <c r="H316" s="228" t="s">
        <v>883</v>
      </c>
      <c r="I316" s="270">
        <v>43190</v>
      </c>
      <c r="J316" s="242">
        <v>3652</v>
      </c>
      <c r="K316" s="242">
        <v>2191</v>
      </c>
      <c r="L316" s="242">
        <v>1461</v>
      </c>
      <c r="M316" s="242">
        <v>676</v>
      </c>
      <c r="N316" s="242">
        <v>7713.1110420000005</v>
      </c>
      <c r="O316" s="242">
        <v>6462.1110420000005</v>
      </c>
      <c r="P316" s="242">
        <v>1096</v>
      </c>
      <c r="Q316" s="242">
        <v>5786</v>
      </c>
      <c r="R316" s="337">
        <v>0</v>
      </c>
      <c r="S316" s="336">
        <v>0</v>
      </c>
      <c r="T316" s="336">
        <v>6462</v>
      </c>
      <c r="U316" s="336">
        <v>0.11104200000045239</v>
      </c>
    </row>
    <row r="317" spans="2:21" s="22" customFormat="1">
      <c r="B317" s="15">
        <f>+B316+1</f>
        <v>2</v>
      </c>
      <c r="C317" s="249" t="s">
        <v>334</v>
      </c>
      <c r="D317" s="254">
        <v>2</v>
      </c>
      <c r="E317" s="250">
        <v>2835</v>
      </c>
      <c r="F317" s="230">
        <v>322</v>
      </c>
      <c r="G317" s="233">
        <v>39539</v>
      </c>
      <c r="H317" s="228" t="s">
        <v>883</v>
      </c>
      <c r="I317" s="242">
        <v>0</v>
      </c>
      <c r="J317" s="242">
        <v>0</v>
      </c>
      <c r="K317" s="242">
        <v>0</v>
      </c>
      <c r="L317" s="242">
        <v>0</v>
      </c>
      <c r="M317" s="242">
        <v>0</v>
      </c>
      <c r="N317" s="242">
        <v>0</v>
      </c>
      <c r="O317" s="242">
        <v>0</v>
      </c>
      <c r="P317" s="242">
        <v>0</v>
      </c>
      <c r="Q317" s="242">
        <v>-142</v>
      </c>
      <c r="R317" s="337">
        <v>0</v>
      </c>
      <c r="S317" s="336">
        <v>0</v>
      </c>
      <c r="T317" s="336">
        <v>0</v>
      </c>
      <c r="U317" s="336">
        <v>0</v>
      </c>
    </row>
    <row r="318" spans="2:21" s="22" customFormat="1">
      <c r="B318" s="15">
        <f t="shared" ref="B318:B339" si="7">+B317+1</f>
        <v>3</v>
      </c>
      <c r="C318" s="249" t="s">
        <v>335</v>
      </c>
      <c r="D318" s="254">
        <v>1</v>
      </c>
      <c r="E318" s="250">
        <v>6727</v>
      </c>
      <c r="F318" s="230">
        <v>2462</v>
      </c>
      <c r="G318" s="233">
        <v>39539</v>
      </c>
      <c r="H318" s="228" t="s">
        <v>883</v>
      </c>
      <c r="I318" s="270">
        <v>43190</v>
      </c>
      <c r="J318" s="242">
        <v>3652</v>
      </c>
      <c r="K318" s="242">
        <v>2191</v>
      </c>
      <c r="L318" s="242">
        <v>1461</v>
      </c>
      <c r="M318" s="242">
        <v>336</v>
      </c>
      <c r="N318" s="242">
        <v>3837.1809000000003</v>
      </c>
      <c r="O318" s="242">
        <v>3214.1809000000003</v>
      </c>
      <c r="P318" s="242">
        <v>1096</v>
      </c>
      <c r="Q318" s="242">
        <v>2878</v>
      </c>
      <c r="R318" s="337">
        <v>0</v>
      </c>
      <c r="S318" s="336">
        <v>0</v>
      </c>
      <c r="T318" s="336">
        <v>3214</v>
      </c>
      <c r="U318" s="336">
        <v>0.18090000000029249</v>
      </c>
    </row>
    <row r="319" spans="2:21" s="22" customFormat="1">
      <c r="B319" s="15">
        <f t="shared" si="7"/>
        <v>4</v>
      </c>
      <c r="C319" s="249" t="s">
        <v>517</v>
      </c>
      <c r="D319" s="254">
        <v>2</v>
      </c>
      <c r="E319" s="250">
        <v>11110</v>
      </c>
      <c r="F319" s="230">
        <v>2357</v>
      </c>
      <c r="G319" s="233">
        <v>39744</v>
      </c>
      <c r="H319" s="228" t="s">
        <v>883</v>
      </c>
      <c r="I319" s="270">
        <v>43395</v>
      </c>
      <c r="J319" s="242">
        <v>3652</v>
      </c>
      <c r="K319" s="242">
        <v>1986</v>
      </c>
      <c r="L319" s="242">
        <v>1666</v>
      </c>
      <c r="M319" s="242">
        <v>556</v>
      </c>
      <c r="N319" s="242">
        <v>6731.7203287671236</v>
      </c>
      <c r="O319" s="242">
        <v>5812.7203287671236</v>
      </c>
      <c r="P319" s="242">
        <v>1301</v>
      </c>
      <c r="Q319" s="242">
        <v>5257</v>
      </c>
      <c r="R319" s="337">
        <v>0</v>
      </c>
      <c r="S319" s="336">
        <v>0</v>
      </c>
      <c r="T319" s="336">
        <v>5813</v>
      </c>
      <c r="U319" s="336">
        <v>-0.27967123287635332</v>
      </c>
    </row>
    <row r="320" spans="2:21" s="22" customFormat="1">
      <c r="B320" s="15">
        <f t="shared" si="7"/>
        <v>5</v>
      </c>
      <c r="C320" s="249" t="s">
        <v>518</v>
      </c>
      <c r="D320" s="254">
        <v>1</v>
      </c>
      <c r="E320" s="250">
        <v>4809</v>
      </c>
      <c r="F320" s="230">
        <v>4265</v>
      </c>
      <c r="G320" s="233">
        <v>39862</v>
      </c>
      <c r="H320" s="228" t="s">
        <v>282</v>
      </c>
      <c r="I320" s="242">
        <v>0</v>
      </c>
      <c r="J320" s="242">
        <v>0</v>
      </c>
      <c r="K320" s="242">
        <v>0</v>
      </c>
      <c r="L320" s="242">
        <v>0</v>
      </c>
      <c r="M320" s="242">
        <v>0</v>
      </c>
      <c r="N320" s="242">
        <v>0</v>
      </c>
      <c r="O320" s="242">
        <v>0</v>
      </c>
      <c r="P320" s="242">
        <v>0</v>
      </c>
      <c r="Q320" s="242">
        <v>-240</v>
      </c>
      <c r="R320" s="337">
        <v>0</v>
      </c>
      <c r="S320" s="336">
        <v>0</v>
      </c>
      <c r="T320" s="336">
        <v>0</v>
      </c>
      <c r="U320" s="336">
        <v>0</v>
      </c>
    </row>
    <row r="321" spans="2:21" s="22" customFormat="1">
      <c r="B321" s="15">
        <f t="shared" si="7"/>
        <v>6</v>
      </c>
      <c r="C321" s="249" t="s">
        <v>519</v>
      </c>
      <c r="D321" s="254">
        <v>1</v>
      </c>
      <c r="E321" s="250">
        <v>12416</v>
      </c>
      <c r="F321" s="230">
        <v>28</v>
      </c>
      <c r="G321" s="233">
        <v>39904</v>
      </c>
      <c r="H321" s="228" t="s">
        <v>282</v>
      </c>
      <c r="I321" s="270">
        <v>43555</v>
      </c>
      <c r="J321" s="242">
        <v>3652</v>
      </c>
      <c r="K321" s="242">
        <v>1826</v>
      </c>
      <c r="L321" s="242">
        <v>1826</v>
      </c>
      <c r="M321" s="242">
        <v>621</v>
      </c>
      <c r="N321" s="242">
        <v>7865</v>
      </c>
      <c r="O321" s="242">
        <v>6914</v>
      </c>
      <c r="P321" s="242">
        <v>1461</v>
      </c>
      <c r="Q321" s="242">
        <v>6293</v>
      </c>
      <c r="R321" s="337">
        <v>0</v>
      </c>
      <c r="S321" s="336">
        <v>0</v>
      </c>
      <c r="T321" s="336">
        <v>6914</v>
      </c>
      <c r="U321" s="336">
        <v>0</v>
      </c>
    </row>
    <row r="322" spans="2:21" s="22" customFormat="1" ht="27">
      <c r="B322" s="15">
        <f t="shared" si="7"/>
        <v>7</v>
      </c>
      <c r="C322" s="249" t="s">
        <v>1327</v>
      </c>
      <c r="D322" s="254">
        <v>1</v>
      </c>
      <c r="E322" s="242">
        <v>8423</v>
      </c>
      <c r="F322" s="341" t="s">
        <v>1111</v>
      </c>
      <c r="G322" s="233">
        <v>40254</v>
      </c>
      <c r="H322" s="228" t="s">
        <v>282</v>
      </c>
      <c r="I322" s="270">
        <v>43906</v>
      </c>
      <c r="J322" s="242">
        <v>3653</v>
      </c>
      <c r="K322" s="242">
        <v>1476</v>
      </c>
      <c r="L322" s="242">
        <v>2177</v>
      </c>
      <c r="M322" s="242">
        <v>421</v>
      </c>
      <c r="N322" s="242">
        <v>5848</v>
      </c>
      <c r="O322" s="242">
        <v>5289</v>
      </c>
      <c r="P322" s="242">
        <v>1812</v>
      </c>
      <c r="Q322" s="242">
        <v>4868</v>
      </c>
      <c r="R322" s="337">
        <v>0</v>
      </c>
      <c r="S322" s="336">
        <v>0</v>
      </c>
      <c r="T322" s="336">
        <v>5289</v>
      </c>
      <c r="U322" s="336">
        <v>0</v>
      </c>
    </row>
    <row r="323" spans="2:21" s="22" customFormat="1" ht="27">
      <c r="B323" s="15">
        <f t="shared" si="7"/>
        <v>8</v>
      </c>
      <c r="C323" s="249" t="s">
        <v>1326</v>
      </c>
      <c r="D323" s="254">
        <v>4</v>
      </c>
      <c r="E323" s="242">
        <v>33834</v>
      </c>
      <c r="F323" s="341" t="s">
        <v>1112</v>
      </c>
      <c r="G323" s="233">
        <v>40246</v>
      </c>
      <c r="H323" s="228" t="s">
        <v>282</v>
      </c>
      <c r="I323" s="270">
        <v>43898</v>
      </c>
      <c r="J323" s="242">
        <v>3653</v>
      </c>
      <c r="K323" s="242">
        <v>1484</v>
      </c>
      <c r="L323" s="242">
        <v>2169</v>
      </c>
      <c r="M323" s="242">
        <v>1692</v>
      </c>
      <c r="N323" s="242">
        <v>23441</v>
      </c>
      <c r="O323" s="242">
        <v>21188</v>
      </c>
      <c r="P323" s="242">
        <v>1804</v>
      </c>
      <c r="Q323" s="242">
        <v>19496</v>
      </c>
      <c r="R323" s="337">
        <v>0</v>
      </c>
      <c r="S323" s="336">
        <v>0</v>
      </c>
      <c r="T323" s="336">
        <v>21188</v>
      </c>
      <c r="U323" s="336">
        <v>0</v>
      </c>
    </row>
    <row r="324" spans="2:21" s="22" customFormat="1" ht="40.5">
      <c r="B324" s="15">
        <f t="shared" si="7"/>
        <v>9</v>
      </c>
      <c r="C324" s="249" t="s">
        <v>275</v>
      </c>
      <c r="D324" s="254" t="s">
        <v>276</v>
      </c>
      <c r="E324" s="242">
        <f>55440+7200</f>
        <v>62640</v>
      </c>
      <c r="F324" s="341" t="s">
        <v>725</v>
      </c>
      <c r="G324" s="233">
        <v>40406</v>
      </c>
      <c r="H324" s="228" t="s">
        <v>368</v>
      </c>
      <c r="I324" s="270">
        <v>44058</v>
      </c>
      <c r="J324" s="242">
        <v>3653</v>
      </c>
      <c r="K324" s="242">
        <v>1324</v>
      </c>
      <c r="L324" s="242">
        <v>2329</v>
      </c>
      <c r="M324" s="242">
        <v>3132</v>
      </c>
      <c r="N324" s="242">
        <v>45135</v>
      </c>
      <c r="O324" s="242">
        <v>41193</v>
      </c>
      <c r="P324" s="242">
        <v>1964</v>
      </c>
      <c r="Q324" s="242">
        <v>38061</v>
      </c>
      <c r="R324" s="337">
        <v>0</v>
      </c>
      <c r="S324" s="336">
        <v>0</v>
      </c>
      <c r="T324" s="336">
        <v>41193</v>
      </c>
      <c r="U324" s="336">
        <v>0</v>
      </c>
    </row>
    <row r="325" spans="2:21" s="22" customFormat="1" ht="27">
      <c r="B325" s="15">
        <f t="shared" si="7"/>
        <v>10</v>
      </c>
      <c r="C325" s="249" t="s">
        <v>1044</v>
      </c>
      <c r="D325" s="254">
        <v>1</v>
      </c>
      <c r="E325" s="242">
        <v>82859</v>
      </c>
      <c r="F325" s="341" t="s">
        <v>1045</v>
      </c>
      <c r="G325" s="233">
        <v>40471</v>
      </c>
      <c r="H325" s="228" t="s">
        <v>511</v>
      </c>
      <c r="I325" s="270">
        <v>44123</v>
      </c>
      <c r="J325" s="242">
        <v>3653</v>
      </c>
      <c r="K325" s="242">
        <v>1259</v>
      </c>
      <c r="L325" s="242">
        <v>2394</v>
      </c>
      <c r="M325" s="242">
        <v>4143</v>
      </c>
      <c r="N325" s="242">
        <v>60640</v>
      </c>
      <c r="O325" s="242">
        <v>55538</v>
      </c>
      <c r="P325" s="242">
        <v>2029</v>
      </c>
      <c r="Q325" s="242">
        <v>51395</v>
      </c>
      <c r="R325" s="337">
        <v>0</v>
      </c>
      <c r="S325" s="336">
        <v>0</v>
      </c>
      <c r="T325" s="336">
        <v>55538</v>
      </c>
      <c r="U325" s="336">
        <v>0</v>
      </c>
    </row>
    <row r="326" spans="2:21" s="22" customFormat="1" ht="27">
      <c r="B326" s="15">
        <f t="shared" si="7"/>
        <v>11</v>
      </c>
      <c r="C326" s="249" t="s">
        <v>586</v>
      </c>
      <c r="D326" s="254" t="s">
        <v>887</v>
      </c>
      <c r="E326" s="242">
        <v>668050</v>
      </c>
      <c r="F326" s="343" t="s">
        <v>587</v>
      </c>
      <c r="G326" s="233">
        <v>40595</v>
      </c>
      <c r="H326" s="228" t="s">
        <v>368</v>
      </c>
      <c r="I326" s="335">
        <v>44247</v>
      </c>
      <c r="J326" s="336">
        <v>3653</v>
      </c>
      <c r="K326" s="336">
        <v>1135</v>
      </c>
      <c r="L326" s="336">
        <v>2518</v>
      </c>
      <c r="M326" s="336">
        <v>33403</v>
      </c>
      <c r="N326" s="336">
        <v>503265</v>
      </c>
      <c r="O326" s="336">
        <v>463717</v>
      </c>
      <c r="P326" s="336">
        <v>2153</v>
      </c>
      <c r="Q326" s="336">
        <v>430315</v>
      </c>
      <c r="R326" s="337">
        <v>0</v>
      </c>
      <c r="S326" s="336">
        <v>0</v>
      </c>
      <c r="T326" s="336">
        <v>463717</v>
      </c>
      <c r="U326" s="336">
        <v>0</v>
      </c>
    </row>
    <row r="327" spans="2:21" s="22" customFormat="1" ht="40.5">
      <c r="B327" s="15">
        <f t="shared" si="7"/>
        <v>12</v>
      </c>
      <c r="C327" s="249" t="s">
        <v>1010</v>
      </c>
      <c r="D327" s="254">
        <v>4</v>
      </c>
      <c r="E327" s="242">
        <v>140000</v>
      </c>
      <c r="F327" s="275" t="s">
        <v>1014</v>
      </c>
      <c r="G327" s="233">
        <v>40560</v>
      </c>
      <c r="H327" s="228" t="s">
        <v>368</v>
      </c>
      <c r="I327" s="270">
        <v>44212</v>
      </c>
      <c r="J327" s="242">
        <v>3653</v>
      </c>
      <c r="K327" s="242">
        <v>1170</v>
      </c>
      <c r="L327" s="242">
        <v>2483</v>
      </c>
      <c r="M327" s="242">
        <v>7000</v>
      </c>
      <c r="N327" s="242">
        <v>104617</v>
      </c>
      <c r="O327" s="242">
        <v>96238</v>
      </c>
      <c r="P327" s="242">
        <v>2118</v>
      </c>
      <c r="Q327" s="242">
        <v>89238</v>
      </c>
      <c r="R327" s="337">
        <v>0</v>
      </c>
      <c r="S327" s="336">
        <v>0</v>
      </c>
      <c r="T327" s="336">
        <v>96238</v>
      </c>
      <c r="U327" s="336">
        <v>0</v>
      </c>
    </row>
    <row r="328" spans="2:21" s="22" customFormat="1" ht="40.5">
      <c r="B328" s="15">
        <f t="shared" si="7"/>
        <v>13</v>
      </c>
      <c r="C328" s="249" t="s">
        <v>1011</v>
      </c>
      <c r="D328" s="254">
        <v>2</v>
      </c>
      <c r="E328" s="242">
        <v>60000</v>
      </c>
      <c r="F328" s="275" t="s">
        <v>1014</v>
      </c>
      <c r="G328" s="233">
        <v>40560</v>
      </c>
      <c r="H328" s="228" t="s">
        <v>368</v>
      </c>
      <c r="I328" s="270">
        <v>44212</v>
      </c>
      <c r="J328" s="242">
        <v>3653</v>
      </c>
      <c r="K328" s="242">
        <v>1170</v>
      </c>
      <c r="L328" s="242">
        <v>2483</v>
      </c>
      <c r="M328" s="242">
        <v>3000</v>
      </c>
      <c r="N328" s="242">
        <v>44836</v>
      </c>
      <c r="O328" s="242">
        <v>41245</v>
      </c>
      <c r="P328" s="242">
        <v>2118</v>
      </c>
      <c r="Q328" s="242">
        <v>38245</v>
      </c>
      <c r="R328" s="337">
        <v>0</v>
      </c>
      <c r="S328" s="336">
        <v>0</v>
      </c>
      <c r="T328" s="336">
        <v>41245</v>
      </c>
      <c r="U328" s="336">
        <v>0</v>
      </c>
    </row>
    <row r="329" spans="2:21" s="22" customFormat="1" ht="40.5">
      <c r="B329" s="15">
        <f t="shared" si="7"/>
        <v>14</v>
      </c>
      <c r="C329" s="249" t="s">
        <v>1012</v>
      </c>
      <c r="D329" s="254">
        <v>2</v>
      </c>
      <c r="E329" s="242">
        <v>50000</v>
      </c>
      <c r="F329" s="275" t="s">
        <v>1014</v>
      </c>
      <c r="G329" s="233">
        <v>40560</v>
      </c>
      <c r="H329" s="228" t="s">
        <v>368</v>
      </c>
      <c r="I329" s="270">
        <v>44212</v>
      </c>
      <c r="J329" s="242">
        <v>3653</v>
      </c>
      <c r="K329" s="242">
        <v>1170</v>
      </c>
      <c r="L329" s="242">
        <v>2483</v>
      </c>
      <c r="M329" s="242">
        <v>2500</v>
      </c>
      <c r="N329" s="242">
        <v>37362</v>
      </c>
      <c r="O329" s="242">
        <v>34370</v>
      </c>
      <c r="P329" s="242">
        <v>2118</v>
      </c>
      <c r="Q329" s="242">
        <v>31870</v>
      </c>
      <c r="R329" s="337">
        <v>0</v>
      </c>
      <c r="S329" s="336">
        <v>0</v>
      </c>
      <c r="T329" s="336">
        <v>34370</v>
      </c>
      <c r="U329" s="336">
        <v>0</v>
      </c>
    </row>
    <row r="330" spans="2:21" s="22" customFormat="1">
      <c r="B330" s="15">
        <f t="shared" si="7"/>
        <v>15</v>
      </c>
      <c r="C330" s="249" t="s">
        <v>1247</v>
      </c>
      <c r="D330" s="254">
        <f>4+2</f>
        <v>6</v>
      </c>
      <c r="E330" s="250">
        <f>140000+50000</f>
        <v>190000</v>
      </c>
      <c r="F330" s="254" t="s">
        <v>42</v>
      </c>
      <c r="G330" s="232">
        <v>40634</v>
      </c>
      <c r="H330" s="228" t="s">
        <v>368</v>
      </c>
      <c r="I330" s="270">
        <v>44286</v>
      </c>
      <c r="J330" s="242">
        <v>3653</v>
      </c>
      <c r="K330" s="242">
        <v>1096</v>
      </c>
      <c r="L330" s="242">
        <v>2557</v>
      </c>
      <c r="M330" s="242">
        <v>9500</v>
      </c>
      <c r="N330" s="242">
        <v>144420</v>
      </c>
      <c r="O330" s="242">
        <v>133305</v>
      </c>
      <c r="P330" s="242">
        <v>2192</v>
      </c>
      <c r="Q330" s="242">
        <v>123805</v>
      </c>
      <c r="R330" s="337">
        <v>0</v>
      </c>
      <c r="S330" s="336">
        <v>0</v>
      </c>
      <c r="T330" s="336">
        <v>133305</v>
      </c>
      <c r="U330" s="336">
        <v>0</v>
      </c>
    </row>
    <row r="331" spans="2:21" s="22" customFormat="1">
      <c r="B331" s="15">
        <f t="shared" si="7"/>
        <v>16</v>
      </c>
      <c r="C331" s="249" t="s">
        <v>1247</v>
      </c>
      <c r="D331" s="254">
        <f>3+3</f>
        <v>6</v>
      </c>
      <c r="E331" s="250">
        <f>105000+75000</f>
        <v>180000</v>
      </c>
      <c r="F331" s="254" t="s">
        <v>42</v>
      </c>
      <c r="G331" s="232">
        <v>40634</v>
      </c>
      <c r="H331" s="228" t="s">
        <v>368</v>
      </c>
      <c r="I331" s="270">
        <v>44286</v>
      </c>
      <c r="J331" s="242">
        <v>3653</v>
      </c>
      <c r="K331" s="242">
        <v>1096</v>
      </c>
      <c r="L331" s="242">
        <v>2557</v>
      </c>
      <c r="M331" s="242">
        <v>9000</v>
      </c>
      <c r="N331" s="242">
        <v>136818</v>
      </c>
      <c r="O331" s="242">
        <v>126288</v>
      </c>
      <c r="P331" s="242">
        <v>2192</v>
      </c>
      <c r="Q331" s="242">
        <v>117288</v>
      </c>
      <c r="R331" s="337">
        <v>0</v>
      </c>
      <c r="S331" s="336">
        <v>0</v>
      </c>
      <c r="T331" s="336">
        <v>126288</v>
      </c>
      <c r="U331" s="336">
        <v>0</v>
      </c>
    </row>
    <row r="332" spans="2:21" s="22" customFormat="1" ht="27">
      <c r="B332" s="15">
        <f t="shared" si="7"/>
        <v>17</v>
      </c>
      <c r="C332" s="249" t="s">
        <v>1456</v>
      </c>
      <c r="D332" s="254">
        <v>2</v>
      </c>
      <c r="E332" s="250">
        <v>33712</v>
      </c>
      <c r="F332" s="254" t="s">
        <v>1457</v>
      </c>
      <c r="G332" s="232">
        <v>40863</v>
      </c>
      <c r="H332" s="228" t="s">
        <v>368</v>
      </c>
      <c r="I332" s="270">
        <v>44515</v>
      </c>
      <c r="J332" s="242">
        <v>3653</v>
      </c>
      <c r="K332" s="242">
        <v>867</v>
      </c>
      <c r="L332" s="242">
        <v>2786</v>
      </c>
      <c r="M332" s="242">
        <v>1686</v>
      </c>
      <c r="N332" s="242">
        <v>26959</v>
      </c>
      <c r="O332" s="242">
        <v>25113</v>
      </c>
      <c r="P332" s="242">
        <v>2421</v>
      </c>
      <c r="Q332" s="242">
        <v>23427</v>
      </c>
      <c r="R332" s="337">
        <v>229</v>
      </c>
      <c r="S332" s="336">
        <v>3901</v>
      </c>
      <c r="T332" s="336">
        <v>25113</v>
      </c>
      <c r="U332" s="336">
        <v>0</v>
      </c>
    </row>
    <row r="333" spans="2:21" s="22" customFormat="1" ht="27">
      <c r="B333" s="15">
        <f t="shared" si="7"/>
        <v>18</v>
      </c>
      <c r="C333" s="249" t="s">
        <v>1670</v>
      </c>
      <c r="D333" s="254">
        <v>1</v>
      </c>
      <c r="E333" s="250">
        <v>11126</v>
      </c>
      <c r="F333" s="254" t="s">
        <v>1671</v>
      </c>
      <c r="G333" s="232">
        <v>40941</v>
      </c>
      <c r="H333" s="228" t="s">
        <v>368</v>
      </c>
      <c r="I333" s="270">
        <v>44593</v>
      </c>
      <c r="J333" s="242">
        <v>3653</v>
      </c>
      <c r="K333" s="242">
        <v>789</v>
      </c>
      <c r="L333" s="242">
        <v>2864</v>
      </c>
      <c r="M333" s="242">
        <v>556</v>
      </c>
      <c r="N333" s="242">
        <v>9048</v>
      </c>
      <c r="O333" s="242">
        <v>8451</v>
      </c>
      <c r="P333" s="242">
        <v>2499</v>
      </c>
      <c r="Q333" s="242">
        <v>7895</v>
      </c>
      <c r="R333" s="337">
        <v>307</v>
      </c>
      <c r="S333" s="336">
        <v>1527</v>
      </c>
      <c r="T333" s="336">
        <v>8451</v>
      </c>
      <c r="U333" s="336">
        <v>0</v>
      </c>
    </row>
    <row r="334" spans="2:21" s="22" customFormat="1" ht="27">
      <c r="B334" s="15">
        <f t="shared" si="7"/>
        <v>19</v>
      </c>
      <c r="C334" s="249" t="s">
        <v>1940</v>
      </c>
      <c r="D334" s="254">
        <v>1</v>
      </c>
      <c r="E334" s="250">
        <v>1750</v>
      </c>
      <c r="F334" s="254" t="s">
        <v>1941</v>
      </c>
      <c r="G334" s="232">
        <v>41191</v>
      </c>
      <c r="H334" s="228" t="s">
        <v>883</v>
      </c>
      <c r="I334" s="242">
        <v>0</v>
      </c>
      <c r="J334" s="242">
        <v>0</v>
      </c>
      <c r="K334" s="242">
        <v>0</v>
      </c>
      <c r="L334" s="242">
        <v>0</v>
      </c>
      <c r="M334" s="242">
        <v>0</v>
      </c>
      <c r="N334" s="242">
        <v>0</v>
      </c>
      <c r="O334" s="242">
        <v>0</v>
      </c>
      <c r="P334" s="242">
        <v>0</v>
      </c>
      <c r="Q334" s="242">
        <v>-88</v>
      </c>
      <c r="R334" s="337">
        <v>0</v>
      </c>
      <c r="S334" s="336">
        <v>0</v>
      </c>
      <c r="T334" s="336">
        <v>0</v>
      </c>
      <c r="U334" s="336">
        <v>0</v>
      </c>
    </row>
    <row r="335" spans="2:21" s="22" customFormat="1" ht="27">
      <c r="B335" s="15">
        <f t="shared" si="7"/>
        <v>20</v>
      </c>
      <c r="C335" s="249" t="s">
        <v>2291</v>
      </c>
      <c r="D335" s="254">
        <v>6</v>
      </c>
      <c r="E335" s="250">
        <v>107703</v>
      </c>
      <c r="F335" s="254" t="s">
        <v>2292</v>
      </c>
      <c r="G335" s="232">
        <v>41650</v>
      </c>
      <c r="H335" s="228" t="s">
        <v>368</v>
      </c>
      <c r="I335" s="270">
        <v>45301</v>
      </c>
      <c r="J335" s="242">
        <v>3652</v>
      </c>
      <c r="K335" s="242">
        <v>80</v>
      </c>
      <c r="L335" s="242">
        <v>3572</v>
      </c>
      <c r="M335" s="242">
        <v>5385</v>
      </c>
      <c r="N335" s="242">
        <v>100824</v>
      </c>
      <c r="O335" s="242">
        <v>95906</v>
      </c>
      <c r="P335" s="242">
        <v>3207</v>
      </c>
      <c r="Q335" s="242">
        <v>90521</v>
      </c>
      <c r="R335" s="337">
        <v>365</v>
      </c>
      <c r="S335" s="336">
        <v>10303</v>
      </c>
      <c r="T335" s="336">
        <v>72177</v>
      </c>
      <c r="U335" s="336">
        <v>23729</v>
      </c>
    </row>
    <row r="336" spans="2:21" s="22" customFormat="1" ht="27">
      <c r="B336" s="15">
        <f t="shared" si="7"/>
        <v>21</v>
      </c>
      <c r="C336" s="249" t="s">
        <v>2312</v>
      </c>
      <c r="D336" s="254">
        <v>4</v>
      </c>
      <c r="E336" s="250">
        <v>71802</v>
      </c>
      <c r="F336" s="254" t="s">
        <v>2313</v>
      </c>
      <c r="G336" s="232">
        <v>41650</v>
      </c>
      <c r="H336" s="228" t="s">
        <v>368</v>
      </c>
      <c r="I336" s="270">
        <v>45301</v>
      </c>
      <c r="J336" s="242">
        <v>3652</v>
      </c>
      <c r="K336" s="242">
        <v>80</v>
      </c>
      <c r="L336" s="242">
        <v>3572</v>
      </c>
      <c r="M336" s="242">
        <v>3590</v>
      </c>
      <c r="N336" s="242">
        <v>67216</v>
      </c>
      <c r="O336" s="242">
        <v>63938</v>
      </c>
      <c r="P336" s="242">
        <v>3207</v>
      </c>
      <c r="Q336" s="242">
        <v>60348</v>
      </c>
      <c r="R336" s="337">
        <v>365</v>
      </c>
      <c r="S336" s="336">
        <v>6868</v>
      </c>
      <c r="T336" s="336">
        <v>48114</v>
      </c>
      <c r="U336" s="336">
        <v>15824</v>
      </c>
    </row>
    <row r="337" spans="2:21" s="22" customFormat="1" ht="40.5">
      <c r="B337" s="15">
        <f t="shared" si="7"/>
        <v>22</v>
      </c>
      <c r="C337" s="249" t="s">
        <v>2717</v>
      </c>
      <c r="D337" s="254">
        <v>1</v>
      </c>
      <c r="E337" s="250">
        <f>14899+114</f>
        <v>15013</v>
      </c>
      <c r="F337" s="249" t="s">
        <v>2679</v>
      </c>
      <c r="G337" s="233">
        <v>42005</v>
      </c>
      <c r="H337" s="228" t="s">
        <v>368</v>
      </c>
      <c r="I337" s="270">
        <v>45657</v>
      </c>
      <c r="J337" s="242">
        <v>3653</v>
      </c>
      <c r="K337" s="242">
        <v>0</v>
      </c>
      <c r="L337" s="242">
        <v>3653</v>
      </c>
      <c r="M337" s="242">
        <v>751</v>
      </c>
      <c r="N337" s="242">
        <v>14262</v>
      </c>
      <c r="O337" s="242">
        <v>14662</v>
      </c>
      <c r="P337" s="242">
        <v>3563</v>
      </c>
      <c r="Q337" s="242">
        <v>13911</v>
      </c>
      <c r="R337" s="337">
        <v>365</v>
      </c>
      <c r="S337" s="336">
        <v>1425</v>
      </c>
      <c r="T337" s="336">
        <v>9983</v>
      </c>
      <c r="U337" s="336">
        <v>4679</v>
      </c>
    </row>
    <row r="338" spans="2:21" s="22" customFormat="1" ht="40.5">
      <c r="B338" s="15">
        <f t="shared" si="7"/>
        <v>23</v>
      </c>
      <c r="C338" s="249" t="s">
        <v>2719</v>
      </c>
      <c r="D338" s="254">
        <v>2</v>
      </c>
      <c r="E338" s="250">
        <f>13200+101</f>
        <v>13301</v>
      </c>
      <c r="F338" s="249" t="s">
        <v>2679</v>
      </c>
      <c r="G338" s="233">
        <v>42005</v>
      </c>
      <c r="H338" s="228" t="s">
        <v>368</v>
      </c>
      <c r="I338" s="270">
        <v>45657</v>
      </c>
      <c r="J338" s="242">
        <v>3653</v>
      </c>
      <c r="K338" s="242">
        <v>0</v>
      </c>
      <c r="L338" s="242">
        <v>3653</v>
      </c>
      <c r="M338" s="242">
        <v>665</v>
      </c>
      <c r="N338" s="242">
        <v>12636</v>
      </c>
      <c r="O338" s="242">
        <v>12990</v>
      </c>
      <c r="P338" s="242">
        <v>3563</v>
      </c>
      <c r="Q338" s="242">
        <v>12325</v>
      </c>
      <c r="R338" s="337">
        <v>365</v>
      </c>
      <c r="S338" s="336">
        <v>1263</v>
      </c>
      <c r="T338" s="336">
        <v>8847</v>
      </c>
      <c r="U338" s="336">
        <v>4143</v>
      </c>
    </row>
    <row r="339" spans="2:21" s="22" customFormat="1" ht="40.5">
      <c r="B339" s="15">
        <f t="shared" si="7"/>
        <v>24</v>
      </c>
      <c r="C339" s="249" t="s">
        <v>2748</v>
      </c>
      <c r="D339" s="254">
        <v>1</v>
      </c>
      <c r="E339" s="250">
        <v>107947</v>
      </c>
      <c r="F339" s="249" t="s">
        <v>2742</v>
      </c>
      <c r="G339" s="233">
        <v>42005</v>
      </c>
      <c r="H339" s="228" t="s">
        <v>368</v>
      </c>
      <c r="I339" s="270">
        <v>45657</v>
      </c>
      <c r="J339" s="242">
        <v>3653</v>
      </c>
      <c r="K339" s="242">
        <v>0</v>
      </c>
      <c r="L339" s="242">
        <v>3653</v>
      </c>
      <c r="M339" s="242">
        <v>5397</v>
      </c>
      <c r="N339" s="242">
        <v>102550</v>
      </c>
      <c r="O339" s="242">
        <v>105420</v>
      </c>
      <c r="P339" s="242">
        <v>3563</v>
      </c>
      <c r="Q339" s="242">
        <v>100023</v>
      </c>
      <c r="R339" s="337">
        <v>365</v>
      </c>
      <c r="S339" s="336">
        <v>10247</v>
      </c>
      <c r="T339" s="336">
        <v>71785</v>
      </c>
      <c r="U339" s="336">
        <v>33635</v>
      </c>
    </row>
    <row r="340" spans="2:21" s="22" customFormat="1">
      <c r="B340" s="15">
        <v>25</v>
      </c>
      <c r="C340" s="249" t="s">
        <v>2538</v>
      </c>
      <c r="D340" s="254">
        <v>1</v>
      </c>
      <c r="E340" s="250">
        <v>40584</v>
      </c>
      <c r="F340" s="254">
        <v>1630</v>
      </c>
      <c r="G340" s="233">
        <v>41843</v>
      </c>
      <c r="H340" s="394" t="s">
        <v>368</v>
      </c>
      <c r="I340" s="270">
        <v>45495</v>
      </c>
      <c r="J340" s="242">
        <v>3653</v>
      </c>
      <c r="K340" s="242">
        <v>0</v>
      </c>
      <c r="L340" s="242">
        <v>3653</v>
      </c>
      <c r="M340" s="242">
        <v>2029</v>
      </c>
      <c r="N340" s="242">
        <v>38555</v>
      </c>
      <c r="O340" s="242">
        <v>37924</v>
      </c>
      <c r="P340" s="242">
        <v>3401</v>
      </c>
      <c r="Q340" s="242">
        <v>35895</v>
      </c>
      <c r="R340" s="251">
        <v>365</v>
      </c>
      <c r="S340" s="250">
        <v>3852</v>
      </c>
      <c r="T340" s="250">
        <v>26986</v>
      </c>
      <c r="U340" s="250">
        <v>10938</v>
      </c>
    </row>
    <row r="341" spans="2:21" s="22" customFormat="1">
      <c r="B341" s="15"/>
      <c r="C341" s="249"/>
      <c r="D341" s="254"/>
      <c r="E341" s="250"/>
      <c r="F341" s="249"/>
      <c r="G341" s="233"/>
      <c r="H341" s="228"/>
      <c r="I341" s="270"/>
      <c r="J341" s="242"/>
      <c r="K341" s="242"/>
      <c r="L341" s="242"/>
      <c r="M341" s="242"/>
      <c r="N341" s="242"/>
      <c r="O341" s="242">
        <v>0</v>
      </c>
      <c r="P341" s="242"/>
      <c r="Q341" s="272"/>
      <c r="R341" s="318"/>
      <c r="S341" s="242"/>
      <c r="T341" s="242"/>
      <c r="U341" s="228"/>
    </row>
    <row r="342" spans="2:21" s="22" customFormat="1" ht="14.25">
      <c r="B342" s="6" t="s">
        <v>520</v>
      </c>
      <c r="C342" s="272"/>
      <c r="D342" s="230"/>
      <c r="E342" s="250"/>
      <c r="F342" s="230"/>
      <c r="G342" s="230"/>
      <c r="H342" s="228"/>
      <c r="I342" s="228"/>
      <c r="J342" s="228"/>
      <c r="K342" s="228"/>
      <c r="L342" s="228"/>
      <c r="M342" s="242"/>
      <c r="N342" s="228"/>
      <c r="O342" s="242">
        <v>0</v>
      </c>
      <c r="P342" s="242"/>
      <c r="Q342" s="272"/>
      <c r="R342" s="318"/>
      <c r="S342" s="242"/>
      <c r="T342" s="242"/>
      <c r="U342" s="228"/>
    </row>
    <row r="343" spans="2:21" s="22" customFormat="1">
      <c r="B343" s="15">
        <v>1</v>
      </c>
      <c r="C343" s="249" t="s">
        <v>670</v>
      </c>
      <c r="D343" s="254"/>
      <c r="E343" s="250">
        <v>2137</v>
      </c>
      <c r="F343" s="230">
        <v>304</v>
      </c>
      <c r="G343" s="233">
        <v>39539</v>
      </c>
      <c r="H343" s="228" t="s">
        <v>883</v>
      </c>
      <c r="I343" s="242">
        <v>0</v>
      </c>
      <c r="J343" s="242">
        <v>0</v>
      </c>
      <c r="K343" s="242">
        <v>0</v>
      </c>
      <c r="L343" s="242">
        <v>0</v>
      </c>
      <c r="M343" s="242">
        <v>0</v>
      </c>
      <c r="N343" s="242">
        <v>0</v>
      </c>
      <c r="O343" s="242">
        <v>0</v>
      </c>
      <c r="P343" s="242">
        <v>0</v>
      </c>
      <c r="Q343" s="242">
        <v>-107</v>
      </c>
      <c r="R343" s="337">
        <v>0</v>
      </c>
      <c r="S343" s="336">
        <v>0</v>
      </c>
      <c r="T343" s="336">
        <v>0</v>
      </c>
      <c r="U343" s="336">
        <v>0</v>
      </c>
    </row>
    <row r="344" spans="2:21" s="22" customFormat="1">
      <c r="B344" s="15">
        <f>+B343+1</f>
        <v>2</v>
      </c>
      <c r="C344" s="249" t="s">
        <v>246</v>
      </c>
      <c r="D344" s="254">
        <v>4</v>
      </c>
      <c r="E344" s="250">
        <v>16808</v>
      </c>
      <c r="F344" s="230">
        <v>308</v>
      </c>
      <c r="G344" s="233">
        <v>39539</v>
      </c>
      <c r="H344" s="228" t="s">
        <v>883</v>
      </c>
      <c r="I344" s="242">
        <v>0</v>
      </c>
      <c r="J344" s="242">
        <v>0</v>
      </c>
      <c r="K344" s="242">
        <v>0</v>
      </c>
      <c r="L344" s="242">
        <v>0</v>
      </c>
      <c r="M344" s="242">
        <v>0</v>
      </c>
      <c r="N344" s="242">
        <v>0</v>
      </c>
      <c r="O344" s="242">
        <v>0</v>
      </c>
      <c r="P344" s="242">
        <v>0</v>
      </c>
      <c r="Q344" s="242">
        <v>-840</v>
      </c>
      <c r="R344" s="337">
        <v>0</v>
      </c>
      <c r="S344" s="336">
        <v>0</v>
      </c>
      <c r="T344" s="336">
        <v>0</v>
      </c>
      <c r="U344" s="336">
        <v>0</v>
      </c>
    </row>
    <row r="345" spans="2:21" s="22" customFormat="1">
      <c r="B345" s="15">
        <f t="shared" ref="B345:B361" si="8">+B344+1</f>
        <v>3</v>
      </c>
      <c r="C345" s="249" t="s">
        <v>217</v>
      </c>
      <c r="D345" s="254">
        <v>2</v>
      </c>
      <c r="E345" s="250">
        <v>1600</v>
      </c>
      <c r="F345" s="230">
        <v>16</v>
      </c>
      <c r="G345" s="233">
        <v>39877</v>
      </c>
      <c r="H345" s="228" t="s">
        <v>282</v>
      </c>
      <c r="I345" s="242">
        <v>0</v>
      </c>
      <c r="J345" s="242">
        <v>0</v>
      </c>
      <c r="K345" s="242">
        <v>0</v>
      </c>
      <c r="L345" s="242">
        <v>0</v>
      </c>
      <c r="M345" s="242">
        <v>0</v>
      </c>
      <c r="N345" s="242">
        <v>0</v>
      </c>
      <c r="O345" s="242">
        <v>0</v>
      </c>
      <c r="P345" s="242">
        <v>0</v>
      </c>
      <c r="Q345" s="242">
        <v>-80</v>
      </c>
      <c r="R345" s="337">
        <v>0</v>
      </c>
      <c r="S345" s="336">
        <v>0</v>
      </c>
      <c r="T345" s="336">
        <v>0</v>
      </c>
      <c r="U345" s="336">
        <v>0</v>
      </c>
    </row>
    <row r="346" spans="2:21" s="22" customFormat="1">
      <c r="B346" s="15">
        <f t="shared" si="8"/>
        <v>4</v>
      </c>
      <c r="C346" s="249" t="s">
        <v>244</v>
      </c>
      <c r="D346" s="254">
        <v>4</v>
      </c>
      <c r="E346" s="250">
        <v>8000</v>
      </c>
      <c r="F346" s="230">
        <v>16</v>
      </c>
      <c r="G346" s="233">
        <v>39877</v>
      </c>
      <c r="H346" s="228" t="s">
        <v>282</v>
      </c>
      <c r="I346" s="242">
        <v>0</v>
      </c>
      <c r="J346" s="242">
        <v>0</v>
      </c>
      <c r="K346" s="242">
        <v>0</v>
      </c>
      <c r="L346" s="242">
        <v>0</v>
      </c>
      <c r="M346" s="242">
        <v>0</v>
      </c>
      <c r="N346" s="242">
        <v>0</v>
      </c>
      <c r="O346" s="242">
        <v>0</v>
      </c>
      <c r="P346" s="242">
        <v>0</v>
      </c>
      <c r="Q346" s="242">
        <v>-400</v>
      </c>
      <c r="R346" s="337">
        <v>0</v>
      </c>
      <c r="S346" s="336">
        <v>0</v>
      </c>
      <c r="T346" s="336">
        <v>0</v>
      </c>
      <c r="U346" s="336">
        <v>0</v>
      </c>
    </row>
    <row r="347" spans="2:21" s="22" customFormat="1">
      <c r="B347" s="15">
        <f t="shared" si="8"/>
        <v>5</v>
      </c>
      <c r="C347" s="249" t="s">
        <v>217</v>
      </c>
      <c r="D347" s="254">
        <v>1</v>
      </c>
      <c r="E347" s="250">
        <v>1000</v>
      </c>
      <c r="F347" s="230">
        <v>6</v>
      </c>
      <c r="G347" s="233">
        <v>39911</v>
      </c>
      <c r="H347" s="228" t="s">
        <v>282</v>
      </c>
      <c r="I347" s="322">
        <v>0</v>
      </c>
      <c r="J347" s="322">
        <v>0</v>
      </c>
      <c r="K347" s="322">
        <v>0</v>
      </c>
      <c r="L347" s="322">
        <v>0</v>
      </c>
      <c r="M347" s="322">
        <v>0</v>
      </c>
      <c r="N347" s="322">
        <v>0</v>
      </c>
      <c r="O347" s="322">
        <v>0</v>
      </c>
      <c r="P347" s="322">
        <v>0</v>
      </c>
      <c r="Q347" s="322">
        <v>-50</v>
      </c>
      <c r="R347" s="337">
        <v>0</v>
      </c>
      <c r="S347" s="336">
        <v>0</v>
      </c>
      <c r="T347" s="336">
        <v>0</v>
      </c>
      <c r="U347" s="336">
        <v>0</v>
      </c>
    </row>
    <row r="348" spans="2:21" s="22" customFormat="1">
      <c r="B348" s="15">
        <f t="shared" si="8"/>
        <v>6</v>
      </c>
      <c r="C348" s="249" t="s">
        <v>997</v>
      </c>
      <c r="D348" s="254">
        <v>1</v>
      </c>
      <c r="E348" s="250">
        <v>8921</v>
      </c>
      <c r="F348" s="230"/>
      <c r="G348" s="233">
        <v>40087</v>
      </c>
      <c r="H348" s="228" t="s">
        <v>895</v>
      </c>
      <c r="I348" s="270">
        <v>43738</v>
      </c>
      <c r="J348" s="242">
        <v>3652</v>
      </c>
      <c r="K348" s="242">
        <v>1643</v>
      </c>
      <c r="L348" s="242">
        <v>2009</v>
      </c>
      <c r="M348" s="242">
        <v>446</v>
      </c>
      <c r="N348" s="242">
        <v>5936</v>
      </c>
      <c r="O348" s="242">
        <v>5304</v>
      </c>
      <c r="P348" s="242">
        <v>1644</v>
      </c>
      <c r="Q348" s="242">
        <v>4858</v>
      </c>
      <c r="R348" s="337">
        <v>0</v>
      </c>
      <c r="S348" s="336">
        <v>0</v>
      </c>
      <c r="T348" s="336">
        <v>5304</v>
      </c>
      <c r="U348" s="336">
        <v>0</v>
      </c>
    </row>
    <row r="349" spans="2:21" s="22" customFormat="1">
      <c r="B349" s="15">
        <f t="shared" si="8"/>
        <v>7</v>
      </c>
      <c r="C349" s="249" t="s">
        <v>667</v>
      </c>
      <c r="D349" s="254">
        <v>1</v>
      </c>
      <c r="E349" s="250">
        <v>3648</v>
      </c>
      <c r="F349" s="230">
        <v>113</v>
      </c>
      <c r="G349" s="233">
        <v>40263</v>
      </c>
      <c r="H349" s="228" t="s">
        <v>282</v>
      </c>
      <c r="I349" s="242">
        <v>0</v>
      </c>
      <c r="J349" s="242">
        <v>0</v>
      </c>
      <c r="K349" s="242">
        <v>0</v>
      </c>
      <c r="L349" s="242">
        <v>0</v>
      </c>
      <c r="M349" s="242">
        <v>0</v>
      </c>
      <c r="N349" s="242">
        <v>0</v>
      </c>
      <c r="O349" s="242">
        <v>0</v>
      </c>
      <c r="P349" s="242">
        <v>0</v>
      </c>
      <c r="Q349" s="242">
        <v>-182</v>
      </c>
      <c r="R349" s="337">
        <v>0</v>
      </c>
      <c r="S349" s="336">
        <v>0</v>
      </c>
      <c r="T349" s="336">
        <v>0</v>
      </c>
      <c r="U349" s="336">
        <v>0</v>
      </c>
    </row>
    <row r="350" spans="2:21" s="22" customFormat="1" ht="27">
      <c r="B350" s="15">
        <f t="shared" si="8"/>
        <v>8</v>
      </c>
      <c r="C350" s="249" t="s">
        <v>369</v>
      </c>
      <c r="D350" s="254">
        <v>5</v>
      </c>
      <c r="E350" s="242">
        <v>25509</v>
      </c>
      <c r="F350" s="254" t="s">
        <v>1025</v>
      </c>
      <c r="G350" s="233">
        <v>40316</v>
      </c>
      <c r="H350" s="228" t="s">
        <v>368</v>
      </c>
      <c r="I350" s="242">
        <v>0</v>
      </c>
      <c r="J350" s="242">
        <v>0</v>
      </c>
      <c r="K350" s="242">
        <v>0</v>
      </c>
      <c r="L350" s="242">
        <v>0</v>
      </c>
      <c r="M350" s="242">
        <v>0</v>
      </c>
      <c r="N350" s="242">
        <v>0</v>
      </c>
      <c r="O350" s="242">
        <v>0</v>
      </c>
      <c r="P350" s="242">
        <v>0</v>
      </c>
      <c r="Q350" s="242">
        <v>-1275</v>
      </c>
      <c r="R350" s="337">
        <v>0</v>
      </c>
      <c r="S350" s="336">
        <v>0</v>
      </c>
      <c r="T350" s="336">
        <v>0</v>
      </c>
      <c r="U350" s="336">
        <v>0</v>
      </c>
    </row>
    <row r="351" spans="2:21" s="22" customFormat="1">
      <c r="B351" s="15">
        <f t="shared" si="8"/>
        <v>9</v>
      </c>
      <c r="C351" s="249" t="s">
        <v>667</v>
      </c>
      <c r="D351" s="254">
        <v>2</v>
      </c>
      <c r="E351" s="242">
        <v>1800</v>
      </c>
      <c r="F351" s="254" t="s">
        <v>787</v>
      </c>
      <c r="G351" s="233">
        <v>40329</v>
      </c>
      <c r="H351" s="228" t="s">
        <v>282</v>
      </c>
      <c r="I351" s="242">
        <v>0</v>
      </c>
      <c r="J351" s="242">
        <v>0</v>
      </c>
      <c r="K351" s="242">
        <v>0</v>
      </c>
      <c r="L351" s="242">
        <v>0</v>
      </c>
      <c r="M351" s="242">
        <v>0</v>
      </c>
      <c r="N351" s="242">
        <v>0</v>
      </c>
      <c r="O351" s="242">
        <v>0</v>
      </c>
      <c r="P351" s="242">
        <v>0</v>
      </c>
      <c r="Q351" s="242">
        <v>-90</v>
      </c>
      <c r="R351" s="337">
        <v>0</v>
      </c>
      <c r="S351" s="336">
        <v>0</v>
      </c>
      <c r="T351" s="336">
        <v>0</v>
      </c>
      <c r="U351" s="336">
        <v>0</v>
      </c>
    </row>
    <row r="352" spans="2:21" s="22" customFormat="1" ht="27">
      <c r="B352" s="15">
        <f t="shared" si="8"/>
        <v>10</v>
      </c>
      <c r="C352" s="249" t="s">
        <v>268</v>
      </c>
      <c r="D352" s="254">
        <v>1</v>
      </c>
      <c r="E352" s="242">
        <v>4560</v>
      </c>
      <c r="F352" s="275" t="s">
        <v>706</v>
      </c>
      <c r="G352" s="233">
        <v>40526</v>
      </c>
      <c r="H352" s="228" t="s">
        <v>282</v>
      </c>
      <c r="I352" s="242">
        <v>0</v>
      </c>
      <c r="J352" s="242">
        <v>0</v>
      </c>
      <c r="K352" s="242">
        <v>0</v>
      </c>
      <c r="L352" s="242">
        <v>0</v>
      </c>
      <c r="M352" s="242">
        <v>0</v>
      </c>
      <c r="N352" s="242">
        <v>0</v>
      </c>
      <c r="O352" s="242">
        <v>0</v>
      </c>
      <c r="P352" s="242">
        <v>0</v>
      </c>
      <c r="Q352" s="242">
        <v>-228</v>
      </c>
      <c r="R352" s="337">
        <v>0</v>
      </c>
      <c r="S352" s="336">
        <v>0</v>
      </c>
      <c r="T352" s="336">
        <v>0</v>
      </c>
      <c r="U352" s="336">
        <v>0</v>
      </c>
    </row>
    <row r="353" spans="2:21" s="22" customFormat="1" ht="27">
      <c r="B353" s="15">
        <f t="shared" si="8"/>
        <v>11</v>
      </c>
      <c r="C353" s="249" t="s">
        <v>1654</v>
      </c>
      <c r="D353" s="254">
        <v>4</v>
      </c>
      <c r="E353" s="242">
        <v>19355</v>
      </c>
      <c r="F353" s="254" t="s">
        <v>1652</v>
      </c>
      <c r="G353" s="233">
        <v>40902</v>
      </c>
      <c r="H353" s="228" t="s">
        <v>119</v>
      </c>
      <c r="I353" s="242">
        <v>0</v>
      </c>
      <c r="J353" s="242">
        <v>0</v>
      </c>
      <c r="K353" s="242">
        <v>0</v>
      </c>
      <c r="L353" s="242">
        <v>0</v>
      </c>
      <c r="M353" s="242">
        <v>0</v>
      </c>
      <c r="N353" s="242">
        <v>0</v>
      </c>
      <c r="O353" s="242">
        <v>0</v>
      </c>
      <c r="P353" s="242">
        <v>0</v>
      </c>
      <c r="Q353" s="242">
        <v>-968</v>
      </c>
      <c r="R353" s="337">
        <v>0</v>
      </c>
      <c r="S353" s="336">
        <v>0</v>
      </c>
      <c r="T353" s="336">
        <v>0</v>
      </c>
      <c r="U353" s="336">
        <v>0</v>
      </c>
    </row>
    <row r="354" spans="2:21" s="22" customFormat="1" ht="27">
      <c r="B354" s="15">
        <f t="shared" si="8"/>
        <v>12</v>
      </c>
      <c r="C354" s="249" t="s">
        <v>1654</v>
      </c>
      <c r="D354" s="254">
        <v>2</v>
      </c>
      <c r="E354" s="242">
        <v>8573</v>
      </c>
      <c r="F354" s="254" t="s">
        <v>1682</v>
      </c>
      <c r="G354" s="233">
        <v>40909</v>
      </c>
      <c r="H354" s="228" t="s">
        <v>161</v>
      </c>
      <c r="I354" s="242">
        <v>0</v>
      </c>
      <c r="J354" s="242">
        <v>0</v>
      </c>
      <c r="K354" s="242">
        <v>0</v>
      </c>
      <c r="L354" s="242">
        <v>0</v>
      </c>
      <c r="M354" s="242">
        <v>0</v>
      </c>
      <c r="N354" s="242">
        <v>0</v>
      </c>
      <c r="O354" s="242">
        <v>0</v>
      </c>
      <c r="P354" s="242">
        <v>0</v>
      </c>
      <c r="Q354" s="242">
        <v>-429</v>
      </c>
      <c r="R354" s="337">
        <v>0</v>
      </c>
      <c r="S354" s="336">
        <v>0</v>
      </c>
      <c r="T354" s="336">
        <v>0</v>
      </c>
      <c r="U354" s="336">
        <v>0</v>
      </c>
    </row>
    <row r="355" spans="2:21" s="22" customFormat="1" ht="27">
      <c r="B355" s="15">
        <f t="shared" si="8"/>
        <v>13</v>
      </c>
      <c r="C355" s="249" t="s">
        <v>1814</v>
      </c>
      <c r="D355" s="254">
        <v>1</v>
      </c>
      <c r="E355" s="242">
        <v>6999</v>
      </c>
      <c r="F355" s="254" t="s">
        <v>1815</v>
      </c>
      <c r="G355" s="233">
        <v>41019</v>
      </c>
      <c r="H355" s="228" t="s">
        <v>895</v>
      </c>
      <c r="I355" s="242">
        <v>44670</v>
      </c>
      <c r="J355" s="242">
        <v>3652</v>
      </c>
      <c r="K355" s="242">
        <v>711</v>
      </c>
      <c r="L355" s="242">
        <v>2941</v>
      </c>
      <c r="M355" s="242">
        <v>350</v>
      </c>
      <c r="N355" s="242">
        <v>5786</v>
      </c>
      <c r="O355" s="242">
        <v>5418</v>
      </c>
      <c r="P355" s="242">
        <v>2576</v>
      </c>
      <c r="Q355" s="242">
        <v>5068</v>
      </c>
      <c r="R355" s="337">
        <v>183</v>
      </c>
      <c r="S355" s="336">
        <v>360</v>
      </c>
      <c r="T355" s="336">
        <v>4672</v>
      </c>
      <c r="U355" s="336">
        <v>746</v>
      </c>
    </row>
    <row r="356" spans="2:21" s="22" customFormat="1">
      <c r="B356" s="15">
        <f t="shared" si="8"/>
        <v>14</v>
      </c>
      <c r="C356" s="249" t="s">
        <v>1814</v>
      </c>
      <c r="D356" s="254">
        <v>-1</v>
      </c>
      <c r="E356" s="242">
        <v>-6999</v>
      </c>
      <c r="F356" s="254"/>
      <c r="G356" s="233">
        <v>41019</v>
      </c>
      <c r="H356" s="228" t="s">
        <v>895</v>
      </c>
      <c r="I356" s="242">
        <v>44670</v>
      </c>
      <c r="J356" s="242">
        <v>3652</v>
      </c>
      <c r="K356" s="242">
        <v>711</v>
      </c>
      <c r="L356" s="242">
        <v>2941</v>
      </c>
      <c r="M356" s="242">
        <v>0</v>
      </c>
      <c r="N356" s="242">
        <v>0</v>
      </c>
      <c r="O356" s="242">
        <v>-5418</v>
      </c>
      <c r="P356" s="242"/>
      <c r="Q356" s="242"/>
      <c r="R356" s="337">
        <v>0</v>
      </c>
      <c r="S356" s="336">
        <v>0</v>
      </c>
      <c r="T356" s="336">
        <v>-4672</v>
      </c>
      <c r="U356" s="336">
        <v>-746</v>
      </c>
    </row>
    <row r="357" spans="2:21" s="22" customFormat="1" ht="27">
      <c r="B357" s="15">
        <f t="shared" si="8"/>
        <v>15</v>
      </c>
      <c r="C357" s="249" t="s">
        <v>2109</v>
      </c>
      <c r="D357" s="254">
        <v>1</v>
      </c>
      <c r="E357" s="242">
        <v>13167</v>
      </c>
      <c r="F357" s="254" t="s">
        <v>2108</v>
      </c>
      <c r="G357" s="233">
        <v>41382</v>
      </c>
      <c r="H357" s="228" t="s">
        <v>368</v>
      </c>
      <c r="I357" s="270">
        <v>45033</v>
      </c>
      <c r="J357" s="242">
        <v>3652</v>
      </c>
      <c r="K357" s="242">
        <v>348</v>
      </c>
      <c r="L357" s="242">
        <v>3304</v>
      </c>
      <c r="M357" s="242">
        <v>658</v>
      </c>
      <c r="N357" s="242">
        <v>11714</v>
      </c>
      <c r="O357" s="242">
        <v>11078</v>
      </c>
      <c r="P357" s="242">
        <v>2939</v>
      </c>
      <c r="Q357" s="242">
        <v>10420</v>
      </c>
      <c r="R357" s="337">
        <v>365</v>
      </c>
      <c r="S357" s="336">
        <v>1294</v>
      </c>
      <c r="T357" s="336">
        <v>9066</v>
      </c>
      <c r="U357" s="336">
        <v>2012</v>
      </c>
    </row>
    <row r="358" spans="2:21" s="22" customFormat="1" ht="67.5">
      <c r="B358" s="15">
        <f t="shared" si="8"/>
        <v>16</v>
      </c>
      <c r="C358" s="249" t="s">
        <v>217</v>
      </c>
      <c r="D358" s="254">
        <v>2</v>
      </c>
      <c r="E358" s="242">
        <v>1</v>
      </c>
      <c r="F358" s="254" t="s">
        <v>2736</v>
      </c>
      <c r="G358" s="233">
        <v>42005</v>
      </c>
      <c r="H358" s="228" t="s">
        <v>368</v>
      </c>
      <c r="I358" s="270">
        <v>45657</v>
      </c>
      <c r="J358" s="242">
        <v>3653</v>
      </c>
      <c r="K358" s="242">
        <v>0</v>
      </c>
      <c r="L358" s="242">
        <v>3653</v>
      </c>
      <c r="M358" s="242">
        <v>0</v>
      </c>
      <c r="N358" s="242">
        <v>0</v>
      </c>
      <c r="O358" s="242">
        <v>0</v>
      </c>
      <c r="P358" s="242">
        <v>3288</v>
      </c>
      <c r="Q358" s="242">
        <v>0</v>
      </c>
      <c r="R358" s="337">
        <v>0</v>
      </c>
      <c r="S358" s="336">
        <v>0</v>
      </c>
      <c r="T358" s="336">
        <v>0</v>
      </c>
      <c r="U358" s="336">
        <v>0</v>
      </c>
    </row>
    <row r="359" spans="2:21" s="22" customFormat="1">
      <c r="B359" s="15">
        <f t="shared" si="8"/>
        <v>17</v>
      </c>
      <c r="C359" s="245" t="s">
        <v>4089</v>
      </c>
      <c r="D359" s="237">
        <v>1</v>
      </c>
      <c r="E359" s="231">
        <v>9600</v>
      </c>
      <c r="F359" s="237">
        <v>28</v>
      </c>
      <c r="G359" s="238">
        <v>43026</v>
      </c>
      <c r="H359" s="394" t="s">
        <v>119</v>
      </c>
      <c r="I359" s="270">
        <v>46677</v>
      </c>
      <c r="J359" s="242">
        <v>3652</v>
      </c>
      <c r="K359" s="242">
        <v>0</v>
      </c>
      <c r="L359" s="242">
        <v>3652</v>
      </c>
      <c r="M359" s="242">
        <v>480</v>
      </c>
      <c r="N359" s="242">
        <v>9120</v>
      </c>
      <c r="O359" s="242">
        <v>9600</v>
      </c>
      <c r="P359" s="242">
        <v>3652</v>
      </c>
      <c r="Q359" s="242">
        <v>9120</v>
      </c>
      <c r="R359" s="251">
        <v>365</v>
      </c>
      <c r="S359" s="250">
        <v>912</v>
      </c>
      <c r="T359" s="250">
        <v>4062</v>
      </c>
      <c r="U359" s="250">
        <v>5538</v>
      </c>
    </row>
    <row r="360" spans="2:21" s="22" customFormat="1">
      <c r="B360" s="15">
        <f t="shared" si="8"/>
        <v>18</v>
      </c>
      <c r="C360" s="245" t="s">
        <v>4321</v>
      </c>
      <c r="D360" s="237">
        <v>1</v>
      </c>
      <c r="E360" s="231">
        <v>73160</v>
      </c>
      <c r="F360" s="237" t="s">
        <v>4322</v>
      </c>
      <c r="G360" s="238">
        <v>43428</v>
      </c>
      <c r="H360" s="395" t="s">
        <v>368</v>
      </c>
      <c r="I360" s="270">
        <v>47080</v>
      </c>
      <c r="J360" s="242">
        <v>3653</v>
      </c>
      <c r="K360" s="242">
        <v>0</v>
      </c>
      <c r="L360" s="242">
        <v>3653</v>
      </c>
      <c r="M360" s="242">
        <v>3658</v>
      </c>
      <c r="N360" s="242">
        <v>69502</v>
      </c>
      <c r="O360" s="242">
        <v>73160</v>
      </c>
      <c r="P360" s="242">
        <v>3653</v>
      </c>
      <c r="Q360" s="242">
        <v>69502</v>
      </c>
      <c r="R360" s="251">
        <v>365</v>
      </c>
      <c r="S360" s="250">
        <v>6944</v>
      </c>
      <c r="T360" s="250">
        <v>23268</v>
      </c>
      <c r="U360" s="250">
        <v>49892</v>
      </c>
    </row>
    <row r="361" spans="2:21" s="22" customFormat="1">
      <c r="B361" s="15">
        <f t="shared" si="8"/>
        <v>19</v>
      </c>
      <c r="C361" s="245" t="s">
        <v>4321</v>
      </c>
      <c r="D361" s="237">
        <v>1</v>
      </c>
      <c r="E361" s="231">
        <v>106200</v>
      </c>
      <c r="F361" s="237" t="s">
        <v>4322</v>
      </c>
      <c r="G361" s="238">
        <v>43428</v>
      </c>
      <c r="H361" s="395" t="s">
        <v>368</v>
      </c>
      <c r="I361" s="270">
        <v>47080</v>
      </c>
      <c r="J361" s="242">
        <v>3653</v>
      </c>
      <c r="K361" s="242">
        <v>0</v>
      </c>
      <c r="L361" s="242">
        <v>3653</v>
      </c>
      <c r="M361" s="242">
        <v>5310</v>
      </c>
      <c r="N361" s="242">
        <v>100890</v>
      </c>
      <c r="O361" s="242">
        <v>106200</v>
      </c>
      <c r="P361" s="242">
        <v>3653</v>
      </c>
      <c r="Q361" s="242">
        <v>100890</v>
      </c>
      <c r="R361" s="251">
        <v>365</v>
      </c>
      <c r="S361" s="250">
        <v>10081</v>
      </c>
      <c r="T361" s="250">
        <v>33778</v>
      </c>
      <c r="U361" s="250">
        <v>72422</v>
      </c>
    </row>
    <row r="362" spans="2:21" s="22" customFormat="1">
      <c r="B362" s="15"/>
      <c r="C362" s="249"/>
      <c r="D362" s="254"/>
      <c r="E362" s="242"/>
      <c r="F362" s="254"/>
      <c r="G362" s="233"/>
      <c r="H362" s="228"/>
      <c r="I362" s="270"/>
      <c r="J362" s="242"/>
      <c r="K362" s="242"/>
      <c r="L362" s="242"/>
      <c r="M362" s="242"/>
      <c r="N362" s="242"/>
      <c r="O362" s="242"/>
      <c r="P362" s="242"/>
      <c r="Q362" s="242"/>
      <c r="R362" s="337"/>
      <c r="S362" s="336"/>
      <c r="T362" s="336"/>
      <c r="U362" s="336"/>
    </row>
    <row r="363" spans="2:21" s="22" customFormat="1" ht="14.25">
      <c r="B363" s="32" t="s">
        <v>524</v>
      </c>
      <c r="C363" s="272"/>
      <c r="D363" s="230"/>
      <c r="E363" s="242"/>
      <c r="F363" s="230"/>
      <c r="G363" s="230"/>
      <c r="H363" s="228"/>
      <c r="I363" s="228"/>
      <c r="J363" s="228"/>
      <c r="K363" s="228"/>
      <c r="L363" s="228"/>
      <c r="M363" s="242"/>
      <c r="N363" s="228"/>
      <c r="O363" s="242">
        <v>0</v>
      </c>
      <c r="P363" s="242"/>
      <c r="Q363" s="272"/>
      <c r="R363" s="318"/>
      <c r="S363" s="242"/>
      <c r="T363" s="242"/>
      <c r="U363" s="228"/>
    </row>
    <row r="364" spans="2:21" s="22" customFormat="1">
      <c r="B364" s="15">
        <v>1</v>
      </c>
      <c r="C364" s="249" t="s">
        <v>218</v>
      </c>
      <c r="D364" s="254">
        <v>8</v>
      </c>
      <c r="E364" s="250">
        <v>56430</v>
      </c>
      <c r="F364" s="254">
        <v>4230</v>
      </c>
      <c r="G364" s="233">
        <v>39862</v>
      </c>
      <c r="H364" s="228" t="s">
        <v>282</v>
      </c>
      <c r="I364" s="335">
        <v>43513</v>
      </c>
      <c r="J364" s="336">
        <v>3652</v>
      </c>
      <c r="K364" s="336">
        <v>1868</v>
      </c>
      <c r="L364" s="336">
        <v>1784</v>
      </c>
      <c r="M364" s="336">
        <v>2822</v>
      </c>
      <c r="N364" s="336">
        <v>35336.973156164386</v>
      </c>
      <c r="O364" s="336">
        <v>30928.973156164386</v>
      </c>
      <c r="P364" s="336">
        <v>1419</v>
      </c>
      <c r="Q364" s="336">
        <v>28107</v>
      </c>
      <c r="R364" s="337">
        <v>0</v>
      </c>
      <c r="S364" s="336">
        <v>0</v>
      </c>
      <c r="T364" s="336">
        <v>30929</v>
      </c>
      <c r="U364" s="336">
        <v>-2.6843835614272393E-2</v>
      </c>
    </row>
    <row r="365" spans="2:21" s="22" customFormat="1">
      <c r="B365" s="15">
        <v>2</v>
      </c>
      <c r="C365" s="249" t="s">
        <v>218</v>
      </c>
      <c r="D365" s="254">
        <v>4</v>
      </c>
      <c r="E365" s="250">
        <v>11340</v>
      </c>
      <c r="F365" s="254">
        <v>837</v>
      </c>
      <c r="G365" s="233">
        <v>39877</v>
      </c>
      <c r="H365" s="228" t="s">
        <v>282</v>
      </c>
      <c r="I365" s="270">
        <v>0</v>
      </c>
      <c r="J365" s="242">
        <v>0</v>
      </c>
      <c r="K365" s="242">
        <v>0</v>
      </c>
      <c r="L365" s="242">
        <v>0</v>
      </c>
      <c r="M365" s="242">
        <v>0</v>
      </c>
      <c r="N365" s="242">
        <v>0</v>
      </c>
      <c r="O365" s="242">
        <v>0</v>
      </c>
      <c r="P365" s="242">
        <v>0</v>
      </c>
      <c r="Q365" s="242">
        <v>-567</v>
      </c>
      <c r="R365" s="337">
        <v>0</v>
      </c>
      <c r="S365" s="336">
        <v>0</v>
      </c>
      <c r="T365" s="336">
        <v>0</v>
      </c>
      <c r="U365" s="336">
        <v>0</v>
      </c>
    </row>
    <row r="366" spans="2:21" s="22" customFormat="1">
      <c r="B366" s="15">
        <v>3</v>
      </c>
      <c r="C366" s="249" t="s">
        <v>219</v>
      </c>
      <c r="D366" s="254" t="s">
        <v>220</v>
      </c>
      <c r="E366" s="250">
        <v>12020</v>
      </c>
      <c r="F366" s="254">
        <v>387</v>
      </c>
      <c r="G366" s="233">
        <v>39983</v>
      </c>
      <c r="H366" s="228" t="s">
        <v>282</v>
      </c>
      <c r="I366" s="270">
        <v>0</v>
      </c>
      <c r="J366" s="242">
        <v>0</v>
      </c>
      <c r="K366" s="242">
        <v>0</v>
      </c>
      <c r="L366" s="242">
        <v>0</v>
      </c>
      <c r="M366" s="242">
        <v>0</v>
      </c>
      <c r="N366" s="242">
        <v>0</v>
      </c>
      <c r="O366" s="242">
        <v>0</v>
      </c>
      <c r="P366" s="242">
        <v>0</v>
      </c>
      <c r="Q366" s="242">
        <v>-601</v>
      </c>
      <c r="R366" s="337">
        <v>0</v>
      </c>
      <c r="S366" s="336">
        <v>0</v>
      </c>
      <c r="T366" s="336">
        <v>0</v>
      </c>
      <c r="U366" s="336">
        <v>0</v>
      </c>
    </row>
    <row r="367" spans="2:21" s="22" customFormat="1">
      <c r="B367" s="15">
        <v>4</v>
      </c>
      <c r="C367" s="249" t="s">
        <v>221</v>
      </c>
      <c r="D367" s="254">
        <v>2</v>
      </c>
      <c r="E367" s="250">
        <v>4550</v>
      </c>
      <c r="F367" s="254">
        <v>25</v>
      </c>
      <c r="G367" s="233">
        <v>39982</v>
      </c>
      <c r="H367" s="228" t="s">
        <v>282</v>
      </c>
      <c r="I367" s="270">
        <v>0</v>
      </c>
      <c r="J367" s="242">
        <v>0</v>
      </c>
      <c r="K367" s="242">
        <v>0</v>
      </c>
      <c r="L367" s="242">
        <v>0</v>
      </c>
      <c r="M367" s="242">
        <v>0</v>
      </c>
      <c r="N367" s="242">
        <v>0</v>
      </c>
      <c r="O367" s="242">
        <v>0</v>
      </c>
      <c r="P367" s="242">
        <v>0</v>
      </c>
      <c r="Q367" s="242">
        <v>-228</v>
      </c>
      <c r="R367" s="337">
        <v>0</v>
      </c>
      <c r="S367" s="336">
        <v>0</v>
      </c>
      <c r="T367" s="336">
        <v>0</v>
      </c>
      <c r="U367" s="336">
        <v>0</v>
      </c>
    </row>
    <row r="368" spans="2:21" s="22" customFormat="1">
      <c r="B368" s="15">
        <v>5</v>
      </c>
      <c r="C368" s="249" t="s">
        <v>221</v>
      </c>
      <c r="D368" s="254">
        <v>2</v>
      </c>
      <c r="E368" s="250">
        <v>7312</v>
      </c>
      <c r="F368" s="254" t="s">
        <v>222</v>
      </c>
      <c r="G368" s="233">
        <v>39984</v>
      </c>
      <c r="H368" s="228" t="s">
        <v>282</v>
      </c>
      <c r="I368" s="270">
        <v>0</v>
      </c>
      <c r="J368" s="242">
        <v>0</v>
      </c>
      <c r="K368" s="242">
        <v>0</v>
      </c>
      <c r="L368" s="242">
        <v>0</v>
      </c>
      <c r="M368" s="242">
        <v>0</v>
      </c>
      <c r="N368" s="242">
        <v>0</v>
      </c>
      <c r="O368" s="242">
        <v>0</v>
      </c>
      <c r="P368" s="242">
        <v>0</v>
      </c>
      <c r="Q368" s="242">
        <v>-366</v>
      </c>
      <c r="R368" s="337">
        <v>0</v>
      </c>
      <c r="S368" s="336">
        <v>0</v>
      </c>
      <c r="T368" s="336">
        <v>0</v>
      </c>
      <c r="U368" s="336">
        <v>0</v>
      </c>
    </row>
    <row r="369" spans="2:21" s="22" customFormat="1">
      <c r="B369" s="15">
        <v>6</v>
      </c>
      <c r="C369" s="249" t="s">
        <v>1328</v>
      </c>
      <c r="D369" s="254">
        <v>8</v>
      </c>
      <c r="E369" s="250">
        <f>ROUND(38400*1.14,0)</f>
        <v>43776</v>
      </c>
      <c r="F369" s="254">
        <v>113</v>
      </c>
      <c r="G369" s="233">
        <v>40263</v>
      </c>
      <c r="H369" s="228" t="s">
        <v>282</v>
      </c>
      <c r="I369" s="270">
        <v>43915</v>
      </c>
      <c r="J369" s="242">
        <v>3653</v>
      </c>
      <c r="K369" s="242">
        <v>1467</v>
      </c>
      <c r="L369" s="242">
        <v>2186</v>
      </c>
      <c r="M369" s="242">
        <v>2189</v>
      </c>
      <c r="N369" s="242">
        <v>30457</v>
      </c>
      <c r="O369" s="242">
        <v>27561</v>
      </c>
      <c r="P369" s="242">
        <v>1821</v>
      </c>
      <c r="Q369" s="242">
        <v>25372</v>
      </c>
      <c r="R369" s="337">
        <v>0</v>
      </c>
      <c r="S369" s="336">
        <v>0</v>
      </c>
      <c r="T369" s="336">
        <v>27561</v>
      </c>
      <c r="U369" s="336">
        <v>0</v>
      </c>
    </row>
    <row r="370" spans="2:21" s="22" customFormat="1">
      <c r="B370" s="15">
        <v>8</v>
      </c>
      <c r="C370" s="249" t="s">
        <v>1329</v>
      </c>
      <c r="D370" s="254">
        <v>8</v>
      </c>
      <c r="E370" s="250">
        <f>ROUND(21488*1.14,0)</f>
        <v>24496</v>
      </c>
      <c r="F370" s="254">
        <v>113</v>
      </c>
      <c r="G370" s="233">
        <v>40263</v>
      </c>
      <c r="H370" s="228" t="s">
        <v>282</v>
      </c>
      <c r="I370" s="270">
        <v>0</v>
      </c>
      <c r="J370" s="242">
        <v>0</v>
      </c>
      <c r="K370" s="242">
        <v>0</v>
      </c>
      <c r="L370" s="242">
        <v>0</v>
      </c>
      <c r="M370" s="242">
        <v>0</v>
      </c>
      <c r="N370" s="242">
        <v>0</v>
      </c>
      <c r="O370" s="242">
        <v>0</v>
      </c>
      <c r="P370" s="242">
        <v>0</v>
      </c>
      <c r="Q370" s="242">
        <v>-1225</v>
      </c>
      <c r="R370" s="337">
        <v>0</v>
      </c>
      <c r="S370" s="336">
        <v>0</v>
      </c>
      <c r="T370" s="336">
        <v>0</v>
      </c>
      <c r="U370" s="336">
        <v>0</v>
      </c>
    </row>
    <row r="371" spans="2:21" s="22" customFormat="1">
      <c r="B371" s="15">
        <v>9</v>
      </c>
      <c r="C371" s="249" t="s">
        <v>1026</v>
      </c>
      <c r="D371" s="254">
        <v>7</v>
      </c>
      <c r="E371" s="250">
        <v>60556</v>
      </c>
      <c r="F371" s="254" t="s">
        <v>1027</v>
      </c>
      <c r="G371" s="233">
        <v>40302</v>
      </c>
      <c r="H371" s="228" t="s">
        <v>282</v>
      </c>
      <c r="I371" s="270">
        <v>43954</v>
      </c>
      <c r="J371" s="242">
        <v>3653</v>
      </c>
      <c r="K371" s="242">
        <v>1428</v>
      </c>
      <c r="L371" s="242">
        <v>2225</v>
      </c>
      <c r="M371" s="242">
        <v>3028</v>
      </c>
      <c r="N371" s="242">
        <v>42542</v>
      </c>
      <c r="O371" s="242">
        <v>38591</v>
      </c>
      <c r="P371" s="242">
        <v>1860</v>
      </c>
      <c r="Q371" s="242">
        <v>35563</v>
      </c>
      <c r="R371" s="337">
        <v>0</v>
      </c>
      <c r="S371" s="336">
        <v>0</v>
      </c>
      <c r="T371" s="336">
        <v>38591</v>
      </c>
      <c r="U371" s="336">
        <v>0</v>
      </c>
    </row>
    <row r="372" spans="2:21" s="22" customFormat="1" ht="27">
      <c r="B372" s="15">
        <v>10</v>
      </c>
      <c r="C372" s="249" t="s">
        <v>1079</v>
      </c>
      <c r="D372" s="254">
        <v>8</v>
      </c>
      <c r="E372" s="250">
        <v>50160</v>
      </c>
      <c r="F372" s="254" t="s">
        <v>1077</v>
      </c>
      <c r="G372" s="233">
        <v>40478</v>
      </c>
      <c r="H372" s="228" t="s">
        <v>1177</v>
      </c>
      <c r="I372" s="270">
        <v>44130</v>
      </c>
      <c r="J372" s="242">
        <v>3653</v>
      </c>
      <c r="K372" s="242">
        <v>1252</v>
      </c>
      <c r="L372" s="242">
        <v>2401</v>
      </c>
      <c r="M372" s="242">
        <v>2508</v>
      </c>
      <c r="N372" s="242">
        <v>36771</v>
      </c>
      <c r="O372" s="242">
        <v>33689</v>
      </c>
      <c r="P372" s="242">
        <v>2036</v>
      </c>
      <c r="Q372" s="242">
        <v>31181</v>
      </c>
      <c r="R372" s="337">
        <v>0</v>
      </c>
      <c r="S372" s="336">
        <v>0</v>
      </c>
      <c r="T372" s="336">
        <v>33689</v>
      </c>
      <c r="U372" s="336">
        <v>0</v>
      </c>
    </row>
    <row r="373" spans="2:21" s="22" customFormat="1" ht="27">
      <c r="B373" s="15">
        <v>11</v>
      </c>
      <c r="C373" s="249" t="s">
        <v>836</v>
      </c>
      <c r="D373" s="254">
        <v>6</v>
      </c>
      <c r="E373" s="250">
        <v>63215</v>
      </c>
      <c r="F373" s="254" t="s">
        <v>441</v>
      </c>
      <c r="G373" s="233">
        <v>40502</v>
      </c>
      <c r="H373" s="228" t="s">
        <v>80</v>
      </c>
      <c r="I373" s="270">
        <v>44154</v>
      </c>
      <c r="J373" s="242">
        <v>3653</v>
      </c>
      <c r="K373" s="242">
        <v>1228</v>
      </c>
      <c r="L373" s="242">
        <v>2425</v>
      </c>
      <c r="M373" s="242">
        <v>3161</v>
      </c>
      <c r="N373" s="242">
        <v>46601</v>
      </c>
      <c r="O373" s="242">
        <v>42748</v>
      </c>
      <c r="P373" s="242">
        <v>2060</v>
      </c>
      <c r="Q373" s="242">
        <v>39587</v>
      </c>
      <c r="R373" s="337">
        <v>0</v>
      </c>
      <c r="S373" s="336">
        <v>0</v>
      </c>
      <c r="T373" s="336">
        <v>42748</v>
      </c>
      <c r="U373" s="336">
        <v>0</v>
      </c>
    </row>
    <row r="374" spans="2:21" s="22" customFormat="1" ht="27">
      <c r="B374" s="15">
        <v>12</v>
      </c>
      <c r="C374" s="249" t="s">
        <v>849</v>
      </c>
      <c r="D374" s="254">
        <v>2</v>
      </c>
      <c r="E374" s="250">
        <v>2004</v>
      </c>
      <c r="F374" s="254" t="s">
        <v>850</v>
      </c>
      <c r="G374" s="233">
        <v>40569</v>
      </c>
      <c r="H374" s="228" t="s">
        <v>282</v>
      </c>
      <c r="I374" s="270">
        <v>0</v>
      </c>
      <c r="J374" s="242">
        <v>0</v>
      </c>
      <c r="K374" s="242">
        <v>0</v>
      </c>
      <c r="L374" s="242">
        <v>0</v>
      </c>
      <c r="M374" s="242">
        <v>0</v>
      </c>
      <c r="N374" s="242">
        <v>0</v>
      </c>
      <c r="O374" s="242">
        <v>0</v>
      </c>
      <c r="P374" s="242">
        <v>0</v>
      </c>
      <c r="Q374" s="242">
        <v>-100</v>
      </c>
      <c r="R374" s="337">
        <v>0</v>
      </c>
      <c r="S374" s="336">
        <v>0</v>
      </c>
      <c r="T374" s="336">
        <v>0</v>
      </c>
      <c r="U374" s="336">
        <v>0</v>
      </c>
    </row>
    <row r="375" spans="2:21" s="22" customFormat="1" ht="27">
      <c r="B375" s="15">
        <v>13</v>
      </c>
      <c r="C375" s="249" t="s">
        <v>1273</v>
      </c>
      <c r="D375" s="254">
        <v>27</v>
      </c>
      <c r="E375" s="250">
        <f>120042+92340</f>
        <v>212382</v>
      </c>
      <c r="F375" s="254" t="s">
        <v>1270</v>
      </c>
      <c r="G375" s="233">
        <v>40773</v>
      </c>
      <c r="H375" s="228" t="s">
        <v>368</v>
      </c>
      <c r="I375" s="270">
        <v>44425</v>
      </c>
      <c r="J375" s="242">
        <v>3653</v>
      </c>
      <c r="K375" s="242">
        <v>957</v>
      </c>
      <c r="L375" s="242">
        <v>2696</v>
      </c>
      <c r="M375" s="242">
        <v>10619</v>
      </c>
      <c r="N375" s="242">
        <v>166537</v>
      </c>
      <c r="O375" s="242">
        <v>154609</v>
      </c>
      <c r="P375" s="242">
        <v>2331</v>
      </c>
      <c r="Q375" s="242">
        <v>143990</v>
      </c>
      <c r="R375" s="337">
        <v>139</v>
      </c>
      <c r="S375" s="336">
        <v>19205</v>
      </c>
      <c r="T375" s="336">
        <v>154609</v>
      </c>
      <c r="U375" s="336">
        <v>0</v>
      </c>
    </row>
    <row r="376" spans="2:21" s="22" customFormat="1" ht="27">
      <c r="B376" s="15">
        <v>14</v>
      </c>
      <c r="C376" s="249" t="s">
        <v>1273</v>
      </c>
      <c r="D376" s="254">
        <v>4</v>
      </c>
      <c r="E376" s="250">
        <v>31464</v>
      </c>
      <c r="F376" s="254" t="s">
        <v>1344</v>
      </c>
      <c r="G376" s="233">
        <v>40780</v>
      </c>
      <c r="H376" s="228" t="s">
        <v>282</v>
      </c>
      <c r="I376" s="270">
        <v>44432</v>
      </c>
      <c r="J376" s="242">
        <v>3653</v>
      </c>
      <c r="K376" s="242">
        <v>950</v>
      </c>
      <c r="L376" s="242">
        <v>2703</v>
      </c>
      <c r="M376" s="242">
        <v>1573</v>
      </c>
      <c r="N376" s="242">
        <v>24710</v>
      </c>
      <c r="O376" s="242">
        <v>22946</v>
      </c>
      <c r="P376" s="242">
        <v>2338</v>
      </c>
      <c r="Q376" s="242">
        <v>21373</v>
      </c>
      <c r="R376" s="337">
        <v>146</v>
      </c>
      <c r="S376" s="336">
        <v>2906</v>
      </c>
      <c r="T376" s="336">
        <v>22946</v>
      </c>
      <c r="U376" s="336">
        <v>0</v>
      </c>
    </row>
    <row r="377" spans="2:21" s="22" customFormat="1" ht="27">
      <c r="B377" s="15">
        <v>15</v>
      </c>
      <c r="C377" s="249" t="s">
        <v>1357</v>
      </c>
      <c r="D377" s="254">
        <v>1</v>
      </c>
      <c r="E377" s="250">
        <v>13680</v>
      </c>
      <c r="F377" s="254" t="s">
        <v>1358</v>
      </c>
      <c r="G377" s="233">
        <v>40810</v>
      </c>
      <c r="H377" s="228" t="s">
        <v>368</v>
      </c>
      <c r="I377" s="270">
        <v>44462</v>
      </c>
      <c r="J377" s="242">
        <v>3653</v>
      </c>
      <c r="K377" s="242">
        <v>920</v>
      </c>
      <c r="L377" s="242">
        <v>2733</v>
      </c>
      <c r="M377" s="242">
        <v>684</v>
      </c>
      <c r="N377" s="242">
        <v>10814</v>
      </c>
      <c r="O377" s="242">
        <v>10054</v>
      </c>
      <c r="P377" s="242">
        <v>2368</v>
      </c>
      <c r="Q377" s="242">
        <v>9370</v>
      </c>
      <c r="R377" s="337">
        <v>176</v>
      </c>
      <c r="S377" s="336">
        <v>1382</v>
      </c>
      <c r="T377" s="336">
        <v>10054</v>
      </c>
      <c r="U377" s="336">
        <v>0</v>
      </c>
    </row>
    <row r="378" spans="2:21" s="22" customFormat="1" ht="27">
      <c r="B378" s="15">
        <v>16</v>
      </c>
      <c r="C378" s="249" t="s">
        <v>1406</v>
      </c>
      <c r="D378" s="254">
        <v>36</v>
      </c>
      <c r="E378" s="250">
        <v>123119</v>
      </c>
      <c r="F378" s="254" t="s">
        <v>1405</v>
      </c>
      <c r="G378" s="233">
        <v>40792</v>
      </c>
      <c r="H378" s="228" t="s">
        <v>368</v>
      </c>
      <c r="I378" s="242">
        <v>0</v>
      </c>
      <c r="J378" s="242">
        <v>0</v>
      </c>
      <c r="K378" s="242">
        <v>0</v>
      </c>
      <c r="L378" s="242">
        <v>0</v>
      </c>
      <c r="M378" s="242">
        <v>0</v>
      </c>
      <c r="N378" s="242">
        <v>0</v>
      </c>
      <c r="O378" s="242">
        <v>0</v>
      </c>
      <c r="P378" s="242">
        <v>0</v>
      </c>
      <c r="Q378" s="242">
        <v>-6156</v>
      </c>
      <c r="R378" s="337">
        <v>0</v>
      </c>
      <c r="S378" s="336">
        <v>0</v>
      </c>
      <c r="T378" s="336">
        <v>0</v>
      </c>
      <c r="U378" s="336">
        <v>0</v>
      </c>
    </row>
    <row r="379" spans="2:21" s="22" customFormat="1" ht="27">
      <c r="B379" s="15">
        <v>16</v>
      </c>
      <c r="C379" s="249" t="s">
        <v>1458</v>
      </c>
      <c r="D379" s="254">
        <v>8</v>
      </c>
      <c r="E379" s="250">
        <v>42864</v>
      </c>
      <c r="F379" s="254" t="s">
        <v>1459</v>
      </c>
      <c r="G379" s="233">
        <v>40864</v>
      </c>
      <c r="H379" s="228" t="s">
        <v>368</v>
      </c>
      <c r="I379" s="270">
        <v>44516</v>
      </c>
      <c r="J379" s="242">
        <v>3653</v>
      </c>
      <c r="K379" s="242">
        <v>866</v>
      </c>
      <c r="L379" s="242">
        <v>2787</v>
      </c>
      <c r="M379" s="242">
        <v>2143</v>
      </c>
      <c r="N379" s="242">
        <v>34286</v>
      </c>
      <c r="O379" s="242">
        <v>31939</v>
      </c>
      <c r="P379" s="242">
        <v>2422</v>
      </c>
      <c r="Q379" s="242">
        <v>29796</v>
      </c>
      <c r="R379" s="337">
        <v>230</v>
      </c>
      <c r="S379" s="336">
        <v>4973</v>
      </c>
      <c r="T379" s="336">
        <v>31939</v>
      </c>
      <c r="U379" s="336">
        <v>0</v>
      </c>
    </row>
    <row r="380" spans="2:21" s="22" customFormat="1" ht="40.5">
      <c r="B380" s="15">
        <f t="shared" ref="B380:B393" si="9">+B379+1</f>
        <v>17</v>
      </c>
      <c r="C380" s="249" t="s">
        <v>1643</v>
      </c>
      <c r="D380" s="254">
        <v>16</v>
      </c>
      <c r="E380" s="250">
        <v>220003</v>
      </c>
      <c r="F380" s="254" t="s">
        <v>1644</v>
      </c>
      <c r="G380" s="233">
        <v>40902</v>
      </c>
      <c r="H380" s="228" t="s">
        <v>119</v>
      </c>
      <c r="I380" s="270">
        <v>44554</v>
      </c>
      <c r="J380" s="242">
        <v>3653</v>
      </c>
      <c r="K380" s="242">
        <v>828</v>
      </c>
      <c r="L380" s="242">
        <v>2825</v>
      </c>
      <c r="M380" s="242">
        <v>11000</v>
      </c>
      <c r="N380" s="242">
        <v>177422</v>
      </c>
      <c r="O380" s="242">
        <v>165498</v>
      </c>
      <c r="P380" s="242">
        <v>2460</v>
      </c>
      <c r="Q380" s="242">
        <v>154498</v>
      </c>
      <c r="R380" s="337">
        <v>268</v>
      </c>
      <c r="S380" s="336">
        <v>27834</v>
      </c>
      <c r="T380" s="336">
        <v>165498</v>
      </c>
      <c r="U380" s="336">
        <v>0</v>
      </c>
    </row>
    <row r="381" spans="2:21" s="22" customFormat="1" ht="27">
      <c r="B381" s="15">
        <f t="shared" si="9"/>
        <v>18</v>
      </c>
      <c r="C381" s="249" t="s">
        <v>1680</v>
      </c>
      <c r="D381" s="254">
        <v>4</v>
      </c>
      <c r="E381" s="250">
        <v>30796</v>
      </c>
      <c r="F381" s="254" t="s">
        <v>1679</v>
      </c>
      <c r="G381" s="233">
        <v>40909</v>
      </c>
      <c r="H381" s="228" t="s">
        <v>161</v>
      </c>
      <c r="I381" s="270">
        <v>44561</v>
      </c>
      <c r="J381" s="242">
        <v>3653</v>
      </c>
      <c r="K381" s="242">
        <v>821</v>
      </c>
      <c r="L381" s="242">
        <v>2832</v>
      </c>
      <c r="M381" s="242">
        <v>1540</v>
      </c>
      <c r="N381" s="242">
        <v>24873</v>
      </c>
      <c r="O381" s="242">
        <v>23207</v>
      </c>
      <c r="P381" s="242">
        <v>2467</v>
      </c>
      <c r="Q381" s="242">
        <v>21667</v>
      </c>
      <c r="R381" s="337">
        <v>275</v>
      </c>
      <c r="S381" s="336">
        <v>3955</v>
      </c>
      <c r="T381" s="336">
        <v>23207</v>
      </c>
      <c r="U381" s="336">
        <v>0</v>
      </c>
    </row>
    <row r="382" spans="2:21" s="22" customFormat="1" ht="27">
      <c r="B382" s="15">
        <f t="shared" si="9"/>
        <v>19</v>
      </c>
      <c r="C382" s="249" t="s">
        <v>1685</v>
      </c>
      <c r="D382" s="254">
        <v>2</v>
      </c>
      <c r="E382" s="250">
        <v>15398</v>
      </c>
      <c r="F382" s="254" t="s">
        <v>1682</v>
      </c>
      <c r="G382" s="233">
        <v>40909</v>
      </c>
      <c r="H382" s="228" t="s">
        <v>161</v>
      </c>
      <c r="I382" s="270">
        <v>44561</v>
      </c>
      <c r="J382" s="242">
        <v>3653</v>
      </c>
      <c r="K382" s="242">
        <v>821</v>
      </c>
      <c r="L382" s="242">
        <v>2832</v>
      </c>
      <c r="M382" s="242">
        <v>770</v>
      </c>
      <c r="N382" s="242">
        <v>12436</v>
      </c>
      <c r="O382" s="242">
        <v>11603</v>
      </c>
      <c r="P382" s="242">
        <v>2467</v>
      </c>
      <c r="Q382" s="242">
        <v>10833</v>
      </c>
      <c r="R382" s="337">
        <v>275</v>
      </c>
      <c r="S382" s="336">
        <v>1977</v>
      </c>
      <c r="T382" s="336">
        <v>11603</v>
      </c>
      <c r="U382" s="336">
        <v>0</v>
      </c>
    </row>
    <row r="383" spans="2:21" s="22" customFormat="1" ht="27">
      <c r="B383" s="15">
        <f t="shared" si="9"/>
        <v>20</v>
      </c>
      <c r="C383" s="249" t="s">
        <v>1823</v>
      </c>
      <c r="D383" s="254">
        <v>1</v>
      </c>
      <c r="E383" s="250">
        <v>19092</v>
      </c>
      <c r="F383" s="254" t="s">
        <v>1822</v>
      </c>
      <c r="G383" s="233"/>
      <c r="H383" s="228" t="s">
        <v>895</v>
      </c>
      <c r="I383" s="270">
        <v>44675</v>
      </c>
      <c r="J383" s="242">
        <v>3652</v>
      </c>
      <c r="K383" s="242">
        <v>706</v>
      </c>
      <c r="L383" s="242">
        <v>2946</v>
      </c>
      <c r="M383" s="242">
        <v>955</v>
      </c>
      <c r="N383" s="242">
        <v>15799</v>
      </c>
      <c r="O383" s="242">
        <v>14797</v>
      </c>
      <c r="P383" s="242">
        <v>2581</v>
      </c>
      <c r="Q383" s="242">
        <v>13842</v>
      </c>
      <c r="R383" s="337">
        <v>183</v>
      </c>
      <c r="S383" s="336">
        <v>981</v>
      </c>
      <c r="T383" s="336">
        <v>12739</v>
      </c>
      <c r="U383" s="336">
        <v>2058</v>
      </c>
    </row>
    <row r="384" spans="2:21" s="22" customFormat="1">
      <c r="B384" s="15">
        <f t="shared" si="9"/>
        <v>21</v>
      </c>
      <c r="C384" s="249" t="s">
        <v>1823</v>
      </c>
      <c r="D384" s="254">
        <v>-1</v>
      </c>
      <c r="E384" s="250">
        <v>-19092</v>
      </c>
      <c r="F384" s="254"/>
      <c r="G384" s="233"/>
      <c r="H384" s="228" t="s">
        <v>895</v>
      </c>
      <c r="I384" s="270">
        <v>44675</v>
      </c>
      <c r="J384" s="242">
        <v>3652</v>
      </c>
      <c r="K384" s="242">
        <v>706</v>
      </c>
      <c r="L384" s="242">
        <v>2946</v>
      </c>
      <c r="M384" s="242">
        <v>0</v>
      </c>
      <c r="N384" s="242"/>
      <c r="O384" s="242">
        <v>-14797</v>
      </c>
      <c r="P384" s="242"/>
      <c r="Q384" s="242"/>
      <c r="R384" s="337">
        <v>0</v>
      </c>
      <c r="S384" s="336">
        <v>0</v>
      </c>
      <c r="T384" s="336">
        <v>-12739</v>
      </c>
      <c r="U384" s="336">
        <v>-2058</v>
      </c>
    </row>
    <row r="385" spans="2:21" s="22" customFormat="1" ht="27">
      <c r="B385" s="15">
        <f t="shared" si="9"/>
        <v>22</v>
      </c>
      <c r="C385" s="249" t="s">
        <v>2207</v>
      </c>
      <c r="D385" s="254">
        <v>32</v>
      </c>
      <c r="E385" s="250">
        <v>85728</v>
      </c>
      <c r="F385" s="254" t="s">
        <v>2100</v>
      </c>
      <c r="G385" s="233">
        <v>41404</v>
      </c>
      <c r="H385" s="228" t="s">
        <v>368</v>
      </c>
      <c r="I385" s="242">
        <v>0</v>
      </c>
      <c r="J385" s="242">
        <v>0</v>
      </c>
      <c r="K385" s="242">
        <v>0</v>
      </c>
      <c r="L385" s="242">
        <v>0</v>
      </c>
      <c r="M385" s="242">
        <v>0</v>
      </c>
      <c r="N385" s="242">
        <v>0</v>
      </c>
      <c r="O385" s="242">
        <v>0</v>
      </c>
      <c r="P385" s="242">
        <v>0</v>
      </c>
      <c r="Q385" s="242">
        <v>-4286</v>
      </c>
      <c r="R385" s="337">
        <v>0</v>
      </c>
      <c r="S385" s="336">
        <v>0</v>
      </c>
      <c r="T385" s="336">
        <v>0</v>
      </c>
      <c r="U385" s="336">
        <v>0</v>
      </c>
    </row>
    <row r="386" spans="2:21" s="22" customFormat="1" ht="27">
      <c r="B386" s="15">
        <f t="shared" si="9"/>
        <v>23</v>
      </c>
      <c r="C386" s="249" t="s">
        <v>2101</v>
      </c>
      <c r="D386" s="254">
        <v>32</v>
      </c>
      <c r="E386" s="250">
        <v>196992</v>
      </c>
      <c r="F386" s="254" t="s">
        <v>2102</v>
      </c>
      <c r="G386" s="233">
        <v>41414</v>
      </c>
      <c r="H386" s="228" t="s">
        <v>368</v>
      </c>
      <c r="I386" s="270">
        <v>45065</v>
      </c>
      <c r="J386" s="242">
        <v>3652</v>
      </c>
      <c r="K386" s="242">
        <v>316</v>
      </c>
      <c r="L386" s="242">
        <v>3336</v>
      </c>
      <c r="M386" s="242">
        <v>9850</v>
      </c>
      <c r="N386" s="242">
        <v>176346</v>
      </c>
      <c r="O386" s="242">
        <v>166902</v>
      </c>
      <c r="P386" s="242">
        <v>2971</v>
      </c>
      <c r="Q386" s="242">
        <v>157052</v>
      </c>
      <c r="R386" s="337">
        <v>365</v>
      </c>
      <c r="S386" s="336">
        <v>19295</v>
      </c>
      <c r="T386" s="336">
        <v>135169</v>
      </c>
      <c r="U386" s="336">
        <v>31733</v>
      </c>
    </row>
    <row r="387" spans="2:21" s="22" customFormat="1" ht="27">
      <c r="B387" s="15">
        <f t="shared" si="9"/>
        <v>24</v>
      </c>
      <c r="C387" s="249" t="s">
        <v>2105</v>
      </c>
      <c r="D387" s="254">
        <v>32</v>
      </c>
      <c r="E387" s="250">
        <v>65664</v>
      </c>
      <c r="F387" s="254" t="s">
        <v>2106</v>
      </c>
      <c r="G387" s="233">
        <v>41433</v>
      </c>
      <c r="H387" s="228" t="s">
        <v>368</v>
      </c>
      <c r="I387" s="242">
        <v>0</v>
      </c>
      <c r="J387" s="242">
        <v>0</v>
      </c>
      <c r="K387" s="242">
        <v>0</v>
      </c>
      <c r="L387" s="242">
        <v>0</v>
      </c>
      <c r="M387" s="242">
        <v>0</v>
      </c>
      <c r="N387" s="242">
        <v>0</v>
      </c>
      <c r="O387" s="242">
        <v>0</v>
      </c>
      <c r="P387" s="242">
        <v>0</v>
      </c>
      <c r="Q387" s="242">
        <v>-3283</v>
      </c>
      <c r="R387" s="337">
        <v>0</v>
      </c>
      <c r="S387" s="336">
        <v>0</v>
      </c>
      <c r="T387" s="336">
        <v>0</v>
      </c>
      <c r="U387" s="336">
        <v>0</v>
      </c>
    </row>
    <row r="388" spans="2:21" s="22" customFormat="1" ht="27">
      <c r="B388" s="15">
        <f t="shared" si="9"/>
        <v>25</v>
      </c>
      <c r="C388" s="249" t="s">
        <v>2208</v>
      </c>
      <c r="D388" s="254">
        <v>48</v>
      </c>
      <c r="E388" s="250">
        <f>295488</f>
        <v>295488</v>
      </c>
      <c r="F388" s="254" t="s">
        <v>2111</v>
      </c>
      <c r="G388" s="233">
        <v>41370</v>
      </c>
      <c r="H388" s="228" t="s">
        <v>368</v>
      </c>
      <c r="I388" s="270">
        <v>45021</v>
      </c>
      <c r="J388" s="242">
        <v>3652</v>
      </c>
      <c r="K388" s="242">
        <v>360</v>
      </c>
      <c r="L388" s="242">
        <v>3292</v>
      </c>
      <c r="M388" s="242">
        <v>14774</v>
      </c>
      <c r="N388" s="242">
        <v>262266</v>
      </c>
      <c r="O388" s="242">
        <v>247961</v>
      </c>
      <c r="P388" s="242">
        <v>2927</v>
      </c>
      <c r="Q388" s="242">
        <v>233187</v>
      </c>
      <c r="R388" s="337">
        <v>365</v>
      </c>
      <c r="S388" s="336">
        <v>29079</v>
      </c>
      <c r="T388" s="336">
        <v>203711</v>
      </c>
      <c r="U388" s="336">
        <v>44250</v>
      </c>
    </row>
    <row r="389" spans="2:21" s="22" customFormat="1" ht="27">
      <c r="B389" s="15">
        <f t="shared" si="9"/>
        <v>26</v>
      </c>
      <c r="C389" s="249" t="s">
        <v>2209</v>
      </c>
      <c r="D389" s="254">
        <v>48</v>
      </c>
      <c r="E389" s="250">
        <v>128592</v>
      </c>
      <c r="F389" s="254" t="s">
        <v>2111</v>
      </c>
      <c r="G389" s="233">
        <v>41370</v>
      </c>
      <c r="H389" s="228" t="s">
        <v>368</v>
      </c>
      <c r="I389" s="242">
        <v>0</v>
      </c>
      <c r="J389" s="242">
        <v>0</v>
      </c>
      <c r="K389" s="242">
        <v>0</v>
      </c>
      <c r="L389" s="242">
        <v>0</v>
      </c>
      <c r="M389" s="242">
        <v>0</v>
      </c>
      <c r="N389" s="242">
        <v>0</v>
      </c>
      <c r="O389" s="242">
        <v>0</v>
      </c>
      <c r="P389" s="242">
        <v>0</v>
      </c>
      <c r="Q389" s="242">
        <v>-6430</v>
      </c>
      <c r="R389" s="337">
        <v>0</v>
      </c>
      <c r="S389" s="336">
        <v>0</v>
      </c>
      <c r="T389" s="336">
        <v>0</v>
      </c>
      <c r="U389" s="336">
        <v>0</v>
      </c>
    </row>
    <row r="390" spans="2:21" s="22" customFormat="1" ht="27">
      <c r="B390" s="15">
        <f t="shared" si="9"/>
        <v>27</v>
      </c>
      <c r="C390" s="249" t="s">
        <v>1458</v>
      </c>
      <c r="D390" s="254">
        <v>6</v>
      </c>
      <c r="E390" s="250">
        <v>47196</v>
      </c>
      <c r="F390" s="254" t="s">
        <v>2228</v>
      </c>
      <c r="G390" s="233">
        <v>41444</v>
      </c>
      <c r="H390" s="228" t="s">
        <v>368</v>
      </c>
      <c r="I390" s="270">
        <v>45095</v>
      </c>
      <c r="J390" s="242">
        <v>3652</v>
      </c>
      <c r="K390" s="242">
        <v>286</v>
      </c>
      <c r="L390" s="242">
        <v>3366</v>
      </c>
      <c r="M390" s="242">
        <v>2360</v>
      </c>
      <c r="N390" s="242">
        <v>42495</v>
      </c>
      <c r="O390" s="242">
        <v>40247</v>
      </c>
      <c r="P390" s="242">
        <v>3001</v>
      </c>
      <c r="Q390" s="242">
        <v>37887</v>
      </c>
      <c r="R390" s="337">
        <v>365</v>
      </c>
      <c r="S390" s="336">
        <v>4608</v>
      </c>
      <c r="T390" s="336">
        <v>32282</v>
      </c>
      <c r="U390" s="336">
        <v>7965</v>
      </c>
    </row>
    <row r="391" spans="2:21" s="22" customFormat="1" ht="27">
      <c r="B391" s="15">
        <f t="shared" si="9"/>
        <v>28</v>
      </c>
      <c r="C391" s="249" t="s">
        <v>2294</v>
      </c>
      <c r="D391" s="254">
        <v>25</v>
      </c>
      <c r="E391" s="250">
        <v>66405</v>
      </c>
      <c r="F391" s="254" t="s">
        <v>2293</v>
      </c>
      <c r="G391" s="233">
        <v>41641</v>
      </c>
      <c r="H391" s="228" t="s">
        <v>368</v>
      </c>
      <c r="I391" s="242">
        <v>0</v>
      </c>
      <c r="J391" s="242">
        <v>0</v>
      </c>
      <c r="K391" s="242">
        <v>0</v>
      </c>
      <c r="L391" s="242">
        <v>0</v>
      </c>
      <c r="M391" s="242">
        <v>0</v>
      </c>
      <c r="N391" s="242">
        <v>0</v>
      </c>
      <c r="O391" s="242">
        <v>0</v>
      </c>
      <c r="P391" s="242">
        <v>0</v>
      </c>
      <c r="Q391" s="242">
        <v>-3320</v>
      </c>
      <c r="R391" s="337">
        <v>0</v>
      </c>
      <c r="S391" s="336">
        <v>0</v>
      </c>
      <c r="T391" s="336">
        <v>0</v>
      </c>
      <c r="U391" s="336">
        <v>0</v>
      </c>
    </row>
    <row r="392" spans="2:21" s="22" customFormat="1" ht="27">
      <c r="B392" s="15">
        <f t="shared" si="9"/>
        <v>29</v>
      </c>
      <c r="C392" s="249" t="s">
        <v>2624</v>
      </c>
      <c r="D392" s="254">
        <v>4</v>
      </c>
      <c r="E392" s="250">
        <v>67200</v>
      </c>
      <c r="F392" s="254" t="s">
        <v>2625</v>
      </c>
      <c r="G392" s="233">
        <v>42018</v>
      </c>
      <c r="H392" s="228" t="s">
        <v>368</v>
      </c>
      <c r="I392" s="270">
        <v>45670</v>
      </c>
      <c r="J392" s="242">
        <v>3653</v>
      </c>
      <c r="K392" s="242">
        <v>0</v>
      </c>
      <c r="L392" s="242">
        <v>3653</v>
      </c>
      <c r="M392" s="242">
        <v>3360</v>
      </c>
      <c r="N392" s="242">
        <v>63840</v>
      </c>
      <c r="O392" s="242">
        <v>65854</v>
      </c>
      <c r="P392" s="242">
        <v>3576</v>
      </c>
      <c r="Q392" s="242">
        <v>62494</v>
      </c>
      <c r="R392" s="337">
        <v>365</v>
      </c>
      <c r="S392" s="336">
        <v>6379</v>
      </c>
      <c r="T392" s="336">
        <v>44687</v>
      </c>
      <c r="U392" s="336">
        <v>21167</v>
      </c>
    </row>
    <row r="393" spans="2:21" s="22" customFormat="1" ht="27">
      <c r="B393" s="15">
        <f t="shared" si="9"/>
        <v>30</v>
      </c>
      <c r="C393" s="249" t="s">
        <v>2626</v>
      </c>
      <c r="D393" s="254">
        <v>1</v>
      </c>
      <c r="E393" s="250">
        <v>8295</v>
      </c>
      <c r="F393" s="254" t="s">
        <v>2625</v>
      </c>
      <c r="G393" s="233">
        <v>42018</v>
      </c>
      <c r="H393" s="228" t="s">
        <v>368</v>
      </c>
      <c r="I393" s="270">
        <v>45670</v>
      </c>
      <c r="J393" s="242">
        <v>3653</v>
      </c>
      <c r="K393" s="242">
        <v>0</v>
      </c>
      <c r="L393" s="242">
        <v>3653</v>
      </c>
      <c r="M393" s="242">
        <v>415</v>
      </c>
      <c r="N393" s="242">
        <v>7880</v>
      </c>
      <c r="O393" s="242">
        <v>8129</v>
      </c>
      <c r="P393" s="242">
        <v>3576</v>
      </c>
      <c r="Q393" s="242">
        <v>7714</v>
      </c>
      <c r="R393" s="337">
        <v>365</v>
      </c>
      <c r="S393" s="336">
        <v>787</v>
      </c>
      <c r="T393" s="336">
        <v>5515</v>
      </c>
      <c r="U393" s="336">
        <v>2614</v>
      </c>
    </row>
    <row r="394" spans="2:21" s="22" customFormat="1">
      <c r="B394" s="15">
        <v>31</v>
      </c>
      <c r="C394" s="245" t="s">
        <v>4388</v>
      </c>
      <c r="D394" s="237">
        <v>3</v>
      </c>
      <c r="E394" s="231">
        <v>9900</v>
      </c>
      <c r="F394" s="237">
        <v>49</v>
      </c>
      <c r="G394" s="238">
        <v>43850</v>
      </c>
      <c r="H394" s="396" t="s">
        <v>895</v>
      </c>
      <c r="I394" s="270">
        <v>47502</v>
      </c>
      <c r="J394" s="242">
        <v>3653</v>
      </c>
      <c r="K394" s="242">
        <v>0</v>
      </c>
      <c r="L394" s="242">
        <v>3653</v>
      </c>
      <c r="M394" s="242">
        <v>495</v>
      </c>
      <c r="N394" s="242">
        <v>9405</v>
      </c>
      <c r="O394" s="242">
        <v>9900</v>
      </c>
      <c r="P394" s="242">
        <v>3653</v>
      </c>
      <c r="Q394" s="242">
        <v>9405</v>
      </c>
      <c r="R394" s="251">
        <v>365</v>
      </c>
      <c r="S394" s="250">
        <v>940</v>
      </c>
      <c r="T394" s="250">
        <v>2065</v>
      </c>
      <c r="U394" s="250">
        <v>7835</v>
      </c>
    </row>
    <row r="395" spans="2:21" s="22" customFormat="1">
      <c r="B395" s="15">
        <v>32</v>
      </c>
      <c r="C395" s="245" t="s">
        <v>4398</v>
      </c>
      <c r="D395" s="237">
        <v>3</v>
      </c>
      <c r="E395" s="231">
        <v>13636</v>
      </c>
      <c r="F395" s="237">
        <v>61</v>
      </c>
      <c r="G395" s="238">
        <v>43906</v>
      </c>
      <c r="H395" s="395" t="s">
        <v>288</v>
      </c>
      <c r="I395" s="270">
        <v>47557</v>
      </c>
      <c r="J395" s="242">
        <v>3652</v>
      </c>
      <c r="K395" s="242">
        <v>0</v>
      </c>
      <c r="L395" s="242">
        <v>3652</v>
      </c>
      <c r="M395" s="242">
        <v>682</v>
      </c>
      <c r="N395" s="242">
        <v>12954</v>
      </c>
      <c r="O395" s="242">
        <v>13636</v>
      </c>
      <c r="P395" s="242">
        <v>3652</v>
      </c>
      <c r="Q395" s="242">
        <v>12954</v>
      </c>
      <c r="R395" s="251">
        <v>365</v>
      </c>
      <c r="S395" s="250">
        <v>1295</v>
      </c>
      <c r="T395" s="250">
        <v>2647</v>
      </c>
      <c r="U395" s="250">
        <v>10989</v>
      </c>
    </row>
    <row r="396" spans="2:21" s="22" customFormat="1">
      <c r="B396" s="15">
        <v>33</v>
      </c>
      <c r="C396" s="245" t="s">
        <v>4398</v>
      </c>
      <c r="D396" s="237">
        <v>2</v>
      </c>
      <c r="E396" s="231">
        <v>13636</v>
      </c>
      <c r="F396" s="237">
        <v>62</v>
      </c>
      <c r="G396" s="238">
        <v>43906</v>
      </c>
      <c r="H396" s="395" t="s">
        <v>288</v>
      </c>
      <c r="I396" s="270">
        <v>47557</v>
      </c>
      <c r="J396" s="242">
        <v>3652</v>
      </c>
      <c r="K396" s="242">
        <v>0</v>
      </c>
      <c r="L396" s="242">
        <v>3652</v>
      </c>
      <c r="M396" s="242">
        <v>682</v>
      </c>
      <c r="N396" s="242">
        <v>12954</v>
      </c>
      <c r="O396" s="242">
        <v>13636</v>
      </c>
      <c r="P396" s="242">
        <v>3652</v>
      </c>
      <c r="Q396" s="242">
        <v>12954</v>
      </c>
      <c r="R396" s="251">
        <v>365</v>
      </c>
      <c r="S396" s="250">
        <v>1295</v>
      </c>
      <c r="T396" s="250">
        <v>2647</v>
      </c>
      <c r="U396" s="250">
        <v>10989</v>
      </c>
    </row>
    <row r="397" spans="2:21" s="22" customFormat="1" ht="27">
      <c r="B397" s="15">
        <v>34</v>
      </c>
      <c r="C397" s="245" t="s">
        <v>4401</v>
      </c>
      <c r="D397" s="237">
        <v>4</v>
      </c>
      <c r="E397" s="231">
        <v>37700</v>
      </c>
      <c r="F397" s="237" t="s">
        <v>4402</v>
      </c>
      <c r="G397" s="238">
        <v>43906</v>
      </c>
      <c r="H397" s="395" t="s">
        <v>288</v>
      </c>
      <c r="I397" s="270">
        <v>47557</v>
      </c>
      <c r="J397" s="242">
        <v>3652</v>
      </c>
      <c r="K397" s="242">
        <v>0</v>
      </c>
      <c r="L397" s="242">
        <v>3652</v>
      </c>
      <c r="M397" s="242">
        <v>1885</v>
      </c>
      <c r="N397" s="242">
        <v>35815</v>
      </c>
      <c r="O397" s="242">
        <v>37700</v>
      </c>
      <c r="P397" s="242">
        <v>3652</v>
      </c>
      <c r="Q397" s="242">
        <v>35815</v>
      </c>
      <c r="R397" s="251">
        <v>365</v>
      </c>
      <c r="S397" s="250">
        <v>3580</v>
      </c>
      <c r="T397" s="250">
        <v>7317</v>
      </c>
      <c r="U397" s="250">
        <v>30383</v>
      </c>
    </row>
    <row r="398" spans="2:21" s="22" customFormat="1">
      <c r="B398" s="15">
        <v>35</v>
      </c>
      <c r="C398" s="245" t="s">
        <v>4584</v>
      </c>
      <c r="D398" s="237">
        <v>39</v>
      </c>
      <c r="E398" s="231">
        <v>19513</v>
      </c>
      <c r="F398" s="237">
        <v>154</v>
      </c>
      <c r="G398" s="238">
        <v>44218</v>
      </c>
      <c r="H398" s="395" t="s">
        <v>368</v>
      </c>
      <c r="I398" s="270">
        <v>44286</v>
      </c>
      <c r="J398" s="242">
        <v>69</v>
      </c>
      <c r="K398" s="242">
        <v>0</v>
      </c>
      <c r="L398" s="242">
        <v>69</v>
      </c>
      <c r="M398" s="242">
        <v>976</v>
      </c>
      <c r="N398" s="242">
        <v>18537</v>
      </c>
      <c r="O398" s="242">
        <v>19513</v>
      </c>
      <c r="P398" s="242">
        <v>69</v>
      </c>
      <c r="Q398" s="242">
        <v>18537</v>
      </c>
      <c r="R398" s="251">
        <v>0</v>
      </c>
      <c r="S398" s="250">
        <v>0</v>
      </c>
      <c r="T398" s="250">
        <v>19513</v>
      </c>
      <c r="U398" s="250">
        <v>0</v>
      </c>
    </row>
    <row r="399" spans="2:21" s="22" customFormat="1">
      <c r="B399" s="15">
        <v>36</v>
      </c>
      <c r="C399" s="245" t="s">
        <v>4585</v>
      </c>
      <c r="D399" s="237">
        <v>60</v>
      </c>
      <c r="E399" s="231">
        <v>35966</v>
      </c>
      <c r="F399" s="237">
        <v>154</v>
      </c>
      <c r="G399" s="238">
        <v>44218</v>
      </c>
      <c r="H399" s="395" t="s">
        <v>368</v>
      </c>
      <c r="I399" s="270">
        <v>44286</v>
      </c>
      <c r="J399" s="242">
        <v>69</v>
      </c>
      <c r="K399" s="242">
        <v>0</v>
      </c>
      <c r="L399" s="242">
        <v>69</v>
      </c>
      <c r="M399" s="242">
        <v>1798</v>
      </c>
      <c r="N399" s="242">
        <v>34168</v>
      </c>
      <c r="O399" s="242">
        <v>35966</v>
      </c>
      <c r="P399" s="242">
        <v>69</v>
      </c>
      <c r="Q399" s="242">
        <v>34168</v>
      </c>
      <c r="R399" s="251">
        <v>0</v>
      </c>
      <c r="S399" s="250">
        <v>0</v>
      </c>
      <c r="T399" s="250">
        <v>35966</v>
      </c>
      <c r="U399" s="250">
        <v>0</v>
      </c>
    </row>
    <row r="400" spans="2:21" s="22" customFormat="1">
      <c r="B400" s="15"/>
      <c r="C400" s="245"/>
      <c r="D400" s="237"/>
      <c r="E400" s="231"/>
      <c r="F400" s="237"/>
      <c r="G400" s="238"/>
      <c r="H400" s="395"/>
      <c r="I400" s="270"/>
      <c r="J400" s="242"/>
      <c r="K400" s="242"/>
      <c r="L400" s="242"/>
      <c r="M400" s="242"/>
      <c r="N400" s="242"/>
      <c r="O400" s="242"/>
      <c r="P400" s="242"/>
      <c r="Q400" s="242"/>
      <c r="R400" s="251"/>
      <c r="S400" s="250"/>
      <c r="T400" s="250"/>
      <c r="U400" s="250"/>
    </row>
    <row r="401" spans="2:21" s="22" customFormat="1" ht="14.25">
      <c r="B401" s="32" t="s">
        <v>525</v>
      </c>
      <c r="C401" s="228"/>
      <c r="D401" s="230"/>
      <c r="E401" s="242"/>
      <c r="F401" s="230"/>
      <c r="G401" s="230"/>
      <c r="H401" s="228"/>
      <c r="I401" s="228"/>
      <c r="J401" s="228"/>
      <c r="K401" s="228"/>
      <c r="L401" s="228"/>
      <c r="M401" s="242"/>
      <c r="N401" s="228"/>
      <c r="O401" s="242">
        <v>0</v>
      </c>
      <c r="P401" s="242"/>
      <c r="Q401" s="272"/>
      <c r="R401" s="318"/>
      <c r="S401" s="242"/>
      <c r="T401" s="242"/>
      <c r="U401" s="228"/>
    </row>
    <row r="402" spans="2:21" s="22" customFormat="1">
      <c r="B402" s="15">
        <v>1</v>
      </c>
      <c r="C402" s="249" t="s">
        <v>806</v>
      </c>
      <c r="D402" s="254">
        <v>2</v>
      </c>
      <c r="E402" s="250">
        <v>1320</v>
      </c>
      <c r="F402" s="230">
        <v>241</v>
      </c>
      <c r="G402" s="233">
        <v>39539</v>
      </c>
      <c r="H402" s="228" t="s">
        <v>161</v>
      </c>
      <c r="I402" s="242">
        <v>0</v>
      </c>
      <c r="J402" s="242">
        <v>0</v>
      </c>
      <c r="K402" s="242">
        <v>0</v>
      </c>
      <c r="L402" s="242">
        <v>0</v>
      </c>
      <c r="M402" s="242">
        <v>0</v>
      </c>
      <c r="N402" s="242">
        <v>0</v>
      </c>
      <c r="O402" s="242">
        <v>0</v>
      </c>
      <c r="P402" s="242">
        <v>0</v>
      </c>
      <c r="Q402" s="242">
        <v>-66</v>
      </c>
      <c r="R402" s="337">
        <v>0</v>
      </c>
      <c r="S402" s="336">
        <v>0</v>
      </c>
      <c r="T402" s="336">
        <v>0</v>
      </c>
      <c r="U402" s="336">
        <v>0</v>
      </c>
    </row>
    <row r="403" spans="2:21" s="22" customFormat="1" ht="67.5">
      <c r="B403" s="15">
        <v>2</v>
      </c>
      <c r="C403" s="249" t="s">
        <v>2592</v>
      </c>
      <c r="D403" s="254">
        <v>6</v>
      </c>
      <c r="E403" s="250">
        <f>4622+774</f>
        <v>5396</v>
      </c>
      <c r="F403" s="249" t="s">
        <v>2590</v>
      </c>
      <c r="G403" s="233">
        <v>41913</v>
      </c>
      <c r="H403" s="228" t="s">
        <v>368</v>
      </c>
      <c r="I403" s="270">
        <v>42949</v>
      </c>
      <c r="J403" s="242">
        <v>1037</v>
      </c>
      <c r="K403" s="242">
        <v>0</v>
      </c>
      <c r="L403" s="242">
        <v>1037</v>
      </c>
      <c r="M403" s="242">
        <v>270</v>
      </c>
      <c r="N403" s="242">
        <v>5126</v>
      </c>
      <c r="O403" s="242">
        <v>4496</v>
      </c>
      <c r="P403" s="242">
        <v>855</v>
      </c>
      <c r="Q403" s="242">
        <v>4226</v>
      </c>
      <c r="R403" s="337">
        <v>0</v>
      </c>
      <c r="S403" s="336">
        <v>0</v>
      </c>
      <c r="T403" s="336">
        <v>4496</v>
      </c>
      <c r="U403" s="336">
        <v>0</v>
      </c>
    </row>
    <row r="404" spans="2:21" s="22" customFormat="1" ht="67.5">
      <c r="B404" s="15">
        <v>3</v>
      </c>
      <c r="C404" s="249" t="s">
        <v>2593</v>
      </c>
      <c r="D404" s="254">
        <v>2</v>
      </c>
      <c r="E404" s="250">
        <f>2991+501</f>
        <v>3492</v>
      </c>
      <c r="F404" s="249" t="s">
        <v>2590</v>
      </c>
      <c r="G404" s="233">
        <v>41913</v>
      </c>
      <c r="H404" s="228" t="s">
        <v>368</v>
      </c>
      <c r="I404" s="321">
        <v>42950</v>
      </c>
      <c r="J404" s="322">
        <v>1038</v>
      </c>
      <c r="K404" s="322">
        <v>0</v>
      </c>
      <c r="L404" s="322">
        <v>1038</v>
      </c>
      <c r="M404" s="322">
        <v>175</v>
      </c>
      <c r="N404" s="322">
        <v>3317</v>
      </c>
      <c r="O404" s="322">
        <v>2910</v>
      </c>
      <c r="P404" s="322">
        <v>856</v>
      </c>
      <c r="Q404" s="322">
        <v>2735</v>
      </c>
      <c r="R404" s="337">
        <v>0</v>
      </c>
      <c r="S404" s="336">
        <v>0</v>
      </c>
      <c r="T404" s="336">
        <v>2910</v>
      </c>
      <c r="U404" s="336">
        <v>0</v>
      </c>
    </row>
    <row r="405" spans="2:21" s="22" customFormat="1" ht="67.5">
      <c r="B405" s="15">
        <f t="shared" ref="B405:B406" si="10">+B404+1</f>
        <v>4</v>
      </c>
      <c r="C405" s="249" t="s">
        <v>2591</v>
      </c>
      <c r="D405" s="254">
        <v>1</v>
      </c>
      <c r="E405" s="250">
        <f>2991+501</f>
        <v>3492</v>
      </c>
      <c r="F405" s="249" t="s">
        <v>2590</v>
      </c>
      <c r="G405" s="233">
        <v>41913</v>
      </c>
      <c r="H405" s="228" t="s">
        <v>368</v>
      </c>
      <c r="I405" s="270">
        <v>43298</v>
      </c>
      <c r="J405" s="242">
        <v>1386</v>
      </c>
      <c r="K405" s="242">
        <v>0</v>
      </c>
      <c r="L405" s="242">
        <v>1386</v>
      </c>
      <c r="M405" s="242">
        <v>175</v>
      </c>
      <c r="N405" s="242">
        <v>3317</v>
      </c>
      <c r="O405" s="242">
        <v>3056</v>
      </c>
      <c r="P405" s="242">
        <v>1204</v>
      </c>
      <c r="Q405" s="242">
        <v>2881</v>
      </c>
      <c r="R405" s="337">
        <v>0</v>
      </c>
      <c r="S405" s="336">
        <v>0</v>
      </c>
      <c r="T405" s="336">
        <v>3056</v>
      </c>
      <c r="U405" s="336">
        <v>0</v>
      </c>
    </row>
    <row r="406" spans="2:21" s="22" customFormat="1" ht="40.5">
      <c r="B406" s="15">
        <f t="shared" si="10"/>
        <v>5</v>
      </c>
      <c r="C406" s="249" t="s">
        <v>2704</v>
      </c>
      <c r="D406" s="254">
        <v>1</v>
      </c>
      <c r="E406" s="250">
        <f>155500+1185</f>
        <v>156685</v>
      </c>
      <c r="F406" s="249" t="s">
        <v>2679</v>
      </c>
      <c r="G406" s="233">
        <v>42005</v>
      </c>
      <c r="H406" s="228" t="s">
        <v>368</v>
      </c>
      <c r="I406" s="335">
        <v>45657</v>
      </c>
      <c r="J406" s="336">
        <v>3653</v>
      </c>
      <c r="K406" s="336">
        <v>0</v>
      </c>
      <c r="L406" s="336">
        <v>3653</v>
      </c>
      <c r="M406" s="336">
        <v>7834</v>
      </c>
      <c r="N406" s="336">
        <v>148851</v>
      </c>
      <c r="O406" s="336">
        <v>153018</v>
      </c>
      <c r="P406" s="336">
        <v>3563</v>
      </c>
      <c r="Q406" s="336">
        <v>145184</v>
      </c>
      <c r="R406" s="337">
        <v>365</v>
      </c>
      <c r="S406" s="336">
        <v>14873</v>
      </c>
      <c r="T406" s="336">
        <v>104193</v>
      </c>
      <c r="U406" s="336">
        <v>48825</v>
      </c>
    </row>
    <row r="407" spans="2:21" s="22" customFormat="1" ht="14.25">
      <c r="B407" s="32" t="s">
        <v>1017</v>
      </c>
      <c r="C407" s="229"/>
      <c r="D407" s="230"/>
      <c r="E407" s="344"/>
      <c r="F407" s="230"/>
      <c r="G407" s="230"/>
      <c r="H407" s="228"/>
      <c r="I407" s="228"/>
      <c r="J407" s="228"/>
      <c r="K407" s="228"/>
      <c r="L407" s="228"/>
      <c r="M407" s="242"/>
      <c r="N407" s="228"/>
      <c r="O407" s="242">
        <v>0</v>
      </c>
      <c r="P407" s="242"/>
      <c r="Q407" s="272"/>
      <c r="R407" s="318"/>
      <c r="S407" s="242"/>
      <c r="T407" s="242"/>
      <c r="U407" s="228"/>
    </row>
    <row r="408" spans="2:21" s="22" customFormat="1" ht="40.5">
      <c r="B408" s="15">
        <v>1</v>
      </c>
      <c r="C408" s="249" t="s">
        <v>201</v>
      </c>
      <c r="D408" s="254" t="s">
        <v>314</v>
      </c>
      <c r="E408" s="242">
        <v>540000</v>
      </c>
      <c r="F408" s="249" t="s">
        <v>1014</v>
      </c>
      <c r="G408" s="233">
        <v>40560</v>
      </c>
      <c r="H408" s="228" t="s">
        <v>368</v>
      </c>
      <c r="I408" s="270">
        <v>44212</v>
      </c>
      <c r="J408" s="242">
        <v>3653</v>
      </c>
      <c r="K408" s="242">
        <v>1170</v>
      </c>
      <c r="L408" s="242">
        <v>2483</v>
      </c>
      <c r="M408" s="242">
        <v>27000</v>
      </c>
      <c r="N408" s="242">
        <v>403524</v>
      </c>
      <c r="O408" s="242">
        <v>371206</v>
      </c>
      <c r="P408" s="242">
        <v>2118</v>
      </c>
      <c r="Q408" s="242">
        <v>344206</v>
      </c>
      <c r="R408" s="337">
        <v>0</v>
      </c>
      <c r="S408" s="336">
        <v>0</v>
      </c>
      <c r="T408" s="336">
        <v>371206</v>
      </c>
      <c r="U408" s="336">
        <v>0</v>
      </c>
    </row>
    <row r="409" spans="2:21" s="22" customFormat="1" ht="40.5">
      <c r="B409" s="15">
        <f>+B408+1</f>
        <v>2</v>
      </c>
      <c r="C409" s="249" t="s">
        <v>2701</v>
      </c>
      <c r="D409" s="254" t="s">
        <v>314</v>
      </c>
      <c r="E409" s="250">
        <f>375498+2862</f>
        <v>378360</v>
      </c>
      <c r="F409" s="249" t="s">
        <v>2679</v>
      </c>
      <c r="G409" s="233">
        <v>42005</v>
      </c>
      <c r="H409" s="228" t="s">
        <v>368</v>
      </c>
      <c r="I409" s="270">
        <v>45657</v>
      </c>
      <c r="J409" s="242">
        <v>3653</v>
      </c>
      <c r="K409" s="242">
        <v>0</v>
      </c>
      <c r="L409" s="242">
        <v>3653</v>
      </c>
      <c r="M409" s="242">
        <v>18918</v>
      </c>
      <c r="N409" s="242">
        <v>359442</v>
      </c>
      <c r="O409" s="242">
        <v>369504</v>
      </c>
      <c r="P409" s="242">
        <v>3563</v>
      </c>
      <c r="Q409" s="242">
        <v>350586</v>
      </c>
      <c r="R409" s="337">
        <v>365</v>
      </c>
      <c r="S409" s="336">
        <v>35915</v>
      </c>
      <c r="T409" s="336">
        <v>251601</v>
      </c>
      <c r="U409" s="336">
        <v>117903</v>
      </c>
    </row>
    <row r="410" spans="2:21" s="22" customFormat="1" ht="40.5">
      <c r="B410" s="15">
        <f>+B409+1</f>
        <v>3</v>
      </c>
      <c r="C410" s="249" t="s">
        <v>2705</v>
      </c>
      <c r="D410" s="254" t="s">
        <v>314</v>
      </c>
      <c r="E410" s="250">
        <f>101618+775</f>
        <v>102393</v>
      </c>
      <c r="F410" s="249" t="s">
        <v>2679</v>
      </c>
      <c r="G410" s="233">
        <v>42005</v>
      </c>
      <c r="H410" s="228" t="s">
        <v>368</v>
      </c>
      <c r="I410" s="270">
        <v>45657</v>
      </c>
      <c r="J410" s="242">
        <v>3653</v>
      </c>
      <c r="K410" s="242">
        <v>0</v>
      </c>
      <c r="L410" s="242">
        <v>3653</v>
      </c>
      <c r="M410" s="242">
        <v>5120</v>
      </c>
      <c r="N410" s="242">
        <v>97273</v>
      </c>
      <c r="O410" s="242">
        <v>99996</v>
      </c>
      <c r="P410" s="242">
        <v>3563</v>
      </c>
      <c r="Q410" s="242">
        <v>94876</v>
      </c>
      <c r="R410" s="337">
        <v>365</v>
      </c>
      <c r="S410" s="336">
        <v>9719</v>
      </c>
      <c r="T410" s="336">
        <v>68087</v>
      </c>
      <c r="U410" s="336">
        <v>31909</v>
      </c>
    </row>
    <row r="411" spans="2:21" s="22" customFormat="1" ht="14.25">
      <c r="B411" s="32" t="s">
        <v>807</v>
      </c>
      <c r="C411" s="228"/>
      <c r="D411" s="230"/>
      <c r="E411" s="345"/>
      <c r="F411" s="346"/>
      <c r="G411" s="230"/>
      <c r="H411" s="228"/>
      <c r="I411" s="239"/>
      <c r="J411" s="239"/>
      <c r="K411" s="239"/>
      <c r="L411" s="239"/>
      <c r="M411" s="322"/>
      <c r="N411" s="239"/>
      <c r="O411" s="322">
        <v>0</v>
      </c>
      <c r="P411" s="322"/>
      <c r="Q411" s="338"/>
      <c r="R411" s="339"/>
      <c r="S411" s="322"/>
      <c r="T411" s="322"/>
      <c r="U411" s="239"/>
    </row>
    <row r="412" spans="2:21" s="22" customFormat="1">
      <c r="B412" s="15">
        <v>1</v>
      </c>
      <c r="C412" s="249" t="s">
        <v>325</v>
      </c>
      <c r="D412" s="254">
        <v>14</v>
      </c>
      <c r="E412" s="345">
        <v>125931</v>
      </c>
      <c r="F412" s="242" t="s">
        <v>549</v>
      </c>
      <c r="G412" s="233">
        <v>39776</v>
      </c>
      <c r="H412" s="228" t="s">
        <v>368</v>
      </c>
      <c r="I412" s="270">
        <v>43427</v>
      </c>
      <c r="J412" s="242">
        <v>3652</v>
      </c>
      <c r="K412" s="242">
        <v>1954</v>
      </c>
      <c r="L412" s="242">
        <v>1698</v>
      </c>
      <c r="M412" s="242">
        <v>6297</v>
      </c>
      <c r="N412" s="242">
        <v>76982.300054794527</v>
      </c>
      <c r="O412" s="242">
        <v>66731.300054794527</v>
      </c>
      <c r="P412" s="242">
        <v>1333</v>
      </c>
      <c r="Q412" s="242">
        <v>60435</v>
      </c>
      <c r="R412" s="337">
        <v>0</v>
      </c>
      <c r="S412" s="336">
        <v>0</v>
      </c>
      <c r="T412" s="336">
        <v>66731</v>
      </c>
      <c r="U412" s="336">
        <v>0.30005479452665895</v>
      </c>
    </row>
    <row r="413" spans="2:21" s="22" customFormat="1">
      <c r="B413" s="15">
        <f>+B412+1</f>
        <v>2</v>
      </c>
      <c r="C413" s="249" t="s">
        <v>326</v>
      </c>
      <c r="D413" s="254">
        <v>8</v>
      </c>
      <c r="E413" s="345">
        <v>21375</v>
      </c>
      <c r="F413" s="346">
        <v>4230</v>
      </c>
      <c r="G413" s="233">
        <v>39862</v>
      </c>
      <c r="H413" s="228" t="s">
        <v>282</v>
      </c>
      <c r="I413" s="242">
        <v>0</v>
      </c>
      <c r="J413" s="242">
        <v>0</v>
      </c>
      <c r="K413" s="242">
        <v>0</v>
      </c>
      <c r="L413" s="242">
        <v>0</v>
      </c>
      <c r="M413" s="242">
        <v>0</v>
      </c>
      <c r="N413" s="242">
        <v>0</v>
      </c>
      <c r="O413" s="242">
        <v>0</v>
      </c>
      <c r="P413" s="242">
        <v>0</v>
      </c>
      <c r="Q413" s="242">
        <v>-1069</v>
      </c>
      <c r="R413" s="337">
        <v>0</v>
      </c>
      <c r="S413" s="336">
        <v>0</v>
      </c>
      <c r="T413" s="336">
        <v>0</v>
      </c>
      <c r="U413" s="336">
        <v>0</v>
      </c>
    </row>
    <row r="414" spans="2:21" s="22" customFormat="1">
      <c r="B414" s="15">
        <f>+B413+1</f>
        <v>3</v>
      </c>
      <c r="C414" s="249" t="s">
        <v>246</v>
      </c>
      <c r="D414" s="254">
        <v>2</v>
      </c>
      <c r="E414" s="345">
        <v>11180</v>
      </c>
      <c r="F414" s="346">
        <v>335</v>
      </c>
      <c r="G414" s="233">
        <v>39878</v>
      </c>
      <c r="H414" s="228" t="s">
        <v>282</v>
      </c>
      <c r="I414" s="270">
        <v>43529</v>
      </c>
      <c r="J414" s="242">
        <v>3652</v>
      </c>
      <c r="K414" s="242">
        <v>1852</v>
      </c>
      <c r="L414" s="242">
        <v>1800</v>
      </c>
      <c r="M414" s="242">
        <v>559</v>
      </c>
      <c r="N414" s="242">
        <v>7034.1717808219182</v>
      </c>
      <c r="O414" s="242">
        <v>6167.1717808219182</v>
      </c>
      <c r="P414" s="242">
        <v>1435</v>
      </c>
      <c r="Q414" s="242">
        <v>5608</v>
      </c>
      <c r="R414" s="337">
        <v>0</v>
      </c>
      <c r="S414" s="336">
        <v>0</v>
      </c>
      <c r="T414" s="336">
        <v>6167</v>
      </c>
      <c r="U414" s="336">
        <v>0.17178082191821886</v>
      </c>
    </row>
    <row r="415" spans="2:21" s="22" customFormat="1">
      <c r="B415" s="15">
        <f t="shared" ref="B415:B478" si="11">+B414+1</f>
        <v>4</v>
      </c>
      <c r="C415" s="249" t="s">
        <v>325</v>
      </c>
      <c r="D415" s="254">
        <v>3</v>
      </c>
      <c r="E415" s="250">
        <v>3450</v>
      </c>
      <c r="F415" s="313" t="s">
        <v>42</v>
      </c>
      <c r="G415" s="233">
        <v>40038</v>
      </c>
      <c r="H415" s="228" t="s">
        <v>368</v>
      </c>
      <c r="I415" s="242">
        <v>0</v>
      </c>
      <c r="J415" s="242">
        <v>0</v>
      </c>
      <c r="K415" s="242">
        <v>0</v>
      </c>
      <c r="L415" s="242">
        <v>0</v>
      </c>
      <c r="M415" s="242">
        <v>0</v>
      </c>
      <c r="N415" s="242">
        <v>0</v>
      </c>
      <c r="O415" s="242">
        <v>0</v>
      </c>
      <c r="P415" s="242">
        <v>0</v>
      </c>
      <c r="Q415" s="242">
        <v>-173</v>
      </c>
      <c r="R415" s="337">
        <v>0</v>
      </c>
      <c r="S415" s="336">
        <v>0</v>
      </c>
      <c r="T415" s="336">
        <v>0</v>
      </c>
      <c r="U415" s="336">
        <v>0</v>
      </c>
    </row>
    <row r="416" spans="2:21" s="22" customFormat="1">
      <c r="B416" s="15">
        <f t="shared" si="11"/>
        <v>5</v>
      </c>
      <c r="C416" s="249" t="s">
        <v>167</v>
      </c>
      <c r="D416" s="254">
        <v>1</v>
      </c>
      <c r="E416" s="250">
        <v>7562</v>
      </c>
      <c r="F416" s="320">
        <v>1011</v>
      </c>
      <c r="G416" s="233">
        <v>40096</v>
      </c>
      <c r="H416" s="228" t="s">
        <v>282</v>
      </c>
      <c r="I416" s="270">
        <v>43747</v>
      </c>
      <c r="J416" s="242">
        <v>3652</v>
      </c>
      <c r="K416" s="242">
        <v>1634</v>
      </c>
      <c r="L416" s="242">
        <v>2018</v>
      </c>
      <c r="M416" s="242">
        <v>378</v>
      </c>
      <c r="N416" s="242">
        <v>5042</v>
      </c>
      <c r="O416" s="242">
        <v>4508</v>
      </c>
      <c r="P416" s="242">
        <v>1653</v>
      </c>
      <c r="Q416" s="242">
        <v>4130</v>
      </c>
      <c r="R416" s="337">
        <v>0</v>
      </c>
      <c r="S416" s="336">
        <v>0</v>
      </c>
      <c r="T416" s="336">
        <v>4508</v>
      </c>
      <c r="U416" s="336">
        <v>0</v>
      </c>
    </row>
    <row r="417" spans="2:21" s="22" customFormat="1">
      <c r="B417" s="15">
        <f t="shared" si="11"/>
        <v>6</v>
      </c>
      <c r="C417" s="249" t="s">
        <v>526</v>
      </c>
      <c r="D417" s="254">
        <v>11</v>
      </c>
      <c r="E417" s="250">
        <v>92673</v>
      </c>
      <c r="F417" s="320">
        <v>21</v>
      </c>
      <c r="G417" s="233">
        <v>40092</v>
      </c>
      <c r="H417" s="228" t="s">
        <v>4366</v>
      </c>
      <c r="I417" s="270">
        <v>43743</v>
      </c>
      <c r="J417" s="242">
        <v>3652</v>
      </c>
      <c r="K417" s="242">
        <v>1638</v>
      </c>
      <c r="L417" s="242">
        <v>2014</v>
      </c>
      <c r="M417" s="242">
        <v>4634</v>
      </c>
      <c r="N417" s="242">
        <v>61728</v>
      </c>
      <c r="O417" s="242">
        <v>55175</v>
      </c>
      <c r="P417" s="242">
        <v>1649</v>
      </c>
      <c r="Q417" s="242">
        <v>50541</v>
      </c>
      <c r="R417" s="337">
        <v>0</v>
      </c>
      <c r="S417" s="336">
        <v>0</v>
      </c>
      <c r="T417" s="336">
        <v>55175</v>
      </c>
      <c r="U417" s="336">
        <v>0</v>
      </c>
    </row>
    <row r="418" spans="2:21" s="22" customFormat="1">
      <c r="B418" s="15">
        <f t="shared" si="11"/>
        <v>7</v>
      </c>
      <c r="C418" s="249" t="s">
        <v>527</v>
      </c>
      <c r="D418" s="254">
        <v>21</v>
      </c>
      <c r="E418" s="250">
        <v>348320</v>
      </c>
      <c r="F418" s="320">
        <v>21</v>
      </c>
      <c r="G418" s="233">
        <v>40092</v>
      </c>
      <c r="H418" s="228" t="s">
        <v>4366</v>
      </c>
      <c r="I418" s="270">
        <v>43743</v>
      </c>
      <c r="J418" s="242">
        <v>3652</v>
      </c>
      <c r="K418" s="242">
        <v>1638</v>
      </c>
      <c r="L418" s="242">
        <v>2014</v>
      </c>
      <c r="M418" s="242">
        <v>17416</v>
      </c>
      <c r="N418" s="242">
        <v>232018</v>
      </c>
      <c r="O418" s="242">
        <v>207385</v>
      </c>
      <c r="P418" s="242">
        <v>1649</v>
      </c>
      <c r="Q418" s="242">
        <v>189969</v>
      </c>
      <c r="R418" s="337">
        <v>0</v>
      </c>
      <c r="S418" s="336">
        <v>0</v>
      </c>
      <c r="T418" s="336">
        <v>207385</v>
      </c>
      <c r="U418" s="336">
        <v>0</v>
      </c>
    </row>
    <row r="419" spans="2:21" s="22" customFormat="1">
      <c r="B419" s="15">
        <f t="shared" si="11"/>
        <v>8</v>
      </c>
      <c r="C419" s="249" t="s">
        <v>168</v>
      </c>
      <c r="D419" s="254">
        <v>2</v>
      </c>
      <c r="E419" s="250">
        <v>2000</v>
      </c>
      <c r="F419" s="320">
        <v>608</v>
      </c>
      <c r="G419" s="233">
        <v>40114</v>
      </c>
      <c r="H419" s="228" t="s">
        <v>368</v>
      </c>
      <c r="I419" s="242">
        <v>0</v>
      </c>
      <c r="J419" s="242">
        <v>0</v>
      </c>
      <c r="K419" s="242">
        <v>0</v>
      </c>
      <c r="L419" s="242">
        <v>0</v>
      </c>
      <c r="M419" s="242">
        <v>0</v>
      </c>
      <c r="N419" s="242">
        <v>0</v>
      </c>
      <c r="O419" s="242">
        <v>0</v>
      </c>
      <c r="P419" s="242">
        <v>0</v>
      </c>
      <c r="Q419" s="242">
        <v>-100</v>
      </c>
      <c r="R419" s="337">
        <v>0</v>
      </c>
      <c r="S419" s="336">
        <v>0</v>
      </c>
      <c r="T419" s="336">
        <v>0</v>
      </c>
      <c r="U419" s="336">
        <v>0</v>
      </c>
    </row>
    <row r="420" spans="2:21" s="22" customFormat="1">
      <c r="B420" s="15">
        <f t="shared" si="11"/>
        <v>9</v>
      </c>
      <c r="C420" s="249" t="s">
        <v>169</v>
      </c>
      <c r="D420" s="254">
        <v>2</v>
      </c>
      <c r="E420" s="250">
        <v>5962</v>
      </c>
      <c r="F420" s="320">
        <v>899</v>
      </c>
      <c r="G420" s="233">
        <v>40096</v>
      </c>
      <c r="H420" s="228" t="s">
        <v>949</v>
      </c>
      <c r="I420" s="242">
        <v>0</v>
      </c>
      <c r="J420" s="242">
        <v>0</v>
      </c>
      <c r="K420" s="242">
        <v>0</v>
      </c>
      <c r="L420" s="242">
        <v>0</v>
      </c>
      <c r="M420" s="242">
        <v>0</v>
      </c>
      <c r="N420" s="242">
        <v>0</v>
      </c>
      <c r="O420" s="242">
        <v>0</v>
      </c>
      <c r="P420" s="242">
        <v>0</v>
      </c>
      <c r="Q420" s="242">
        <v>-298</v>
      </c>
      <c r="R420" s="337">
        <v>0</v>
      </c>
      <c r="S420" s="336">
        <v>0</v>
      </c>
      <c r="T420" s="336">
        <v>0</v>
      </c>
      <c r="U420" s="336">
        <v>0</v>
      </c>
    </row>
    <row r="421" spans="2:21" s="22" customFormat="1">
      <c r="B421" s="15">
        <f t="shared" si="11"/>
        <v>10</v>
      </c>
      <c r="C421" s="249" t="s">
        <v>1330</v>
      </c>
      <c r="D421" s="254">
        <v>7</v>
      </c>
      <c r="E421" s="242">
        <v>55563</v>
      </c>
      <c r="F421" s="230">
        <v>3096</v>
      </c>
      <c r="G421" s="233">
        <v>40189</v>
      </c>
      <c r="H421" s="228" t="s">
        <v>282</v>
      </c>
      <c r="I421" s="270">
        <v>43840</v>
      </c>
      <c r="J421" s="242">
        <v>3652</v>
      </c>
      <c r="K421" s="242">
        <v>1541</v>
      </c>
      <c r="L421" s="242">
        <v>2111</v>
      </c>
      <c r="M421" s="242">
        <v>2778</v>
      </c>
      <c r="N421" s="242">
        <v>37946</v>
      </c>
      <c r="O421" s="242">
        <v>34163</v>
      </c>
      <c r="P421" s="242">
        <v>1746</v>
      </c>
      <c r="Q421" s="242">
        <v>31385</v>
      </c>
      <c r="R421" s="337">
        <v>0</v>
      </c>
      <c r="S421" s="336">
        <v>0</v>
      </c>
      <c r="T421" s="336">
        <v>34163</v>
      </c>
      <c r="U421" s="336">
        <v>0</v>
      </c>
    </row>
    <row r="422" spans="2:21" s="22" customFormat="1">
      <c r="B422" s="15">
        <f t="shared" si="11"/>
        <v>11</v>
      </c>
      <c r="C422" s="249" t="s">
        <v>1331</v>
      </c>
      <c r="D422" s="254">
        <v>1</v>
      </c>
      <c r="E422" s="242">
        <v>35690</v>
      </c>
      <c r="F422" s="230">
        <v>3096</v>
      </c>
      <c r="G422" s="233">
        <v>40189</v>
      </c>
      <c r="H422" s="228" t="s">
        <v>282</v>
      </c>
      <c r="I422" s="270">
        <v>43840</v>
      </c>
      <c r="J422" s="242">
        <v>3652</v>
      </c>
      <c r="K422" s="242">
        <v>1541</v>
      </c>
      <c r="L422" s="242">
        <v>2111</v>
      </c>
      <c r="M422" s="242">
        <v>1785</v>
      </c>
      <c r="N422" s="242">
        <v>24374</v>
      </c>
      <c r="O422" s="242">
        <v>21945</v>
      </c>
      <c r="P422" s="242">
        <v>1746</v>
      </c>
      <c r="Q422" s="242">
        <v>20161</v>
      </c>
      <c r="R422" s="337">
        <v>0</v>
      </c>
      <c r="S422" s="336">
        <v>0</v>
      </c>
      <c r="T422" s="336">
        <v>21945</v>
      </c>
      <c r="U422" s="336">
        <v>0</v>
      </c>
    </row>
    <row r="423" spans="2:21" s="22" customFormat="1" ht="27">
      <c r="B423" s="15">
        <f t="shared" si="11"/>
        <v>12</v>
      </c>
      <c r="C423" s="249" t="s">
        <v>1332</v>
      </c>
      <c r="D423" s="254">
        <v>10</v>
      </c>
      <c r="E423" s="242">
        <v>15527</v>
      </c>
      <c r="F423" s="230" t="s">
        <v>651</v>
      </c>
      <c r="G423" s="233">
        <v>40246</v>
      </c>
      <c r="H423" s="228" t="s">
        <v>282</v>
      </c>
      <c r="I423" s="242">
        <v>0</v>
      </c>
      <c r="J423" s="242">
        <v>0</v>
      </c>
      <c r="K423" s="242">
        <v>0</v>
      </c>
      <c r="L423" s="242">
        <v>0</v>
      </c>
      <c r="M423" s="242">
        <v>0</v>
      </c>
      <c r="N423" s="242">
        <v>0</v>
      </c>
      <c r="O423" s="242">
        <v>0</v>
      </c>
      <c r="P423" s="242">
        <v>0</v>
      </c>
      <c r="Q423" s="242">
        <v>-776</v>
      </c>
      <c r="R423" s="337">
        <v>0</v>
      </c>
      <c r="S423" s="336">
        <v>0</v>
      </c>
      <c r="T423" s="336">
        <v>0</v>
      </c>
      <c r="U423" s="336">
        <v>0</v>
      </c>
    </row>
    <row r="424" spans="2:21" s="22" customFormat="1" ht="27">
      <c r="B424" s="15">
        <f t="shared" si="11"/>
        <v>13</v>
      </c>
      <c r="C424" s="249" t="s">
        <v>1333</v>
      </c>
      <c r="D424" s="254">
        <v>1</v>
      </c>
      <c r="E424" s="242">
        <v>5486</v>
      </c>
      <c r="F424" s="230" t="s">
        <v>433</v>
      </c>
      <c r="G424" s="233">
        <v>40254</v>
      </c>
      <c r="H424" s="228" t="s">
        <v>368</v>
      </c>
      <c r="I424" s="270">
        <v>43906</v>
      </c>
      <c r="J424" s="242">
        <v>3653</v>
      </c>
      <c r="K424" s="242">
        <v>1476</v>
      </c>
      <c r="L424" s="242">
        <v>2177</v>
      </c>
      <c r="M424" s="242">
        <v>274</v>
      </c>
      <c r="N424" s="242">
        <v>3809</v>
      </c>
      <c r="O424" s="242">
        <v>3444</v>
      </c>
      <c r="P424" s="242">
        <v>1812</v>
      </c>
      <c r="Q424" s="242">
        <v>3170</v>
      </c>
      <c r="R424" s="337">
        <v>0</v>
      </c>
      <c r="S424" s="336">
        <v>0</v>
      </c>
      <c r="T424" s="336">
        <v>3444</v>
      </c>
      <c r="U424" s="336">
        <v>0</v>
      </c>
    </row>
    <row r="425" spans="2:21" s="22" customFormat="1">
      <c r="B425" s="15">
        <f t="shared" si="11"/>
        <v>14</v>
      </c>
      <c r="C425" s="249" t="s">
        <v>1334</v>
      </c>
      <c r="D425" s="254">
        <v>1</v>
      </c>
      <c r="E425" s="242">
        <v>6270</v>
      </c>
      <c r="F425" s="230">
        <v>112</v>
      </c>
      <c r="G425" s="233">
        <v>40261</v>
      </c>
      <c r="H425" s="228" t="s">
        <v>282</v>
      </c>
      <c r="I425" s="270">
        <v>43913</v>
      </c>
      <c r="J425" s="242">
        <v>3653</v>
      </c>
      <c r="K425" s="242">
        <v>1469</v>
      </c>
      <c r="L425" s="242">
        <v>2184</v>
      </c>
      <c r="M425" s="242">
        <v>314</v>
      </c>
      <c r="N425" s="242">
        <v>4358</v>
      </c>
      <c r="O425" s="242">
        <v>3944</v>
      </c>
      <c r="P425" s="242">
        <v>1819</v>
      </c>
      <c r="Q425" s="242">
        <v>3631</v>
      </c>
      <c r="R425" s="337">
        <v>0</v>
      </c>
      <c r="S425" s="336">
        <v>0</v>
      </c>
      <c r="T425" s="336">
        <v>3944</v>
      </c>
      <c r="U425" s="336">
        <v>0</v>
      </c>
    </row>
    <row r="426" spans="2:21" s="22" customFormat="1">
      <c r="B426" s="15">
        <f t="shared" si="11"/>
        <v>15</v>
      </c>
      <c r="C426" s="249" t="s">
        <v>1335</v>
      </c>
      <c r="D426" s="254">
        <v>1</v>
      </c>
      <c r="E426" s="250">
        <v>757</v>
      </c>
      <c r="F426" s="313">
        <v>1011</v>
      </c>
      <c r="G426" s="233">
        <v>40096</v>
      </c>
      <c r="H426" s="228" t="s">
        <v>282</v>
      </c>
      <c r="I426" s="270">
        <v>43747</v>
      </c>
      <c r="J426" s="242">
        <v>3652</v>
      </c>
      <c r="K426" s="242">
        <v>1634</v>
      </c>
      <c r="L426" s="242">
        <v>2018</v>
      </c>
      <c r="M426" s="242">
        <v>38</v>
      </c>
      <c r="N426" s="242">
        <v>504</v>
      </c>
      <c r="O426" s="242">
        <v>451</v>
      </c>
      <c r="P426" s="242">
        <v>1653</v>
      </c>
      <c r="Q426" s="242">
        <v>413</v>
      </c>
      <c r="R426" s="337">
        <v>0</v>
      </c>
      <c r="S426" s="336">
        <v>0</v>
      </c>
      <c r="T426" s="336">
        <v>451</v>
      </c>
      <c r="U426" s="336">
        <v>0</v>
      </c>
    </row>
    <row r="427" spans="2:21" s="22" customFormat="1">
      <c r="B427" s="15">
        <f t="shared" si="11"/>
        <v>16</v>
      </c>
      <c r="C427" s="249" t="s">
        <v>633</v>
      </c>
      <c r="D427" s="254">
        <v>5</v>
      </c>
      <c r="E427" s="242">
        <v>5300</v>
      </c>
      <c r="F427" s="254" t="s">
        <v>1028</v>
      </c>
      <c r="G427" s="233">
        <v>40347</v>
      </c>
      <c r="H427" s="228" t="s">
        <v>11</v>
      </c>
      <c r="I427" s="242">
        <v>0</v>
      </c>
      <c r="J427" s="242">
        <v>0</v>
      </c>
      <c r="K427" s="242">
        <v>0</v>
      </c>
      <c r="L427" s="242">
        <v>0</v>
      </c>
      <c r="M427" s="242">
        <v>0</v>
      </c>
      <c r="N427" s="242">
        <v>0</v>
      </c>
      <c r="O427" s="242">
        <v>0</v>
      </c>
      <c r="P427" s="242">
        <v>0</v>
      </c>
      <c r="Q427" s="242">
        <v>-265</v>
      </c>
      <c r="R427" s="337">
        <v>0</v>
      </c>
      <c r="S427" s="336">
        <v>0</v>
      </c>
      <c r="T427" s="336">
        <v>0</v>
      </c>
      <c r="U427" s="336">
        <v>0</v>
      </c>
    </row>
    <row r="428" spans="2:21" s="22" customFormat="1">
      <c r="B428" s="15">
        <f t="shared" si="11"/>
        <v>17</v>
      </c>
      <c r="C428" s="249" t="s">
        <v>370</v>
      </c>
      <c r="D428" s="254">
        <v>32</v>
      </c>
      <c r="E428" s="242">
        <v>253346</v>
      </c>
      <c r="F428" s="254" t="s">
        <v>1029</v>
      </c>
      <c r="G428" s="233">
        <v>40336</v>
      </c>
      <c r="H428" s="228" t="s">
        <v>160</v>
      </c>
      <c r="I428" s="270">
        <v>43988</v>
      </c>
      <c r="J428" s="242">
        <v>3653</v>
      </c>
      <c r="K428" s="242">
        <v>1394</v>
      </c>
      <c r="L428" s="242">
        <v>2259</v>
      </c>
      <c r="M428" s="242">
        <v>12667</v>
      </c>
      <c r="N428" s="242">
        <v>179477</v>
      </c>
      <c r="O428" s="242">
        <v>163145</v>
      </c>
      <c r="P428" s="242">
        <v>1894</v>
      </c>
      <c r="Q428" s="242">
        <v>150478</v>
      </c>
      <c r="R428" s="337">
        <v>0</v>
      </c>
      <c r="S428" s="336">
        <v>0</v>
      </c>
      <c r="T428" s="336">
        <v>163145</v>
      </c>
      <c r="U428" s="336">
        <v>0</v>
      </c>
    </row>
    <row r="429" spans="2:21" s="22" customFormat="1">
      <c r="B429" s="15">
        <f t="shared" si="11"/>
        <v>18</v>
      </c>
      <c r="C429" s="249" t="s">
        <v>544</v>
      </c>
      <c r="D429" s="254">
        <v>4</v>
      </c>
      <c r="E429" s="242">
        <f>26676</f>
        <v>26676</v>
      </c>
      <c r="F429" s="254" t="s">
        <v>726</v>
      </c>
      <c r="G429" s="233">
        <v>40394</v>
      </c>
      <c r="H429" s="228" t="s">
        <v>161</v>
      </c>
      <c r="I429" s="270">
        <v>44046</v>
      </c>
      <c r="J429" s="242">
        <v>3653</v>
      </c>
      <c r="K429" s="242">
        <v>1336</v>
      </c>
      <c r="L429" s="242">
        <v>2317</v>
      </c>
      <c r="M429" s="242">
        <v>1334</v>
      </c>
      <c r="N429" s="242">
        <v>19166</v>
      </c>
      <c r="O429" s="242">
        <v>17481</v>
      </c>
      <c r="P429" s="242">
        <v>1952</v>
      </c>
      <c r="Q429" s="242">
        <v>16147</v>
      </c>
      <c r="R429" s="337">
        <v>0</v>
      </c>
      <c r="S429" s="336">
        <v>0</v>
      </c>
      <c r="T429" s="336">
        <v>17481</v>
      </c>
      <c r="U429" s="336">
        <v>0</v>
      </c>
    </row>
    <row r="430" spans="2:21" s="22" customFormat="1" ht="27">
      <c r="B430" s="15">
        <f t="shared" si="11"/>
        <v>19</v>
      </c>
      <c r="C430" s="249" t="s">
        <v>946</v>
      </c>
      <c r="D430" s="254">
        <v>1</v>
      </c>
      <c r="E430" s="242">
        <v>200000</v>
      </c>
      <c r="F430" s="254" t="s">
        <v>725</v>
      </c>
      <c r="G430" s="233">
        <v>40406</v>
      </c>
      <c r="H430" s="228" t="s">
        <v>368</v>
      </c>
      <c r="I430" s="270">
        <v>44058</v>
      </c>
      <c r="J430" s="242">
        <v>3653</v>
      </c>
      <c r="K430" s="242">
        <v>1324</v>
      </c>
      <c r="L430" s="242">
        <v>2329</v>
      </c>
      <c r="M430" s="242">
        <v>10000</v>
      </c>
      <c r="N430" s="242">
        <v>144111</v>
      </c>
      <c r="O430" s="242">
        <v>131526</v>
      </c>
      <c r="P430" s="242">
        <v>1964</v>
      </c>
      <c r="Q430" s="242">
        <v>121526</v>
      </c>
      <c r="R430" s="337">
        <v>0</v>
      </c>
      <c r="S430" s="336">
        <v>0</v>
      </c>
      <c r="T430" s="336">
        <v>131526</v>
      </c>
      <c r="U430" s="336">
        <v>0</v>
      </c>
    </row>
    <row r="431" spans="2:21" s="22" customFormat="1" ht="27">
      <c r="B431" s="15">
        <f t="shared" si="11"/>
        <v>20</v>
      </c>
      <c r="C431" s="249" t="s">
        <v>743</v>
      </c>
      <c r="D431" s="254">
        <v>1</v>
      </c>
      <c r="E431" s="242">
        <f>570+70</f>
        <v>640</v>
      </c>
      <c r="F431" s="254" t="s">
        <v>277</v>
      </c>
      <c r="G431" s="233">
        <v>40450</v>
      </c>
      <c r="H431" s="228" t="s">
        <v>161</v>
      </c>
      <c r="I431" s="336">
        <v>0</v>
      </c>
      <c r="J431" s="336">
        <v>0</v>
      </c>
      <c r="K431" s="336">
        <v>0</v>
      </c>
      <c r="L431" s="336">
        <v>0</v>
      </c>
      <c r="M431" s="336">
        <v>0</v>
      </c>
      <c r="N431" s="336">
        <v>0</v>
      </c>
      <c r="O431" s="336">
        <v>0</v>
      </c>
      <c r="P431" s="336">
        <v>0</v>
      </c>
      <c r="Q431" s="336">
        <v>-32</v>
      </c>
      <c r="R431" s="337">
        <v>0</v>
      </c>
      <c r="S431" s="336">
        <v>0</v>
      </c>
      <c r="T431" s="336">
        <v>0</v>
      </c>
      <c r="U431" s="336">
        <v>0</v>
      </c>
    </row>
    <row r="432" spans="2:21" s="22" customFormat="1">
      <c r="B432" s="15">
        <f t="shared" si="11"/>
        <v>21</v>
      </c>
      <c r="C432" s="249" t="s">
        <v>195</v>
      </c>
      <c r="D432" s="254">
        <v>1</v>
      </c>
      <c r="E432" s="242">
        <v>2566</v>
      </c>
      <c r="F432" s="254" t="s">
        <v>347</v>
      </c>
      <c r="G432" s="233">
        <v>40460</v>
      </c>
      <c r="H432" s="228" t="s">
        <v>368</v>
      </c>
      <c r="I432" s="242">
        <v>0</v>
      </c>
      <c r="J432" s="242">
        <v>0</v>
      </c>
      <c r="K432" s="242">
        <v>0</v>
      </c>
      <c r="L432" s="242">
        <v>0</v>
      </c>
      <c r="M432" s="242">
        <v>0</v>
      </c>
      <c r="N432" s="242">
        <v>0</v>
      </c>
      <c r="O432" s="242">
        <v>0</v>
      </c>
      <c r="P432" s="242">
        <v>0</v>
      </c>
      <c r="Q432" s="242">
        <v>-128</v>
      </c>
      <c r="R432" s="337">
        <v>0</v>
      </c>
      <c r="S432" s="336">
        <v>0</v>
      </c>
      <c r="T432" s="336">
        <v>0</v>
      </c>
      <c r="U432" s="336">
        <v>0</v>
      </c>
    </row>
    <row r="433" spans="2:21" s="22" customFormat="1" ht="27">
      <c r="B433" s="15">
        <f t="shared" si="11"/>
        <v>22</v>
      </c>
      <c r="C433" s="249" t="s">
        <v>1078</v>
      </c>
      <c r="D433" s="254">
        <v>2</v>
      </c>
      <c r="E433" s="242">
        <v>6270</v>
      </c>
      <c r="F433" s="254" t="s">
        <v>1077</v>
      </c>
      <c r="G433" s="233">
        <v>40478</v>
      </c>
      <c r="H433" s="249" t="s">
        <v>1177</v>
      </c>
      <c r="I433" s="242">
        <v>0</v>
      </c>
      <c r="J433" s="242">
        <v>0</v>
      </c>
      <c r="K433" s="242">
        <v>0</v>
      </c>
      <c r="L433" s="242">
        <v>0</v>
      </c>
      <c r="M433" s="242">
        <v>0</v>
      </c>
      <c r="N433" s="242">
        <v>0</v>
      </c>
      <c r="O433" s="242">
        <v>0</v>
      </c>
      <c r="P433" s="242">
        <v>0</v>
      </c>
      <c r="Q433" s="242">
        <v>-314</v>
      </c>
      <c r="R433" s="337">
        <v>0</v>
      </c>
      <c r="S433" s="336">
        <v>0</v>
      </c>
      <c r="T433" s="336">
        <v>0</v>
      </c>
      <c r="U433" s="336">
        <v>0</v>
      </c>
    </row>
    <row r="434" spans="2:21" s="22" customFormat="1" ht="27">
      <c r="B434" s="15">
        <f t="shared" si="11"/>
        <v>23</v>
      </c>
      <c r="C434" s="249" t="s">
        <v>1080</v>
      </c>
      <c r="D434" s="254">
        <v>2</v>
      </c>
      <c r="E434" s="242">
        <v>17150</v>
      </c>
      <c r="F434" s="254" t="s">
        <v>1081</v>
      </c>
      <c r="G434" s="233">
        <v>40478</v>
      </c>
      <c r="H434" s="249" t="s">
        <v>1177</v>
      </c>
      <c r="I434" s="270">
        <v>44130</v>
      </c>
      <c r="J434" s="242">
        <v>3653</v>
      </c>
      <c r="K434" s="242">
        <v>1252</v>
      </c>
      <c r="L434" s="242">
        <v>2401</v>
      </c>
      <c r="M434" s="242">
        <v>858</v>
      </c>
      <c r="N434" s="242">
        <v>12570</v>
      </c>
      <c r="O434" s="242">
        <v>11517</v>
      </c>
      <c r="P434" s="242">
        <v>2036</v>
      </c>
      <c r="Q434" s="242">
        <v>10660</v>
      </c>
      <c r="R434" s="337">
        <v>0</v>
      </c>
      <c r="S434" s="336">
        <v>0</v>
      </c>
      <c r="T434" s="336">
        <v>11517</v>
      </c>
      <c r="U434" s="336">
        <v>0</v>
      </c>
    </row>
    <row r="435" spans="2:21" s="22" customFormat="1" ht="27">
      <c r="B435" s="15">
        <f t="shared" si="11"/>
        <v>24</v>
      </c>
      <c r="C435" s="249" t="s">
        <v>339</v>
      </c>
      <c r="D435" s="254">
        <v>1</v>
      </c>
      <c r="E435" s="242">
        <v>599</v>
      </c>
      <c r="F435" s="254" t="s">
        <v>45</v>
      </c>
      <c r="G435" s="233">
        <v>40506</v>
      </c>
      <c r="H435" s="228" t="s">
        <v>161</v>
      </c>
      <c r="I435" s="242">
        <v>0</v>
      </c>
      <c r="J435" s="242">
        <v>0</v>
      </c>
      <c r="K435" s="242">
        <v>0</v>
      </c>
      <c r="L435" s="242">
        <v>0</v>
      </c>
      <c r="M435" s="242">
        <v>0</v>
      </c>
      <c r="N435" s="242">
        <v>0</v>
      </c>
      <c r="O435" s="242">
        <v>0</v>
      </c>
      <c r="P435" s="242">
        <v>0</v>
      </c>
      <c r="Q435" s="242">
        <v>-30</v>
      </c>
      <c r="R435" s="337">
        <v>0</v>
      </c>
      <c r="S435" s="336">
        <v>0</v>
      </c>
      <c r="T435" s="336">
        <v>0</v>
      </c>
      <c r="U435" s="336">
        <v>0</v>
      </c>
    </row>
    <row r="436" spans="2:21" s="22" customFormat="1" ht="27">
      <c r="B436" s="15">
        <f t="shared" si="11"/>
        <v>25</v>
      </c>
      <c r="C436" s="249" t="s">
        <v>837</v>
      </c>
      <c r="D436" s="254">
        <v>2</v>
      </c>
      <c r="E436" s="242">
        <f>6270+17150</f>
        <v>23420</v>
      </c>
      <c r="F436" s="254" t="s">
        <v>453</v>
      </c>
      <c r="G436" s="233">
        <v>40502</v>
      </c>
      <c r="H436" s="228" t="s">
        <v>80</v>
      </c>
      <c r="I436" s="270">
        <v>44154</v>
      </c>
      <c r="J436" s="242">
        <v>3653</v>
      </c>
      <c r="K436" s="242">
        <v>1228</v>
      </c>
      <c r="L436" s="242">
        <v>2425</v>
      </c>
      <c r="M436" s="242">
        <v>1171</v>
      </c>
      <c r="N436" s="242">
        <v>17264</v>
      </c>
      <c r="O436" s="242">
        <v>15837</v>
      </c>
      <c r="P436" s="242">
        <v>2060</v>
      </c>
      <c r="Q436" s="242">
        <v>14666</v>
      </c>
      <c r="R436" s="337">
        <v>0</v>
      </c>
      <c r="S436" s="336">
        <v>0</v>
      </c>
      <c r="T436" s="336">
        <v>15837</v>
      </c>
      <c r="U436" s="336">
        <v>0</v>
      </c>
    </row>
    <row r="437" spans="2:21" s="22" customFormat="1">
      <c r="B437" s="15">
        <f t="shared" si="11"/>
        <v>26</v>
      </c>
      <c r="C437" s="249" t="s">
        <v>713</v>
      </c>
      <c r="D437" s="254">
        <v>70</v>
      </c>
      <c r="E437" s="242">
        <v>619161</v>
      </c>
      <c r="F437" s="254" t="s">
        <v>454</v>
      </c>
      <c r="G437" s="233">
        <v>40499</v>
      </c>
      <c r="H437" s="228" t="s">
        <v>368</v>
      </c>
      <c r="I437" s="270">
        <v>44151</v>
      </c>
      <c r="J437" s="242">
        <v>3653</v>
      </c>
      <c r="K437" s="242">
        <v>1231</v>
      </c>
      <c r="L437" s="242">
        <v>2422</v>
      </c>
      <c r="M437" s="242">
        <v>30958</v>
      </c>
      <c r="N437" s="242">
        <v>456127</v>
      </c>
      <c r="O437" s="242">
        <v>418346</v>
      </c>
      <c r="P437" s="242">
        <v>2057</v>
      </c>
      <c r="Q437" s="242">
        <v>387388</v>
      </c>
      <c r="R437" s="337">
        <v>0</v>
      </c>
      <c r="S437" s="336">
        <v>0</v>
      </c>
      <c r="T437" s="336">
        <v>418346</v>
      </c>
      <c r="U437" s="336">
        <v>0</v>
      </c>
    </row>
    <row r="438" spans="2:21" s="22" customFormat="1" ht="27">
      <c r="B438" s="15">
        <f t="shared" si="11"/>
        <v>27</v>
      </c>
      <c r="C438" s="249" t="s">
        <v>838</v>
      </c>
      <c r="D438" s="254">
        <v>70</v>
      </c>
      <c r="E438" s="242">
        <v>504000</v>
      </c>
      <c r="F438" s="254" t="s">
        <v>712</v>
      </c>
      <c r="G438" s="233">
        <v>40521</v>
      </c>
      <c r="H438" s="249" t="s">
        <v>368</v>
      </c>
      <c r="I438" s="270">
        <v>44173</v>
      </c>
      <c r="J438" s="242">
        <v>3653</v>
      </c>
      <c r="K438" s="242">
        <v>1209</v>
      </c>
      <c r="L438" s="242">
        <v>2444</v>
      </c>
      <c r="M438" s="242">
        <v>25200</v>
      </c>
      <c r="N438" s="242">
        <v>373215</v>
      </c>
      <c r="O438" s="242">
        <v>342677</v>
      </c>
      <c r="P438" s="242">
        <v>2079</v>
      </c>
      <c r="Q438" s="242">
        <v>317477</v>
      </c>
      <c r="R438" s="337">
        <v>0</v>
      </c>
      <c r="S438" s="336">
        <v>0</v>
      </c>
      <c r="T438" s="336">
        <v>342677</v>
      </c>
      <c r="U438" s="336">
        <v>0</v>
      </c>
    </row>
    <row r="439" spans="2:21" s="22" customFormat="1" ht="27">
      <c r="B439" s="15">
        <f t="shared" si="11"/>
        <v>28</v>
      </c>
      <c r="C439" s="249" t="s">
        <v>839</v>
      </c>
      <c r="D439" s="254">
        <v>4</v>
      </c>
      <c r="E439" s="242">
        <v>34300</v>
      </c>
      <c r="F439" s="254" t="s">
        <v>439</v>
      </c>
      <c r="G439" s="233">
        <v>40532</v>
      </c>
      <c r="H439" s="228" t="s">
        <v>368</v>
      </c>
      <c r="I439" s="270">
        <v>44184</v>
      </c>
      <c r="J439" s="242">
        <v>3653</v>
      </c>
      <c r="K439" s="242">
        <v>1198</v>
      </c>
      <c r="L439" s="242">
        <v>2455</v>
      </c>
      <c r="M439" s="242">
        <v>1715</v>
      </c>
      <c r="N439" s="242">
        <v>25465</v>
      </c>
      <c r="O439" s="242">
        <v>23394</v>
      </c>
      <c r="P439" s="242">
        <v>2090</v>
      </c>
      <c r="Q439" s="242">
        <v>21679</v>
      </c>
      <c r="R439" s="337">
        <v>0</v>
      </c>
      <c r="S439" s="336">
        <v>0</v>
      </c>
      <c r="T439" s="336">
        <v>23394</v>
      </c>
      <c r="U439" s="336">
        <v>0</v>
      </c>
    </row>
    <row r="440" spans="2:21" s="22" customFormat="1" ht="27">
      <c r="B440" s="15">
        <f t="shared" si="11"/>
        <v>29</v>
      </c>
      <c r="C440" s="249" t="s">
        <v>851</v>
      </c>
      <c r="D440" s="254">
        <v>1</v>
      </c>
      <c r="E440" s="242">
        <v>741</v>
      </c>
      <c r="F440" s="254" t="s">
        <v>852</v>
      </c>
      <c r="G440" s="233">
        <v>40569</v>
      </c>
      <c r="H440" s="228" t="s">
        <v>282</v>
      </c>
      <c r="I440" s="242">
        <v>0</v>
      </c>
      <c r="J440" s="242">
        <v>0</v>
      </c>
      <c r="K440" s="242">
        <v>0</v>
      </c>
      <c r="L440" s="242">
        <v>0</v>
      </c>
      <c r="M440" s="242">
        <v>0</v>
      </c>
      <c r="N440" s="242">
        <v>0</v>
      </c>
      <c r="O440" s="242">
        <v>0</v>
      </c>
      <c r="P440" s="242">
        <v>0</v>
      </c>
      <c r="Q440" s="242">
        <v>-37</v>
      </c>
      <c r="R440" s="337">
        <v>0</v>
      </c>
      <c r="S440" s="336">
        <v>0</v>
      </c>
      <c r="T440" s="336">
        <v>0</v>
      </c>
      <c r="U440" s="336">
        <v>0</v>
      </c>
    </row>
    <row r="441" spans="2:21" s="22" customFormat="1" ht="27">
      <c r="B441" s="15">
        <f t="shared" si="11"/>
        <v>30</v>
      </c>
      <c r="C441" s="249" t="s">
        <v>877</v>
      </c>
      <c r="D441" s="254">
        <v>6</v>
      </c>
      <c r="E441" s="242">
        <f>+ROUND(106875/10*6,)</f>
        <v>64125</v>
      </c>
      <c r="F441" s="254" t="s">
        <v>876</v>
      </c>
      <c r="G441" s="233">
        <v>40585</v>
      </c>
      <c r="H441" s="228" t="s">
        <v>368</v>
      </c>
      <c r="I441" s="270">
        <v>44237</v>
      </c>
      <c r="J441" s="242">
        <v>3653</v>
      </c>
      <c r="K441" s="242">
        <v>1145</v>
      </c>
      <c r="L441" s="242">
        <v>2508</v>
      </c>
      <c r="M441" s="242">
        <v>3206</v>
      </c>
      <c r="N441" s="242">
        <v>48197</v>
      </c>
      <c r="O441" s="242">
        <v>44389</v>
      </c>
      <c r="P441" s="242">
        <v>2143</v>
      </c>
      <c r="Q441" s="242">
        <v>41183</v>
      </c>
      <c r="R441" s="337">
        <v>0</v>
      </c>
      <c r="S441" s="336">
        <v>0</v>
      </c>
      <c r="T441" s="336">
        <v>44389</v>
      </c>
      <c r="U441" s="336">
        <v>0</v>
      </c>
    </row>
    <row r="442" spans="2:21" s="22" customFormat="1">
      <c r="B442" s="15">
        <f t="shared" si="11"/>
        <v>31</v>
      </c>
      <c r="C442" s="249" t="s">
        <v>352</v>
      </c>
      <c r="D442" s="254">
        <v>4</v>
      </c>
      <c r="E442" s="242">
        <v>12400</v>
      </c>
      <c r="F442" s="230" t="s">
        <v>349</v>
      </c>
      <c r="G442" s="233">
        <v>40571</v>
      </c>
      <c r="H442" s="228" t="s">
        <v>119</v>
      </c>
      <c r="I442" s="242">
        <v>0</v>
      </c>
      <c r="J442" s="242">
        <v>0</v>
      </c>
      <c r="K442" s="242">
        <v>0</v>
      </c>
      <c r="L442" s="242">
        <v>0</v>
      </c>
      <c r="M442" s="242">
        <v>0</v>
      </c>
      <c r="N442" s="242">
        <v>0</v>
      </c>
      <c r="O442" s="242">
        <v>0</v>
      </c>
      <c r="P442" s="242">
        <v>0</v>
      </c>
      <c r="Q442" s="242">
        <v>-620</v>
      </c>
      <c r="R442" s="337">
        <v>0</v>
      </c>
      <c r="S442" s="336">
        <v>0</v>
      </c>
      <c r="T442" s="336">
        <v>0</v>
      </c>
      <c r="U442" s="336">
        <v>0</v>
      </c>
    </row>
    <row r="443" spans="2:21" s="22" customFormat="1" ht="27">
      <c r="B443" s="15">
        <f t="shared" si="11"/>
        <v>32</v>
      </c>
      <c r="C443" s="249" t="s">
        <v>586</v>
      </c>
      <c r="D443" s="254" t="s">
        <v>887</v>
      </c>
      <c r="E443" s="242">
        <v>575073</v>
      </c>
      <c r="F443" s="343" t="s">
        <v>587</v>
      </c>
      <c r="G443" s="233">
        <v>40595</v>
      </c>
      <c r="H443" s="228" t="s">
        <v>368</v>
      </c>
      <c r="I443" s="270">
        <v>44247</v>
      </c>
      <c r="J443" s="242">
        <v>3653</v>
      </c>
      <c r="K443" s="242">
        <v>1135</v>
      </c>
      <c r="L443" s="242">
        <v>2518</v>
      </c>
      <c r="M443" s="242">
        <v>28754</v>
      </c>
      <c r="N443" s="242">
        <v>433223</v>
      </c>
      <c r="O443" s="242">
        <v>399179</v>
      </c>
      <c r="P443" s="242">
        <v>2153</v>
      </c>
      <c r="Q443" s="242">
        <v>370425</v>
      </c>
      <c r="R443" s="337">
        <v>0</v>
      </c>
      <c r="S443" s="336">
        <v>0</v>
      </c>
      <c r="T443" s="336">
        <v>399179</v>
      </c>
      <c r="U443" s="336">
        <v>0</v>
      </c>
    </row>
    <row r="444" spans="2:21" s="22" customFormat="1" ht="40.5">
      <c r="B444" s="15">
        <f t="shared" si="11"/>
        <v>33</v>
      </c>
      <c r="C444" s="249" t="s">
        <v>596</v>
      </c>
      <c r="D444" s="254">
        <v>2</v>
      </c>
      <c r="E444" s="242">
        <v>80000</v>
      </c>
      <c r="F444" s="343" t="s">
        <v>1014</v>
      </c>
      <c r="G444" s="233">
        <v>40560</v>
      </c>
      <c r="H444" s="228" t="s">
        <v>368</v>
      </c>
      <c r="I444" s="270">
        <v>44212</v>
      </c>
      <c r="J444" s="242">
        <v>3653</v>
      </c>
      <c r="K444" s="242">
        <v>1170</v>
      </c>
      <c r="L444" s="242">
        <v>2483</v>
      </c>
      <c r="M444" s="242">
        <v>4000</v>
      </c>
      <c r="N444" s="242">
        <v>59781</v>
      </c>
      <c r="O444" s="242">
        <v>54993</v>
      </c>
      <c r="P444" s="242">
        <v>2118</v>
      </c>
      <c r="Q444" s="242">
        <v>50993</v>
      </c>
      <c r="R444" s="337">
        <v>0</v>
      </c>
      <c r="S444" s="336">
        <v>0</v>
      </c>
      <c r="T444" s="336">
        <v>54993</v>
      </c>
      <c r="U444" s="336">
        <v>0</v>
      </c>
    </row>
    <row r="445" spans="2:21" s="22" customFormat="1" ht="40.5">
      <c r="B445" s="15">
        <f t="shared" si="11"/>
        <v>34</v>
      </c>
      <c r="C445" s="249" t="s">
        <v>597</v>
      </c>
      <c r="D445" s="254">
        <v>5</v>
      </c>
      <c r="E445" s="242">
        <v>275000</v>
      </c>
      <c r="F445" s="343" t="s">
        <v>1014</v>
      </c>
      <c r="G445" s="233">
        <v>40560</v>
      </c>
      <c r="H445" s="228" t="s">
        <v>368</v>
      </c>
      <c r="I445" s="270">
        <v>44212</v>
      </c>
      <c r="J445" s="242">
        <v>3653</v>
      </c>
      <c r="K445" s="242">
        <v>1170</v>
      </c>
      <c r="L445" s="242">
        <v>2483</v>
      </c>
      <c r="M445" s="242">
        <v>13750</v>
      </c>
      <c r="N445" s="242">
        <v>205497</v>
      </c>
      <c r="O445" s="242">
        <v>189039</v>
      </c>
      <c r="P445" s="242">
        <v>2118</v>
      </c>
      <c r="Q445" s="242">
        <v>175289</v>
      </c>
      <c r="R445" s="337">
        <v>0</v>
      </c>
      <c r="S445" s="336">
        <v>0</v>
      </c>
      <c r="T445" s="336">
        <v>189039</v>
      </c>
      <c r="U445" s="336">
        <v>0</v>
      </c>
    </row>
    <row r="446" spans="2:21" s="22" customFormat="1" ht="40.5">
      <c r="B446" s="15">
        <f t="shared" si="11"/>
        <v>35</v>
      </c>
      <c r="C446" s="249" t="s">
        <v>598</v>
      </c>
      <c r="D446" s="254">
        <v>2</v>
      </c>
      <c r="E446" s="242">
        <v>130000</v>
      </c>
      <c r="F446" s="343" t="s">
        <v>1014</v>
      </c>
      <c r="G446" s="233">
        <v>40560</v>
      </c>
      <c r="H446" s="228" t="s">
        <v>368</v>
      </c>
      <c r="I446" s="270">
        <v>44212</v>
      </c>
      <c r="J446" s="242">
        <v>3653</v>
      </c>
      <c r="K446" s="242">
        <v>1170</v>
      </c>
      <c r="L446" s="242">
        <v>2483</v>
      </c>
      <c r="M446" s="242">
        <v>6500</v>
      </c>
      <c r="N446" s="242">
        <v>97146</v>
      </c>
      <c r="O446" s="242">
        <v>89366</v>
      </c>
      <c r="P446" s="242">
        <v>2118</v>
      </c>
      <c r="Q446" s="242">
        <v>82866</v>
      </c>
      <c r="R446" s="337">
        <v>0</v>
      </c>
      <c r="S446" s="336">
        <v>0</v>
      </c>
      <c r="T446" s="336">
        <v>89366</v>
      </c>
      <c r="U446" s="336">
        <v>0</v>
      </c>
    </row>
    <row r="447" spans="2:21" s="22" customFormat="1" ht="40.5">
      <c r="B447" s="15">
        <f t="shared" si="11"/>
        <v>36</v>
      </c>
      <c r="C447" s="249" t="s">
        <v>599</v>
      </c>
      <c r="D447" s="254">
        <v>1</v>
      </c>
      <c r="E447" s="242">
        <v>45000</v>
      </c>
      <c r="F447" s="343" t="s">
        <v>1014</v>
      </c>
      <c r="G447" s="233">
        <v>40560</v>
      </c>
      <c r="H447" s="228" t="s">
        <v>368</v>
      </c>
      <c r="I447" s="270">
        <v>44212</v>
      </c>
      <c r="J447" s="242">
        <v>3653</v>
      </c>
      <c r="K447" s="242">
        <v>1170</v>
      </c>
      <c r="L447" s="242">
        <v>2483</v>
      </c>
      <c r="M447" s="242">
        <v>2250</v>
      </c>
      <c r="N447" s="242">
        <v>33626</v>
      </c>
      <c r="O447" s="242">
        <v>30933</v>
      </c>
      <c r="P447" s="242">
        <v>2118</v>
      </c>
      <c r="Q447" s="242">
        <v>28683</v>
      </c>
      <c r="R447" s="337">
        <v>0</v>
      </c>
      <c r="S447" s="336">
        <v>0</v>
      </c>
      <c r="T447" s="336">
        <v>30933</v>
      </c>
      <c r="U447" s="336">
        <v>0</v>
      </c>
    </row>
    <row r="448" spans="2:21" s="22" customFormat="1" ht="27">
      <c r="B448" s="15">
        <f t="shared" si="11"/>
        <v>37</v>
      </c>
      <c r="C448" s="249" t="s">
        <v>767</v>
      </c>
      <c r="D448" s="254">
        <v>3</v>
      </c>
      <c r="E448" s="242">
        <v>39902</v>
      </c>
      <c r="F448" s="343" t="s">
        <v>413</v>
      </c>
      <c r="G448" s="233">
        <v>40686</v>
      </c>
      <c r="H448" s="228" t="s">
        <v>895</v>
      </c>
      <c r="I448" s="270">
        <v>44338</v>
      </c>
      <c r="J448" s="242">
        <v>3653</v>
      </c>
      <c r="K448" s="242">
        <v>1044</v>
      </c>
      <c r="L448" s="242">
        <v>2609</v>
      </c>
      <c r="M448" s="242">
        <v>1995</v>
      </c>
      <c r="N448" s="242">
        <v>30695</v>
      </c>
      <c r="O448" s="242">
        <v>28396</v>
      </c>
      <c r="P448" s="242">
        <v>2244</v>
      </c>
      <c r="Q448" s="242">
        <v>26401</v>
      </c>
      <c r="R448" s="337">
        <v>52</v>
      </c>
      <c r="S448" s="336">
        <v>2608</v>
      </c>
      <c r="T448" s="336">
        <v>28396</v>
      </c>
      <c r="U448" s="336">
        <v>0</v>
      </c>
    </row>
    <row r="449" spans="2:21" s="22" customFormat="1" ht="27">
      <c r="B449" s="15">
        <f t="shared" si="11"/>
        <v>38</v>
      </c>
      <c r="C449" s="249" t="s">
        <v>767</v>
      </c>
      <c r="D449" s="254">
        <v>-3</v>
      </c>
      <c r="E449" s="242">
        <v>-39902</v>
      </c>
      <c r="F449" s="343"/>
      <c r="G449" s="233">
        <v>40686</v>
      </c>
      <c r="H449" s="228" t="s">
        <v>895</v>
      </c>
      <c r="I449" s="270">
        <v>44338</v>
      </c>
      <c r="J449" s="242">
        <v>3653</v>
      </c>
      <c r="K449" s="242">
        <v>1044</v>
      </c>
      <c r="L449" s="242">
        <v>2609</v>
      </c>
      <c r="M449" s="242">
        <v>0</v>
      </c>
      <c r="N449" s="242">
        <v>0</v>
      </c>
      <c r="O449" s="242">
        <v>-28396</v>
      </c>
      <c r="P449" s="242"/>
      <c r="Q449" s="242"/>
      <c r="R449" s="337">
        <v>0</v>
      </c>
      <c r="S449" s="336">
        <v>0</v>
      </c>
      <c r="T449" s="336">
        <v>-28396</v>
      </c>
      <c r="U449" s="336">
        <v>0</v>
      </c>
    </row>
    <row r="450" spans="2:21" s="22" customFormat="1" ht="27">
      <c r="B450" s="15">
        <f t="shared" si="11"/>
        <v>39</v>
      </c>
      <c r="C450" s="249" t="s">
        <v>1173</v>
      </c>
      <c r="D450" s="254">
        <v>2</v>
      </c>
      <c r="E450" s="250">
        <v>26706</v>
      </c>
      <c r="F450" s="341" t="s">
        <v>1174</v>
      </c>
      <c r="G450" s="233">
        <v>40700</v>
      </c>
      <c r="H450" s="228" t="s">
        <v>368</v>
      </c>
      <c r="I450" s="270">
        <v>44352</v>
      </c>
      <c r="J450" s="242">
        <v>3653</v>
      </c>
      <c r="K450" s="242">
        <v>1030</v>
      </c>
      <c r="L450" s="242">
        <v>2623</v>
      </c>
      <c r="M450" s="242">
        <v>1335</v>
      </c>
      <c r="N450" s="242">
        <v>20610</v>
      </c>
      <c r="O450" s="242">
        <v>19077</v>
      </c>
      <c r="P450" s="242">
        <v>2258</v>
      </c>
      <c r="Q450" s="242">
        <v>17742</v>
      </c>
      <c r="R450" s="337">
        <v>66</v>
      </c>
      <c r="S450" s="336">
        <v>1853</v>
      </c>
      <c r="T450" s="336">
        <v>19077</v>
      </c>
      <c r="U450" s="336">
        <v>0</v>
      </c>
    </row>
    <row r="451" spans="2:21" s="22" customFormat="1">
      <c r="B451" s="15">
        <f t="shared" si="11"/>
        <v>40</v>
      </c>
      <c r="C451" s="249" t="s">
        <v>597</v>
      </c>
      <c r="D451" s="254">
        <v>2</v>
      </c>
      <c r="E451" s="250">
        <v>110000</v>
      </c>
      <c r="F451" s="341" t="s">
        <v>42</v>
      </c>
      <c r="G451" s="232">
        <v>40634</v>
      </c>
      <c r="H451" s="228" t="s">
        <v>368</v>
      </c>
      <c r="I451" s="270">
        <v>44286</v>
      </c>
      <c r="J451" s="242">
        <v>3653</v>
      </c>
      <c r="K451" s="242">
        <v>1096</v>
      </c>
      <c r="L451" s="242">
        <v>2557</v>
      </c>
      <c r="M451" s="242">
        <v>5500</v>
      </c>
      <c r="N451" s="242">
        <v>83612</v>
      </c>
      <c r="O451" s="242">
        <v>77177</v>
      </c>
      <c r="P451" s="242">
        <v>2192</v>
      </c>
      <c r="Q451" s="242">
        <v>71677</v>
      </c>
      <c r="R451" s="337">
        <v>0</v>
      </c>
      <c r="S451" s="336">
        <v>0</v>
      </c>
      <c r="T451" s="336">
        <v>77177</v>
      </c>
      <c r="U451" s="336">
        <v>0</v>
      </c>
    </row>
    <row r="452" spans="2:21" s="22" customFormat="1">
      <c r="B452" s="15">
        <f t="shared" si="11"/>
        <v>41</v>
      </c>
      <c r="C452" s="249" t="s">
        <v>597</v>
      </c>
      <c r="D452" s="254">
        <v>2</v>
      </c>
      <c r="E452" s="250">
        <v>110000</v>
      </c>
      <c r="F452" s="341" t="s">
        <v>42</v>
      </c>
      <c r="G452" s="232">
        <v>40634</v>
      </c>
      <c r="H452" s="228" t="s">
        <v>368</v>
      </c>
      <c r="I452" s="270">
        <v>44286</v>
      </c>
      <c r="J452" s="242">
        <v>3653</v>
      </c>
      <c r="K452" s="242">
        <v>1096</v>
      </c>
      <c r="L452" s="242">
        <v>2557</v>
      </c>
      <c r="M452" s="242">
        <v>5500</v>
      </c>
      <c r="N452" s="242">
        <v>83611</v>
      </c>
      <c r="O452" s="242">
        <v>77176</v>
      </c>
      <c r="P452" s="242">
        <v>2192</v>
      </c>
      <c r="Q452" s="242">
        <v>71676</v>
      </c>
      <c r="R452" s="337">
        <v>0</v>
      </c>
      <c r="S452" s="336">
        <v>0</v>
      </c>
      <c r="T452" s="336">
        <v>77176</v>
      </c>
      <c r="U452" s="336">
        <v>0</v>
      </c>
    </row>
    <row r="453" spans="2:21" s="22" customFormat="1" ht="27">
      <c r="B453" s="15">
        <f t="shared" si="11"/>
        <v>42</v>
      </c>
      <c r="C453" s="249" t="s">
        <v>1274</v>
      </c>
      <c r="D453" s="254">
        <v>19</v>
      </c>
      <c r="E453" s="250">
        <v>56316</v>
      </c>
      <c r="F453" s="341" t="s">
        <v>1270</v>
      </c>
      <c r="G453" s="233">
        <v>40773</v>
      </c>
      <c r="H453" s="228" t="s">
        <v>368</v>
      </c>
      <c r="I453" s="242">
        <v>0</v>
      </c>
      <c r="J453" s="242">
        <v>0</v>
      </c>
      <c r="K453" s="242">
        <v>0</v>
      </c>
      <c r="L453" s="242">
        <v>0</v>
      </c>
      <c r="M453" s="242">
        <v>0</v>
      </c>
      <c r="N453" s="242">
        <v>0</v>
      </c>
      <c r="O453" s="242">
        <v>0</v>
      </c>
      <c r="P453" s="242">
        <v>0</v>
      </c>
      <c r="Q453" s="242">
        <v>-2816</v>
      </c>
      <c r="R453" s="337">
        <v>0</v>
      </c>
      <c r="S453" s="336">
        <v>0</v>
      </c>
      <c r="T453" s="336">
        <v>0</v>
      </c>
      <c r="U453" s="336">
        <v>0</v>
      </c>
    </row>
    <row r="454" spans="2:21" s="22" customFormat="1" ht="27">
      <c r="B454" s="15">
        <f t="shared" si="11"/>
        <v>43</v>
      </c>
      <c r="C454" s="249" t="s">
        <v>1274</v>
      </c>
      <c r="D454" s="254">
        <v>36</v>
      </c>
      <c r="E454" s="250">
        <v>71135</v>
      </c>
      <c r="F454" s="341" t="s">
        <v>1405</v>
      </c>
      <c r="G454" s="233">
        <v>40792</v>
      </c>
      <c r="H454" s="228" t="s">
        <v>368</v>
      </c>
      <c r="I454" s="242">
        <v>0</v>
      </c>
      <c r="J454" s="242">
        <v>0</v>
      </c>
      <c r="K454" s="242">
        <v>0</v>
      </c>
      <c r="L454" s="242">
        <v>0</v>
      </c>
      <c r="M454" s="242">
        <v>0</v>
      </c>
      <c r="N454" s="242">
        <v>0</v>
      </c>
      <c r="O454" s="242">
        <v>0</v>
      </c>
      <c r="P454" s="242">
        <v>0</v>
      </c>
      <c r="Q454" s="242">
        <v>-3557</v>
      </c>
      <c r="R454" s="337">
        <v>0</v>
      </c>
      <c r="S454" s="336">
        <v>0</v>
      </c>
      <c r="T454" s="336">
        <v>0</v>
      </c>
      <c r="U454" s="336">
        <v>0</v>
      </c>
    </row>
    <row r="455" spans="2:21" s="22" customFormat="1" ht="27">
      <c r="B455" s="15">
        <f t="shared" si="11"/>
        <v>44</v>
      </c>
      <c r="C455" s="249" t="s">
        <v>1416</v>
      </c>
      <c r="D455" s="254">
        <v>16</v>
      </c>
      <c r="E455" s="250">
        <v>47424</v>
      </c>
      <c r="F455" s="341" t="s">
        <v>1413</v>
      </c>
      <c r="G455" s="233">
        <v>40820</v>
      </c>
      <c r="H455" s="228" t="s">
        <v>119</v>
      </c>
      <c r="I455" s="242">
        <v>0</v>
      </c>
      <c r="J455" s="242">
        <v>0</v>
      </c>
      <c r="K455" s="242">
        <v>0</v>
      </c>
      <c r="L455" s="242">
        <v>0</v>
      </c>
      <c r="M455" s="242">
        <v>0</v>
      </c>
      <c r="N455" s="242">
        <v>0</v>
      </c>
      <c r="O455" s="242">
        <v>0</v>
      </c>
      <c r="P455" s="242">
        <v>0</v>
      </c>
      <c r="Q455" s="242">
        <v>-2371</v>
      </c>
      <c r="R455" s="337">
        <v>0</v>
      </c>
      <c r="S455" s="336">
        <v>0</v>
      </c>
      <c r="T455" s="336">
        <v>0</v>
      </c>
      <c r="U455" s="336">
        <v>0</v>
      </c>
    </row>
    <row r="456" spans="2:21" s="22" customFormat="1" ht="27">
      <c r="B456" s="15">
        <f t="shared" si="11"/>
        <v>45</v>
      </c>
      <c r="C456" s="249" t="s">
        <v>1422</v>
      </c>
      <c r="D456" s="254">
        <v>1</v>
      </c>
      <c r="E456" s="250">
        <v>7951</v>
      </c>
      <c r="F456" s="341" t="s">
        <v>1421</v>
      </c>
      <c r="G456" s="233">
        <v>40858</v>
      </c>
      <c r="H456" s="228" t="s">
        <v>368</v>
      </c>
      <c r="I456" s="270">
        <v>44510</v>
      </c>
      <c r="J456" s="242">
        <v>3653</v>
      </c>
      <c r="K456" s="242">
        <v>872</v>
      </c>
      <c r="L456" s="242">
        <v>2781</v>
      </c>
      <c r="M456" s="242">
        <v>398</v>
      </c>
      <c r="N456" s="242">
        <v>6352</v>
      </c>
      <c r="O456" s="242">
        <v>5916</v>
      </c>
      <c r="P456" s="242">
        <v>2416</v>
      </c>
      <c r="Q456" s="242">
        <v>5518</v>
      </c>
      <c r="R456" s="337">
        <v>224</v>
      </c>
      <c r="S456" s="336">
        <v>908</v>
      </c>
      <c r="T456" s="336">
        <v>5916</v>
      </c>
      <c r="U456" s="336">
        <v>0</v>
      </c>
    </row>
    <row r="457" spans="2:21" s="22" customFormat="1" ht="27">
      <c r="B457" s="15">
        <f t="shared" si="11"/>
        <v>46</v>
      </c>
      <c r="C457" s="249" t="s">
        <v>325</v>
      </c>
      <c r="D457" s="254"/>
      <c r="E457" s="250">
        <v>31236</v>
      </c>
      <c r="F457" s="341" t="s">
        <v>1439</v>
      </c>
      <c r="G457" s="233">
        <v>40834</v>
      </c>
      <c r="H457" s="228" t="s">
        <v>282</v>
      </c>
      <c r="I457" s="270">
        <v>44486</v>
      </c>
      <c r="J457" s="242">
        <v>3653</v>
      </c>
      <c r="K457" s="242">
        <v>896</v>
      </c>
      <c r="L457" s="242">
        <v>2757</v>
      </c>
      <c r="M457" s="242">
        <v>1562</v>
      </c>
      <c r="N457" s="242">
        <v>24823</v>
      </c>
      <c r="O457" s="242">
        <v>23099</v>
      </c>
      <c r="P457" s="242">
        <v>2392</v>
      </c>
      <c r="Q457" s="242">
        <v>21537</v>
      </c>
      <c r="R457" s="337">
        <v>200</v>
      </c>
      <c r="S457" s="336">
        <v>3365</v>
      </c>
      <c r="T457" s="336">
        <v>23099</v>
      </c>
      <c r="U457" s="336">
        <v>0</v>
      </c>
    </row>
    <row r="458" spans="2:21" s="22" customFormat="1" ht="27">
      <c r="B458" s="15">
        <f t="shared" si="11"/>
        <v>47</v>
      </c>
      <c r="C458" s="249" t="s">
        <v>1447</v>
      </c>
      <c r="D458" s="254">
        <v>4</v>
      </c>
      <c r="E458" s="250">
        <v>28215</v>
      </c>
      <c r="F458" s="341" t="s">
        <v>1448</v>
      </c>
      <c r="G458" s="233">
        <v>40837</v>
      </c>
      <c r="H458" s="228" t="s">
        <v>368</v>
      </c>
      <c r="I458" s="270">
        <v>44489</v>
      </c>
      <c r="J458" s="242">
        <v>3653</v>
      </c>
      <c r="K458" s="242">
        <v>893</v>
      </c>
      <c r="L458" s="242">
        <v>2760</v>
      </c>
      <c r="M458" s="242">
        <v>1411</v>
      </c>
      <c r="N458" s="242">
        <v>22437</v>
      </c>
      <c r="O458" s="242">
        <v>20881</v>
      </c>
      <c r="P458" s="242">
        <v>2395</v>
      </c>
      <c r="Q458" s="242">
        <v>19470</v>
      </c>
      <c r="R458" s="337">
        <v>203</v>
      </c>
      <c r="S458" s="336">
        <v>3063</v>
      </c>
      <c r="T458" s="336">
        <v>20881</v>
      </c>
      <c r="U458" s="336">
        <v>0</v>
      </c>
    </row>
    <row r="459" spans="2:21" s="22" customFormat="1" ht="27">
      <c r="B459" s="15">
        <f t="shared" si="11"/>
        <v>48</v>
      </c>
      <c r="C459" s="249" t="s">
        <v>1449</v>
      </c>
      <c r="D459" s="254">
        <v>4</v>
      </c>
      <c r="E459" s="250">
        <v>52759</v>
      </c>
      <c r="F459" s="341" t="s">
        <v>1450</v>
      </c>
      <c r="G459" s="233">
        <v>40837</v>
      </c>
      <c r="H459" s="228" t="s">
        <v>368</v>
      </c>
      <c r="I459" s="270">
        <v>44489</v>
      </c>
      <c r="J459" s="242">
        <v>3653</v>
      </c>
      <c r="K459" s="242">
        <v>893</v>
      </c>
      <c r="L459" s="242">
        <v>2760</v>
      </c>
      <c r="M459" s="242">
        <v>2638</v>
      </c>
      <c r="N459" s="242">
        <v>41954</v>
      </c>
      <c r="O459" s="242">
        <v>39044</v>
      </c>
      <c r="P459" s="242">
        <v>2395</v>
      </c>
      <c r="Q459" s="242">
        <v>36406</v>
      </c>
      <c r="R459" s="337">
        <v>203</v>
      </c>
      <c r="S459" s="336">
        <v>5724</v>
      </c>
      <c r="T459" s="336">
        <v>39044</v>
      </c>
      <c r="U459" s="336">
        <v>0</v>
      </c>
    </row>
    <row r="460" spans="2:21" s="22" customFormat="1" ht="27">
      <c r="B460" s="15">
        <f t="shared" si="11"/>
        <v>49</v>
      </c>
      <c r="C460" s="249" t="s">
        <v>1632</v>
      </c>
      <c r="D460" s="254">
        <v>2</v>
      </c>
      <c r="E460" s="250">
        <v>2100</v>
      </c>
      <c r="F460" s="341" t="s">
        <v>1633</v>
      </c>
      <c r="G460" s="233">
        <v>40866</v>
      </c>
      <c r="H460" s="228" t="s">
        <v>161</v>
      </c>
      <c r="I460" s="242">
        <v>0</v>
      </c>
      <c r="J460" s="242">
        <v>0</v>
      </c>
      <c r="K460" s="242">
        <v>0</v>
      </c>
      <c r="L460" s="242">
        <v>0</v>
      </c>
      <c r="M460" s="242">
        <v>0</v>
      </c>
      <c r="N460" s="242">
        <v>0</v>
      </c>
      <c r="O460" s="242">
        <v>0</v>
      </c>
      <c r="P460" s="242">
        <v>0</v>
      </c>
      <c r="Q460" s="242">
        <v>-105</v>
      </c>
      <c r="R460" s="337">
        <v>0</v>
      </c>
      <c r="S460" s="336">
        <v>0</v>
      </c>
      <c r="T460" s="336">
        <v>0</v>
      </c>
      <c r="U460" s="336">
        <v>0</v>
      </c>
    </row>
    <row r="461" spans="2:21" s="22" customFormat="1" ht="27">
      <c r="B461" s="15">
        <f t="shared" si="11"/>
        <v>50</v>
      </c>
      <c r="C461" s="249" t="s">
        <v>1647</v>
      </c>
      <c r="D461" s="254" t="s">
        <v>314</v>
      </c>
      <c r="E461" s="250">
        <v>120203</v>
      </c>
      <c r="F461" s="341" t="s">
        <v>1648</v>
      </c>
      <c r="G461" s="233">
        <v>40902</v>
      </c>
      <c r="H461" s="228" t="s">
        <v>119</v>
      </c>
      <c r="I461" s="242">
        <v>0</v>
      </c>
      <c r="J461" s="242">
        <v>0</v>
      </c>
      <c r="K461" s="242">
        <v>0</v>
      </c>
      <c r="L461" s="242">
        <v>0</v>
      </c>
      <c r="M461" s="242">
        <v>0</v>
      </c>
      <c r="N461" s="242">
        <v>0</v>
      </c>
      <c r="O461" s="242">
        <v>0</v>
      </c>
      <c r="P461" s="242">
        <v>0</v>
      </c>
      <c r="Q461" s="242">
        <v>-6010</v>
      </c>
      <c r="R461" s="337">
        <v>0</v>
      </c>
      <c r="S461" s="336">
        <v>0</v>
      </c>
      <c r="T461" s="336">
        <v>0</v>
      </c>
      <c r="U461" s="336">
        <v>0</v>
      </c>
    </row>
    <row r="462" spans="2:21" s="22" customFormat="1" ht="40.5">
      <c r="B462" s="15">
        <f t="shared" si="11"/>
        <v>51</v>
      </c>
      <c r="C462" s="249" t="s">
        <v>1754</v>
      </c>
      <c r="D462" s="254">
        <v>1</v>
      </c>
      <c r="E462" s="250">
        <v>7288</v>
      </c>
      <c r="F462" s="341" t="s">
        <v>1752</v>
      </c>
      <c r="G462" s="233">
        <v>40928</v>
      </c>
      <c r="H462" s="228" t="s">
        <v>368</v>
      </c>
      <c r="I462" s="270">
        <v>44580</v>
      </c>
      <c r="J462" s="242">
        <v>3653</v>
      </c>
      <c r="K462" s="242">
        <v>802</v>
      </c>
      <c r="L462" s="242">
        <v>2851</v>
      </c>
      <c r="M462" s="242">
        <v>364</v>
      </c>
      <c r="N462" s="242">
        <v>5911</v>
      </c>
      <c r="O462" s="242">
        <v>5518</v>
      </c>
      <c r="P462" s="242">
        <v>2486</v>
      </c>
      <c r="Q462" s="242">
        <v>5154</v>
      </c>
      <c r="R462" s="337">
        <v>294</v>
      </c>
      <c r="S462" s="336">
        <v>972</v>
      </c>
      <c r="T462" s="336">
        <v>5518</v>
      </c>
      <c r="U462" s="336">
        <v>0</v>
      </c>
    </row>
    <row r="463" spans="2:21" s="22" customFormat="1" ht="40.5">
      <c r="B463" s="15">
        <f t="shared" si="11"/>
        <v>52</v>
      </c>
      <c r="C463" s="249" t="s">
        <v>1755</v>
      </c>
      <c r="D463" s="254">
        <v>3</v>
      </c>
      <c r="E463" s="250">
        <f>23427</f>
        <v>23427</v>
      </c>
      <c r="F463" s="341" t="s">
        <v>1752</v>
      </c>
      <c r="G463" s="233">
        <v>40928</v>
      </c>
      <c r="H463" s="228" t="s">
        <v>368</v>
      </c>
      <c r="I463" s="270">
        <v>44580</v>
      </c>
      <c r="J463" s="242">
        <v>3653</v>
      </c>
      <c r="K463" s="242">
        <v>802</v>
      </c>
      <c r="L463" s="242">
        <v>2851</v>
      </c>
      <c r="M463" s="242">
        <v>1171</v>
      </c>
      <c r="N463" s="242">
        <v>18998</v>
      </c>
      <c r="O463" s="242">
        <v>17737</v>
      </c>
      <c r="P463" s="242">
        <v>2486</v>
      </c>
      <c r="Q463" s="242">
        <v>16566</v>
      </c>
      <c r="R463" s="337">
        <v>294</v>
      </c>
      <c r="S463" s="336">
        <v>3131</v>
      </c>
      <c r="T463" s="336">
        <v>17737</v>
      </c>
      <c r="U463" s="336">
        <v>0</v>
      </c>
    </row>
    <row r="464" spans="2:21" s="22" customFormat="1" ht="40.5">
      <c r="B464" s="15">
        <f t="shared" si="11"/>
        <v>53</v>
      </c>
      <c r="C464" s="249" t="s">
        <v>1756</v>
      </c>
      <c r="D464" s="254">
        <v>1</v>
      </c>
      <c r="E464" s="250">
        <v>31236</v>
      </c>
      <c r="F464" s="341" t="s">
        <v>1752</v>
      </c>
      <c r="G464" s="233">
        <v>40928</v>
      </c>
      <c r="H464" s="228" t="s">
        <v>368</v>
      </c>
      <c r="I464" s="270">
        <v>44580</v>
      </c>
      <c r="J464" s="242">
        <v>3653</v>
      </c>
      <c r="K464" s="242">
        <v>802</v>
      </c>
      <c r="L464" s="242">
        <v>2851</v>
      </c>
      <c r="M464" s="242">
        <v>1562</v>
      </c>
      <c r="N464" s="242">
        <v>25331</v>
      </c>
      <c r="O464" s="242">
        <v>23650</v>
      </c>
      <c r="P464" s="242">
        <v>2486</v>
      </c>
      <c r="Q464" s="242">
        <v>22088</v>
      </c>
      <c r="R464" s="337">
        <v>294</v>
      </c>
      <c r="S464" s="336">
        <v>4174</v>
      </c>
      <c r="T464" s="336">
        <v>23650</v>
      </c>
      <c r="U464" s="336">
        <v>0</v>
      </c>
    </row>
    <row r="465" spans="2:21" s="22" customFormat="1" ht="40.5">
      <c r="B465" s="15">
        <f t="shared" si="11"/>
        <v>54</v>
      </c>
      <c r="C465" s="249" t="s">
        <v>1757</v>
      </c>
      <c r="D465" s="254">
        <v>1</v>
      </c>
      <c r="E465" s="250">
        <v>46854</v>
      </c>
      <c r="F465" s="341" t="s">
        <v>1752</v>
      </c>
      <c r="G465" s="233">
        <v>40928</v>
      </c>
      <c r="H465" s="228" t="s">
        <v>368</v>
      </c>
      <c r="I465" s="270">
        <v>44580</v>
      </c>
      <c r="J465" s="242">
        <v>3653</v>
      </c>
      <c r="K465" s="242">
        <v>802</v>
      </c>
      <c r="L465" s="242">
        <v>2851</v>
      </c>
      <c r="M465" s="242">
        <v>2343</v>
      </c>
      <c r="N465" s="242">
        <v>37996</v>
      </c>
      <c r="O465" s="242">
        <v>35475</v>
      </c>
      <c r="P465" s="242">
        <v>2486</v>
      </c>
      <c r="Q465" s="242">
        <v>33132</v>
      </c>
      <c r="R465" s="337">
        <v>294</v>
      </c>
      <c r="S465" s="336">
        <v>6259</v>
      </c>
      <c r="T465" s="336">
        <v>35475</v>
      </c>
      <c r="U465" s="336">
        <v>0</v>
      </c>
    </row>
    <row r="466" spans="2:21" s="22" customFormat="1" ht="27">
      <c r="B466" s="15">
        <f t="shared" si="11"/>
        <v>55</v>
      </c>
      <c r="C466" s="249" t="s">
        <v>1911</v>
      </c>
      <c r="D466" s="254">
        <v>1</v>
      </c>
      <c r="E466" s="250">
        <v>33075</v>
      </c>
      <c r="F466" s="341" t="s">
        <v>1912</v>
      </c>
      <c r="G466" s="233">
        <v>41125</v>
      </c>
      <c r="H466" s="228" t="s">
        <v>368</v>
      </c>
      <c r="I466" s="270">
        <v>44776</v>
      </c>
      <c r="J466" s="242">
        <v>3652</v>
      </c>
      <c r="K466" s="242">
        <v>605</v>
      </c>
      <c r="L466" s="242">
        <v>3047</v>
      </c>
      <c r="M466" s="242">
        <v>1654</v>
      </c>
      <c r="N466" s="242">
        <v>27950</v>
      </c>
      <c r="O466" s="242">
        <v>26256</v>
      </c>
      <c r="P466" s="242">
        <v>2682</v>
      </c>
      <c r="Q466" s="242">
        <v>24602</v>
      </c>
      <c r="R466" s="337">
        <v>365</v>
      </c>
      <c r="S466" s="336">
        <v>3348</v>
      </c>
      <c r="T466" s="336">
        <v>23454</v>
      </c>
      <c r="U466" s="336">
        <v>2802</v>
      </c>
    </row>
    <row r="467" spans="2:21" s="22" customFormat="1" ht="27">
      <c r="B467" s="15">
        <f t="shared" si="11"/>
        <v>56</v>
      </c>
      <c r="C467" s="249" t="s">
        <v>1942</v>
      </c>
      <c r="D467" s="254">
        <v>1</v>
      </c>
      <c r="E467" s="250">
        <v>800</v>
      </c>
      <c r="F467" s="341" t="s">
        <v>1941</v>
      </c>
      <c r="G467" s="233">
        <v>41191</v>
      </c>
      <c r="H467" s="228" t="s">
        <v>161</v>
      </c>
      <c r="I467" s="242">
        <v>0</v>
      </c>
      <c r="J467" s="242">
        <v>0</v>
      </c>
      <c r="K467" s="242">
        <v>0</v>
      </c>
      <c r="L467" s="242">
        <v>0</v>
      </c>
      <c r="M467" s="242">
        <v>0</v>
      </c>
      <c r="N467" s="242">
        <v>0</v>
      </c>
      <c r="O467" s="242">
        <v>0</v>
      </c>
      <c r="P467" s="242">
        <v>0</v>
      </c>
      <c r="Q467" s="242">
        <v>-40</v>
      </c>
      <c r="R467" s="337">
        <v>0</v>
      </c>
      <c r="S467" s="336">
        <v>0</v>
      </c>
      <c r="T467" s="336">
        <v>0</v>
      </c>
      <c r="U467" s="336">
        <v>0</v>
      </c>
    </row>
    <row r="468" spans="2:21" s="22" customFormat="1" ht="27">
      <c r="B468" s="15">
        <f t="shared" si="11"/>
        <v>57</v>
      </c>
      <c r="C468" s="249" t="s">
        <v>2019</v>
      </c>
      <c r="D468" s="254">
        <v>1</v>
      </c>
      <c r="E468" s="250">
        <v>23002</v>
      </c>
      <c r="F468" s="341" t="s">
        <v>2020</v>
      </c>
      <c r="G468" s="233">
        <v>41298</v>
      </c>
      <c r="H468" s="228" t="s">
        <v>368</v>
      </c>
      <c r="I468" s="270">
        <v>44949</v>
      </c>
      <c r="J468" s="242">
        <v>3652</v>
      </c>
      <c r="K468" s="242">
        <v>432</v>
      </c>
      <c r="L468" s="242">
        <v>3220</v>
      </c>
      <c r="M468" s="242">
        <v>1150</v>
      </c>
      <c r="N468" s="242">
        <v>20129</v>
      </c>
      <c r="O468" s="242">
        <v>18997</v>
      </c>
      <c r="P468" s="242">
        <v>2855</v>
      </c>
      <c r="Q468" s="242">
        <v>17847</v>
      </c>
      <c r="R468" s="337">
        <v>365</v>
      </c>
      <c r="S468" s="336">
        <v>2282</v>
      </c>
      <c r="T468" s="336">
        <v>15986</v>
      </c>
      <c r="U468" s="336">
        <v>3011</v>
      </c>
    </row>
    <row r="469" spans="2:21" s="22" customFormat="1" ht="27">
      <c r="B469" s="15">
        <f t="shared" si="11"/>
        <v>58</v>
      </c>
      <c r="C469" s="249" t="s">
        <v>2210</v>
      </c>
      <c r="D469" s="254">
        <v>48</v>
      </c>
      <c r="E469" s="250">
        <v>142272</v>
      </c>
      <c r="F469" s="341" t="s">
        <v>2111</v>
      </c>
      <c r="G469" s="233">
        <v>41370</v>
      </c>
      <c r="H469" s="228" t="s">
        <v>368</v>
      </c>
      <c r="I469" s="242">
        <v>0</v>
      </c>
      <c r="J469" s="242">
        <v>0</v>
      </c>
      <c r="K469" s="242">
        <v>0</v>
      </c>
      <c r="L469" s="242">
        <v>0</v>
      </c>
      <c r="M469" s="242">
        <v>0</v>
      </c>
      <c r="N469" s="242">
        <v>0</v>
      </c>
      <c r="O469" s="242">
        <v>0</v>
      </c>
      <c r="P469" s="242">
        <v>0</v>
      </c>
      <c r="Q469" s="242">
        <v>-7114</v>
      </c>
      <c r="R469" s="337">
        <v>0</v>
      </c>
      <c r="S469" s="336">
        <v>0</v>
      </c>
      <c r="T469" s="336">
        <v>0</v>
      </c>
      <c r="U469" s="336">
        <v>0</v>
      </c>
    </row>
    <row r="470" spans="2:21" s="22" customFormat="1" ht="27">
      <c r="B470" s="15">
        <f t="shared" si="11"/>
        <v>59</v>
      </c>
      <c r="C470" s="249" t="s">
        <v>2371</v>
      </c>
      <c r="D470" s="254">
        <v>1</v>
      </c>
      <c r="E470" s="250">
        <v>25103</v>
      </c>
      <c r="F470" s="341" t="s">
        <v>2372</v>
      </c>
      <c r="G470" s="233">
        <v>41698</v>
      </c>
      <c r="H470" s="228" t="s">
        <v>368</v>
      </c>
      <c r="I470" s="270">
        <v>45349</v>
      </c>
      <c r="J470" s="242">
        <v>3652</v>
      </c>
      <c r="K470" s="242">
        <v>32</v>
      </c>
      <c r="L470" s="242">
        <v>3620</v>
      </c>
      <c r="M470" s="242">
        <v>1255</v>
      </c>
      <c r="N470" s="242">
        <v>23709</v>
      </c>
      <c r="O470" s="242">
        <v>22573</v>
      </c>
      <c r="P470" s="242">
        <v>3255</v>
      </c>
      <c r="Q470" s="242">
        <v>21318</v>
      </c>
      <c r="R470" s="337">
        <v>365</v>
      </c>
      <c r="S470" s="336">
        <v>2390</v>
      </c>
      <c r="T470" s="336">
        <v>16744</v>
      </c>
      <c r="U470" s="336">
        <v>5829</v>
      </c>
    </row>
    <row r="471" spans="2:21" s="22" customFormat="1" ht="27">
      <c r="B471" s="15">
        <f t="shared" si="11"/>
        <v>60</v>
      </c>
      <c r="C471" s="249" t="s">
        <v>2373</v>
      </c>
      <c r="D471" s="254">
        <v>1</v>
      </c>
      <c r="E471" s="250">
        <v>25104</v>
      </c>
      <c r="F471" s="341" t="s">
        <v>2374</v>
      </c>
      <c r="G471" s="233">
        <v>41640</v>
      </c>
      <c r="H471" s="228" t="s">
        <v>368</v>
      </c>
      <c r="I471" s="270">
        <v>45291</v>
      </c>
      <c r="J471" s="242">
        <v>3652</v>
      </c>
      <c r="K471" s="242">
        <v>90</v>
      </c>
      <c r="L471" s="242">
        <v>3562</v>
      </c>
      <c r="M471" s="242">
        <v>1255</v>
      </c>
      <c r="N471" s="242">
        <v>23457</v>
      </c>
      <c r="O471" s="242">
        <v>22308</v>
      </c>
      <c r="P471" s="242">
        <v>3197</v>
      </c>
      <c r="Q471" s="242">
        <v>21053</v>
      </c>
      <c r="R471" s="337">
        <v>365</v>
      </c>
      <c r="S471" s="336">
        <v>2404</v>
      </c>
      <c r="T471" s="336">
        <v>16840</v>
      </c>
      <c r="U471" s="336">
        <v>5468</v>
      </c>
    </row>
    <row r="472" spans="2:21" s="22" customFormat="1" ht="40.5">
      <c r="B472" s="15">
        <f t="shared" si="11"/>
        <v>61</v>
      </c>
      <c r="C472" s="249" t="s">
        <v>2698</v>
      </c>
      <c r="D472" s="254">
        <v>1</v>
      </c>
      <c r="E472" s="250">
        <f>167005+1273</f>
        <v>168278</v>
      </c>
      <c r="F472" s="341" t="s">
        <v>2679</v>
      </c>
      <c r="G472" s="233">
        <v>42005</v>
      </c>
      <c r="H472" s="228" t="s">
        <v>368</v>
      </c>
      <c r="I472" s="270">
        <v>45657</v>
      </c>
      <c r="J472" s="242">
        <v>3653</v>
      </c>
      <c r="K472" s="242">
        <v>0</v>
      </c>
      <c r="L472" s="242">
        <v>3653</v>
      </c>
      <c r="M472" s="242">
        <v>8414</v>
      </c>
      <c r="N472" s="242">
        <v>159864</v>
      </c>
      <c r="O472" s="242">
        <v>164339</v>
      </c>
      <c r="P472" s="242">
        <v>3563</v>
      </c>
      <c r="Q472" s="242">
        <v>155925</v>
      </c>
      <c r="R472" s="337">
        <v>365</v>
      </c>
      <c r="S472" s="336">
        <v>15973</v>
      </c>
      <c r="T472" s="336">
        <v>111899</v>
      </c>
      <c r="U472" s="336">
        <v>52440</v>
      </c>
    </row>
    <row r="473" spans="2:21" s="22" customFormat="1" ht="40.5">
      <c r="B473" s="15">
        <f t="shared" si="11"/>
        <v>62</v>
      </c>
      <c r="C473" s="249" t="s">
        <v>2706</v>
      </c>
      <c r="D473" s="254">
        <v>1</v>
      </c>
      <c r="E473" s="250">
        <f>12761+97</f>
        <v>12858</v>
      </c>
      <c r="F473" s="341" t="s">
        <v>2679</v>
      </c>
      <c r="G473" s="233">
        <v>42005</v>
      </c>
      <c r="H473" s="228" t="s">
        <v>368</v>
      </c>
      <c r="I473" s="270">
        <v>45657</v>
      </c>
      <c r="J473" s="242">
        <v>3653</v>
      </c>
      <c r="K473" s="242">
        <v>0</v>
      </c>
      <c r="L473" s="242">
        <v>3653</v>
      </c>
      <c r="M473" s="242">
        <v>643</v>
      </c>
      <c r="N473" s="242">
        <v>12215</v>
      </c>
      <c r="O473" s="242">
        <v>12557</v>
      </c>
      <c r="P473" s="242">
        <v>3563</v>
      </c>
      <c r="Q473" s="242">
        <v>11914</v>
      </c>
      <c r="R473" s="337">
        <v>365</v>
      </c>
      <c r="S473" s="336">
        <v>1220</v>
      </c>
      <c r="T473" s="336">
        <v>8548</v>
      </c>
      <c r="U473" s="336">
        <v>4009</v>
      </c>
    </row>
    <row r="474" spans="2:21" s="22" customFormat="1" ht="40.5">
      <c r="B474" s="15">
        <f t="shared" si="11"/>
        <v>63</v>
      </c>
      <c r="C474" s="249" t="s">
        <v>2706</v>
      </c>
      <c r="D474" s="254">
        <v>1</v>
      </c>
      <c r="E474" s="250">
        <f>5317+41</f>
        <v>5358</v>
      </c>
      <c r="F474" s="341" t="s">
        <v>2679</v>
      </c>
      <c r="G474" s="233">
        <v>42005</v>
      </c>
      <c r="H474" s="228" t="s">
        <v>368</v>
      </c>
      <c r="I474" s="270">
        <v>45657</v>
      </c>
      <c r="J474" s="242">
        <v>3653</v>
      </c>
      <c r="K474" s="242">
        <v>0</v>
      </c>
      <c r="L474" s="242">
        <v>3653</v>
      </c>
      <c r="M474" s="242">
        <v>268</v>
      </c>
      <c r="N474" s="242">
        <v>5090</v>
      </c>
      <c r="O474" s="242">
        <v>5233</v>
      </c>
      <c r="P474" s="242">
        <v>3563</v>
      </c>
      <c r="Q474" s="242">
        <v>4965</v>
      </c>
      <c r="R474" s="337">
        <v>365</v>
      </c>
      <c r="S474" s="336">
        <v>509</v>
      </c>
      <c r="T474" s="336">
        <v>3565</v>
      </c>
      <c r="U474" s="336">
        <v>1668</v>
      </c>
    </row>
    <row r="475" spans="2:21" s="22" customFormat="1" ht="40.5">
      <c r="B475" s="15">
        <f t="shared" si="11"/>
        <v>64</v>
      </c>
      <c r="C475" s="249" t="s">
        <v>2706</v>
      </c>
      <c r="D475" s="254">
        <v>1</v>
      </c>
      <c r="E475" s="250">
        <f>9182+70</f>
        <v>9252</v>
      </c>
      <c r="F475" s="341" t="s">
        <v>2679</v>
      </c>
      <c r="G475" s="233">
        <v>42005</v>
      </c>
      <c r="H475" s="228" t="s">
        <v>368</v>
      </c>
      <c r="I475" s="270">
        <v>45657</v>
      </c>
      <c r="J475" s="242">
        <v>3653</v>
      </c>
      <c r="K475" s="242">
        <v>0</v>
      </c>
      <c r="L475" s="242">
        <v>3653</v>
      </c>
      <c r="M475" s="242">
        <v>463</v>
      </c>
      <c r="N475" s="242">
        <v>8789</v>
      </c>
      <c r="O475" s="242">
        <v>9035</v>
      </c>
      <c r="P475" s="242">
        <v>3563</v>
      </c>
      <c r="Q475" s="242">
        <v>8572</v>
      </c>
      <c r="R475" s="337">
        <v>365</v>
      </c>
      <c r="S475" s="336">
        <v>878</v>
      </c>
      <c r="T475" s="336">
        <v>6152</v>
      </c>
      <c r="U475" s="336">
        <v>2883</v>
      </c>
    </row>
    <row r="476" spans="2:21" s="22" customFormat="1" ht="40.5">
      <c r="B476" s="15">
        <f t="shared" si="11"/>
        <v>65</v>
      </c>
      <c r="C476" s="249" t="s">
        <v>2706</v>
      </c>
      <c r="D476" s="254">
        <v>2</v>
      </c>
      <c r="E476" s="250">
        <f>19134+146</f>
        <v>19280</v>
      </c>
      <c r="F476" s="341" t="s">
        <v>2679</v>
      </c>
      <c r="G476" s="233">
        <v>42005</v>
      </c>
      <c r="H476" s="228" t="s">
        <v>368</v>
      </c>
      <c r="I476" s="270">
        <v>45657</v>
      </c>
      <c r="J476" s="242">
        <v>3653</v>
      </c>
      <c r="K476" s="242">
        <v>0</v>
      </c>
      <c r="L476" s="242">
        <v>3653</v>
      </c>
      <c r="M476" s="242">
        <v>964</v>
      </c>
      <c r="N476" s="242">
        <v>18316</v>
      </c>
      <c r="O476" s="242">
        <v>18829</v>
      </c>
      <c r="P476" s="242">
        <v>3563</v>
      </c>
      <c r="Q476" s="242">
        <v>17865</v>
      </c>
      <c r="R476" s="337">
        <v>365</v>
      </c>
      <c r="S476" s="336">
        <v>1830</v>
      </c>
      <c r="T476" s="336">
        <v>12820</v>
      </c>
      <c r="U476" s="336">
        <v>6009</v>
      </c>
    </row>
    <row r="477" spans="2:21" s="22" customFormat="1" ht="40.5">
      <c r="B477" s="15">
        <f t="shared" si="11"/>
        <v>66</v>
      </c>
      <c r="C477" s="249" t="s">
        <v>2706</v>
      </c>
      <c r="D477" s="254">
        <v>2</v>
      </c>
      <c r="E477" s="250">
        <f>9626+73</f>
        <v>9699</v>
      </c>
      <c r="F477" s="341" t="s">
        <v>2679</v>
      </c>
      <c r="G477" s="233">
        <v>42005</v>
      </c>
      <c r="H477" s="228" t="s">
        <v>368</v>
      </c>
      <c r="I477" s="270">
        <v>45657</v>
      </c>
      <c r="J477" s="242">
        <v>3653</v>
      </c>
      <c r="K477" s="242">
        <v>0</v>
      </c>
      <c r="L477" s="242">
        <v>3653</v>
      </c>
      <c r="M477" s="242">
        <v>485</v>
      </c>
      <c r="N477" s="242">
        <v>9214</v>
      </c>
      <c r="O477" s="242">
        <v>9472</v>
      </c>
      <c r="P477" s="242">
        <v>3563</v>
      </c>
      <c r="Q477" s="242">
        <v>8987</v>
      </c>
      <c r="R477" s="337">
        <v>365</v>
      </c>
      <c r="S477" s="336">
        <v>921</v>
      </c>
      <c r="T477" s="336">
        <v>6451</v>
      </c>
      <c r="U477" s="336">
        <v>3021</v>
      </c>
    </row>
    <row r="478" spans="2:21" s="22" customFormat="1" ht="40.5">
      <c r="B478" s="15">
        <f t="shared" si="11"/>
        <v>67</v>
      </c>
      <c r="C478" s="249" t="s">
        <v>2706</v>
      </c>
      <c r="D478" s="254">
        <v>6</v>
      </c>
      <c r="E478" s="250">
        <f>43221+329</f>
        <v>43550</v>
      </c>
      <c r="F478" s="341" t="s">
        <v>2679</v>
      </c>
      <c r="G478" s="233">
        <v>42005</v>
      </c>
      <c r="H478" s="228" t="s">
        <v>368</v>
      </c>
      <c r="I478" s="270">
        <v>45657</v>
      </c>
      <c r="J478" s="242">
        <v>3653</v>
      </c>
      <c r="K478" s="242">
        <v>0</v>
      </c>
      <c r="L478" s="242">
        <v>3653</v>
      </c>
      <c r="M478" s="242">
        <v>2178</v>
      </c>
      <c r="N478" s="242">
        <v>41372</v>
      </c>
      <c r="O478" s="242">
        <v>42531</v>
      </c>
      <c r="P478" s="242">
        <v>3563</v>
      </c>
      <c r="Q478" s="242">
        <v>40354</v>
      </c>
      <c r="R478" s="337">
        <v>365</v>
      </c>
      <c r="S478" s="336">
        <v>4134</v>
      </c>
      <c r="T478" s="336">
        <v>28960</v>
      </c>
      <c r="U478" s="336">
        <v>13571</v>
      </c>
    </row>
    <row r="479" spans="2:21" s="22" customFormat="1" ht="40.5">
      <c r="B479" s="15">
        <f t="shared" ref="B479:B489" si="12">+B478+1</f>
        <v>68</v>
      </c>
      <c r="C479" s="249" t="s">
        <v>2711</v>
      </c>
      <c r="D479" s="254">
        <v>5</v>
      </c>
      <c r="E479" s="250">
        <f>23621+180</f>
        <v>23801</v>
      </c>
      <c r="F479" s="341" t="s">
        <v>2679</v>
      </c>
      <c r="G479" s="233">
        <v>42005</v>
      </c>
      <c r="H479" s="228" t="s">
        <v>368</v>
      </c>
      <c r="I479" s="270">
        <v>45657</v>
      </c>
      <c r="J479" s="242">
        <v>3653</v>
      </c>
      <c r="K479" s="242">
        <v>0</v>
      </c>
      <c r="L479" s="242">
        <v>3653</v>
      </c>
      <c r="M479" s="242">
        <v>1190</v>
      </c>
      <c r="N479" s="242">
        <v>22611</v>
      </c>
      <c r="O479" s="242">
        <v>23244</v>
      </c>
      <c r="P479" s="242">
        <v>3563</v>
      </c>
      <c r="Q479" s="242">
        <v>22054</v>
      </c>
      <c r="R479" s="337">
        <v>365</v>
      </c>
      <c r="S479" s="336">
        <v>2259</v>
      </c>
      <c r="T479" s="336">
        <v>15825</v>
      </c>
      <c r="U479" s="336">
        <v>7419</v>
      </c>
    </row>
    <row r="480" spans="2:21" s="22" customFormat="1" ht="40.5">
      <c r="B480" s="15">
        <f t="shared" si="12"/>
        <v>69</v>
      </c>
      <c r="C480" s="249" t="s">
        <v>2713</v>
      </c>
      <c r="D480" s="254">
        <v>3</v>
      </c>
      <c r="E480" s="250">
        <f>17863+136</f>
        <v>17999</v>
      </c>
      <c r="F480" s="341" t="s">
        <v>2679</v>
      </c>
      <c r="G480" s="233">
        <v>42005</v>
      </c>
      <c r="H480" s="228" t="s">
        <v>368</v>
      </c>
      <c r="I480" s="270">
        <v>45657</v>
      </c>
      <c r="J480" s="242">
        <v>3653</v>
      </c>
      <c r="K480" s="242">
        <v>0</v>
      </c>
      <c r="L480" s="242">
        <v>3653</v>
      </c>
      <c r="M480" s="242">
        <v>900</v>
      </c>
      <c r="N480" s="242">
        <v>17099</v>
      </c>
      <c r="O480" s="242">
        <v>17578</v>
      </c>
      <c r="P480" s="242">
        <v>3563</v>
      </c>
      <c r="Q480" s="242">
        <v>16678</v>
      </c>
      <c r="R480" s="337">
        <v>365</v>
      </c>
      <c r="S480" s="336">
        <v>1709</v>
      </c>
      <c r="T480" s="336">
        <v>11971</v>
      </c>
      <c r="U480" s="336">
        <v>5607</v>
      </c>
    </row>
    <row r="481" spans="2:21" s="22" customFormat="1" ht="40.5">
      <c r="B481" s="15">
        <f t="shared" si="12"/>
        <v>70</v>
      </c>
      <c r="C481" s="249" t="s">
        <v>2722</v>
      </c>
      <c r="D481" s="254">
        <v>1</v>
      </c>
      <c r="E481" s="250">
        <f>10217+78</f>
        <v>10295</v>
      </c>
      <c r="F481" s="341" t="s">
        <v>2679</v>
      </c>
      <c r="G481" s="233">
        <v>42005</v>
      </c>
      <c r="H481" s="228" t="s">
        <v>368</v>
      </c>
      <c r="I481" s="270">
        <v>45657</v>
      </c>
      <c r="J481" s="242">
        <v>3653</v>
      </c>
      <c r="K481" s="242">
        <v>0</v>
      </c>
      <c r="L481" s="242">
        <v>3653</v>
      </c>
      <c r="M481" s="242">
        <v>515</v>
      </c>
      <c r="N481" s="242">
        <v>9780</v>
      </c>
      <c r="O481" s="242">
        <v>10054</v>
      </c>
      <c r="P481" s="242">
        <v>3563</v>
      </c>
      <c r="Q481" s="242">
        <v>9539</v>
      </c>
      <c r="R481" s="337">
        <v>365</v>
      </c>
      <c r="S481" s="336">
        <v>977</v>
      </c>
      <c r="T481" s="336">
        <v>6845</v>
      </c>
      <c r="U481" s="336">
        <v>3209</v>
      </c>
    </row>
    <row r="482" spans="2:21" s="22" customFormat="1" ht="40.5">
      <c r="B482" s="15">
        <f t="shared" si="12"/>
        <v>71</v>
      </c>
      <c r="C482" s="249" t="s">
        <v>2724</v>
      </c>
      <c r="D482" s="254">
        <v>1</v>
      </c>
      <c r="E482" s="250">
        <f>8491+65</f>
        <v>8556</v>
      </c>
      <c r="F482" s="341" t="s">
        <v>2679</v>
      </c>
      <c r="G482" s="233">
        <v>42005</v>
      </c>
      <c r="H482" s="228" t="s">
        <v>368</v>
      </c>
      <c r="I482" s="270">
        <v>45657</v>
      </c>
      <c r="J482" s="242">
        <v>3653</v>
      </c>
      <c r="K482" s="242">
        <v>0</v>
      </c>
      <c r="L482" s="242">
        <v>3653</v>
      </c>
      <c r="M482" s="242">
        <v>428</v>
      </c>
      <c r="N482" s="242">
        <v>8128</v>
      </c>
      <c r="O482" s="242">
        <v>8356</v>
      </c>
      <c r="P482" s="242">
        <v>3563</v>
      </c>
      <c r="Q482" s="242">
        <v>7928</v>
      </c>
      <c r="R482" s="337">
        <v>365</v>
      </c>
      <c r="S482" s="336">
        <v>812</v>
      </c>
      <c r="T482" s="336">
        <v>5688</v>
      </c>
      <c r="U482" s="336">
        <v>2668</v>
      </c>
    </row>
    <row r="483" spans="2:21" s="22" customFormat="1" ht="40.5">
      <c r="B483" s="15">
        <f t="shared" si="12"/>
        <v>72</v>
      </c>
      <c r="C483" s="249" t="s">
        <v>2726</v>
      </c>
      <c r="D483" s="254">
        <v>6</v>
      </c>
      <c r="E483" s="250">
        <f>2439+19</f>
        <v>2458</v>
      </c>
      <c r="F483" s="341" t="s">
        <v>2679</v>
      </c>
      <c r="G483" s="233">
        <v>42005</v>
      </c>
      <c r="H483" s="228" t="s">
        <v>368</v>
      </c>
      <c r="I483" s="270">
        <v>45657</v>
      </c>
      <c r="J483" s="242">
        <v>3653</v>
      </c>
      <c r="K483" s="242">
        <v>0</v>
      </c>
      <c r="L483" s="242">
        <v>3653</v>
      </c>
      <c r="M483" s="242">
        <v>123</v>
      </c>
      <c r="N483" s="242">
        <v>2335</v>
      </c>
      <c r="O483" s="242">
        <v>2400</v>
      </c>
      <c r="P483" s="242">
        <v>3563</v>
      </c>
      <c r="Q483" s="242">
        <v>2277</v>
      </c>
      <c r="R483" s="337">
        <v>365</v>
      </c>
      <c r="S483" s="336">
        <v>233</v>
      </c>
      <c r="T483" s="336">
        <v>1633</v>
      </c>
      <c r="U483" s="336">
        <v>767</v>
      </c>
    </row>
    <row r="484" spans="2:21" s="22" customFormat="1" ht="67.5">
      <c r="B484" s="15">
        <f t="shared" si="12"/>
        <v>73</v>
      </c>
      <c r="C484" s="249" t="s">
        <v>2735</v>
      </c>
      <c r="D484" s="254">
        <v>5</v>
      </c>
      <c r="E484" s="250">
        <v>2</v>
      </c>
      <c r="F484" s="341" t="s">
        <v>2736</v>
      </c>
      <c r="G484" s="233">
        <v>42005</v>
      </c>
      <c r="H484" s="228" t="s">
        <v>368</v>
      </c>
      <c r="I484" s="270">
        <v>45657</v>
      </c>
      <c r="J484" s="242">
        <v>3653</v>
      </c>
      <c r="K484" s="242">
        <v>0</v>
      </c>
      <c r="L484" s="242">
        <v>3653</v>
      </c>
      <c r="M484" s="242">
        <v>0</v>
      </c>
      <c r="N484" s="242">
        <v>2</v>
      </c>
      <c r="O484" s="242">
        <v>2</v>
      </c>
      <c r="P484" s="242">
        <v>3563</v>
      </c>
      <c r="Q484" s="242">
        <v>2</v>
      </c>
      <c r="R484" s="337">
        <v>0</v>
      </c>
      <c r="S484" s="336">
        <v>0</v>
      </c>
      <c r="T484" s="336">
        <v>2</v>
      </c>
      <c r="U484" s="336">
        <v>0</v>
      </c>
    </row>
    <row r="485" spans="2:21" s="22" customFormat="1" ht="40.5">
      <c r="B485" s="15">
        <f t="shared" si="12"/>
        <v>74</v>
      </c>
      <c r="C485" s="249" t="s">
        <v>599</v>
      </c>
      <c r="D485" s="254">
        <v>1</v>
      </c>
      <c r="E485" s="250">
        <v>12601</v>
      </c>
      <c r="F485" s="249" t="s">
        <v>2742</v>
      </c>
      <c r="G485" s="233">
        <v>42005</v>
      </c>
      <c r="H485" s="228" t="s">
        <v>368</v>
      </c>
      <c r="I485" s="270">
        <v>45657</v>
      </c>
      <c r="J485" s="242">
        <v>3653</v>
      </c>
      <c r="K485" s="242">
        <v>0</v>
      </c>
      <c r="L485" s="242">
        <v>3653</v>
      </c>
      <c r="M485" s="242">
        <v>630</v>
      </c>
      <c r="N485" s="242">
        <v>11971</v>
      </c>
      <c r="O485" s="242">
        <v>12306</v>
      </c>
      <c r="P485" s="242">
        <v>3563</v>
      </c>
      <c r="Q485" s="242">
        <v>11676</v>
      </c>
      <c r="R485" s="337">
        <v>365</v>
      </c>
      <c r="S485" s="336">
        <v>1196</v>
      </c>
      <c r="T485" s="336">
        <v>8378</v>
      </c>
      <c r="U485" s="336">
        <v>3928</v>
      </c>
    </row>
    <row r="486" spans="2:21" s="22" customFormat="1">
      <c r="B486" s="15">
        <f t="shared" si="12"/>
        <v>75</v>
      </c>
      <c r="C486" s="245" t="s">
        <v>4399</v>
      </c>
      <c r="D486" s="237">
        <v>3</v>
      </c>
      <c r="E486" s="231">
        <v>29694</v>
      </c>
      <c r="F486" s="237">
        <v>61</v>
      </c>
      <c r="G486" s="238">
        <v>43906</v>
      </c>
      <c r="H486" s="395" t="s">
        <v>288</v>
      </c>
      <c r="I486" s="270">
        <v>47557</v>
      </c>
      <c r="J486" s="242">
        <v>3652</v>
      </c>
      <c r="K486" s="242">
        <v>0</v>
      </c>
      <c r="L486" s="242">
        <v>3652</v>
      </c>
      <c r="M486" s="242">
        <v>1485</v>
      </c>
      <c r="N486" s="242">
        <v>28209</v>
      </c>
      <c r="O486" s="242">
        <v>29694</v>
      </c>
      <c r="P486" s="242">
        <v>3652</v>
      </c>
      <c r="Q486" s="242">
        <v>28209</v>
      </c>
      <c r="R486" s="251">
        <v>365</v>
      </c>
      <c r="S486" s="250">
        <v>2819</v>
      </c>
      <c r="T486" s="250">
        <v>5762</v>
      </c>
      <c r="U486" s="250">
        <v>23932</v>
      </c>
    </row>
    <row r="487" spans="2:21" s="22" customFormat="1">
      <c r="B487" s="15">
        <f t="shared" si="12"/>
        <v>76</v>
      </c>
      <c r="C487" s="245" t="s">
        <v>4399</v>
      </c>
      <c r="D487" s="237">
        <v>3</v>
      </c>
      <c r="E487" s="231">
        <v>29694</v>
      </c>
      <c r="F487" s="237">
        <v>62</v>
      </c>
      <c r="G487" s="238">
        <v>43906</v>
      </c>
      <c r="H487" s="395" t="s">
        <v>288</v>
      </c>
      <c r="I487" s="270">
        <v>47557</v>
      </c>
      <c r="J487" s="242">
        <v>3652</v>
      </c>
      <c r="K487" s="242">
        <v>0</v>
      </c>
      <c r="L487" s="242">
        <v>3652</v>
      </c>
      <c r="M487" s="242">
        <v>1485</v>
      </c>
      <c r="N487" s="242">
        <v>28209</v>
      </c>
      <c r="O487" s="242">
        <v>29694</v>
      </c>
      <c r="P487" s="242">
        <v>3652</v>
      </c>
      <c r="Q487" s="242">
        <v>28209</v>
      </c>
      <c r="R487" s="251">
        <v>365</v>
      </c>
      <c r="S487" s="250">
        <v>2819</v>
      </c>
      <c r="T487" s="250">
        <v>5762</v>
      </c>
      <c r="U487" s="250">
        <v>23932</v>
      </c>
    </row>
    <row r="488" spans="2:21" s="22" customFormat="1">
      <c r="B488" s="15">
        <f t="shared" si="12"/>
        <v>77</v>
      </c>
      <c r="C488" s="245" t="s">
        <v>4586</v>
      </c>
      <c r="D488" s="237">
        <v>13</v>
      </c>
      <c r="E488" s="231">
        <v>9741</v>
      </c>
      <c r="F488" s="237">
        <v>154</v>
      </c>
      <c r="G488" s="238">
        <v>44218</v>
      </c>
      <c r="H488" s="395" t="s">
        <v>368</v>
      </c>
      <c r="I488" s="270">
        <v>44286</v>
      </c>
      <c r="J488" s="242">
        <v>69</v>
      </c>
      <c r="K488" s="242">
        <v>0</v>
      </c>
      <c r="L488" s="242">
        <v>69</v>
      </c>
      <c r="M488" s="242">
        <v>487</v>
      </c>
      <c r="N488" s="242">
        <v>9254</v>
      </c>
      <c r="O488" s="242">
        <v>9741</v>
      </c>
      <c r="P488" s="242">
        <v>69</v>
      </c>
      <c r="Q488" s="242">
        <v>9254</v>
      </c>
      <c r="R488" s="251">
        <v>0</v>
      </c>
      <c r="S488" s="250">
        <v>0</v>
      </c>
      <c r="T488" s="250">
        <v>9741</v>
      </c>
      <c r="U488" s="250">
        <v>0</v>
      </c>
    </row>
    <row r="489" spans="2:21" s="22" customFormat="1">
      <c r="B489" s="15">
        <f t="shared" si="12"/>
        <v>78</v>
      </c>
      <c r="C489" s="245" t="s">
        <v>4587</v>
      </c>
      <c r="D489" s="237">
        <v>25</v>
      </c>
      <c r="E489" s="231">
        <v>13747</v>
      </c>
      <c r="F489" s="237">
        <v>154</v>
      </c>
      <c r="G489" s="238">
        <v>44218</v>
      </c>
      <c r="H489" s="395" t="s">
        <v>368</v>
      </c>
      <c r="I489" s="270">
        <v>44286</v>
      </c>
      <c r="J489" s="242">
        <v>69</v>
      </c>
      <c r="K489" s="242">
        <v>0</v>
      </c>
      <c r="L489" s="242">
        <v>69</v>
      </c>
      <c r="M489" s="242">
        <v>687</v>
      </c>
      <c r="N489" s="242">
        <v>13060</v>
      </c>
      <c r="O489" s="242">
        <v>13747</v>
      </c>
      <c r="P489" s="242">
        <v>69</v>
      </c>
      <c r="Q489" s="242">
        <v>13060</v>
      </c>
      <c r="R489" s="251">
        <v>0</v>
      </c>
      <c r="S489" s="250">
        <v>0</v>
      </c>
      <c r="T489" s="250">
        <v>13747</v>
      </c>
      <c r="U489" s="250">
        <v>0</v>
      </c>
    </row>
    <row r="490" spans="2:21" s="22" customFormat="1">
      <c r="B490" s="15"/>
      <c r="C490" s="249"/>
      <c r="D490" s="254"/>
      <c r="E490" s="250"/>
      <c r="F490" s="341"/>
      <c r="G490" s="233"/>
      <c r="H490" s="228"/>
      <c r="I490" s="270"/>
      <c r="J490" s="242"/>
      <c r="K490" s="242"/>
      <c r="L490" s="242"/>
      <c r="M490" s="242"/>
      <c r="N490" s="242"/>
      <c r="O490" s="242"/>
      <c r="P490" s="242"/>
      <c r="Q490" s="272"/>
      <c r="R490" s="318"/>
      <c r="S490" s="242"/>
      <c r="T490" s="242"/>
      <c r="U490" s="228"/>
    </row>
    <row r="491" spans="2:21" s="22" customFormat="1" ht="14.25">
      <c r="B491" s="32" t="s">
        <v>87</v>
      </c>
      <c r="C491" s="241"/>
      <c r="D491" s="313"/>
      <c r="E491" s="252"/>
      <c r="F491" s="313"/>
      <c r="G491" s="229"/>
      <c r="H491" s="228"/>
      <c r="I491" s="239"/>
      <c r="J491" s="239"/>
      <c r="K491" s="239"/>
      <c r="L491" s="239"/>
      <c r="M491" s="322"/>
      <c r="N491" s="239"/>
      <c r="O491" s="322"/>
      <c r="P491" s="322"/>
      <c r="Q491" s="338"/>
      <c r="R491" s="339"/>
      <c r="S491" s="322"/>
      <c r="T491" s="322"/>
      <c r="U491" s="239"/>
    </row>
    <row r="492" spans="2:21" s="22" customFormat="1">
      <c r="B492" s="15">
        <v>1</v>
      </c>
      <c r="C492" s="249" t="s">
        <v>75</v>
      </c>
      <c r="D492" s="254">
        <v>3</v>
      </c>
      <c r="E492" s="242">
        <v>45120</v>
      </c>
      <c r="F492" s="254" t="s">
        <v>76</v>
      </c>
      <c r="G492" s="233">
        <v>39741</v>
      </c>
      <c r="H492" s="228" t="s">
        <v>368</v>
      </c>
      <c r="I492" s="270">
        <v>43392</v>
      </c>
      <c r="J492" s="242">
        <v>3652</v>
      </c>
      <c r="K492" s="242">
        <v>1989</v>
      </c>
      <c r="L492" s="242">
        <v>1663</v>
      </c>
      <c r="M492" s="242">
        <v>2256</v>
      </c>
      <c r="N492" s="242">
        <v>27308.899726027397</v>
      </c>
      <c r="O492" s="242">
        <v>23570.899726027397</v>
      </c>
      <c r="P492" s="242">
        <v>1298</v>
      </c>
      <c r="Q492" s="242">
        <v>21315</v>
      </c>
      <c r="R492" s="337">
        <v>0</v>
      </c>
      <c r="S492" s="336">
        <v>0</v>
      </c>
      <c r="T492" s="336">
        <v>23571</v>
      </c>
      <c r="U492" s="336">
        <v>-0.10027397260273574</v>
      </c>
    </row>
    <row r="493" spans="2:21" s="22" customFormat="1">
      <c r="B493" s="15">
        <f>+B492+1</f>
        <v>2</v>
      </c>
      <c r="C493" s="249" t="s">
        <v>77</v>
      </c>
      <c r="D493" s="254">
        <v>1</v>
      </c>
      <c r="E493" s="242">
        <v>9631</v>
      </c>
      <c r="F493" s="254" t="s">
        <v>78</v>
      </c>
      <c r="G493" s="233">
        <v>39889</v>
      </c>
      <c r="H493" s="228" t="s">
        <v>368</v>
      </c>
      <c r="I493" s="270">
        <v>43540</v>
      </c>
      <c r="J493" s="242">
        <v>3652</v>
      </c>
      <c r="K493" s="242">
        <v>1841</v>
      </c>
      <c r="L493" s="242">
        <v>1811</v>
      </c>
      <c r="M493" s="242">
        <v>482</v>
      </c>
      <c r="N493" s="242">
        <v>6074.1997602739721</v>
      </c>
      <c r="O493" s="242">
        <v>5332.1997602739721</v>
      </c>
      <c r="P493" s="242">
        <v>1446</v>
      </c>
      <c r="Q493" s="242">
        <v>4851</v>
      </c>
      <c r="R493" s="337">
        <v>0</v>
      </c>
      <c r="S493" s="336">
        <v>0</v>
      </c>
      <c r="T493" s="336">
        <v>5332</v>
      </c>
      <c r="U493" s="336">
        <v>0.19976027397206053</v>
      </c>
    </row>
    <row r="494" spans="2:21" s="22" customFormat="1">
      <c r="B494" s="15">
        <f>+B493+1</f>
        <v>3</v>
      </c>
      <c r="C494" s="249" t="s">
        <v>974</v>
      </c>
      <c r="D494" s="254">
        <v>2</v>
      </c>
      <c r="E494" s="242">
        <v>7400</v>
      </c>
      <c r="F494" s="254">
        <v>247</v>
      </c>
      <c r="G494" s="233">
        <v>39911</v>
      </c>
      <c r="H494" s="228" t="s">
        <v>282</v>
      </c>
      <c r="I494" s="270">
        <v>0</v>
      </c>
      <c r="J494" s="242">
        <v>0</v>
      </c>
      <c r="K494" s="242">
        <v>0</v>
      </c>
      <c r="L494" s="242">
        <v>0</v>
      </c>
      <c r="M494" s="242">
        <v>0</v>
      </c>
      <c r="N494" s="242">
        <v>0</v>
      </c>
      <c r="O494" s="242">
        <v>0</v>
      </c>
      <c r="P494" s="242">
        <v>0</v>
      </c>
      <c r="Q494" s="242">
        <v>-370</v>
      </c>
      <c r="R494" s="337">
        <v>0</v>
      </c>
      <c r="S494" s="336">
        <v>0</v>
      </c>
      <c r="T494" s="336">
        <v>0</v>
      </c>
      <c r="U494" s="336">
        <v>0</v>
      </c>
    </row>
    <row r="495" spans="2:21" s="22" customFormat="1">
      <c r="B495" s="15">
        <f t="shared" ref="B495:B543" si="13">+B494+1</f>
        <v>4</v>
      </c>
      <c r="C495" s="249" t="s">
        <v>170</v>
      </c>
      <c r="D495" s="254">
        <v>12</v>
      </c>
      <c r="E495" s="242">
        <v>92717</v>
      </c>
      <c r="F495" s="254">
        <v>1011</v>
      </c>
      <c r="G495" s="233">
        <v>40096</v>
      </c>
      <c r="H495" s="228" t="s">
        <v>282</v>
      </c>
      <c r="I495" s="270">
        <v>43747</v>
      </c>
      <c r="J495" s="242">
        <v>3652</v>
      </c>
      <c r="K495" s="242">
        <v>1634</v>
      </c>
      <c r="L495" s="242">
        <v>2018</v>
      </c>
      <c r="M495" s="242">
        <v>4636</v>
      </c>
      <c r="N495" s="242">
        <v>61825</v>
      </c>
      <c r="O495" s="242">
        <v>55279</v>
      </c>
      <c r="P495" s="242">
        <v>1653</v>
      </c>
      <c r="Q495" s="242">
        <v>50643</v>
      </c>
      <c r="R495" s="337">
        <v>0</v>
      </c>
      <c r="S495" s="336">
        <v>0</v>
      </c>
      <c r="T495" s="336">
        <v>55279</v>
      </c>
      <c r="U495" s="336">
        <v>0</v>
      </c>
    </row>
    <row r="496" spans="2:21" s="22" customFormat="1">
      <c r="B496" s="15">
        <f t="shared" si="13"/>
        <v>5</v>
      </c>
      <c r="C496" s="249" t="s">
        <v>171</v>
      </c>
      <c r="D496" s="254">
        <v>16</v>
      </c>
      <c r="E496" s="242">
        <v>112723</v>
      </c>
      <c r="F496" s="254">
        <v>1011</v>
      </c>
      <c r="G496" s="233">
        <v>40096</v>
      </c>
      <c r="H496" s="228" t="s">
        <v>282</v>
      </c>
      <c r="I496" s="270">
        <v>43747</v>
      </c>
      <c r="J496" s="242">
        <v>3652</v>
      </c>
      <c r="K496" s="242">
        <v>1634</v>
      </c>
      <c r="L496" s="242">
        <v>2018</v>
      </c>
      <c r="M496" s="242">
        <v>5636</v>
      </c>
      <c r="N496" s="242">
        <v>75163</v>
      </c>
      <c r="O496" s="242">
        <v>67204</v>
      </c>
      <c r="P496" s="242">
        <v>1653</v>
      </c>
      <c r="Q496" s="242">
        <v>61568</v>
      </c>
      <c r="R496" s="337">
        <v>0</v>
      </c>
      <c r="S496" s="336">
        <v>0</v>
      </c>
      <c r="T496" s="336">
        <v>67204</v>
      </c>
      <c r="U496" s="336">
        <v>0</v>
      </c>
    </row>
    <row r="497" spans="2:21" s="22" customFormat="1" ht="27">
      <c r="B497" s="15">
        <f t="shared" si="13"/>
        <v>6</v>
      </c>
      <c r="C497" s="249" t="s">
        <v>1336</v>
      </c>
      <c r="D497" s="254">
        <v>1</v>
      </c>
      <c r="E497" s="242">
        <v>12000</v>
      </c>
      <c r="F497" s="254" t="s">
        <v>652</v>
      </c>
      <c r="G497" s="233">
        <v>40240</v>
      </c>
      <c r="H497" s="228" t="s">
        <v>282</v>
      </c>
      <c r="I497" s="270">
        <v>43892</v>
      </c>
      <c r="J497" s="242">
        <v>3653</v>
      </c>
      <c r="K497" s="242">
        <v>1490</v>
      </c>
      <c r="L497" s="242">
        <v>2163</v>
      </c>
      <c r="M497" s="242">
        <v>600</v>
      </c>
      <c r="N497" s="242">
        <v>8302</v>
      </c>
      <c r="O497" s="242">
        <v>7501</v>
      </c>
      <c r="P497" s="242">
        <v>1798</v>
      </c>
      <c r="Q497" s="242">
        <v>6901</v>
      </c>
      <c r="R497" s="337">
        <v>0</v>
      </c>
      <c r="S497" s="336">
        <v>0</v>
      </c>
      <c r="T497" s="336">
        <v>7501</v>
      </c>
      <c r="U497" s="336">
        <v>0</v>
      </c>
    </row>
    <row r="498" spans="2:21" s="22" customFormat="1" ht="27">
      <c r="B498" s="15">
        <f t="shared" si="13"/>
        <v>7</v>
      </c>
      <c r="C498" s="249" t="s">
        <v>1337</v>
      </c>
      <c r="D498" s="254">
        <v>1</v>
      </c>
      <c r="E498" s="242">
        <v>11719</v>
      </c>
      <c r="F498" s="254" t="s">
        <v>654</v>
      </c>
      <c r="G498" s="233">
        <v>40254</v>
      </c>
      <c r="H498" s="228" t="s">
        <v>368</v>
      </c>
      <c r="I498" s="270">
        <v>43906</v>
      </c>
      <c r="J498" s="242">
        <v>3653</v>
      </c>
      <c r="K498" s="242">
        <v>1476</v>
      </c>
      <c r="L498" s="242">
        <v>2177</v>
      </c>
      <c r="M498" s="242">
        <v>586</v>
      </c>
      <c r="N498" s="242">
        <v>8137</v>
      </c>
      <c r="O498" s="242">
        <v>7359</v>
      </c>
      <c r="P498" s="242">
        <v>1812</v>
      </c>
      <c r="Q498" s="242">
        <v>6773</v>
      </c>
      <c r="R498" s="337">
        <v>0</v>
      </c>
      <c r="S498" s="336">
        <v>0</v>
      </c>
      <c r="T498" s="336">
        <v>7359</v>
      </c>
      <c r="U498" s="336">
        <v>0</v>
      </c>
    </row>
    <row r="499" spans="2:21" s="22" customFormat="1" ht="27">
      <c r="B499" s="15">
        <f t="shared" si="13"/>
        <v>8</v>
      </c>
      <c r="C499" s="249" t="s">
        <v>1337</v>
      </c>
      <c r="D499" s="254">
        <v>1</v>
      </c>
      <c r="E499" s="242">
        <v>10063</v>
      </c>
      <c r="F499" s="254" t="s">
        <v>654</v>
      </c>
      <c r="G499" s="233">
        <v>40254</v>
      </c>
      <c r="H499" s="228" t="s">
        <v>368</v>
      </c>
      <c r="I499" s="270">
        <v>43906</v>
      </c>
      <c r="J499" s="242">
        <v>3653</v>
      </c>
      <c r="K499" s="242">
        <v>1476</v>
      </c>
      <c r="L499" s="242">
        <v>2177</v>
      </c>
      <c r="M499" s="242">
        <v>503</v>
      </c>
      <c r="N499" s="242">
        <v>6986</v>
      </c>
      <c r="O499" s="242">
        <v>6318</v>
      </c>
      <c r="P499" s="242">
        <v>1812</v>
      </c>
      <c r="Q499" s="242">
        <v>5815</v>
      </c>
      <c r="R499" s="337">
        <v>0</v>
      </c>
      <c r="S499" s="336">
        <v>0</v>
      </c>
      <c r="T499" s="336">
        <v>6318</v>
      </c>
      <c r="U499" s="336">
        <v>0</v>
      </c>
    </row>
    <row r="500" spans="2:21" s="22" customFormat="1">
      <c r="B500" s="15">
        <f t="shared" si="13"/>
        <v>9</v>
      </c>
      <c r="C500" s="249" t="s">
        <v>1338</v>
      </c>
      <c r="D500" s="254">
        <v>4</v>
      </c>
      <c r="E500" s="242">
        <v>28728</v>
      </c>
      <c r="F500" s="254">
        <v>113</v>
      </c>
      <c r="G500" s="233">
        <v>40243</v>
      </c>
      <c r="H500" s="228" t="s">
        <v>282</v>
      </c>
      <c r="I500" s="270">
        <v>43895</v>
      </c>
      <c r="J500" s="242">
        <v>3653</v>
      </c>
      <c r="K500" s="242">
        <v>1487</v>
      </c>
      <c r="L500" s="242">
        <v>2166</v>
      </c>
      <c r="M500" s="242">
        <v>1436</v>
      </c>
      <c r="N500" s="242">
        <v>19891</v>
      </c>
      <c r="O500" s="242">
        <v>17975</v>
      </c>
      <c r="P500" s="242">
        <v>1801</v>
      </c>
      <c r="Q500" s="242">
        <v>16539</v>
      </c>
      <c r="R500" s="337">
        <v>0</v>
      </c>
      <c r="S500" s="336">
        <v>0</v>
      </c>
      <c r="T500" s="336">
        <v>17975</v>
      </c>
      <c r="U500" s="336">
        <v>0</v>
      </c>
    </row>
    <row r="501" spans="2:21" s="22" customFormat="1">
      <c r="B501" s="15">
        <f t="shared" si="13"/>
        <v>10</v>
      </c>
      <c r="C501" s="249" t="s">
        <v>1339</v>
      </c>
      <c r="D501" s="254">
        <v>12</v>
      </c>
      <c r="E501" s="242">
        <v>9285</v>
      </c>
      <c r="F501" s="254">
        <v>1011</v>
      </c>
      <c r="G501" s="233">
        <v>40096</v>
      </c>
      <c r="H501" s="228" t="s">
        <v>282</v>
      </c>
      <c r="I501" s="270">
        <v>43747</v>
      </c>
      <c r="J501" s="242">
        <v>3652</v>
      </c>
      <c r="K501" s="242">
        <v>1634</v>
      </c>
      <c r="L501" s="242">
        <v>2018</v>
      </c>
      <c r="M501" s="242">
        <v>464</v>
      </c>
      <c r="N501" s="242">
        <v>6190</v>
      </c>
      <c r="O501" s="242">
        <v>5534</v>
      </c>
      <c r="P501" s="242">
        <v>1653</v>
      </c>
      <c r="Q501" s="242">
        <v>5070</v>
      </c>
      <c r="R501" s="337">
        <v>0</v>
      </c>
      <c r="S501" s="336">
        <v>0</v>
      </c>
      <c r="T501" s="336">
        <v>5534</v>
      </c>
      <c r="U501" s="336">
        <v>0</v>
      </c>
    </row>
    <row r="502" spans="2:21" s="22" customFormat="1">
      <c r="B502" s="15">
        <f t="shared" si="13"/>
        <v>11</v>
      </c>
      <c r="C502" s="249" t="s">
        <v>1340</v>
      </c>
      <c r="D502" s="254">
        <v>16</v>
      </c>
      <c r="E502" s="242">
        <v>11288</v>
      </c>
      <c r="F502" s="254">
        <v>1011</v>
      </c>
      <c r="G502" s="233">
        <v>40096</v>
      </c>
      <c r="H502" s="228" t="s">
        <v>282</v>
      </c>
      <c r="I502" s="270">
        <v>43747</v>
      </c>
      <c r="J502" s="242">
        <v>3652</v>
      </c>
      <c r="K502" s="242">
        <v>1634</v>
      </c>
      <c r="L502" s="242">
        <v>2018</v>
      </c>
      <c r="M502" s="242">
        <v>564</v>
      </c>
      <c r="N502" s="242">
        <v>7525</v>
      </c>
      <c r="O502" s="242">
        <v>6728</v>
      </c>
      <c r="P502" s="242">
        <v>1653</v>
      </c>
      <c r="Q502" s="242">
        <v>6164</v>
      </c>
      <c r="R502" s="337">
        <v>0</v>
      </c>
      <c r="S502" s="336">
        <v>0</v>
      </c>
      <c r="T502" s="336">
        <v>6728</v>
      </c>
      <c r="U502" s="336">
        <v>0</v>
      </c>
    </row>
    <row r="503" spans="2:21" s="22" customFormat="1">
      <c r="B503" s="15">
        <f t="shared" si="13"/>
        <v>12</v>
      </c>
      <c r="C503" s="249" t="s">
        <v>1030</v>
      </c>
      <c r="D503" s="254">
        <v>7</v>
      </c>
      <c r="E503" s="242">
        <v>54978</v>
      </c>
      <c r="F503" s="254" t="s">
        <v>668</v>
      </c>
      <c r="G503" s="233">
        <v>40302</v>
      </c>
      <c r="H503" s="228" t="s">
        <v>368</v>
      </c>
      <c r="I503" s="270">
        <v>43954</v>
      </c>
      <c r="J503" s="242">
        <v>3653</v>
      </c>
      <c r="K503" s="242">
        <v>1428</v>
      </c>
      <c r="L503" s="242">
        <v>2225</v>
      </c>
      <c r="M503" s="242">
        <v>2749</v>
      </c>
      <c r="N503" s="242">
        <v>38624</v>
      </c>
      <c r="O503" s="242">
        <v>35037</v>
      </c>
      <c r="P503" s="242">
        <v>1860</v>
      </c>
      <c r="Q503" s="242">
        <v>32288</v>
      </c>
      <c r="R503" s="337">
        <v>0</v>
      </c>
      <c r="S503" s="336">
        <v>0</v>
      </c>
      <c r="T503" s="336">
        <v>35037</v>
      </c>
      <c r="U503" s="336">
        <v>0</v>
      </c>
    </row>
    <row r="504" spans="2:21" s="22" customFormat="1" ht="27">
      <c r="B504" s="15">
        <f t="shared" si="13"/>
        <v>13</v>
      </c>
      <c r="C504" s="249" t="s">
        <v>545</v>
      </c>
      <c r="D504" s="254">
        <v>1</v>
      </c>
      <c r="E504" s="242">
        <v>7842</v>
      </c>
      <c r="F504" s="254" t="s">
        <v>648</v>
      </c>
      <c r="G504" s="233">
        <v>40380</v>
      </c>
      <c r="H504" s="228" t="s">
        <v>282</v>
      </c>
      <c r="I504" s="270">
        <v>44032</v>
      </c>
      <c r="J504" s="242">
        <v>3653</v>
      </c>
      <c r="K504" s="242">
        <v>1350</v>
      </c>
      <c r="L504" s="242">
        <v>2303</v>
      </c>
      <c r="M504" s="242">
        <v>392</v>
      </c>
      <c r="N504" s="242">
        <v>5617</v>
      </c>
      <c r="O504" s="242">
        <v>5119</v>
      </c>
      <c r="P504" s="242">
        <v>1938</v>
      </c>
      <c r="Q504" s="242">
        <v>4727</v>
      </c>
      <c r="R504" s="337">
        <v>0</v>
      </c>
      <c r="S504" s="336">
        <v>0</v>
      </c>
      <c r="T504" s="336">
        <v>5119</v>
      </c>
      <c r="U504" s="336">
        <v>0</v>
      </c>
    </row>
    <row r="505" spans="2:21" s="22" customFormat="1" ht="27">
      <c r="B505" s="15">
        <f t="shared" si="13"/>
        <v>14</v>
      </c>
      <c r="C505" s="249" t="s">
        <v>548</v>
      </c>
      <c r="D505" s="254">
        <v>3</v>
      </c>
      <c r="E505" s="242">
        <v>36095</v>
      </c>
      <c r="F505" s="254" t="s">
        <v>547</v>
      </c>
      <c r="G505" s="233">
        <v>40465</v>
      </c>
      <c r="H505" s="228" t="s">
        <v>282</v>
      </c>
      <c r="I505" s="270">
        <v>44117</v>
      </c>
      <c r="J505" s="242">
        <v>3653</v>
      </c>
      <c r="K505" s="242">
        <v>1265</v>
      </c>
      <c r="L505" s="242">
        <v>2388</v>
      </c>
      <c r="M505" s="242">
        <v>1805</v>
      </c>
      <c r="N505" s="242">
        <v>26378</v>
      </c>
      <c r="O505" s="242">
        <v>24151</v>
      </c>
      <c r="P505" s="242">
        <v>2023</v>
      </c>
      <c r="Q505" s="242">
        <v>22346</v>
      </c>
      <c r="R505" s="337">
        <v>0</v>
      </c>
      <c r="S505" s="336">
        <v>0</v>
      </c>
      <c r="T505" s="336">
        <v>24151</v>
      </c>
      <c r="U505" s="336">
        <v>0</v>
      </c>
    </row>
    <row r="506" spans="2:21" s="22" customFormat="1" ht="27">
      <c r="B506" s="15">
        <f t="shared" si="13"/>
        <v>15</v>
      </c>
      <c r="C506" s="249" t="s">
        <v>1076</v>
      </c>
      <c r="D506" s="254">
        <v>5</v>
      </c>
      <c r="E506" s="242">
        <v>38760</v>
      </c>
      <c r="F506" s="254" t="s">
        <v>1077</v>
      </c>
      <c r="G506" s="233">
        <v>40478</v>
      </c>
      <c r="H506" s="249" t="s">
        <v>1177</v>
      </c>
      <c r="I506" s="335">
        <v>44130</v>
      </c>
      <c r="J506" s="336">
        <v>3653</v>
      </c>
      <c r="K506" s="336">
        <v>1252</v>
      </c>
      <c r="L506" s="336">
        <v>2401</v>
      </c>
      <c r="M506" s="336">
        <v>1938</v>
      </c>
      <c r="N506" s="336">
        <v>28411</v>
      </c>
      <c r="O506" s="336">
        <v>26030</v>
      </c>
      <c r="P506" s="336">
        <v>2036</v>
      </c>
      <c r="Q506" s="336">
        <v>24092</v>
      </c>
      <c r="R506" s="337">
        <v>0</v>
      </c>
      <c r="S506" s="336">
        <v>0</v>
      </c>
      <c r="T506" s="336">
        <v>26030</v>
      </c>
      <c r="U506" s="336">
        <v>0</v>
      </c>
    </row>
    <row r="507" spans="2:21" s="22" customFormat="1" ht="27">
      <c r="B507" s="15">
        <f t="shared" si="13"/>
        <v>16</v>
      </c>
      <c r="C507" s="249" t="s">
        <v>981</v>
      </c>
      <c r="D507" s="254">
        <v>1</v>
      </c>
      <c r="E507" s="242">
        <v>12032</v>
      </c>
      <c r="F507" s="254" t="s">
        <v>982</v>
      </c>
      <c r="G507" s="233">
        <v>40508</v>
      </c>
      <c r="H507" s="228" t="s">
        <v>368</v>
      </c>
      <c r="I507" s="270">
        <v>44160</v>
      </c>
      <c r="J507" s="242">
        <v>3653</v>
      </c>
      <c r="K507" s="242">
        <v>1222</v>
      </c>
      <c r="L507" s="242">
        <v>2431</v>
      </c>
      <c r="M507" s="242">
        <v>602</v>
      </c>
      <c r="N507" s="242">
        <v>8883</v>
      </c>
      <c r="O507" s="242">
        <v>8151</v>
      </c>
      <c r="P507" s="242">
        <v>2066</v>
      </c>
      <c r="Q507" s="242">
        <v>7549</v>
      </c>
      <c r="R507" s="337">
        <v>0</v>
      </c>
      <c r="S507" s="336">
        <v>0</v>
      </c>
      <c r="T507" s="336">
        <v>8151</v>
      </c>
      <c r="U507" s="336">
        <v>0</v>
      </c>
    </row>
    <row r="508" spans="2:21" s="22" customFormat="1" ht="27">
      <c r="B508" s="15">
        <f t="shared" si="13"/>
        <v>17</v>
      </c>
      <c r="C508" s="249" t="s">
        <v>462</v>
      </c>
      <c r="D508" s="254">
        <v>1</v>
      </c>
      <c r="E508" s="242">
        <v>12032</v>
      </c>
      <c r="F508" s="254" t="s">
        <v>463</v>
      </c>
      <c r="G508" s="233">
        <v>40464</v>
      </c>
      <c r="H508" s="228" t="s">
        <v>368</v>
      </c>
      <c r="I508" s="270">
        <v>44116</v>
      </c>
      <c r="J508" s="242">
        <v>3653</v>
      </c>
      <c r="K508" s="242">
        <v>1266</v>
      </c>
      <c r="L508" s="242">
        <v>2387</v>
      </c>
      <c r="M508" s="242">
        <v>602</v>
      </c>
      <c r="N508" s="242">
        <v>8791</v>
      </c>
      <c r="O508" s="242">
        <v>8049</v>
      </c>
      <c r="P508" s="242">
        <v>2022</v>
      </c>
      <c r="Q508" s="242">
        <v>7447</v>
      </c>
      <c r="R508" s="337">
        <v>0</v>
      </c>
      <c r="S508" s="336">
        <v>0</v>
      </c>
      <c r="T508" s="336">
        <v>8049</v>
      </c>
      <c r="U508" s="336">
        <v>0</v>
      </c>
    </row>
    <row r="509" spans="2:21" s="22" customFormat="1" ht="27">
      <c r="B509" s="15">
        <f t="shared" si="13"/>
        <v>18</v>
      </c>
      <c r="C509" s="249" t="s">
        <v>840</v>
      </c>
      <c r="D509" s="254">
        <v>5</v>
      </c>
      <c r="E509" s="242">
        <v>38760</v>
      </c>
      <c r="F509" s="254" t="s">
        <v>441</v>
      </c>
      <c r="G509" s="233">
        <v>40502</v>
      </c>
      <c r="H509" s="228" t="s">
        <v>80</v>
      </c>
      <c r="I509" s="270">
        <v>44154</v>
      </c>
      <c r="J509" s="242">
        <v>3653</v>
      </c>
      <c r="K509" s="242">
        <v>1228</v>
      </c>
      <c r="L509" s="242">
        <v>2425</v>
      </c>
      <c r="M509" s="242">
        <v>1938</v>
      </c>
      <c r="N509" s="242">
        <v>28573</v>
      </c>
      <c r="O509" s="242">
        <v>26210</v>
      </c>
      <c r="P509" s="242">
        <v>2060</v>
      </c>
      <c r="Q509" s="242">
        <v>24272</v>
      </c>
      <c r="R509" s="337">
        <v>0</v>
      </c>
      <c r="S509" s="336">
        <v>0</v>
      </c>
      <c r="T509" s="336">
        <v>26210</v>
      </c>
      <c r="U509" s="336">
        <v>0</v>
      </c>
    </row>
    <row r="510" spans="2:21" s="22" customFormat="1" ht="27">
      <c r="B510" s="15">
        <f t="shared" si="13"/>
        <v>19</v>
      </c>
      <c r="C510" s="249" t="s">
        <v>841</v>
      </c>
      <c r="D510" s="254">
        <v>2</v>
      </c>
      <c r="E510" s="242">
        <v>15504</v>
      </c>
      <c r="F510" s="254" t="s">
        <v>439</v>
      </c>
      <c r="G510" s="233">
        <v>40532</v>
      </c>
      <c r="H510" s="249" t="s">
        <v>1177</v>
      </c>
      <c r="I510" s="270">
        <v>44184</v>
      </c>
      <c r="J510" s="242">
        <v>3653</v>
      </c>
      <c r="K510" s="242">
        <v>1198</v>
      </c>
      <c r="L510" s="242">
        <v>2455</v>
      </c>
      <c r="M510" s="242">
        <v>775</v>
      </c>
      <c r="N510" s="242">
        <v>11511</v>
      </c>
      <c r="O510" s="242">
        <v>10575</v>
      </c>
      <c r="P510" s="242">
        <v>2090</v>
      </c>
      <c r="Q510" s="242">
        <v>9800</v>
      </c>
      <c r="R510" s="337">
        <v>0</v>
      </c>
      <c r="S510" s="336">
        <v>0</v>
      </c>
      <c r="T510" s="336">
        <v>10575</v>
      </c>
      <c r="U510" s="336">
        <v>0</v>
      </c>
    </row>
    <row r="511" spans="2:21" s="22" customFormat="1" ht="27">
      <c r="B511" s="15">
        <f t="shared" si="13"/>
        <v>20</v>
      </c>
      <c r="C511" s="249" t="s">
        <v>813</v>
      </c>
      <c r="D511" s="254">
        <v>2</v>
      </c>
      <c r="E511" s="242">
        <v>16099</v>
      </c>
      <c r="F511" s="254" t="s">
        <v>814</v>
      </c>
      <c r="G511" s="233">
        <v>40588</v>
      </c>
      <c r="H511" s="228"/>
      <c r="I511" s="270">
        <v>44240</v>
      </c>
      <c r="J511" s="242">
        <v>3653</v>
      </c>
      <c r="K511" s="242">
        <v>1142</v>
      </c>
      <c r="L511" s="242">
        <v>2511</v>
      </c>
      <c r="M511" s="242">
        <v>805</v>
      </c>
      <c r="N511" s="242">
        <v>12110</v>
      </c>
      <c r="O511" s="242">
        <v>11155</v>
      </c>
      <c r="P511" s="242">
        <v>2146</v>
      </c>
      <c r="Q511" s="242">
        <v>10350</v>
      </c>
      <c r="R511" s="337">
        <v>0</v>
      </c>
      <c r="S511" s="336">
        <v>0</v>
      </c>
      <c r="T511" s="336">
        <v>11155</v>
      </c>
      <c r="U511" s="336">
        <v>0</v>
      </c>
    </row>
    <row r="512" spans="2:21" s="22" customFormat="1" ht="27">
      <c r="B512" s="15">
        <f t="shared" si="13"/>
        <v>21</v>
      </c>
      <c r="C512" s="249" t="s">
        <v>1004</v>
      </c>
      <c r="D512" s="254">
        <v>1</v>
      </c>
      <c r="E512" s="242">
        <v>7410</v>
      </c>
      <c r="F512" s="254" t="s">
        <v>1005</v>
      </c>
      <c r="G512" s="233">
        <v>40607</v>
      </c>
      <c r="H512" s="228" t="s">
        <v>368</v>
      </c>
      <c r="I512" s="270">
        <v>44259</v>
      </c>
      <c r="J512" s="242">
        <v>3653</v>
      </c>
      <c r="K512" s="242">
        <v>1123</v>
      </c>
      <c r="L512" s="242">
        <v>2530</v>
      </c>
      <c r="M512" s="242">
        <v>371</v>
      </c>
      <c r="N512" s="242">
        <v>5596</v>
      </c>
      <c r="O512" s="242">
        <v>5160</v>
      </c>
      <c r="P512" s="242">
        <v>2165</v>
      </c>
      <c r="Q512" s="242">
        <v>4790</v>
      </c>
      <c r="R512" s="337">
        <v>0</v>
      </c>
      <c r="S512" s="336">
        <v>0</v>
      </c>
      <c r="T512" s="336">
        <v>5160</v>
      </c>
      <c r="U512" s="336">
        <v>0</v>
      </c>
    </row>
    <row r="513" spans="2:21" s="22" customFormat="1">
      <c r="B513" s="15">
        <f t="shared" si="13"/>
        <v>22</v>
      </c>
      <c r="C513" s="249" t="s">
        <v>682</v>
      </c>
      <c r="D513" s="254">
        <v>1</v>
      </c>
      <c r="E513" s="242">
        <v>7220</v>
      </c>
      <c r="F513" s="230" t="s">
        <v>683</v>
      </c>
      <c r="G513" s="233">
        <v>40652</v>
      </c>
      <c r="H513" s="228" t="s">
        <v>368</v>
      </c>
      <c r="I513" s="270">
        <v>44304</v>
      </c>
      <c r="J513" s="242">
        <v>3653</v>
      </c>
      <c r="K513" s="242">
        <v>1078</v>
      </c>
      <c r="L513" s="242">
        <v>2575</v>
      </c>
      <c r="M513" s="242">
        <v>361</v>
      </c>
      <c r="N513" s="242">
        <v>5510</v>
      </c>
      <c r="O513" s="242">
        <v>5090</v>
      </c>
      <c r="P513" s="242">
        <v>2210</v>
      </c>
      <c r="Q513" s="242">
        <v>4729</v>
      </c>
      <c r="R513" s="337">
        <v>18</v>
      </c>
      <c r="S513" s="336">
        <v>400</v>
      </c>
      <c r="T513" s="336">
        <v>5090</v>
      </c>
      <c r="U513" s="336">
        <v>0</v>
      </c>
    </row>
    <row r="514" spans="2:21" s="22" customFormat="1" ht="27">
      <c r="B514" s="15">
        <f t="shared" si="13"/>
        <v>23</v>
      </c>
      <c r="C514" s="249" t="s">
        <v>1187</v>
      </c>
      <c r="D514" s="254">
        <v>1</v>
      </c>
      <c r="E514" s="242">
        <v>7410</v>
      </c>
      <c r="F514" s="254" t="s">
        <v>1186</v>
      </c>
      <c r="G514" s="233">
        <v>40642</v>
      </c>
      <c r="H514" s="228" t="s">
        <v>368</v>
      </c>
      <c r="I514" s="270">
        <v>44294</v>
      </c>
      <c r="J514" s="242">
        <v>3653</v>
      </c>
      <c r="K514" s="242">
        <v>1088</v>
      </c>
      <c r="L514" s="242">
        <v>2565</v>
      </c>
      <c r="M514" s="242">
        <v>371</v>
      </c>
      <c r="N514" s="242">
        <v>5642</v>
      </c>
      <c r="O514" s="242">
        <v>5210</v>
      </c>
      <c r="P514" s="242">
        <v>2200</v>
      </c>
      <c r="Q514" s="242">
        <v>4840</v>
      </c>
      <c r="R514" s="337">
        <v>8</v>
      </c>
      <c r="S514" s="336">
        <v>388</v>
      </c>
      <c r="T514" s="336">
        <v>5210</v>
      </c>
      <c r="U514" s="336">
        <v>0</v>
      </c>
    </row>
    <row r="515" spans="2:21" s="22" customFormat="1" ht="27">
      <c r="B515" s="15">
        <f t="shared" si="13"/>
        <v>24</v>
      </c>
      <c r="C515" s="249" t="s">
        <v>1256</v>
      </c>
      <c r="D515" s="254">
        <v>1</v>
      </c>
      <c r="E515" s="242">
        <v>54867</v>
      </c>
      <c r="F515" s="254" t="s">
        <v>1257</v>
      </c>
      <c r="G515" s="233">
        <v>40724</v>
      </c>
      <c r="H515" s="228" t="s">
        <v>161</v>
      </c>
      <c r="I515" s="270">
        <v>44376</v>
      </c>
      <c r="J515" s="242">
        <v>3653</v>
      </c>
      <c r="K515" s="242">
        <v>1006</v>
      </c>
      <c r="L515" s="242">
        <v>2647</v>
      </c>
      <c r="M515" s="242">
        <v>2743</v>
      </c>
      <c r="N515" s="242">
        <v>42558</v>
      </c>
      <c r="O515" s="242">
        <v>39433</v>
      </c>
      <c r="P515" s="242">
        <v>2282</v>
      </c>
      <c r="Q515" s="242">
        <v>36690</v>
      </c>
      <c r="R515" s="337">
        <v>90</v>
      </c>
      <c r="S515" s="336">
        <v>4191</v>
      </c>
      <c r="T515" s="336">
        <v>39433</v>
      </c>
      <c r="U515" s="336">
        <v>0</v>
      </c>
    </row>
    <row r="516" spans="2:21" s="22" customFormat="1" ht="27">
      <c r="B516" s="15">
        <f t="shared" si="13"/>
        <v>25</v>
      </c>
      <c r="C516" s="249" t="s">
        <v>1187</v>
      </c>
      <c r="D516" s="254">
        <v>1</v>
      </c>
      <c r="E516" s="242">
        <v>7410</v>
      </c>
      <c r="F516" s="230" t="s">
        <v>1258</v>
      </c>
      <c r="G516" s="233">
        <v>40751</v>
      </c>
      <c r="H516" s="228" t="s">
        <v>368</v>
      </c>
      <c r="I516" s="270">
        <v>44403</v>
      </c>
      <c r="J516" s="242">
        <v>3653</v>
      </c>
      <c r="K516" s="242">
        <v>979</v>
      </c>
      <c r="L516" s="242">
        <v>2674</v>
      </c>
      <c r="M516" s="242">
        <v>371</v>
      </c>
      <c r="N516" s="242">
        <v>5781</v>
      </c>
      <c r="O516" s="242">
        <v>5363</v>
      </c>
      <c r="P516" s="242">
        <v>2309</v>
      </c>
      <c r="Q516" s="242">
        <v>4993</v>
      </c>
      <c r="R516" s="337">
        <v>117</v>
      </c>
      <c r="S516" s="336">
        <v>625</v>
      </c>
      <c r="T516" s="336">
        <v>5363</v>
      </c>
      <c r="U516" s="336">
        <v>0</v>
      </c>
    </row>
    <row r="517" spans="2:21" s="22" customFormat="1" ht="27">
      <c r="B517" s="15">
        <f t="shared" si="13"/>
        <v>26</v>
      </c>
      <c r="C517" s="249" t="s">
        <v>1187</v>
      </c>
      <c r="D517" s="254">
        <v>1</v>
      </c>
      <c r="E517" s="242">
        <v>7410</v>
      </c>
      <c r="F517" s="230" t="s">
        <v>1259</v>
      </c>
      <c r="G517" s="233">
        <v>40750</v>
      </c>
      <c r="H517" s="228" t="s">
        <v>368</v>
      </c>
      <c r="I517" s="270">
        <v>44402</v>
      </c>
      <c r="J517" s="242">
        <v>3653</v>
      </c>
      <c r="K517" s="242">
        <v>980</v>
      </c>
      <c r="L517" s="242">
        <v>2673</v>
      </c>
      <c r="M517" s="242">
        <v>371</v>
      </c>
      <c r="N517" s="242">
        <v>5780</v>
      </c>
      <c r="O517" s="242">
        <v>5362</v>
      </c>
      <c r="P517" s="242">
        <v>2308</v>
      </c>
      <c r="Q517" s="242">
        <v>4992</v>
      </c>
      <c r="R517" s="337">
        <v>116</v>
      </c>
      <c r="S517" s="336">
        <v>622</v>
      </c>
      <c r="T517" s="336">
        <v>5362</v>
      </c>
      <c r="U517" s="336">
        <v>0</v>
      </c>
    </row>
    <row r="518" spans="2:21" s="22" customFormat="1" ht="27">
      <c r="B518" s="15">
        <f t="shared" si="13"/>
        <v>27</v>
      </c>
      <c r="C518" s="249" t="s">
        <v>1272</v>
      </c>
      <c r="D518" s="254">
        <v>28</v>
      </c>
      <c r="E518" s="242">
        <v>221844</v>
      </c>
      <c r="F518" s="230" t="s">
        <v>1270</v>
      </c>
      <c r="G518" s="233">
        <v>40759</v>
      </c>
      <c r="H518" s="228" t="s">
        <v>368</v>
      </c>
      <c r="I518" s="270">
        <v>44411</v>
      </c>
      <c r="J518" s="242">
        <v>3653</v>
      </c>
      <c r="K518" s="242">
        <v>971</v>
      </c>
      <c r="L518" s="242">
        <v>2682</v>
      </c>
      <c r="M518" s="242">
        <v>11092</v>
      </c>
      <c r="N518" s="242">
        <v>173420</v>
      </c>
      <c r="O518" s="242">
        <v>160911</v>
      </c>
      <c r="P518" s="242">
        <v>2317</v>
      </c>
      <c r="Q518" s="242">
        <v>149819</v>
      </c>
      <c r="R518" s="337">
        <v>125</v>
      </c>
      <c r="S518" s="336">
        <v>19175</v>
      </c>
      <c r="T518" s="336">
        <v>160911</v>
      </c>
      <c r="U518" s="336">
        <v>0</v>
      </c>
    </row>
    <row r="519" spans="2:21" s="22" customFormat="1" ht="27">
      <c r="B519" s="15">
        <f t="shared" si="13"/>
        <v>28</v>
      </c>
      <c r="C519" s="249" t="s">
        <v>1404</v>
      </c>
      <c r="D519" s="254">
        <v>36</v>
      </c>
      <c r="E519" s="242">
        <v>285227</v>
      </c>
      <c r="F519" s="230" t="s">
        <v>1405</v>
      </c>
      <c r="G519" s="233">
        <v>40792</v>
      </c>
      <c r="H519" s="228" t="s">
        <v>368</v>
      </c>
      <c r="I519" s="270">
        <v>44444</v>
      </c>
      <c r="J519" s="242">
        <v>3653</v>
      </c>
      <c r="K519" s="242">
        <v>938</v>
      </c>
      <c r="L519" s="242">
        <v>2715</v>
      </c>
      <c r="M519" s="242">
        <v>14261</v>
      </c>
      <c r="N519" s="242">
        <v>224595</v>
      </c>
      <c r="O519" s="242">
        <v>208662</v>
      </c>
      <c r="P519" s="242">
        <v>2350</v>
      </c>
      <c r="Q519" s="242">
        <v>194401</v>
      </c>
      <c r="R519" s="337">
        <v>158</v>
      </c>
      <c r="S519" s="336">
        <v>27332</v>
      </c>
      <c r="T519" s="336">
        <v>208662</v>
      </c>
      <c r="U519" s="336">
        <v>0</v>
      </c>
    </row>
    <row r="520" spans="2:21" s="22" customFormat="1" ht="40.5">
      <c r="B520" s="15">
        <f t="shared" si="13"/>
        <v>29</v>
      </c>
      <c r="C520" s="249" t="s">
        <v>1645</v>
      </c>
      <c r="D520" s="254">
        <v>16</v>
      </c>
      <c r="E520" s="242">
        <v>214225</v>
      </c>
      <c r="F520" s="230" t="s">
        <v>1646</v>
      </c>
      <c r="G520" s="233">
        <v>40902</v>
      </c>
      <c r="H520" s="228" t="s">
        <v>119</v>
      </c>
      <c r="I520" s="270">
        <v>44554</v>
      </c>
      <c r="J520" s="242">
        <v>3653</v>
      </c>
      <c r="K520" s="242">
        <v>828</v>
      </c>
      <c r="L520" s="242">
        <v>2825</v>
      </c>
      <c r="M520" s="242">
        <v>10711</v>
      </c>
      <c r="N520" s="242">
        <v>172763</v>
      </c>
      <c r="O520" s="242">
        <v>161152</v>
      </c>
      <c r="P520" s="242">
        <v>2460</v>
      </c>
      <c r="Q520" s="242">
        <v>150441</v>
      </c>
      <c r="R520" s="337">
        <v>268</v>
      </c>
      <c r="S520" s="336">
        <v>27098</v>
      </c>
      <c r="T520" s="336">
        <v>161152</v>
      </c>
      <c r="U520" s="336">
        <v>0</v>
      </c>
    </row>
    <row r="521" spans="2:21" s="22" customFormat="1" ht="27">
      <c r="B521" s="15">
        <f t="shared" si="13"/>
        <v>30</v>
      </c>
      <c r="C521" s="249" t="s">
        <v>1658</v>
      </c>
      <c r="D521" s="254">
        <v>2</v>
      </c>
      <c r="E521" s="242">
        <v>14820</v>
      </c>
      <c r="F521" s="230" t="s">
        <v>1659</v>
      </c>
      <c r="G521" s="233">
        <v>40882</v>
      </c>
      <c r="H521" s="228" t="s">
        <v>368</v>
      </c>
      <c r="I521" s="270">
        <v>44534</v>
      </c>
      <c r="J521" s="242">
        <v>3653</v>
      </c>
      <c r="K521" s="242">
        <v>848</v>
      </c>
      <c r="L521" s="242">
        <v>2805</v>
      </c>
      <c r="M521" s="242">
        <v>741</v>
      </c>
      <c r="N521" s="242">
        <v>11901</v>
      </c>
      <c r="O521" s="242">
        <v>11093</v>
      </c>
      <c r="P521" s="242">
        <v>2440</v>
      </c>
      <c r="Q521" s="242">
        <v>10352</v>
      </c>
      <c r="R521" s="337">
        <v>248</v>
      </c>
      <c r="S521" s="336">
        <v>1791</v>
      </c>
      <c r="T521" s="336">
        <v>11093</v>
      </c>
      <c r="U521" s="336">
        <v>0</v>
      </c>
    </row>
    <row r="522" spans="2:21" s="22" customFormat="1" ht="27">
      <c r="B522" s="15">
        <f t="shared" si="13"/>
        <v>31</v>
      </c>
      <c r="C522" s="249" t="s">
        <v>1681</v>
      </c>
      <c r="D522" s="254">
        <v>2</v>
      </c>
      <c r="E522" s="242">
        <v>25475</v>
      </c>
      <c r="F522" s="230" t="s">
        <v>1682</v>
      </c>
      <c r="G522" s="233">
        <v>40909</v>
      </c>
      <c r="H522" s="228" t="s">
        <v>161</v>
      </c>
      <c r="I522" s="270">
        <v>44561</v>
      </c>
      <c r="J522" s="242">
        <v>3653</v>
      </c>
      <c r="K522" s="242">
        <v>821</v>
      </c>
      <c r="L522" s="242">
        <v>2832</v>
      </c>
      <c r="M522" s="242">
        <v>1274</v>
      </c>
      <c r="N522" s="242">
        <v>20574</v>
      </c>
      <c r="O522" s="242">
        <v>19196</v>
      </c>
      <c r="P522" s="242">
        <v>2467</v>
      </c>
      <c r="Q522" s="242">
        <v>17922</v>
      </c>
      <c r="R522" s="337">
        <v>275</v>
      </c>
      <c r="S522" s="336">
        <v>3270</v>
      </c>
      <c r="T522" s="336">
        <v>19196</v>
      </c>
      <c r="U522" s="336">
        <v>0</v>
      </c>
    </row>
    <row r="523" spans="2:21" s="22" customFormat="1" ht="27">
      <c r="B523" s="15">
        <f t="shared" si="13"/>
        <v>32</v>
      </c>
      <c r="C523" s="249" t="s">
        <v>1777</v>
      </c>
      <c r="D523" s="254">
        <v>3</v>
      </c>
      <c r="E523" s="242">
        <v>24966</v>
      </c>
      <c r="F523" s="230" t="s">
        <v>1778</v>
      </c>
      <c r="G523" s="233">
        <v>40971</v>
      </c>
      <c r="H523" s="228" t="s">
        <v>368</v>
      </c>
      <c r="I523" s="270">
        <v>44622</v>
      </c>
      <c r="J523" s="242">
        <v>3652</v>
      </c>
      <c r="K523" s="242">
        <v>759</v>
      </c>
      <c r="L523" s="242">
        <v>2893</v>
      </c>
      <c r="M523" s="242">
        <v>1248</v>
      </c>
      <c r="N523" s="242">
        <v>20433</v>
      </c>
      <c r="O523" s="242">
        <v>19103</v>
      </c>
      <c r="P523" s="242">
        <v>2528</v>
      </c>
      <c r="Q523" s="242">
        <v>17855</v>
      </c>
      <c r="R523" s="337">
        <v>336</v>
      </c>
      <c r="S523" s="336">
        <v>3621</v>
      </c>
      <c r="T523" s="336">
        <v>19103</v>
      </c>
      <c r="U523" s="336">
        <v>0</v>
      </c>
    </row>
    <row r="524" spans="2:21" s="22" customFormat="1" ht="27">
      <c r="B524" s="15">
        <f t="shared" si="13"/>
        <v>33</v>
      </c>
      <c r="C524" s="249" t="s">
        <v>1779</v>
      </c>
      <c r="D524" s="254">
        <v>1</v>
      </c>
      <c r="E524" s="242">
        <v>7410</v>
      </c>
      <c r="F524" s="230" t="s">
        <v>1781</v>
      </c>
      <c r="G524" s="233">
        <v>40909</v>
      </c>
      <c r="H524" s="228" t="s">
        <v>368</v>
      </c>
      <c r="I524" s="270">
        <v>44561</v>
      </c>
      <c r="J524" s="242">
        <v>3653</v>
      </c>
      <c r="K524" s="242">
        <v>821</v>
      </c>
      <c r="L524" s="242">
        <v>2832</v>
      </c>
      <c r="M524" s="242">
        <v>371</v>
      </c>
      <c r="N524" s="242">
        <v>5984</v>
      </c>
      <c r="O524" s="242">
        <v>5584</v>
      </c>
      <c r="P524" s="242">
        <v>2467</v>
      </c>
      <c r="Q524" s="242">
        <v>5214</v>
      </c>
      <c r="R524" s="337">
        <v>275</v>
      </c>
      <c r="S524" s="336">
        <v>952</v>
      </c>
      <c r="T524" s="336">
        <v>5584</v>
      </c>
      <c r="U524" s="336">
        <v>0</v>
      </c>
    </row>
    <row r="525" spans="2:21" s="22" customFormat="1" ht="27">
      <c r="B525" s="15">
        <f t="shared" si="13"/>
        <v>34</v>
      </c>
      <c r="C525" s="249" t="s">
        <v>1780</v>
      </c>
      <c r="D525" s="254">
        <v>2</v>
      </c>
      <c r="E525" s="242">
        <v>10260</v>
      </c>
      <c r="F525" s="230" t="s">
        <v>1781</v>
      </c>
      <c r="G525" s="233">
        <v>40909</v>
      </c>
      <c r="H525" s="228" t="s">
        <v>368</v>
      </c>
      <c r="I525" s="270">
        <v>44561</v>
      </c>
      <c r="J525" s="242">
        <v>3653</v>
      </c>
      <c r="K525" s="242">
        <v>821</v>
      </c>
      <c r="L525" s="242">
        <v>2832</v>
      </c>
      <c r="M525" s="242">
        <v>513</v>
      </c>
      <c r="N525" s="242">
        <v>8288</v>
      </c>
      <c r="O525" s="242">
        <v>7733</v>
      </c>
      <c r="P525" s="242">
        <v>2467</v>
      </c>
      <c r="Q525" s="242">
        <v>7220</v>
      </c>
      <c r="R525" s="337">
        <v>275</v>
      </c>
      <c r="S525" s="336">
        <v>1319</v>
      </c>
      <c r="T525" s="336">
        <v>7733</v>
      </c>
      <c r="U525" s="336">
        <v>0</v>
      </c>
    </row>
    <row r="526" spans="2:21" s="22" customFormat="1" ht="27">
      <c r="B526" s="15">
        <f t="shared" si="13"/>
        <v>35</v>
      </c>
      <c r="C526" s="249" t="s">
        <v>1777</v>
      </c>
      <c r="D526" s="254">
        <v>1</v>
      </c>
      <c r="E526" s="242">
        <v>8322</v>
      </c>
      <c r="F526" s="230" t="s">
        <v>1824</v>
      </c>
      <c r="G526" s="233">
        <v>41001</v>
      </c>
      <c r="H526" s="228" t="s">
        <v>368</v>
      </c>
      <c r="I526" s="270">
        <v>44652</v>
      </c>
      <c r="J526" s="242">
        <v>3652</v>
      </c>
      <c r="K526" s="242">
        <v>729</v>
      </c>
      <c r="L526" s="242">
        <v>2923</v>
      </c>
      <c r="M526" s="242">
        <v>416</v>
      </c>
      <c r="N526" s="242">
        <v>6854</v>
      </c>
      <c r="O526" s="242">
        <v>6414</v>
      </c>
      <c r="P526" s="242">
        <v>2558</v>
      </c>
      <c r="Q526" s="242">
        <v>5998</v>
      </c>
      <c r="R526" s="337">
        <v>365</v>
      </c>
      <c r="S526" s="336">
        <v>856</v>
      </c>
      <c r="T526" s="336">
        <v>5996</v>
      </c>
      <c r="U526" s="336">
        <v>418</v>
      </c>
    </row>
    <row r="527" spans="2:21" s="22" customFormat="1" ht="27">
      <c r="B527" s="15">
        <f t="shared" si="13"/>
        <v>36</v>
      </c>
      <c r="C527" s="249" t="s">
        <v>1897</v>
      </c>
      <c r="D527" s="254">
        <v>2</v>
      </c>
      <c r="E527" s="250">
        <v>16644</v>
      </c>
      <c r="F527" s="341" t="s">
        <v>1898</v>
      </c>
      <c r="G527" s="233">
        <v>41079</v>
      </c>
      <c r="H527" s="228" t="s">
        <v>368</v>
      </c>
      <c r="I527" s="270">
        <v>44730</v>
      </c>
      <c r="J527" s="242">
        <v>3652</v>
      </c>
      <c r="K527" s="242">
        <v>651</v>
      </c>
      <c r="L527" s="242">
        <v>3001</v>
      </c>
      <c r="M527" s="242">
        <v>832</v>
      </c>
      <c r="N527" s="242">
        <v>13932</v>
      </c>
      <c r="O527" s="242">
        <v>13070</v>
      </c>
      <c r="P527" s="242">
        <v>2636</v>
      </c>
      <c r="Q527" s="242">
        <v>12238</v>
      </c>
      <c r="R527" s="337">
        <v>365</v>
      </c>
      <c r="S527" s="336">
        <v>1695</v>
      </c>
      <c r="T527" s="336">
        <v>11873</v>
      </c>
      <c r="U527" s="336">
        <v>1197</v>
      </c>
    </row>
    <row r="528" spans="2:21" s="22" customFormat="1" ht="27">
      <c r="B528" s="15">
        <f t="shared" si="13"/>
        <v>37</v>
      </c>
      <c r="C528" s="249" t="s">
        <v>2103</v>
      </c>
      <c r="D528" s="254">
        <v>27</v>
      </c>
      <c r="E528" s="250">
        <v>275481</v>
      </c>
      <c r="F528" s="341" t="s">
        <v>2104</v>
      </c>
      <c r="G528" s="233">
        <v>41414</v>
      </c>
      <c r="H528" s="228" t="s">
        <v>368</v>
      </c>
      <c r="I528" s="270">
        <v>45065</v>
      </c>
      <c r="J528" s="242">
        <v>3652</v>
      </c>
      <c r="K528" s="242">
        <v>316</v>
      </c>
      <c r="L528" s="242">
        <v>3336</v>
      </c>
      <c r="M528" s="242">
        <v>13774</v>
      </c>
      <c r="N528" s="242">
        <v>246610</v>
      </c>
      <c r="O528" s="242">
        <v>233402</v>
      </c>
      <c r="P528" s="242">
        <v>2971</v>
      </c>
      <c r="Q528" s="242">
        <v>219628</v>
      </c>
      <c r="R528" s="337">
        <v>365</v>
      </c>
      <c r="S528" s="336">
        <v>26982</v>
      </c>
      <c r="T528" s="336">
        <v>189022</v>
      </c>
      <c r="U528" s="336">
        <v>44380</v>
      </c>
    </row>
    <row r="529" spans="2:21" s="22" customFormat="1" ht="27">
      <c r="B529" s="15">
        <f t="shared" si="13"/>
        <v>38</v>
      </c>
      <c r="C529" s="249" t="s">
        <v>2211</v>
      </c>
      <c r="D529" s="254">
        <v>47</v>
      </c>
      <c r="E529" s="250">
        <v>479541</v>
      </c>
      <c r="F529" s="341" t="s">
        <v>2111</v>
      </c>
      <c r="G529" s="233">
        <v>41370</v>
      </c>
      <c r="H529" s="228" t="s">
        <v>368</v>
      </c>
      <c r="I529" s="270">
        <v>45021</v>
      </c>
      <c r="J529" s="242">
        <v>3652</v>
      </c>
      <c r="K529" s="242">
        <v>360</v>
      </c>
      <c r="L529" s="242">
        <v>3292</v>
      </c>
      <c r="M529" s="242">
        <v>23977</v>
      </c>
      <c r="N529" s="242">
        <v>425625</v>
      </c>
      <c r="O529" s="242">
        <v>402411</v>
      </c>
      <c r="P529" s="242">
        <v>2927</v>
      </c>
      <c r="Q529" s="242">
        <v>378434</v>
      </c>
      <c r="R529" s="337">
        <v>365</v>
      </c>
      <c r="S529" s="336">
        <v>47191</v>
      </c>
      <c r="T529" s="336">
        <v>330595</v>
      </c>
      <c r="U529" s="336">
        <v>71816</v>
      </c>
    </row>
    <row r="530" spans="2:21" s="22" customFormat="1" ht="27">
      <c r="B530" s="15">
        <f t="shared" si="13"/>
        <v>39</v>
      </c>
      <c r="C530" s="249" t="s">
        <v>2103</v>
      </c>
      <c r="D530" s="254">
        <v>6</v>
      </c>
      <c r="E530" s="250">
        <v>61218</v>
      </c>
      <c r="F530" s="341" t="s">
        <v>2100</v>
      </c>
      <c r="G530" s="233">
        <v>41404</v>
      </c>
      <c r="H530" s="228" t="s">
        <v>368</v>
      </c>
      <c r="I530" s="270">
        <v>45055</v>
      </c>
      <c r="J530" s="242">
        <v>3652</v>
      </c>
      <c r="K530" s="242">
        <v>326</v>
      </c>
      <c r="L530" s="242">
        <v>3326</v>
      </c>
      <c r="M530" s="242">
        <v>3061</v>
      </c>
      <c r="N530" s="242">
        <v>54696</v>
      </c>
      <c r="O530" s="242">
        <v>51755</v>
      </c>
      <c r="P530" s="242">
        <v>2961</v>
      </c>
      <c r="Q530" s="242">
        <v>48694</v>
      </c>
      <c r="R530" s="337">
        <v>365</v>
      </c>
      <c r="S530" s="336">
        <v>6002</v>
      </c>
      <c r="T530" s="336">
        <v>42048</v>
      </c>
      <c r="U530" s="336">
        <v>9707</v>
      </c>
    </row>
    <row r="531" spans="2:21" s="22" customFormat="1" ht="27">
      <c r="B531" s="15">
        <f t="shared" si="13"/>
        <v>40</v>
      </c>
      <c r="C531" s="249" t="s">
        <v>2172</v>
      </c>
      <c r="D531" s="254">
        <v>2</v>
      </c>
      <c r="E531" s="250">
        <v>18012</v>
      </c>
      <c r="F531" s="341" t="s">
        <v>2153</v>
      </c>
      <c r="G531" s="233">
        <v>41416</v>
      </c>
      <c r="H531" s="228" t="s">
        <v>368</v>
      </c>
      <c r="I531" s="270">
        <v>45067</v>
      </c>
      <c r="J531" s="242">
        <v>3652</v>
      </c>
      <c r="K531" s="242">
        <v>314</v>
      </c>
      <c r="L531" s="242">
        <v>3338</v>
      </c>
      <c r="M531" s="242">
        <v>901</v>
      </c>
      <c r="N531" s="242">
        <v>16130</v>
      </c>
      <c r="O531" s="242">
        <v>15267</v>
      </c>
      <c r="P531" s="242">
        <v>2973</v>
      </c>
      <c r="Q531" s="242">
        <v>14366</v>
      </c>
      <c r="R531" s="337">
        <v>365</v>
      </c>
      <c r="S531" s="336">
        <v>1764</v>
      </c>
      <c r="T531" s="336">
        <v>12358</v>
      </c>
      <c r="U531" s="336">
        <v>2909</v>
      </c>
    </row>
    <row r="532" spans="2:21" s="22" customFormat="1" ht="27">
      <c r="B532" s="15">
        <f t="shared" si="13"/>
        <v>41</v>
      </c>
      <c r="C532" s="249" t="s">
        <v>2232</v>
      </c>
      <c r="D532" s="254">
        <v>2</v>
      </c>
      <c r="E532" s="250">
        <v>16416</v>
      </c>
      <c r="F532" s="341" t="s">
        <v>2233</v>
      </c>
      <c r="G532" s="233">
        <v>41536</v>
      </c>
      <c r="H532" s="228" t="s">
        <v>368</v>
      </c>
      <c r="I532" s="270">
        <v>45187</v>
      </c>
      <c r="J532" s="242">
        <v>3652</v>
      </c>
      <c r="K532" s="242">
        <v>194</v>
      </c>
      <c r="L532" s="242">
        <v>3458</v>
      </c>
      <c r="M532" s="242">
        <v>821</v>
      </c>
      <c r="N532" s="242">
        <v>15043</v>
      </c>
      <c r="O532" s="242">
        <v>14276</v>
      </c>
      <c r="P532" s="242">
        <v>3093</v>
      </c>
      <c r="Q532" s="242">
        <v>13455</v>
      </c>
      <c r="R532" s="337">
        <v>365</v>
      </c>
      <c r="S532" s="336">
        <v>1588</v>
      </c>
      <c r="T532" s="336">
        <v>11124</v>
      </c>
      <c r="U532" s="336">
        <v>3152</v>
      </c>
    </row>
    <row r="533" spans="2:21" s="22" customFormat="1" ht="40.5">
      <c r="B533" s="15">
        <f t="shared" si="13"/>
        <v>42</v>
      </c>
      <c r="C533" s="249" t="s">
        <v>2232</v>
      </c>
      <c r="D533" s="254">
        <v>1</v>
      </c>
      <c r="E533" s="250">
        <v>20082</v>
      </c>
      <c r="F533" s="341" t="s">
        <v>2249</v>
      </c>
      <c r="G533" s="233">
        <v>41510</v>
      </c>
      <c r="H533" s="228" t="s">
        <v>368</v>
      </c>
      <c r="I533" s="270">
        <v>45161</v>
      </c>
      <c r="J533" s="242">
        <v>3652</v>
      </c>
      <c r="K533" s="242">
        <v>220</v>
      </c>
      <c r="L533" s="242">
        <v>3432</v>
      </c>
      <c r="M533" s="242">
        <v>1004</v>
      </c>
      <c r="N533" s="242">
        <v>18312</v>
      </c>
      <c r="O533" s="242">
        <v>17368</v>
      </c>
      <c r="P533" s="242">
        <v>3067</v>
      </c>
      <c r="Q533" s="242">
        <v>16364</v>
      </c>
      <c r="R533" s="337">
        <v>365</v>
      </c>
      <c r="S533" s="336">
        <v>1947</v>
      </c>
      <c r="T533" s="336">
        <v>13641</v>
      </c>
      <c r="U533" s="336">
        <v>3727</v>
      </c>
    </row>
    <row r="534" spans="2:21" s="22" customFormat="1" ht="27">
      <c r="B534" s="15">
        <f t="shared" si="13"/>
        <v>43</v>
      </c>
      <c r="C534" s="249" t="s">
        <v>2260</v>
      </c>
      <c r="D534" s="254">
        <v>2</v>
      </c>
      <c r="E534" s="250">
        <v>16416</v>
      </c>
      <c r="F534" s="341" t="s">
        <v>2261</v>
      </c>
      <c r="G534" s="233">
        <v>41536</v>
      </c>
      <c r="H534" s="228" t="s">
        <v>368</v>
      </c>
      <c r="I534" s="270">
        <v>45187</v>
      </c>
      <c r="J534" s="242">
        <v>3652</v>
      </c>
      <c r="K534" s="242">
        <v>194</v>
      </c>
      <c r="L534" s="242">
        <v>3458</v>
      </c>
      <c r="M534" s="242">
        <v>821</v>
      </c>
      <c r="N534" s="242">
        <v>15043</v>
      </c>
      <c r="O534" s="242">
        <v>14276</v>
      </c>
      <c r="P534" s="242">
        <v>3093</v>
      </c>
      <c r="Q534" s="242">
        <v>13455</v>
      </c>
      <c r="R534" s="337">
        <v>365</v>
      </c>
      <c r="S534" s="336">
        <v>1588</v>
      </c>
      <c r="T534" s="336">
        <v>11124</v>
      </c>
      <c r="U534" s="336">
        <v>3152</v>
      </c>
    </row>
    <row r="535" spans="2:21" s="22" customFormat="1" ht="27">
      <c r="B535" s="15">
        <f t="shared" si="13"/>
        <v>44</v>
      </c>
      <c r="C535" s="249" t="s">
        <v>2260</v>
      </c>
      <c r="D535" s="254">
        <f>4*0+2</f>
        <v>2</v>
      </c>
      <c r="E535" s="250">
        <v>32832</v>
      </c>
      <c r="F535" s="341" t="s">
        <v>2262</v>
      </c>
      <c r="G535" s="233">
        <v>41514</v>
      </c>
      <c r="H535" s="228" t="s">
        <v>368</v>
      </c>
      <c r="I535" s="270">
        <v>45165</v>
      </c>
      <c r="J535" s="242">
        <v>3652</v>
      </c>
      <c r="K535" s="242">
        <v>216</v>
      </c>
      <c r="L535" s="242">
        <v>3436</v>
      </c>
      <c r="M535" s="242">
        <v>1642</v>
      </c>
      <c r="N535" s="242">
        <v>29960</v>
      </c>
      <c r="O535" s="242">
        <v>28419</v>
      </c>
      <c r="P535" s="242">
        <v>3071</v>
      </c>
      <c r="Q535" s="242">
        <v>26777</v>
      </c>
      <c r="R535" s="337">
        <v>365</v>
      </c>
      <c r="S535" s="336">
        <v>3183</v>
      </c>
      <c r="T535" s="336">
        <v>22297</v>
      </c>
      <c r="U535" s="336">
        <v>6122</v>
      </c>
    </row>
    <row r="536" spans="2:21" s="22" customFormat="1" ht="27">
      <c r="B536" s="15">
        <f t="shared" si="13"/>
        <v>45</v>
      </c>
      <c r="C536" s="249" t="s">
        <v>682</v>
      </c>
      <c r="D536" s="254">
        <v>8</v>
      </c>
      <c r="E536" s="250">
        <v>68400</v>
      </c>
      <c r="F536" s="341" t="s">
        <v>2295</v>
      </c>
      <c r="G536" s="233">
        <v>41608</v>
      </c>
      <c r="H536" s="228" t="s">
        <v>368</v>
      </c>
      <c r="I536" s="270">
        <v>45259</v>
      </c>
      <c r="J536" s="242">
        <v>3652</v>
      </c>
      <c r="K536" s="242">
        <v>122</v>
      </c>
      <c r="L536" s="242">
        <v>3530</v>
      </c>
      <c r="M536" s="242">
        <v>3420</v>
      </c>
      <c r="N536" s="242">
        <v>63533</v>
      </c>
      <c r="O536" s="242">
        <v>60384</v>
      </c>
      <c r="P536" s="242">
        <v>3165</v>
      </c>
      <c r="Q536" s="242">
        <v>56964</v>
      </c>
      <c r="R536" s="337">
        <v>365</v>
      </c>
      <c r="S536" s="336">
        <v>6569</v>
      </c>
      <c r="T536" s="336">
        <v>46019</v>
      </c>
      <c r="U536" s="336">
        <v>14365</v>
      </c>
    </row>
    <row r="537" spans="2:21" s="22" customFormat="1" ht="40.5">
      <c r="B537" s="15">
        <f t="shared" si="13"/>
        <v>46</v>
      </c>
      <c r="C537" s="249" t="s">
        <v>2709</v>
      </c>
      <c r="D537" s="254">
        <v>3</v>
      </c>
      <c r="E537" s="250">
        <f>34923+266</f>
        <v>35189</v>
      </c>
      <c r="F537" s="249" t="s">
        <v>2679</v>
      </c>
      <c r="G537" s="233">
        <v>42005</v>
      </c>
      <c r="H537" s="228" t="s">
        <v>368</v>
      </c>
      <c r="I537" s="270">
        <v>45657</v>
      </c>
      <c r="J537" s="242">
        <v>3653</v>
      </c>
      <c r="K537" s="242">
        <v>0</v>
      </c>
      <c r="L537" s="242">
        <v>3653</v>
      </c>
      <c r="M537" s="242">
        <v>1759</v>
      </c>
      <c r="N537" s="242">
        <v>33430</v>
      </c>
      <c r="O537" s="242">
        <v>34365</v>
      </c>
      <c r="P537" s="242">
        <v>3563</v>
      </c>
      <c r="Q537" s="242">
        <v>32606</v>
      </c>
      <c r="R537" s="337">
        <v>365</v>
      </c>
      <c r="S537" s="336">
        <v>3340</v>
      </c>
      <c r="T537" s="336">
        <v>23398</v>
      </c>
      <c r="U537" s="336">
        <v>10967</v>
      </c>
    </row>
    <row r="538" spans="2:21" s="22" customFormat="1" ht="40.5">
      <c r="B538" s="15">
        <f t="shared" si="13"/>
        <v>47</v>
      </c>
      <c r="C538" s="249" t="s">
        <v>2710</v>
      </c>
      <c r="D538" s="254">
        <v>2</v>
      </c>
      <c r="E538" s="250">
        <f>29861+228</f>
        <v>30089</v>
      </c>
      <c r="F538" s="249" t="s">
        <v>2679</v>
      </c>
      <c r="G538" s="233">
        <v>42005</v>
      </c>
      <c r="H538" s="228" t="s">
        <v>368</v>
      </c>
      <c r="I538" s="270">
        <v>45657</v>
      </c>
      <c r="J538" s="242">
        <v>3653</v>
      </c>
      <c r="K538" s="242">
        <v>0</v>
      </c>
      <c r="L538" s="242">
        <v>3653</v>
      </c>
      <c r="M538" s="242">
        <v>1504</v>
      </c>
      <c r="N538" s="242">
        <v>28585</v>
      </c>
      <c r="O538" s="242">
        <v>29385</v>
      </c>
      <c r="P538" s="242">
        <v>3563</v>
      </c>
      <c r="Q538" s="242">
        <v>27881</v>
      </c>
      <c r="R538" s="337">
        <v>365</v>
      </c>
      <c r="S538" s="336">
        <v>2856</v>
      </c>
      <c r="T538" s="336">
        <v>20008</v>
      </c>
      <c r="U538" s="336">
        <v>9377</v>
      </c>
    </row>
    <row r="539" spans="2:21" s="22" customFormat="1" ht="40.5">
      <c r="B539" s="15">
        <f t="shared" si="13"/>
        <v>48</v>
      </c>
      <c r="C539" s="249" t="s">
        <v>2716</v>
      </c>
      <c r="D539" s="254">
        <v>3</v>
      </c>
      <c r="E539" s="250">
        <f>15249+116</f>
        <v>15365</v>
      </c>
      <c r="F539" s="249" t="s">
        <v>2679</v>
      </c>
      <c r="G539" s="233">
        <v>42005</v>
      </c>
      <c r="H539" s="228" t="s">
        <v>368</v>
      </c>
      <c r="I539" s="270">
        <v>45657</v>
      </c>
      <c r="J539" s="242">
        <v>3653</v>
      </c>
      <c r="K539" s="242">
        <v>0</v>
      </c>
      <c r="L539" s="242">
        <v>3653</v>
      </c>
      <c r="M539" s="242">
        <v>768</v>
      </c>
      <c r="N539" s="242">
        <v>14597</v>
      </c>
      <c r="O539" s="242">
        <v>15005</v>
      </c>
      <c r="P539" s="242">
        <v>3563</v>
      </c>
      <c r="Q539" s="242">
        <v>14237</v>
      </c>
      <c r="R539" s="337">
        <v>365</v>
      </c>
      <c r="S539" s="336">
        <v>1458</v>
      </c>
      <c r="T539" s="336">
        <v>10214</v>
      </c>
      <c r="U539" s="336">
        <v>4791</v>
      </c>
    </row>
    <row r="540" spans="2:21" s="22" customFormat="1" ht="40.5">
      <c r="B540" s="15">
        <f t="shared" si="13"/>
        <v>49</v>
      </c>
      <c r="C540" s="249" t="s">
        <v>2718</v>
      </c>
      <c r="D540" s="254">
        <v>2</v>
      </c>
      <c r="E540" s="250">
        <f>14099+107</f>
        <v>14206</v>
      </c>
      <c r="F540" s="249" t="s">
        <v>2679</v>
      </c>
      <c r="G540" s="233">
        <v>42005</v>
      </c>
      <c r="H540" s="228" t="s">
        <v>368</v>
      </c>
      <c r="I540" s="270">
        <v>45657</v>
      </c>
      <c r="J540" s="242">
        <v>3653</v>
      </c>
      <c r="K540" s="242">
        <v>0</v>
      </c>
      <c r="L540" s="242">
        <v>3653</v>
      </c>
      <c r="M540" s="242">
        <v>710</v>
      </c>
      <c r="N540" s="242">
        <v>13496</v>
      </c>
      <c r="O540" s="242">
        <v>13873</v>
      </c>
      <c r="P540" s="242">
        <v>3563</v>
      </c>
      <c r="Q540" s="242">
        <v>13163</v>
      </c>
      <c r="R540" s="337">
        <v>365</v>
      </c>
      <c r="S540" s="336">
        <v>1348</v>
      </c>
      <c r="T540" s="336">
        <v>9444</v>
      </c>
      <c r="U540" s="336">
        <v>4429</v>
      </c>
    </row>
    <row r="541" spans="2:21" s="22" customFormat="1" ht="40.5">
      <c r="B541" s="15">
        <f t="shared" si="13"/>
        <v>50</v>
      </c>
      <c r="C541" s="249" t="s">
        <v>2720</v>
      </c>
      <c r="D541" s="254">
        <v>2</v>
      </c>
      <c r="E541" s="250">
        <f>12229+93</f>
        <v>12322</v>
      </c>
      <c r="F541" s="249" t="s">
        <v>2679</v>
      </c>
      <c r="G541" s="233">
        <v>42005</v>
      </c>
      <c r="H541" s="228" t="s">
        <v>368</v>
      </c>
      <c r="I541" s="270">
        <v>45657</v>
      </c>
      <c r="J541" s="242">
        <v>3653</v>
      </c>
      <c r="K541" s="242">
        <v>0</v>
      </c>
      <c r="L541" s="242">
        <v>3653</v>
      </c>
      <c r="M541" s="242">
        <v>616</v>
      </c>
      <c r="N541" s="242">
        <v>11706</v>
      </c>
      <c r="O541" s="242">
        <v>12034</v>
      </c>
      <c r="P541" s="242">
        <v>3563</v>
      </c>
      <c r="Q541" s="242">
        <v>11418</v>
      </c>
      <c r="R541" s="337">
        <v>365</v>
      </c>
      <c r="S541" s="336">
        <v>1170</v>
      </c>
      <c r="T541" s="336">
        <v>8196</v>
      </c>
      <c r="U541" s="336">
        <v>3838</v>
      </c>
    </row>
    <row r="542" spans="2:21" s="22" customFormat="1" ht="40.5">
      <c r="B542" s="15">
        <f t="shared" si="13"/>
        <v>51</v>
      </c>
      <c r="C542" s="249" t="s">
        <v>2720</v>
      </c>
      <c r="D542" s="254">
        <v>2</v>
      </c>
      <c r="E542" s="250">
        <f>10276+78</f>
        <v>10354</v>
      </c>
      <c r="F542" s="249" t="s">
        <v>2679</v>
      </c>
      <c r="G542" s="233">
        <v>42005</v>
      </c>
      <c r="H542" s="228" t="s">
        <v>368</v>
      </c>
      <c r="I542" s="270">
        <v>45657</v>
      </c>
      <c r="J542" s="242">
        <v>3653</v>
      </c>
      <c r="K542" s="242">
        <v>0</v>
      </c>
      <c r="L542" s="242">
        <v>3653</v>
      </c>
      <c r="M542" s="242">
        <v>518</v>
      </c>
      <c r="N542" s="242">
        <v>9836</v>
      </c>
      <c r="O542" s="242">
        <v>10112</v>
      </c>
      <c r="P542" s="242">
        <v>3563</v>
      </c>
      <c r="Q542" s="242">
        <v>9594</v>
      </c>
      <c r="R542" s="337">
        <v>365</v>
      </c>
      <c r="S542" s="336">
        <v>983</v>
      </c>
      <c r="T542" s="336">
        <v>6887</v>
      </c>
      <c r="U542" s="336">
        <v>3225</v>
      </c>
    </row>
    <row r="543" spans="2:21" s="22" customFormat="1" ht="27">
      <c r="B543" s="15">
        <f t="shared" si="13"/>
        <v>52</v>
      </c>
      <c r="C543" s="249" t="s">
        <v>682</v>
      </c>
      <c r="D543" s="254">
        <v>2</v>
      </c>
      <c r="E543" s="266">
        <v>15000</v>
      </c>
      <c r="F543" s="249" t="s">
        <v>3888</v>
      </c>
      <c r="G543" s="233">
        <v>42531</v>
      </c>
      <c r="H543" s="228" t="s">
        <v>4366</v>
      </c>
      <c r="I543" s="270">
        <v>46182</v>
      </c>
      <c r="J543" s="242">
        <v>3652</v>
      </c>
      <c r="K543" s="242">
        <v>0</v>
      </c>
      <c r="L543" s="242">
        <v>3652</v>
      </c>
      <c r="M543" s="242">
        <v>750</v>
      </c>
      <c r="N543" s="242">
        <v>14250</v>
      </c>
      <c r="O543" s="242">
        <v>15000</v>
      </c>
      <c r="P543" s="242">
        <v>3652</v>
      </c>
      <c r="Q543" s="242">
        <v>14250</v>
      </c>
      <c r="R543" s="337">
        <v>0</v>
      </c>
      <c r="S543" s="336">
        <v>0</v>
      </c>
      <c r="T543" s="336">
        <v>15000</v>
      </c>
      <c r="U543" s="336">
        <v>0</v>
      </c>
    </row>
    <row r="544" spans="2:21" s="22" customFormat="1">
      <c r="B544" s="15"/>
      <c r="C544" s="249"/>
      <c r="D544" s="254"/>
      <c r="E544" s="250"/>
      <c r="F544" s="249"/>
      <c r="G544" s="233"/>
      <c r="H544" s="228"/>
      <c r="I544" s="270"/>
      <c r="J544" s="242"/>
      <c r="K544" s="242"/>
      <c r="L544" s="242"/>
      <c r="M544" s="242"/>
      <c r="N544" s="242"/>
      <c r="O544" s="242">
        <v>0</v>
      </c>
      <c r="P544" s="242"/>
      <c r="Q544" s="272"/>
      <c r="R544" s="318"/>
      <c r="S544" s="242"/>
      <c r="T544" s="242"/>
      <c r="U544" s="228"/>
    </row>
    <row r="545" spans="2:21" s="22" customFormat="1" ht="14.25">
      <c r="B545" s="32" t="s">
        <v>975</v>
      </c>
      <c r="C545" s="241"/>
      <c r="D545" s="313"/>
      <c r="E545" s="252"/>
      <c r="F545" s="313"/>
      <c r="G545" s="229"/>
      <c r="H545" s="241"/>
      <c r="I545" s="228"/>
      <c r="J545" s="228"/>
      <c r="K545" s="228"/>
      <c r="L545" s="228"/>
      <c r="M545" s="242"/>
      <c r="N545" s="228"/>
      <c r="O545" s="242">
        <v>0</v>
      </c>
      <c r="P545" s="242"/>
      <c r="Q545" s="272"/>
      <c r="R545" s="318"/>
      <c r="S545" s="242"/>
      <c r="T545" s="242"/>
      <c r="U545" s="228"/>
    </row>
    <row r="546" spans="2:21" s="22" customFormat="1">
      <c r="B546" s="15">
        <v>1</v>
      </c>
      <c r="C546" s="249" t="s">
        <v>976</v>
      </c>
      <c r="D546" s="254">
        <v>1</v>
      </c>
      <c r="E546" s="242">
        <v>29925</v>
      </c>
      <c r="F546" s="347">
        <v>4230</v>
      </c>
      <c r="G546" s="233">
        <v>39862</v>
      </c>
      <c r="H546" s="228" t="s">
        <v>282</v>
      </c>
      <c r="I546" s="335">
        <v>43513</v>
      </c>
      <c r="J546" s="336">
        <v>3652</v>
      </c>
      <c r="K546" s="336">
        <v>1868</v>
      </c>
      <c r="L546" s="336">
        <v>1784</v>
      </c>
      <c r="M546" s="336">
        <v>1496</v>
      </c>
      <c r="N546" s="336">
        <v>18743.031219178083</v>
      </c>
      <c r="O546" s="336">
        <v>16404.031219178083</v>
      </c>
      <c r="P546" s="336">
        <v>1419</v>
      </c>
      <c r="Q546" s="336">
        <v>14908</v>
      </c>
      <c r="R546" s="337">
        <v>0</v>
      </c>
      <c r="S546" s="336">
        <v>0</v>
      </c>
      <c r="T546" s="336">
        <v>16404</v>
      </c>
      <c r="U546" s="336">
        <v>3.1219178083119914E-2</v>
      </c>
    </row>
    <row r="547" spans="2:21" s="22" customFormat="1">
      <c r="B547" s="15">
        <f t="shared" ref="B547:B559" si="14">+B546+1</f>
        <v>2</v>
      </c>
      <c r="C547" s="249" t="s">
        <v>980</v>
      </c>
      <c r="D547" s="254">
        <v>1</v>
      </c>
      <c r="E547" s="242">
        <v>1238</v>
      </c>
      <c r="F547" s="347" t="s">
        <v>977</v>
      </c>
      <c r="G547" s="233">
        <v>39892</v>
      </c>
      <c r="H547" s="228" t="s">
        <v>282</v>
      </c>
      <c r="I547" s="270">
        <v>0</v>
      </c>
      <c r="J547" s="242">
        <v>0</v>
      </c>
      <c r="K547" s="242">
        <v>0</v>
      </c>
      <c r="L547" s="242">
        <v>0</v>
      </c>
      <c r="M547" s="242">
        <v>0</v>
      </c>
      <c r="N547" s="242">
        <v>0</v>
      </c>
      <c r="O547" s="242">
        <v>0</v>
      </c>
      <c r="P547" s="242">
        <v>0</v>
      </c>
      <c r="Q547" s="242">
        <v>-62</v>
      </c>
      <c r="R547" s="337">
        <v>0</v>
      </c>
      <c r="S547" s="336">
        <v>0</v>
      </c>
      <c r="T547" s="336">
        <v>0</v>
      </c>
      <c r="U547" s="336">
        <v>0</v>
      </c>
    </row>
    <row r="548" spans="2:21" s="22" customFormat="1">
      <c r="B548" s="15">
        <f t="shared" si="14"/>
        <v>3</v>
      </c>
      <c r="C548" s="249" t="s">
        <v>174</v>
      </c>
      <c r="D548" s="254">
        <v>1</v>
      </c>
      <c r="E548" s="242">
        <v>6864</v>
      </c>
      <c r="F548" s="347" t="s">
        <v>42</v>
      </c>
      <c r="G548" s="233">
        <v>40059</v>
      </c>
      <c r="H548" s="228" t="s">
        <v>282</v>
      </c>
      <c r="I548" s="270">
        <v>43710</v>
      </c>
      <c r="J548" s="242">
        <v>3652</v>
      </c>
      <c r="K548" s="242">
        <v>1671</v>
      </c>
      <c r="L548" s="242">
        <v>1981</v>
      </c>
      <c r="M548" s="242">
        <v>343</v>
      </c>
      <c r="N548" s="242">
        <v>4534</v>
      </c>
      <c r="O548" s="242">
        <v>4042</v>
      </c>
      <c r="P548" s="242">
        <v>1616</v>
      </c>
      <c r="Q548" s="242">
        <v>3699</v>
      </c>
      <c r="R548" s="337">
        <v>0</v>
      </c>
      <c r="S548" s="336">
        <v>0</v>
      </c>
      <c r="T548" s="336">
        <v>4042</v>
      </c>
      <c r="U548" s="336">
        <v>0</v>
      </c>
    </row>
    <row r="549" spans="2:21" s="22" customFormat="1">
      <c r="B549" s="15">
        <f t="shared" si="14"/>
        <v>4</v>
      </c>
      <c r="C549" s="249" t="s">
        <v>175</v>
      </c>
      <c r="D549" s="254">
        <v>1</v>
      </c>
      <c r="E549" s="242">
        <v>35323</v>
      </c>
      <c r="F549" s="347" t="s">
        <v>2676</v>
      </c>
      <c r="G549" s="233">
        <v>40037</v>
      </c>
      <c r="H549" s="228" t="s">
        <v>895</v>
      </c>
      <c r="I549" s="270">
        <v>43688</v>
      </c>
      <c r="J549" s="242">
        <v>3652</v>
      </c>
      <c r="K549" s="242">
        <v>1693</v>
      </c>
      <c r="L549" s="242">
        <v>1959</v>
      </c>
      <c r="M549" s="242">
        <v>1766</v>
      </c>
      <c r="N549" s="242">
        <v>23192</v>
      </c>
      <c r="O549" s="242">
        <v>20637</v>
      </c>
      <c r="P549" s="242">
        <v>1594</v>
      </c>
      <c r="Q549" s="242">
        <v>18871</v>
      </c>
      <c r="R549" s="337">
        <v>0</v>
      </c>
      <c r="S549" s="336">
        <v>0</v>
      </c>
      <c r="T549" s="336">
        <v>20637</v>
      </c>
      <c r="U549" s="336">
        <v>0</v>
      </c>
    </row>
    <row r="550" spans="2:21" s="22" customFormat="1">
      <c r="B550" s="15">
        <f t="shared" si="14"/>
        <v>5</v>
      </c>
      <c r="C550" s="249" t="s">
        <v>1341</v>
      </c>
      <c r="D550" s="254">
        <v>1</v>
      </c>
      <c r="E550" s="242">
        <v>653</v>
      </c>
      <c r="F550" s="347" t="s">
        <v>1058</v>
      </c>
      <c r="G550" s="233">
        <v>40059</v>
      </c>
      <c r="H550" s="228" t="s">
        <v>368</v>
      </c>
      <c r="I550" s="270">
        <v>43710</v>
      </c>
      <c r="J550" s="242">
        <v>3652</v>
      </c>
      <c r="K550" s="242">
        <v>1671</v>
      </c>
      <c r="L550" s="242">
        <v>1981</v>
      </c>
      <c r="M550" s="242">
        <v>33</v>
      </c>
      <c r="N550" s="242">
        <v>434</v>
      </c>
      <c r="O550" s="242">
        <v>387</v>
      </c>
      <c r="P550" s="242">
        <v>1616</v>
      </c>
      <c r="Q550" s="242">
        <v>354</v>
      </c>
      <c r="R550" s="337">
        <v>0</v>
      </c>
      <c r="S550" s="336">
        <v>0</v>
      </c>
      <c r="T550" s="336">
        <v>387</v>
      </c>
      <c r="U550" s="336">
        <v>0</v>
      </c>
    </row>
    <row r="551" spans="2:21" s="22" customFormat="1" ht="54">
      <c r="B551" s="15">
        <f t="shared" si="14"/>
        <v>6</v>
      </c>
      <c r="C551" s="249" t="s">
        <v>1342</v>
      </c>
      <c r="D551" s="254">
        <v>1</v>
      </c>
      <c r="E551" s="242">
        <v>18810</v>
      </c>
      <c r="F551" s="347" t="s">
        <v>928</v>
      </c>
      <c r="G551" s="233">
        <v>40263</v>
      </c>
      <c r="H551" s="228" t="s">
        <v>282</v>
      </c>
      <c r="I551" s="270">
        <v>43915</v>
      </c>
      <c r="J551" s="242">
        <v>3653</v>
      </c>
      <c r="K551" s="242">
        <v>1467</v>
      </c>
      <c r="L551" s="242">
        <v>2186</v>
      </c>
      <c r="M551" s="242">
        <v>941</v>
      </c>
      <c r="N551" s="242">
        <v>13086</v>
      </c>
      <c r="O551" s="242">
        <v>11842</v>
      </c>
      <c r="P551" s="242">
        <v>1821</v>
      </c>
      <c r="Q551" s="242">
        <v>10902</v>
      </c>
      <c r="R551" s="337">
        <v>0</v>
      </c>
      <c r="S551" s="336">
        <v>0</v>
      </c>
      <c r="T551" s="336">
        <v>11842</v>
      </c>
      <c r="U551" s="336">
        <v>0</v>
      </c>
    </row>
    <row r="552" spans="2:21" s="22" customFormat="1" ht="27">
      <c r="B552" s="15">
        <f t="shared" si="14"/>
        <v>7</v>
      </c>
      <c r="C552" s="249" t="s">
        <v>346</v>
      </c>
      <c r="D552" s="254" t="s">
        <v>1100</v>
      </c>
      <c r="E552" s="242">
        <v>21575</v>
      </c>
      <c r="F552" s="347" t="s">
        <v>347</v>
      </c>
      <c r="G552" s="233">
        <v>40460</v>
      </c>
      <c r="H552" s="228" t="s">
        <v>368</v>
      </c>
      <c r="I552" s="270">
        <v>44112</v>
      </c>
      <c r="J552" s="242">
        <v>3653</v>
      </c>
      <c r="K552" s="242">
        <v>1270</v>
      </c>
      <c r="L552" s="242">
        <v>2383</v>
      </c>
      <c r="M552" s="242">
        <v>1079</v>
      </c>
      <c r="N552" s="242">
        <v>15747</v>
      </c>
      <c r="O552" s="242">
        <v>14414</v>
      </c>
      <c r="P552" s="242">
        <v>2018</v>
      </c>
      <c r="Q552" s="242">
        <v>13335</v>
      </c>
      <c r="R552" s="337">
        <v>0</v>
      </c>
      <c r="S552" s="336">
        <v>0</v>
      </c>
      <c r="T552" s="336">
        <v>14414</v>
      </c>
      <c r="U552" s="336">
        <v>0</v>
      </c>
    </row>
    <row r="553" spans="2:21" s="22" customFormat="1" ht="27">
      <c r="B553" s="15">
        <f t="shared" si="14"/>
        <v>8</v>
      </c>
      <c r="C553" s="249" t="s">
        <v>266</v>
      </c>
      <c r="D553" s="254" t="s">
        <v>1100</v>
      </c>
      <c r="E553" s="242">
        <v>27930</v>
      </c>
      <c r="F553" s="347" t="s">
        <v>1081</v>
      </c>
      <c r="G553" s="233">
        <v>40478</v>
      </c>
      <c r="H553" s="228" t="s">
        <v>1177</v>
      </c>
      <c r="I553" s="270">
        <v>44130</v>
      </c>
      <c r="J553" s="242">
        <v>3653</v>
      </c>
      <c r="K553" s="242">
        <v>1252</v>
      </c>
      <c r="L553" s="242">
        <v>2401</v>
      </c>
      <c r="M553" s="242">
        <v>1397</v>
      </c>
      <c r="N553" s="242">
        <v>20473</v>
      </c>
      <c r="O553" s="242">
        <v>18758</v>
      </c>
      <c r="P553" s="242">
        <v>2036</v>
      </c>
      <c r="Q553" s="242">
        <v>17362</v>
      </c>
      <c r="R553" s="337">
        <v>0</v>
      </c>
      <c r="S553" s="336">
        <v>0</v>
      </c>
      <c r="T553" s="336">
        <v>18758</v>
      </c>
      <c r="U553" s="336">
        <v>0</v>
      </c>
    </row>
    <row r="554" spans="2:21" s="22" customFormat="1" ht="27">
      <c r="B554" s="15">
        <f t="shared" si="14"/>
        <v>9</v>
      </c>
      <c r="C554" s="249" t="s">
        <v>842</v>
      </c>
      <c r="D554" s="254" t="s">
        <v>1100</v>
      </c>
      <c r="E554" s="242">
        <v>27930</v>
      </c>
      <c r="F554" s="347" t="s">
        <v>453</v>
      </c>
      <c r="G554" s="233">
        <v>40502</v>
      </c>
      <c r="H554" s="228" t="s">
        <v>80</v>
      </c>
      <c r="I554" s="270">
        <v>44154</v>
      </c>
      <c r="J554" s="242">
        <v>3653</v>
      </c>
      <c r="K554" s="242">
        <v>1228</v>
      </c>
      <c r="L554" s="242">
        <v>2425</v>
      </c>
      <c r="M554" s="242">
        <v>1397</v>
      </c>
      <c r="N554" s="242">
        <v>20590</v>
      </c>
      <c r="O554" s="242">
        <v>18888</v>
      </c>
      <c r="P554" s="242">
        <v>2060</v>
      </c>
      <c r="Q554" s="242">
        <v>17492</v>
      </c>
      <c r="R554" s="337">
        <v>0</v>
      </c>
      <c r="S554" s="336">
        <v>0</v>
      </c>
      <c r="T554" s="336">
        <v>18888</v>
      </c>
      <c r="U554" s="336">
        <v>0</v>
      </c>
    </row>
    <row r="555" spans="2:21" s="22" customFormat="1" ht="27">
      <c r="B555" s="15">
        <f t="shared" si="14"/>
        <v>10</v>
      </c>
      <c r="C555" s="249" t="s">
        <v>1651</v>
      </c>
      <c r="D555" s="254">
        <v>2</v>
      </c>
      <c r="E555" s="242">
        <v>55412</v>
      </c>
      <c r="F555" s="347" t="s">
        <v>1652</v>
      </c>
      <c r="G555" s="233">
        <v>40902</v>
      </c>
      <c r="H555" s="228" t="s">
        <v>119</v>
      </c>
      <c r="I555" s="270">
        <v>44554</v>
      </c>
      <c r="J555" s="242">
        <v>3653</v>
      </c>
      <c r="K555" s="242">
        <v>828</v>
      </c>
      <c r="L555" s="242">
        <v>2825</v>
      </c>
      <c r="M555" s="242">
        <v>2771</v>
      </c>
      <c r="N555" s="242">
        <v>44686</v>
      </c>
      <c r="O555" s="242">
        <v>41683</v>
      </c>
      <c r="P555" s="242">
        <v>2460</v>
      </c>
      <c r="Q555" s="242">
        <v>38912</v>
      </c>
      <c r="R555" s="337">
        <v>268</v>
      </c>
      <c r="S555" s="336">
        <v>7009</v>
      </c>
      <c r="T555" s="336">
        <v>41683</v>
      </c>
      <c r="U555" s="336">
        <v>0</v>
      </c>
    </row>
    <row r="556" spans="2:21" s="22" customFormat="1" ht="27">
      <c r="B556" s="15">
        <f t="shared" si="14"/>
        <v>11</v>
      </c>
      <c r="C556" s="249" t="s">
        <v>174</v>
      </c>
      <c r="D556" s="254">
        <v>1</v>
      </c>
      <c r="E556" s="242">
        <v>18328</v>
      </c>
      <c r="F556" s="347" t="s">
        <v>1822</v>
      </c>
      <c r="G556" s="233">
        <v>41024</v>
      </c>
      <c r="H556" s="228" t="s">
        <v>895</v>
      </c>
      <c r="I556" s="270">
        <v>44675</v>
      </c>
      <c r="J556" s="242">
        <v>3652</v>
      </c>
      <c r="K556" s="242">
        <v>706</v>
      </c>
      <c r="L556" s="242">
        <v>2946</v>
      </c>
      <c r="M556" s="242">
        <v>916</v>
      </c>
      <c r="N556" s="242">
        <v>15168</v>
      </c>
      <c r="O556" s="242">
        <v>14205</v>
      </c>
      <c r="P556" s="242">
        <v>2581</v>
      </c>
      <c r="Q556" s="242">
        <v>13289</v>
      </c>
      <c r="R556" s="337">
        <v>183</v>
      </c>
      <c r="S556" s="336">
        <v>942</v>
      </c>
      <c r="T556" s="336">
        <v>12226</v>
      </c>
      <c r="U556" s="336">
        <v>1979</v>
      </c>
    </row>
    <row r="557" spans="2:21" s="22" customFormat="1">
      <c r="B557" s="15">
        <f t="shared" si="14"/>
        <v>12</v>
      </c>
      <c r="C557" s="249" t="s">
        <v>4625</v>
      </c>
      <c r="D557" s="254">
        <v>-1</v>
      </c>
      <c r="E557" s="242">
        <v>-18328</v>
      </c>
      <c r="F557" s="347"/>
      <c r="G557" s="233">
        <v>41024</v>
      </c>
      <c r="H557" s="228" t="s">
        <v>895</v>
      </c>
      <c r="I557" s="270">
        <v>44675</v>
      </c>
      <c r="J557" s="242">
        <v>3652</v>
      </c>
      <c r="K557" s="242">
        <v>706</v>
      </c>
      <c r="L557" s="242">
        <v>2946</v>
      </c>
      <c r="M557" s="242">
        <v>0</v>
      </c>
      <c r="N557" s="242">
        <v>0</v>
      </c>
      <c r="O557" s="242">
        <v>-14205</v>
      </c>
      <c r="P557" s="242"/>
      <c r="Q557" s="242"/>
      <c r="R557" s="337">
        <v>0</v>
      </c>
      <c r="S557" s="336">
        <v>0</v>
      </c>
      <c r="T557" s="336">
        <v>-12226</v>
      </c>
      <c r="U557" s="336">
        <v>-1979</v>
      </c>
    </row>
    <row r="558" spans="2:21" s="22" customFormat="1" ht="54">
      <c r="B558" s="15">
        <f t="shared" si="14"/>
        <v>13</v>
      </c>
      <c r="C558" s="249" t="s">
        <v>980</v>
      </c>
      <c r="D558" s="254">
        <v>8</v>
      </c>
      <c r="E558" s="242">
        <f>6237+1044</f>
        <v>7281</v>
      </c>
      <c r="F558" s="249" t="s">
        <v>2597</v>
      </c>
      <c r="G558" s="233">
        <v>41913</v>
      </c>
      <c r="H558" s="228" t="s">
        <v>368</v>
      </c>
      <c r="I558" s="270">
        <v>42981</v>
      </c>
      <c r="J558" s="242">
        <v>1069</v>
      </c>
      <c r="K558" s="242">
        <v>0</v>
      </c>
      <c r="L558" s="242">
        <v>1069</v>
      </c>
      <c r="M558" s="242">
        <v>364</v>
      </c>
      <c r="N558" s="242">
        <v>6917</v>
      </c>
      <c r="O558" s="242">
        <v>6103</v>
      </c>
      <c r="P558" s="242">
        <v>887</v>
      </c>
      <c r="Q558" s="242">
        <v>5739</v>
      </c>
      <c r="R558" s="337">
        <v>0</v>
      </c>
      <c r="S558" s="336">
        <v>0</v>
      </c>
      <c r="T558" s="336">
        <v>6103</v>
      </c>
      <c r="U558" s="336">
        <v>0</v>
      </c>
    </row>
    <row r="559" spans="2:21" s="22" customFormat="1" ht="40.5">
      <c r="B559" s="15">
        <f t="shared" si="14"/>
        <v>14</v>
      </c>
      <c r="C559" s="249" t="s">
        <v>2715</v>
      </c>
      <c r="D559" s="254">
        <v>1</v>
      </c>
      <c r="E559" s="250">
        <f>17087+130</f>
        <v>17217</v>
      </c>
      <c r="F559" s="249" t="s">
        <v>2679</v>
      </c>
      <c r="G559" s="233">
        <v>42005</v>
      </c>
      <c r="H559" s="228" t="s">
        <v>368</v>
      </c>
      <c r="I559" s="270">
        <v>45657</v>
      </c>
      <c r="J559" s="242">
        <v>3653</v>
      </c>
      <c r="K559" s="242">
        <v>0</v>
      </c>
      <c r="L559" s="242">
        <v>3653</v>
      </c>
      <c r="M559" s="242">
        <v>861</v>
      </c>
      <c r="N559" s="242">
        <v>16356</v>
      </c>
      <c r="O559" s="242">
        <v>16814</v>
      </c>
      <c r="P559" s="242">
        <v>3563</v>
      </c>
      <c r="Q559" s="242">
        <v>15953</v>
      </c>
      <c r="R559" s="337">
        <v>365</v>
      </c>
      <c r="S559" s="336">
        <v>1634</v>
      </c>
      <c r="T559" s="336">
        <v>11448</v>
      </c>
      <c r="U559" s="336">
        <v>5366</v>
      </c>
    </row>
    <row r="560" spans="2:21" s="22" customFormat="1" ht="14.25">
      <c r="B560" s="32" t="s">
        <v>994</v>
      </c>
      <c r="C560" s="241"/>
      <c r="D560" s="313"/>
      <c r="E560" s="252"/>
      <c r="F560" s="313"/>
      <c r="G560" s="229"/>
      <c r="H560" s="241"/>
      <c r="I560" s="228"/>
      <c r="J560" s="228"/>
      <c r="K560" s="228"/>
      <c r="L560" s="228"/>
      <c r="M560" s="242"/>
      <c r="N560" s="228"/>
      <c r="O560" s="242">
        <v>0</v>
      </c>
      <c r="P560" s="242"/>
      <c r="Q560" s="272"/>
      <c r="R560" s="318"/>
      <c r="S560" s="242"/>
      <c r="T560" s="242"/>
      <c r="U560" s="228"/>
    </row>
    <row r="561" spans="2:21" s="22" customFormat="1">
      <c r="B561" s="15">
        <v>1</v>
      </c>
      <c r="C561" s="249" t="s">
        <v>468</v>
      </c>
      <c r="D561" s="254">
        <v>8</v>
      </c>
      <c r="E561" s="250">
        <v>18810</v>
      </c>
      <c r="F561" s="283">
        <v>4230</v>
      </c>
      <c r="G561" s="233">
        <v>39862</v>
      </c>
      <c r="H561" s="228" t="s">
        <v>282</v>
      </c>
      <c r="I561" s="242">
        <v>0</v>
      </c>
      <c r="J561" s="242">
        <v>0</v>
      </c>
      <c r="K561" s="242">
        <v>0</v>
      </c>
      <c r="L561" s="242">
        <v>0</v>
      </c>
      <c r="M561" s="242">
        <v>0</v>
      </c>
      <c r="N561" s="242">
        <v>0</v>
      </c>
      <c r="O561" s="242">
        <v>0</v>
      </c>
      <c r="P561" s="242">
        <v>0</v>
      </c>
      <c r="Q561" s="242">
        <v>-941</v>
      </c>
      <c r="R561" s="337">
        <v>0</v>
      </c>
      <c r="S561" s="336">
        <v>0</v>
      </c>
      <c r="T561" s="336">
        <v>0</v>
      </c>
      <c r="U561" s="336">
        <v>0</v>
      </c>
    </row>
    <row r="562" spans="2:21" s="22" customFormat="1">
      <c r="B562" s="15">
        <f t="shared" ref="B562:B578" si="15">+B561+1</f>
        <v>2</v>
      </c>
      <c r="C562" s="249" t="s">
        <v>469</v>
      </c>
      <c r="D562" s="254">
        <v>2</v>
      </c>
      <c r="E562" s="250">
        <v>500</v>
      </c>
      <c r="F562" s="253" t="s">
        <v>42</v>
      </c>
      <c r="G562" s="233">
        <v>39911</v>
      </c>
      <c r="H562" s="228" t="s">
        <v>368</v>
      </c>
      <c r="I562" s="242">
        <v>0</v>
      </c>
      <c r="J562" s="242">
        <v>0</v>
      </c>
      <c r="K562" s="242">
        <v>0</v>
      </c>
      <c r="L562" s="242">
        <v>0</v>
      </c>
      <c r="M562" s="242">
        <v>0</v>
      </c>
      <c r="N562" s="242">
        <v>0</v>
      </c>
      <c r="O562" s="242">
        <v>0</v>
      </c>
      <c r="P562" s="242">
        <v>0</v>
      </c>
      <c r="Q562" s="242">
        <v>-25</v>
      </c>
      <c r="R562" s="337">
        <v>0</v>
      </c>
      <c r="S562" s="336">
        <v>0</v>
      </c>
      <c r="T562" s="336">
        <v>0</v>
      </c>
      <c r="U562" s="336">
        <v>0</v>
      </c>
    </row>
    <row r="563" spans="2:21" s="22" customFormat="1">
      <c r="B563" s="15">
        <f t="shared" si="15"/>
        <v>3</v>
      </c>
      <c r="C563" s="249" t="s">
        <v>470</v>
      </c>
      <c r="D563" s="254">
        <v>2</v>
      </c>
      <c r="E563" s="242">
        <v>4791</v>
      </c>
      <c r="F563" s="254" t="s">
        <v>42</v>
      </c>
      <c r="G563" s="233">
        <v>40046</v>
      </c>
      <c r="H563" s="249" t="s">
        <v>161</v>
      </c>
      <c r="I563" s="270">
        <v>0</v>
      </c>
      <c r="J563" s="242">
        <v>0</v>
      </c>
      <c r="K563" s="242">
        <v>0</v>
      </c>
      <c r="L563" s="242">
        <v>0</v>
      </c>
      <c r="M563" s="242">
        <v>0</v>
      </c>
      <c r="N563" s="242">
        <v>0</v>
      </c>
      <c r="O563" s="242">
        <v>0</v>
      </c>
      <c r="P563" s="242">
        <v>0</v>
      </c>
      <c r="Q563" s="242">
        <v>-240</v>
      </c>
      <c r="R563" s="337">
        <v>0</v>
      </c>
      <c r="S563" s="336">
        <v>0</v>
      </c>
      <c r="T563" s="336">
        <v>0</v>
      </c>
      <c r="U563" s="336">
        <v>0</v>
      </c>
    </row>
    <row r="564" spans="2:21" s="22" customFormat="1">
      <c r="B564" s="15">
        <f t="shared" si="15"/>
        <v>4</v>
      </c>
      <c r="C564" s="249" t="s">
        <v>172</v>
      </c>
      <c r="D564" s="254">
        <v>1</v>
      </c>
      <c r="E564" s="242">
        <v>5601</v>
      </c>
      <c r="F564" s="254" t="s">
        <v>42</v>
      </c>
      <c r="G564" s="233">
        <v>40128</v>
      </c>
      <c r="H564" s="249" t="s">
        <v>368</v>
      </c>
      <c r="I564" s="270">
        <v>43779</v>
      </c>
      <c r="J564" s="242">
        <v>3652</v>
      </c>
      <c r="K564" s="242">
        <v>1602</v>
      </c>
      <c r="L564" s="242">
        <v>2050</v>
      </c>
      <c r="M564" s="242">
        <v>280</v>
      </c>
      <c r="N564" s="242">
        <v>3767</v>
      </c>
      <c r="O564" s="242">
        <v>3376</v>
      </c>
      <c r="P564" s="242">
        <v>1685</v>
      </c>
      <c r="Q564" s="242">
        <v>3096</v>
      </c>
      <c r="R564" s="337">
        <v>0</v>
      </c>
      <c r="S564" s="336">
        <v>0</v>
      </c>
      <c r="T564" s="336">
        <v>3376</v>
      </c>
      <c r="U564" s="336">
        <v>0</v>
      </c>
    </row>
    <row r="565" spans="2:21" s="22" customFormat="1">
      <c r="B565" s="15">
        <f t="shared" si="15"/>
        <v>5</v>
      </c>
      <c r="C565" s="249" t="s">
        <v>1343</v>
      </c>
      <c r="D565" s="254">
        <v>8</v>
      </c>
      <c r="E565" s="242">
        <v>13680</v>
      </c>
      <c r="F565" s="254">
        <v>113</v>
      </c>
      <c r="G565" s="233">
        <v>40263</v>
      </c>
      <c r="H565" s="249" t="s">
        <v>282</v>
      </c>
      <c r="I565" s="270">
        <v>0</v>
      </c>
      <c r="J565" s="242">
        <v>0</v>
      </c>
      <c r="K565" s="242">
        <v>0</v>
      </c>
      <c r="L565" s="242">
        <v>0</v>
      </c>
      <c r="M565" s="242">
        <v>0</v>
      </c>
      <c r="N565" s="242">
        <v>0</v>
      </c>
      <c r="O565" s="242">
        <v>0</v>
      </c>
      <c r="P565" s="242">
        <v>0</v>
      </c>
      <c r="Q565" s="242">
        <v>-684</v>
      </c>
      <c r="R565" s="337">
        <v>0</v>
      </c>
      <c r="S565" s="336">
        <v>0</v>
      </c>
      <c r="T565" s="336">
        <v>0</v>
      </c>
      <c r="U565" s="336">
        <v>0</v>
      </c>
    </row>
    <row r="566" spans="2:21" s="22" customFormat="1" ht="27">
      <c r="B566" s="15">
        <f t="shared" si="15"/>
        <v>6</v>
      </c>
      <c r="C566" s="249" t="s">
        <v>268</v>
      </c>
      <c r="D566" s="254">
        <v>8</v>
      </c>
      <c r="E566" s="242">
        <v>22800</v>
      </c>
      <c r="F566" s="254" t="s">
        <v>1077</v>
      </c>
      <c r="G566" s="233">
        <v>40478</v>
      </c>
      <c r="H566" s="249" t="s">
        <v>1177</v>
      </c>
      <c r="I566" s="242">
        <v>0</v>
      </c>
      <c r="J566" s="242">
        <v>0</v>
      </c>
      <c r="K566" s="242">
        <v>0</v>
      </c>
      <c r="L566" s="242">
        <v>0</v>
      </c>
      <c r="M566" s="242">
        <v>0</v>
      </c>
      <c r="N566" s="242">
        <v>0</v>
      </c>
      <c r="O566" s="242">
        <v>0</v>
      </c>
      <c r="P566" s="242">
        <v>0</v>
      </c>
      <c r="Q566" s="242">
        <v>-1140</v>
      </c>
      <c r="R566" s="337">
        <v>0</v>
      </c>
      <c r="S566" s="336">
        <v>0</v>
      </c>
      <c r="T566" s="336">
        <v>0</v>
      </c>
      <c r="U566" s="336">
        <v>0</v>
      </c>
    </row>
    <row r="567" spans="2:21" s="22" customFormat="1" ht="27">
      <c r="B567" s="15">
        <f t="shared" si="15"/>
        <v>7</v>
      </c>
      <c r="C567" s="249" t="s">
        <v>843</v>
      </c>
      <c r="D567" s="254">
        <v>6</v>
      </c>
      <c r="E567" s="242">
        <v>17100</v>
      </c>
      <c r="F567" s="254" t="s">
        <v>453</v>
      </c>
      <c r="G567" s="233">
        <v>40502</v>
      </c>
      <c r="H567" s="228" t="s">
        <v>80</v>
      </c>
      <c r="I567" s="242">
        <v>0</v>
      </c>
      <c r="J567" s="242">
        <v>0</v>
      </c>
      <c r="K567" s="242">
        <v>0</v>
      </c>
      <c r="L567" s="242">
        <v>0</v>
      </c>
      <c r="M567" s="242">
        <v>0</v>
      </c>
      <c r="N567" s="242">
        <v>0</v>
      </c>
      <c r="O567" s="242">
        <v>0</v>
      </c>
      <c r="P567" s="242">
        <v>0</v>
      </c>
      <c r="Q567" s="242">
        <v>-855</v>
      </c>
      <c r="R567" s="337">
        <v>0</v>
      </c>
      <c r="S567" s="336">
        <v>0</v>
      </c>
      <c r="T567" s="336">
        <v>0</v>
      </c>
      <c r="U567" s="336">
        <v>0</v>
      </c>
    </row>
    <row r="568" spans="2:21" s="22" customFormat="1" ht="27">
      <c r="B568" s="15">
        <f t="shared" si="15"/>
        <v>8</v>
      </c>
      <c r="C568" s="249" t="s">
        <v>268</v>
      </c>
      <c r="D568" s="254">
        <v>1</v>
      </c>
      <c r="E568" s="242">
        <v>1140</v>
      </c>
      <c r="F568" s="254" t="s">
        <v>706</v>
      </c>
      <c r="G568" s="233">
        <v>40526</v>
      </c>
      <c r="H568" s="228" t="s">
        <v>282</v>
      </c>
      <c r="I568" s="242">
        <v>0</v>
      </c>
      <c r="J568" s="242">
        <v>0</v>
      </c>
      <c r="K568" s="242">
        <v>0</v>
      </c>
      <c r="L568" s="242">
        <v>0</v>
      </c>
      <c r="M568" s="242">
        <v>0</v>
      </c>
      <c r="N568" s="242">
        <v>0</v>
      </c>
      <c r="O568" s="242">
        <v>0</v>
      </c>
      <c r="P568" s="242">
        <v>0</v>
      </c>
      <c r="Q568" s="242">
        <v>-57</v>
      </c>
      <c r="R568" s="337">
        <v>0</v>
      </c>
      <c r="S568" s="336">
        <v>0</v>
      </c>
      <c r="T568" s="336">
        <v>0</v>
      </c>
      <c r="U568" s="336">
        <v>0</v>
      </c>
    </row>
    <row r="569" spans="2:21" s="22" customFormat="1" ht="27">
      <c r="B569" s="15">
        <f t="shared" si="15"/>
        <v>9</v>
      </c>
      <c r="C569" s="249" t="s">
        <v>1687</v>
      </c>
      <c r="D569" s="254">
        <v>32</v>
      </c>
      <c r="E569" s="242">
        <v>44300</v>
      </c>
      <c r="F569" s="254" t="s">
        <v>1653</v>
      </c>
      <c r="G569" s="233">
        <v>40902</v>
      </c>
      <c r="H569" s="249" t="s">
        <v>119</v>
      </c>
      <c r="I569" s="242">
        <v>0</v>
      </c>
      <c r="J569" s="242">
        <v>0</v>
      </c>
      <c r="K569" s="242">
        <v>0</v>
      </c>
      <c r="L569" s="242">
        <v>0</v>
      </c>
      <c r="M569" s="242">
        <v>0</v>
      </c>
      <c r="N569" s="242">
        <v>0</v>
      </c>
      <c r="O569" s="242">
        <v>0</v>
      </c>
      <c r="P569" s="242">
        <v>0</v>
      </c>
      <c r="Q569" s="242">
        <v>-2215</v>
      </c>
      <c r="R569" s="337">
        <v>0</v>
      </c>
      <c r="S569" s="336">
        <v>0</v>
      </c>
      <c r="T569" s="336">
        <v>0</v>
      </c>
      <c r="U569" s="336">
        <v>0</v>
      </c>
    </row>
    <row r="570" spans="2:21" s="22" customFormat="1" ht="27">
      <c r="B570" s="15">
        <f t="shared" si="15"/>
        <v>10</v>
      </c>
      <c r="C570" s="249" t="s">
        <v>1683</v>
      </c>
      <c r="D570" s="254">
        <v>3</v>
      </c>
      <c r="E570" s="242">
        <v>21441</v>
      </c>
      <c r="F570" s="254" t="s">
        <v>1684</v>
      </c>
      <c r="G570" s="233">
        <v>40909</v>
      </c>
      <c r="H570" s="249" t="s">
        <v>161</v>
      </c>
      <c r="I570" s="270">
        <v>44561</v>
      </c>
      <c r="J570" s="242">
        <v>3653</v>
      </c>
      <c r="K570" s="242">
        <v>821</v>
      </c>
      <c r="L570" s="242">
        <v>2832</v>
      </c>
      <c r="M570" s="242">
        <v>1072</v>
      </c>
      <c r="N570" s="242">
        <v>17318</v>
      </c>
      <c r="O570" s="242">
        <v>16158</v>
      </c>
      <c r="P570" s="242">
        <v>2467</v>
      </c>
      <c r="Q570" s="242">
        <v>15086</v>
      </c>
      <c r="R570" s="337">
        <v>275</v>
      </c>
      <c r="S570" s="336">
        <v>2754</v>
      </c>
      <c r="T570" s="336">
        <v>16158</v>
      </c>
      <c r="U570" s="336">
        <v>0</v>
      </c>
    </row>
    <row r="571" spans="2:21" s="22" customFormat="1" ht="27">
      <c r="B571" s="15">
        <f t="shared" si="15"/>
        <v>11</v>
      </c>
      <c r="C571" s="249" t="s">
        <v>1688</v>
      </c>
      <c r="D571" s="254">
        <v>1</v>
      </c>
      <c r="E571" s="242">
        <v>1329</v>
      </c>
      <c r="F571" s="254" t="s">
        <v>1679</v>
      </c>
      <c r="G571" s="233">
        <v>40909</v>
      </c>
      <c r="H571" s="249" t="s">
        <v>161</v>
      </c>
      <c r="I571" s="242">
        <v>0</v>
      </c>
      <c r="J571" s="242">
        <v>0</v>
      </c>
      <c r="K571" s="242">
        <v>0</v>
      </c>
      <c r="L571" s="242">
        <v>0</v>
      </c>
      <c r="M571" s="242">
        <v>0</v>
      </c>
      <c r="N571" s="242">
        <v>0</v>
      </c>
      <c r="O571" s="242">
        <v>0</v>
      </c>
      <c r="P571" s="242">
        <v>0</v>
      </c>
      <c r="Q571" s="242">
        <v>-66</v>
      </c>
      <c r="R571" s="337">
        <v>0</v>
      </c>
      <c r="S571" s="336">
        <v>0</v>
      </c>
      <c r="T571" s="336">
        <v>0</v>
      </c>
      <c r="U571" s="336">
        <v>0</v>
      </c>
    </row>
    <row r="572" spans="2:21" s="22" customFormat="1" ht="27">
      <c r="B572" s="15">
        <f t="shared" si="15"/>
        <v>12</v>
      </c>
      <c r="C572" s="249" t="s">
        <v>1688</v>
      </c>
      <c r="D572" s="254">
        <v>2</v>
      </c>
      <c r="E572" s="242">
        <v>2658</v>
      </c>
      <c r="F572" s="254" t="s">
        <v>1689</v>
      </c>
      <c r="G572" s="233">
        <v>40909</v>
      </c>
      <c r="H572" s="249" t="s">
        <v>161</v>
      </c>
      <c r="I572" s="242">
        <v>0</v>
      </c>
      <c r="J572" s="242">
        <v>0</v>
      </c>
      <c r="K572" s="242">
        <v>0</v>
      </c>
      <c r="L572" s="242">
        <v>0</v>
      </c>
      <c r="M572" s="242">
        <v>0</v>
      </c>
      <c r="N572" s="242">
        <v>0</v>
      </c>
      <c r="O572" s="242">
        <v>0</v>
      </c>
      <c r="P572" s="242">
        <v>0</v>
      </c>
      <c r="Q572" s="242">
        <v>-133</v>
      </c>
      <c r="R572" s="337">
        <v>0</v>
      </c>
      <c r="S572" s="336">
        <v>0</v>
      </c>
      <c r="T572" s="336">
        <v>0</v>
      </c>
      <c r="U572" s="336">
        <v>0</v>
      </c>
    </row>
    <row r="573" spans="2:21" s="22" customFormat="1" ht="40.5">
      <c r="B573" s="15">
        <f t="shared" si="15"/>
        <v>13</v>
      </c>
      <c r="C573" s="249" t="s">
        <v>1767</v>
      </c>
      <c r="D573" s="254">
        <v>3</v>
      </c>
      <c r="E573" s="242">
        <v>9371</v>
      </c>
      <c r="F573" s="254" t="s">
        <v>1752</v>
      </c>
      <c r="G573" s="233">
        <v>40928</v>
      </c>
      <c r="H573" s="228" t="s">
        <v>368</v>
      </c>
      <c r="I573" s="242">
        <v>0</v>
      </c>
      <c r="J573" s="242">
        <v>0</v>
      </c>
      <c r="K573" s="242">
        <v>0</v>
      </c>
      <c r="L573" s="242">
        <v>0</v>
      </c>
      <c r="M573" s="242">
        <v>0</v>
      </c>
      <c r="N573" s="242">
        <v>0</v>
      </c>
      <c r="O573" s="242">
        <v>0</v>
      </c>
      <c r="P573" s="242">
        <v>0</v>
      </c>
      <c r="Q573" s="242">
        <v>-469</v>
      </c>
      <c r="R573" s="337">
        <v>0</v>
      </c>
      <c r="S573" s="336">
        <v>0</v>
      </c>
      <c r="T573" s="336">
        <v>0</v>
      </c>
      <c r="U573" s="336">
        <v>0</v>
      </c>
    </row>
    <row r="574" spans="2:21" s="22" customFormat="1" ht="27">
      <c r="B574" s="15">
        <f t="shared" si="15"/>
        <v>14</v>
      </c>
      <c r="C574" s="249" t="s">
        <v>2112</v>
      </c>
      <c r="D574" s="254">
        <v>48</v>
      </c>
      <c r="E574" s="242">
        <v>98496</v>
      </c>
      <c r="F574" s="254" t="s">
        <v>2111</v>
      </c>
      <c r="G574" s="233">
        <v>41370</v>
      </c>
      <c r="H574" s="228" t="s">
        <v>368</v>
      </c>
      <c r="I574" s="242">
        <v>0</v>
      </c>
      <c r="J574" s="242">
        <v>0</v>
      </c>
      <c r="K574" s="242">
        <v>0</v>
      </c>
      <c r="L574" s="242">
        <v>0</v>
      </c>
      <c r="M574" s="242">
        <v>0</v>
      </c>
      <c r="N574" s="242">
        <v>0</v>
      </c>
      <c r="O574" s="242">
        <v>0</v>
      </c>
      <c r="P574" s="242">
        <v>0</v>
      </c>
      <c r="Q574" s="242">
        <v>-4925</v>
      </c>
      <c r="R574" s="337">
        <v>0</v>
      </c>
      <c r="S574" s="336">
        <v>0</v>
      </c>
      <c r="T574" s="336">
        <v>0</v>
      </c>
      <c r="U574" s="336">
        <v>0</v>
      </c>
    </row>
    <row r="575" spans="2:21" s="22" customFormat="1" ht="40.5">
      <c r="B575" s="15">
        <f t="shared" si="15"/>
        <v>15</v>
      </c>
      <c r="C575" s="249" t="s">
        <v>2723</v>
      </c>
      <c r="D575" s="254">
        <v>1</v>
      </c>
      <c r="E575" s="250">
        <f>10119+77</f>
        <v>10196</v>
      </c>
      <c r="F575" s="341" t="s">
        <v>2679</v>
      </c>
      <c r="G575" s="233">
        <v>42005</v>
      </c>
      <c r="H575" s="228" t="s">
        <v>368</v>
      </c>
      <c r="I575" s="270">
        <v>45657</v>
      </c>
      <c r="J575" s="242">
        <v>3653</v>
      </c>
      <c r="K575" s="242">
        <v>0</v>
      </c>
      <c r="L575" s="242">
        <v>3653</v>
      </c>
      <c r="M575" s="242">
        <v>510</v>
      </c>
      <c r="N575" s="242">
        <v>9686</v>
      </c>
      <c r="O575" s="242">
        <v>9957</v>
      </c>
      <c r="P575" s="242">
        <v>3563</v>
      </c>
      <c r="Q575" s="242">
        <v>9447</v>
      </c>
      <c r="R575" s="337">
        <v>365</v>
      </c>
      <c r="S575" s="336">
        <v>968</v>
      </c>
      <c r="T575" s="336">
        <v>6780</v>
      </c>
      <c r="U575" s="336">
        <v>3177</v>
      </c>
    </row>
    <row r="576" spans="2:21" s="22" customFormat="1" ht="40.5">
      <c r="B576" s="15">
        <f t="shared" si="15"/>
        <v>16</v>
      </c>
      <c r="C576" s="249" t="s">
        <v>2727</v>
      </c>
      <c r="D576" s="254">
        <v>6</v>
      </c>
      <c r="E576" s="250">
        <f>2134+16</f>
        <v>2150</v>
      </c>
      <c r="F576" s="341" t="s">
        <v>2679</v>
      </c>
      <c r="G576" s="233">
        <v>42005</v>
      </c>
      <c r="H576" s="228" t="s">
        <v>368</v>
      </c>
      <c r="I576" s="270">
        <v>45657</v>
      </c>
      <c r="J576" s="242">
        <v>3653</v>
      </c>
      <c r="K576" s="242">
        <v>0</v>
      </c>
      <c r="L576" s="242">
        <v>3653</v>
      </c>
      <c r="M576" s="242">
        <v>108</v>
      </c>
      <c r="N576" s="242">
        <v>2042</v>
      </c>
      <c r="O576" s="242">
        <v>2100</v>
      </c>
      <c r="P576" s="242">
        <v>3563</v>
      </c>
      <c r="Q576" s="242">
        <v>1993</v>
      </c>
      <c r="R576" s="337">
        <v>365</v>
      </c>
      <c r="S576" s="336">
        <v>204</v>
      </c>
      <c r="T576" s="336">
        <v>1430</v>
      </c>
      <c r="U576" s="336">
        <v>670</v>
      </c>
    </row>
    <row r="577" spans="2:21" s="22" customFormat="1">
      <c r="B577" s="15">
        <f t="shared" si="15"/>
        <v>17</v>
      </c>
      <c r="C577" s="245" t="s">
        <v>4400</v>
      </c>
      <c r="D577" s="237">
        <v>2</v>
      </c>
      <c r="E577" s="231">
        <v>4040</v>
      </c>
      <c r="F577" s="237">
        <v>61</v>
      </c>
      <c r="G577" s="238">
        <v>43906</v>
      </c>
      <c r="H577" s="395" t="s">
        <v>288</v>
      </c>
      <c r="I577" s="270">
        <v>47557</v>
      </c>
      <c r="J577" s="242">
        <v>3652</v>
      </c>
      <c r="K577" s="242">
        <v>0</v>
      </c>
      <c r="L577" s="242">
        <v>3652</v>
      </c>
      <c r="M577" s="242">
        <v>202</v>
      </c>
      <c r="N577" s="242">
        <v>3838</v>
      </c>
      <c r="O577" s="242">
        <v>4040</v>
      </c>
      <c r="P577" s="242">
        <v>3652</v>
      </c>
      <c r="Q577" s="242">
        <v>3838</v>
      </c>
      <c r="R577" s="251">
        <v>365</v>
      </c>
      <c r="S577" s="250">
        <v>384</v>
      </c>
      <c r="T577" s="250">
        <v>785</v>
      </c>
      <c r="U577" s="250">
        <v>3255</v>
      </c>
    </row>
    <row r="578" spans="2:21" s="22" customFormat="1">
      <c r="B578" s="15">
        <f t="shared" si="15"/>
        <v>18</v>
      </c>
      <c r="C578" s="245" t="s">
        <v>4400</v>
      </c>
      <c r="D578" s="237">
        <v>3</v>
      </c>
      <c r="E578" s="231">
        <v>6060</v>
      </c>
      <c r="F578" s="237">
        <v>62</v>
      </c>
      <c r="G578" s="238">
        <v>43906</v>
      </c>
      <c r="H578" s="395" t="s">
        <v>288</v>
      </c>
      <c r="I578" s="270">
        <v>47557</v>
      </c>
      <c r="J578" s="242">
        <v>3652</v>
      </c>
      <c r="K578" s="242">
        <v>0</v>
      </c>
      <c r="L578" s="242">
        <v>3652</v>
      </c>
      <c r="M578" s="242">
        <v>303</v>
      </c>
      <c r="N578" s="242">
        <v>5757</v>
      </c>
      <c r="O578" s="242">
        <v>6060</v>
      </c>
      <c r="P578" s="242">
        <v>3652</v>
      </c>
      <c r="Q578" s="242">
        <v>5757</v>
      </c>
      <c r="R578" s="251">
        <v>365</v>
      </c>
      <c r="S578" s="250">
        <v>575</v>
      </c>
      <c r="T578" s="250">
        <v>1175</v>
      </c>
      <c r="U578" s="250">
        <v>4885</v>
      </c>
    </row>
    <row r="579" spans="2:21" s="22" customFormat="1">
      <c r="B579" s="15"/>
      <c r="C579" s="249"/>
      <c r="D579" s="254"/>
      <c r="E579" s="250"/>
      <c r="F579" s="341"/>
      <c r="G579" s="233"/>
      <c r="H579" s="228"/>
      <c r="I579" s="321"/>
      <c r="J579" s="322"/>
      <c r="K579" s="322"/>
      <c r="L579" s="322"/>
      <c r="M579" s="322"/>
      <c r="N579" s="322"/>
      <c r="O579" s="322"/>
      <c r="P579" s="322"/>
      <c r="Q579" s="322"/>
      <c r="R579" s="292"/>
      <c r="S579" s="301"/>
      <c r="T579" s="301"/>
      <c r="U579" s="301"/>
    </row>
    <row r="580" spans="2:21" s="22" customFormat="1" ht="14.25">
      <c r="B580" s="32" t="s">
        <v>88</v>
      </c>
      <c r="C580" s="241"/>
      <c r="D580" s="313"/>
      <c r="E580" s="242"/>
      <c r="F580" s="313"/>
      <c r="G580" s="229"/>
      <c r="H580" s="228"/>
      <c r="I580" s="239"/>
      <c r="J580" s="239"/>
      <c r="K580" s="239"/>
      <c r="L580" s="239"/>
      <c r="M580" s="322"/>
      <c r="N580" s="239"/>
      <c r="O580" s="322">
        <v>0</v>
      </c>
      <c r="P580" s="322"/>
      <c r="Q580" s="338"/>
      <c r="R580" s="339"/>
      <c r="S580" s="322"/>
      <c r="T580" s="322"/>
      <c r="U580" s="239"/>
    </row>
    <row r="581" spans="2:21" s="22" customFormat="1">
      <c r="B581" s="15">
        <v>1</v>
      </c>
      <c r="C581" s="249" t="s">
        <v>471</v>
      </c>
      <c r="D581" s="254">
        <v>2</v>
      </c>
      <c r="E581" s="250">
        <v>18810</v>
      </c>
      <c r="F581" s="283">
        <v>4230</v>
      </c>
      <c r="G581" s="233">
        <v>39862</v>
      </c>
      <c r="H581" s="228" t="s">
        <v>282</v>
      </c>
      <c r="I581" s="270">
        <v>43513</v>
      </c>
      <c r="J581" s="242">
        <v>3652</v>
      </c>
      <c r="K581" s="242">
        <v>1868</v>
      </c>
      <c r="L581" s="242">
        <v>1784</v>
      </c>
      <c r="M581" s="242">
        <v>941</v>
      </c>
      <c r="N581" s="242">
        <v>11777.991052054793</v>
      </c>
      <c r="O581" s="242">
        <v>10308.991052054795</v>
      </c>
      <c r="P581" s="242">
        <v>1419</v>
      </c>
      <c r="Q581" s="242">
        <v>9368</v>
      </c>
      <c r="R581" s="337">
        <v>0</v>
      </c>
      <c r="S581" s="336">
        <v>0</v>
      </c>
      <c r="T581" s="336">
        <v>10309</v>
      </c>
      <c r="U581" s="336">
        <v>-8.9479452071827836E-3</v>
      </c>
    </row>
    <row r="582" spans="2:21" s="22" customFormat="1">
      <c r="B582" s="15">
        <f t="shared" ref="B582:B589" si="16">+B581+1</f>
        <v>2</v>
      </c>
      <c r="C582" s="249" t="s">
        <v>471</v>
      </c>
      <c r="D582" s="254">
        <v>1</v>
      </c>
      <c r="E582" s="250">
        <v>1800</v>
      </c>
      <c r="F582" s="283">
        <v>345</v>
      </c>
      <c r="G582" s="233">
        <v>39877</v>
      </c>
      <c r="H582" s="228" t="s">
        <v>282</v>
      </c>
      <c r="I582" s="336">
        <v>0</v>
      </c>
      <c r="J582" s="336">
        <v>0</v>
      </c>
      <c r="K582" s="336">
        <v>0</v>
      </c>
      <c r="L582" s="336">
        <v>0</v>
      </c>
      <c r="M582" s="336">
        <v>0</v>
      </c>
      <c r="N582" s="336">
        <v>0</v>
      </c>
      <c r="O582" s="336">
        <v>0</v>
      </c>
      <c r="P582" s="336">
        <v>0</v>
      </c>
      <c r="Q582" s="336">
        <v>-90</v>
      </c>
      <c r="R582" s="337">
        <v>0</v>
      </c>
      <c r="S582" s="336">
        <v>0</v>
      </c>
      <c r="T582" s="336">
        <v>0</v>
      </c>
      <c r="U582" s="336">
        <v>0</v>
      </c>
    </row>
    <row r="583" spans="2:21" s="22" customFormat="1">
      <c r="B583" s="15">
        <f t="shared" si="16"/>
        <v>3</v>
      </c>
      <c r="C583" s="249" t="s">
        <v>471</v>
      </c>
      <c r="D583" s="254">
        <v>1</v>
      </c>
      <c r="E583" s="242">
        <v>1000</v>
      </c>
      <c r="F583" s="254">
        <v>345</v>
      </c>
      <c r="G583" s="233">
        <v>39877</v>
      </c>
      <c r="H583" s="228" t="s">
        <v>282</v>
      </c>
      <c r="I583" s="242">
        <v>0</v>
      </c>
      <c r="J583" s="242">
        <v>0</v>
      </c>
      <c r="K583" s="242">
        <v>0</v>
      </c>
      <c r="L583" s="242">
        <v>0</v>
      </c>
      <c r="M583" s="242">
        <v>0</v>
      </c>
      <c r="N583" s="242">
        <v>0</v>
      </c>
      <c r="O583" s="242">
        <v>0</v>
      </c>
      <c r="P583" s="242">
        <v>0</v>
      </c>
      <c r="Q583" s="242">
        <v>-50</v>
      </c>
      <c r="R583" s="337">
        <v>0</v>
      </c>
      <c r="S583" s="336">
        <v>0</v>
      </c>
      <c r="T583" s="336">
        <v>0</v>
      </c>
      <c r="U583" s="336">
        <v>0</v>
      </c>
    </row>
    <row r="584" spans="2:21" s="22" customFormat="1">
      <c r="B584" s="15">
        <v>2</v>
      </c>
      <c r="C584" s="249" t="s">
        <v>471</v>
      </c>
      <c r="D584" s="254">
        <v>2</v>
      </c>
      <c r="E584" s="242">
        <v>10944</v>
      </c>
      <c r="F584" s="254">
        <v>113</v>
      </c>
      <c r="G584" s="233">
        <v>40263</v>
      </c>
      <c r="H584" s="228" t="s">
        <v>282</v>
      </c>
      <c r="I584" s="242">
        <v>43915</v>
      </c>
      <c r="J584" s="242">
        <v>3653</v>
      </c>
      <c r="K584" s="242">
        <v>1467</v>
      </c>
      <c r="L584" s="242">
        <v>2186</v>
      </c>
      <c r="M584" s="242">
        <v>547</v>
      </c>
      <c r="N584" s="242">
        <v>7614</v>
      </c>
      <c r="O584" s="242">
        <v>6890</v>
      </c>
      <c r="P584" s="242">
        <v>1821</v>
      </c>
      <c r="Q584" s="242">
        <v>6343</v>
      </c>
      <c r="R584" s="337">
        <v>0</v>
      </c>
      <c r="S584" s="336">
        <v>0</v>
      </c>
      <c r="T584" s="336">
        <v>6890</v>
      </c>
      <c r="U584" s="336">
        <v>0</v>
      </c>
    </row>
    <row r="585" spans="2:21" s="22" customFormat="1" ht="27">
      <c r="B585" s="15">
        <f t="shared" si="16"/>
        <v>3</v>
      </c>
      <c r="C585" s="249" t="s">
        <v>529</v>
      </c>
      <c r="D585" s="254">
        <v>4</v>
      </c>
      <c r="E585" s="242">
        <v>20520</v>
      </c>
      <c r="F585" s="254" t="s">
        <v>1077</v>
      </c>
      <c r="G585" s="233">
        <v>40478</v>
      </c>
      <c r="H585" s="228" t="s">
        <v>1177</v>
      </c>
      <c r="I585" s="242">
        <v>44130</v>
      </c>
      <c r="J585" s="242">
        <v>3653</v>
      </c>
      <c r="K585" s="242">
        <v>1252</v>
      </c>
      <c r="L585" s="242">
        <v>2401</v>
      </c>
      <c r="M585" s="242">
        <v>1026</v>
      </c>
      <c r="N585" s="242">
        <v>15041</v>
      </c>
      <c r="O585" s="242">
        <v>13780</v>
      </c>
      <c r="P585" s="242">
        <v>2036</v>
      </c>
      <c r="Q585" s="242">
        <v>12754</v>
      </c>
      <c r="R585" s="337">
        <v>0</v>
      </c>
      <c r="S585" s="336">
        <v>0</v>
      </c>
      <c r="T585" s="336">
        <v>13780</v>
      </c>
      <c r="U585" s="336">
        <v>0</v>
      </c>
    </row>
    <row r="586" spans="2:21" s="22" customFormat="1" ht="27">
      <c r="B586" s="15">
        <f t="shared" si="16"/>
        <v>4</v>
      </c>
      <c r="C586" s="249" t="s">
        <v>529</v>
      </c>
      <c r="D586" s="254">
        <v>4</v>
      </c>
      <c r="E586" s="242">
        <v>20520</v>
      </c>
      <c r="F586" s="254" t="s">
        <v>441</v>
      </c>
      <c r="G586" s="233">
        <v>40502</v>
      </c>
      <c r="H586" s="228" t="s">
        <v>80</v>
      </c>
      <c r="I586" s="270">
        <v>44154</v>
      </c>
      <c r="J586" s="242">
        <v>3653</v>
      </c>
      <c r="K586" s="242">
        <v>1228</v>
      </c>
      <c r="L586" s="242">
        <v>2425</v>
      </c>
      <c r="M586" s="242">
        <v>1026</v>
      </c>
      <c r="N586" s="242">
        <v>15127</v>
      </c>
      <c r="O586" s="242">
        <v>13876</v>
      </c>
      <c r="P586" s="242">
        <v>2060</v>
      </c>
      <c r="Q586" s="242">
        <v>12850</v>
      </c>
      <c r="R586" s="337">
        <v>0</v>
      </c>
      <c r="S586" s="336">
        <v>0</v>
      </c>
      <c r="T586" s="336">
        <v>13876</v>
      </c>
      <c r="U586" s="336">
        <v>0</v>
      </c>
    </row>
    <row r="587" spans="2:21" s="22" customFormat="1" ht="27">
      <c r="B587" s="15">
        <v>3</v>
      </c>
      <c r="C587" s="249" t="s">
        <v>1686</v>
      </c>
      <c r="D587" s="254">
        <v>3</v>
      </c>
      <c r="E587" s="242">
        <v>13445</v>
      </c>
      <c r="F587" s="254" t="s">
        <v>1682</v>
      </c>
      <c r="G587" s="233">
        <v>40909</v>
      </c>
      <c r="H587" s="228" t="s">
        <v>161</v>
      </c>
      <c r="I587" s="242">
        <v>0</v>
      </c>
      <c r="J587" s="242">
        <v>0</v>
      </c>
      <c r="K587" s="242">
        <v>0</v>
      </c>
      <c r="L587" s="242">
        <v>0</v>
      </c>
      <c r="M587" s="242">
        <v>0</v>
      </c>
      <c r="N587" s="242">
        <v>0</v>
      </c>
      <c r="O587" s="242">
        <v>0</v>
      </c>
      <c r="P587" s="242">
        <v>0</v>
      </c>
      <c r="Q587" s="242">
        <v>-672</v>
      </c>
      <c r="R587" s="337">
        <v>0</v>
      </c>
      <c r="S587" s="336">
        <v>0</v>
      </c>
      <c r="T587" s="336">
        <v>0</v>
      </c>
      <c r="U587" s="336">
        <v>0</v>
      </c>
    </row>
    <row r="588" spans="2:21" s="22" customFormat="1" ht="27">
      <c r="B588" s="15">
        <f t="shared" si="16"/>
        <v>4</v>
      </c>
      <c r="C588" s="249" t="s">
        <v>1686</v>
      </c>
      <c r="D588" s="254">
        <v>1</v>
      </c>
      <c r="E588" s="242">
        <v>4481</v>
      </c>
      <c r="F588" s="254" t="s">
        <v>1679</v>
      </c>
      <c r="G588" s="233">
        <v>40909</v>
      </c>
      <c r="H588" s="228" t="s">
        <v>161</v>
      </c>
      <c r="I588" s="242">
        <v>0</v>
      </c>
      <c r="J588" s="242">
        <v>0</v>
      </c>
      <c r="K588" s="242">
        <v>0</v>
      </c>
      <c r="L588" s="242">
        <v>0</v>
      </c>
      <c r="M588" s="242">
        <v>0</v>
      </c>
      <c r="N588" s="242">
        <v>0</v>
      </c>
      <c r="O588" s="242">
        <v>0</v>
      </c>
      <c r="P588" s="242">
        <v>0</v>
      </c>
      <c r="Q588" s="242">
        <v>-224</v>
      </c>
      <c r="R588" s="337">
        <v>0</v>
      </c>
      <c r="S588" s="336">
        <v>0</v>
      </c>
      <c r="T588" s="336">
        <v>0</v>
      </c>
      <c r="U588" s="336">
        <v>0</v>
      </c>
    </row>
    <row r="589" spans="2:21" s="22" customFormat="1" ht="27">
      <c r="B589" s="15">
        <f t="shared" si="16"/>
        <v>5</v>
      </c>
      <c r="C589" s="249" t="s">
        <v>2630</v>
      </c>
      <c r="D589" s="254">
        <v>2</v>
      </c>
      <c r="E589" s="242">
        <v>5040</v>
      </c>
      <c r="F589" s="249" t="s">
        <v>2625</v>
      </c>
      <c r="G589" s="233">
        <f>+G612</f>
        <v>42018</v>
      </c>
      <c r="H589" s="228" t="s">
        <v>368</v>
      </c>
      <c r="I589" s="270">
        <v>45670</v>
      </c>
      <c r="J589" s="242">
        <v>3653</v>
      </c>
      <c r="K589" s="242">
        <v>0</v>
      </c>
      <c r="L589" s="242">
        <v>3653</v>
      </c>
      <c r="M589" s="242">
        <v>252</v>
      </c>
      <c r="N589" s="242">
        <v>4788</v>
      </c>
      <c r="O589" s="242">
        <v>4939</v>
      </c>
      <c r="P589" s="242">
        <v>3576</v>
      </c>
      <c r="Q589" s="242">
        <v>4687</v>
      </c>
      <c r="R589" s="337">
        <v>365</v>
      </c>
      <c r="S589" s="336">
        <v>478</v>
      </c>
      <c r="T589" s="336">
        <v>3350</v>
      </c>
      <c r="U589" s="336">
        <v>1589</v>
      </c>
    </row>
    <row r="590" spans="2:21" s="22" customFormat="1" ht="40.5">
      <c r="B590" s="15">
        <v>4</v>
      </c>
      <c r="C590" s="249" t="s">
        <v>2721</v>
      </c>
      <c r="D590" s="254">
        <v>1</v>
      </c>
      <c r="E590" s="250">
        <f>10908+83</f>
        <v>10991</v>
      </c>
      <c r="F590" s="249" t="s">
        <v>2679</v>
      </c>
      <c r="G590" s="233">
        <v>42005</v>
      </c>
      <c r="H590" s="228" t="s">
        <v>368</v>
      </c>
      <c r="I590" s="270">
        <v>45657</v>
      </c>
      <c r="J590" s="242">
        <v>3653</v>
      </c>
      <c r="K590" s="242">
        <v>0</v>
      </c>
      <c r="L590" s="242">
        <v>3653</v>
      </c>
      <c r="M590" s="242">
        <v>550</v>
      </c>
      <c r="N590" s="242">
        <v>10441</v>
      </c>
      <c r="O590" s="242">
        <v>10734</v>
      </c>
      <c r="P590" s="242">
        <v>3563</v>
      </c>
      <c r="Q590" s="242">
        <v>10184</v>
      </c>
      <c r="R590" s="337">
        <v>365</v>
      </c>
      <c r="S590" s="336">
        <v>1043</v>
      </c>
      <c r="T590" s="336">
        <v>7307</v>
      </c>
      <c r="U590" s="336">
        <v>3427</v>
      </c>
    </row>
    <row r="591" spans="2:21" s="22" customFormat="1">
      <c r="B591" s="15"/>
      <c r="C591" s="249"/>
      <c r="D591" s="254"/>
      <c r="E591" s="242"/>
      <c r="F591" s="254"/>
      <c r="G591" s="233"/>
      <c r="H591" s="228"/>
      <c r="I591" s="242"/>
      <c r="J591" s="242"/>
      <c r="K591" s="242"/>
      <c r="L591" s="242"/>
      <c r="M591" s="242"/>
      <c r="N591" s="242"/>
      <c r="O591" s="242">
        <v>0</v>
      </c>
      <c r="P591" s="242"/>
      <c r="Q591" s="272"/>
      <c r="R591" s="318"/>
      <c r="S591" s="242"/>
      <c r="T591" s="242"/>
      <c r="U591" s="228"/>
    </row>
    <row r="592" spans="2:21" s="22" customFormat="1" ht="14.25">
      <c r="B592" s="32" t="s">
        <v>576</v>
      </c>
      <c r="C592" s="348"/>
      <c r="D592" s="313"/>
      <c r="E592" s="252"/>
      <c r="F592" s="313"/>
      <c r="G592" s="229"/>
      <c r="H592" s="241"/>
      <c r="I592" s="239"/>
      <c r="J592" s="239"/>
      <c r="K592" s="239"/>
      <c r="L592" s="239"/>
      <c r="M592" s="322"/>
      <c r="N592" s="239"/>
      <c r="O592" s="322">
        <v>0</v>
      </c>
      <c r="P592" s="322"/>
      <c r="Q592" s="338"/>
      <c r="R592" s="339"/>
      <c r="S592" s="322"/>
      <c r="T592" s="322"/>
      <c r="U592" s="239"/>
    </row>
    <row r="593" spans="2:21" s="22" customFormat="1">
      <c r="B593" s="15">
        <v>1</v>
      </c>
      <c r="C593" s="249" t="s">
        <v>89</v>
      </c>
      <c r="D593" s="254">
        <v>1</v>
      </c>
      <c r="E593" s="242">
        <v>113260</v>
      </c>
      <c r="F593" s="254" t="s">
        <v>90</v>
      </c>
      <c r="G593" s="233">
        <v>40096</v>
      </c>
      <c r="H593" s="228" t="s">
        <v>4366</v>
      </c>
      <c r="I593" s="270">
        <v>43747</v>
      </c>
      <c r="J593" s="242">
        <v>3652</v>
      </c>
      <c r="K593" s="242">
        <v>1634</v>
      </c>
      <c r="L593" s="242">
        <v>2018</v>
      </c>
      <c r="M593" s="242">
        <v>5663</v>
      </c>
      <c r="N593" s="242">
        <v>75522</v>
      </c>
      <c r="O593" s="242">
        <v>67525</v>
      </c>
      <c r="P593" s="242">
        <v>1653</v>
      </c>
      <c r="Q593" s="242">
        <v>61862</v>
      </c>
      <c r="R593" s="337">
        <v>0</v>
      </c>
      <c r="S593" s="336">
        <v>0</v>
      </c>
      <c r="T593" s="336">
        <v>67525</v>
      </c>
      <c r="U593" s="336">
        <v>0</v>
      </c>
    </row>
    <row r="594" spans="2:21" s="22" customFormat="1">
      <c r="B594" s="15">
        <f>+B593+1</f>
        <v>2</v>
      </c>
      <c r="C594" s="249" t="s">
        <v>316</v>
      </c>
      <c r="D594" s="254">
        <v>1</v>
      </c>
      <c r="E594" s="242">
        <v>10320</v>
      </c>
      <c r="F594" s="254" t="s">
        <v>426</v>
      </c>
      <c r="G594" s="233">
        <v>40385</v>
      </c>
      <c r="H594" s="228" t="s">
        <v>282</v>
      </c>
      <c r="I594" s="270">
        <v>44037</v>
      </c>
      <c r="J594" s="242">
        <v>3653</v>
      </c>
      <c r="K594" s="242">
        <v>1345</v>
      </c>
      <c r="L594" s="242">
        <v>2308</v>
      </c>
      <c r="M594" s="242">
        <v>516</v>
      </c>
      <c r="N594" s="242">
        <v>7400</v>
      </c>
      <c r="O594" s="242">
        <v>6746</v>
      </c>
      <c r="P594" s="242">
        <v>1943</v>
      </c>
      <c r="Q594" s="242">
        <v>6230</v>
      </c>
      <c r="R594" s="337">
        <v>0</v>
      </c>
      <c r="S594" s="336">
        <v>0</v>
      </c>
      <c r="T594" s="336">
        <v>6746</v>
      </c>
      <c r="U594" s="336">
        <v>0</v>
      </c>
    </row>
    <row r="595" spans="2:21" s="22" customFormat="1" ht="27">
      <c r="B595" s="15">
        <f t="shared" ref="B595:B601" si="17">+B594+1</f>
        <v>3</v>
      </c>
      <c r="C595" s="249" t="s">
        <v>538</v>
      </c>
      <c r="D595" s="254" t="s">
        <v>943</v>
      </c>
      <c r="E595" s="242">
        <v>37616</v>
      </c>
      <c r="F595" s="254" t="s">
        <v>539</v>
      </c>
      <c r="G595" s="233">
        <v>40458</v>
      </c>
      <c r="H595" s="228" t="s">
        <v>187</v>
      </c>
      <c r="I595" s="270">
        <v>44110</v>
      </c>
      <c r="J595" s="242">
        <v>3653</v>
      </c>
      <c r="K595" s="242">
        <v>1272</v>
      </c>
      <c r="L595" s="242">
        <v>2381</v>
      </c>
      <c r="M595" s="242">
        <v>1881</v>
      </c>
      <c r="N595" s="242">
        <v>27443</v>
      </c>
      <c r="O595" s="242">
        <v>25117</v>
      </c>
      <c r="P595" s="242">
        <v>2016</v>
      </c>
      <c r="Q595" s="242">
        <v>23236</v>
      </c>
      <c r="R595" s="337">
        <v>0</v>
      </c>
      <c r="S595" s="336">
        <v>0</v>
      </c>
      <c r="T595" s="336">
        <v>25117</v>
      </c>
      <c r="U595" s="336">
        <v>0</v>
      </c>
    </row>
    <row r="596" spans="2:21" s="22" customFormat="1" ht="40.5">
      <c r="B596" s="15">
        <f t="shared" si="17"/>
        <v>4</v>
      </c>
      <c r="C596" s="249" t="s">
        <v>1759</v>
      </c>
      <c r="D596" s="254">
        <v>13</v>
      </c>
      <c r="E596" s="242">
        <v>119113</v>
      </c>
      <c r="F596" s="254" t="s">
        <v>1752</v>
      </c>
      <c r="G596" s="233">
        <v>40928</v>
      </c>
      <c r="H596" s="228" t="s">
        <v>368</v>
      </c>
      <c r="I596" s="270">
        <v>44580</v>
      </c>
      <c r="J596" s="242">
        <v>3653</v>
      </c>
      <c r="K596" s="242">
        <v>802</v>
      </c>
      <c r="L596" s="242">
        <v>2851</v>
      </c>
      <c r="M596" s="242">
        <v>5956</v>
      </c>
      <c r="N596" s="242">
        <v>96594</v>
      </c>
      <c r="O596" s="242">
        <v>90184</v>
      </c>
      <c r="P596" s="242">
        <v>2486</v>
      </c>
      <c r="Q596" s="242">
        <v>84228</v>
      </c>
      <c r="R596" s="337">
        <v>294</v>
      </c>
      <c r="S596" s="336">
        <v>15916</v>
      </c>
      <c r="T596" s="336">
        <v>90184</v>
      </c>
      <c r="U596" s="336">
        <v>0</v>
      </c>
    </row>
    <row r="597" spans="2:21" s="22" customFormat="1" ht="40.5">
      <c r="B597" s="15">
        <f t="shared" si="17"/>
        <v>5</v>
      </c>
      <c r="C597" s="249" t="s">
        <v>1760</v>
      </c>
      <c r="D597" s="254" t="s">
        <v>1761</v>
      </c>
      <c r="E597" s="242">
        <v>110721</v>
      </c>
      <c r="F597" s="254" t="s">
        <v>1752</v>
      </c>
      <c r="G597" s="233">
        <v>40928</v>
      </c>
      <c r="H597" s="228" t="s">
        <v>368</v>
      </c>
      <c r="I597" s="270">
        <v>44580</v>
      </c>
      <c r="J597" s="242">
        <v>3653</v>
      </c>
      <c r="K597" s="242">
        <v>802</v>
      </c>
      <c r="L597" s="242">
        <v>2851</v>
      </c>
      <c r="M597" s="242">
        <v>5536</v>
      </c>
      <c r="N597" s="242">
        <v>89788</v>
      </c>
      <c r="O597" s="242">
        <v>83829</v>
      </c>
      <c r="P597" s="242">
        <v>2486</v>
      </c>
      <c r="Q597" s="242">
        <v>78293</v>
      </c>
      <c r="R597" s="337">
        <v>294</v>
      </c>
      <c r="S597" s="336">
        <v>14795</v>
      </c>
      <c r="T597" s="336">
        <v>83829</v>
      </c>
      <c r="U597" s="336">
        <v>0</v>
      </c>
    </row>
    <row r="598" spans="2:21" s="22" customFormat="1" ht="40.5">
      <c r="B598" s="15">
        <f t="shared" si="17"/>
        <v>6</v>
      </c>
      <c r="C598" s="249" t="s">
        <v>1764</v>
      </c>
      <c r="D598" s="254" t="s">
        <v>1765</v>
      </c>
      <c r="E598" s="242">
        <v>495750</v>
      </c>
      <c r="F598" s="254" t="s">
        <v>1752</v>
      </c>
      <c r="G598" s="233">
        <v>40928</v>
      </c>
      <c r="H598" s="228" t="s">
        <v>368</v>
      </c>
      <c r="I598" s="270">
        <v>44580</v>
      </c>
      <c r="J598" s="242">
        <v>3653</v>
      </c>
      <c r="K598" s="242">
        <v>802</v>
      </c>
      <c r="L598" s="242">
        <v>2851</v>
      </c>
      <c r="M598" s="242">
        <v>24788</v>
      </c>
      <c r="N598" s="242">
        <v>402027</v>
      </c>
      <c r="O598" s="242">
        <v>375345</v>
      </c>
      <c r="P598" s="242">
        <v>2486</v>
      </c>
      <c r="Q598" s="242">
        <v>350558</v>
      </c>
      <c r="R598" s="337">
        <v>294</v>
      </c>
      <c r="S598" s="336">
        <v>66243</v>
      </c>
      <c r="T598" s="336">
        <v>375345</v>
      </c>
      <c r="U598" s="336">
        <v>0</v>
      </c>
    </row>
    <row r="599" spans="2:21" s="22" customFormat="1" ht="40.5">
      <c r="B599" s="15">
        <f t="shared" si="17"/>
        <v>7</v>
      </c>
      <c r="C599" s="249" t="s">
        <v>1766</v>
      </c>
      <c r="D599" s="254" t="s">
        <v>1765</v>
      </c>
      <c r="E599" s="242">
        <v>59132</v>
      </c>
      <c r="F599" s="254" t="s">
        <v>1752</v>
      </c>
      <c r="G599" s="233">
        <v>40928</v>
      </c>
      <c r="H599" s="228" t="s">
        <v>368</v>
      </c>
      <c r="I599" s="270">
        <v>44580</v>
      </c>
      <c r="J599" s="242">
        <v>3653</v>
      </c>
      <c r="K599" s="242">
        <v>802</v>
      </c>
      <c r="L599" s="242">
        <v>2851</v>
      </c>
      <c r="M599" s="242">
        <v>2957</v>
      </c>
      <c r="N599" s="242">
        <v>47953</v>
      </c>
      <c r="O599" s="242">
        <v>44771</v>
      </c>
      <c r="P599" s="242">
        <v>2486</v>
      </c>
      <c r="Q599" s="242">
        <v>41814</v>
      </c>
      <c r="R599" s="337">
        <v>294</v>
      </c>
      <c r="S599" s="336">
        <v>7903</v>
      </c>
      <c r="T599" s="336">
        <v>44771</v>
      </c>
      <c r="U599" s="336">
        <v>0</v>
      </c>
    </row>
    <row r="600" spans="2:21" s="22" customFormat="1" ht="40.5">
      <c r="B600" s="15">
        <f t="shared" si="17"/>
        <v>8</v>
      </c>
      <c r="C600" s="245" t="s">
        <v>2744</v>
      </c>
      <c r="D600" s="254">
        <v>1</v>
      </c>
      <c r="E600" s="322">
        <v>56190</v>
      </c>
      <c r="F600" s="278" t="s">
        <v>2739</v>
      </c>
      <c r="G600" s="342">
        <v>42005</v>
      </c>
      <c r="H600" s="228" t="s">
        <v>368</v>
      </c>
      <c r="I600" s="270">
        <v>45657</v>
      </c>
      <c r="J600" s="242">
        <v>3653</v>
      </c>
      <c r="K600" s="242">
        <v>0</v>
      </c>
      <c r="L600" s="242">
        <v>3653</v>
      </c>
      <c r="M600" s="242">
        <v>2810</v>
      </c>
      <c r="N600" s="242">
        <v>53380</v>
      </c>
      <c r="O600" s="242">
        <v>54875</v>
      </c>
      <c r="P600" s="242">
        <v>3563</v>
      </c>
      <c r="Q600" s="242">
        <v>52066</v>
      </c>
      <c r="R600" s="337">
        <v>365</v>
      </c>
      <c r="S600" s="336">
        <v>5334</v>
      </c>
      <c r="T600" s="336">
        <v>37366</v>
      </c>
      <c r="U600" s="336">
        <v>17509</v>
      </c>
    </row>
    <row r="601" spans="2:21" s="22" customFormat="1" ht="40.5">
      <c r="B601" s="15">
        <f t="shared" si="17"/>
        <v>9</v>
      </c>
      <c r="C601" s="245" t="s">
        <v>2744</v>
      </c>
      <c r="D601" s="254">
        <v>1</v>
      </c>
      <c r="E601" s="322">
        <v>15957</v>
      </c>
      <c r="F601" s="278" t="s">
        <v>2739</v>
      </c>
      <c r="G601" s="342">
        <v>42005</v>
      </c>
      <c r="H601" s="228" t="s">
        <v>368</v>
      </c>
      <c r="I601" s="270">
        <v>45657</v>
      </c>
      <c r="J601" s="242">
        <v>3653</v>
      </c>
      <c r="K601" s="242">
        <v>0</v>
      </c>
      <c r="L601" s="242">
        <v>3653</v>
      </c>
      <c r="M601" s="242">
        <v>798</v>
      </c>
      <c r="N601" s="242">
        <v>15159</v>
      </c>
      <c r="O601" s="242">
        <v>15584</v>
      </c>
      <c r="P601" s="242">
        <v>3563</v>
      </c>
      <c r="Q601" s="242">
        <v>14786</v>
      </c>
      <c r="R601" s="337">
        <v>365</v>
      </c>
      <c r="S601" s="336">
        <v>1515</v>
      </c>
      <c r="T601" s="336">
        <v>10613</v>
      </c>
      <c r="U601" s="336">
        <v>4971</v>
      </c>
    </row>
    <row r="602" spans="2:21" s="22" customFormat="1" ht="40.5">
      <c r="B602" s="15">
        <f>+B601+1</f>
        <v>10</v>
      </c>
      <c r="C602" s="245" t="s">
        <v>2744</v>
      </c>
      <c r="D602" s="254">
        <v>1</v>
      </c>
      <c r="E602" s="322">
        <v>21917</v>
      </c>
      <c r="F602" s="278" t="s">
        <v>2739</v>
      </c>
      <c r="G602" s="342">
        <v>42005</v>
      </c>
      <c r="H602" s="228" t="s">
        <v>368</v>
      </c>
      <c r="I602" s="270">
        <v>45657</v>
      </c>
      <c r="J602" s="242">
        <v>3653</v>
      </c>
      <c r="K602" s="242">
        <v>0</v>
      </c>
      <c r="L602" s="242">
        <v>3653</v>
      </c>
      <c r="M602" s="242">
        <v>1096</v>
      </c>
      <c r="N602" s="242">
        <v>20821</v>
      </c>
      <c r="O602" s="242">
        <v>21404</v>
      </c>
      <c r="P602" s="242">
        <v>3563</v>
      </c>
      <c r="Q602" s="242">
        <v>20308</v>
      </c>
      <c r="R602" s="337">
        <v>365</v>
      </c>
      <c r="S602" s="336">
        <v>2080</v>
      </c>
      <c r="T602" s="336">
        <v>14572</v>
      </c>
      <c r="U602" s="336">
        <v>6832</v>
      </c>
    </row>
    <row r="603" spans="2:21" s="22" customFormat="1" ht="40.5">
      <c r="B603" s="15">
        <f t="shared" ref="B603:B608" si="18">+B602+1</f>
        <v>11</v>
      </c>
      <c r="C603" s="245" t="s">
        <v>2745</v>
      </c>
      <c r="D603" s="254">
        <v>1</v>
      </c>
      <c r="E603" s="322">
        <v>11960</v>
      </c>
      <c r="F603" s="278" t="s">
        <v>2739</v>
      </c>
      <c r="G603" s="342">
        <v>42005</v>
      </c>
      <c r="H603" s="228" t="s">
        <v>368</v>
      </c>
      <c r="I603" s="270">
        <v>45657</v>
      </c>
      <c r="J603" s="242">
        <v>3653</v>
      </c>
      <c r="K603" s="242">
        <v>0</v>
      </c>
      <c r="L603" s="242">
        <v>3653</v>
      </c>
      <c r="M603" s="242">
        <v>598</v>
      </c>
      <c r="N603" s="242">
        <v>11362</v>
      </c>
      <c r="O603" s="242">
        <v>11680</v>
      </c>
      <c r="P603" s="242">
        <v>3563</v>
      </c>
      <c r="Q603" s="242">
        <v>11082</v>
      </c>
      <c r="R603" s="337">
        <v>365</v>
      </c>
      <c r="S603" s="336">
        <v>1135</v>
      </c>
      <c r="T603" s="336">
        <v>7951</v>
      </c>
      <c r="U603" s="336">
        <v>3729</v>
      </c>
    </row>
    <row r="604" spans="2:21" s="22" customFormat="1" ht="40.5">
      <c r="B604" s="15">
        <f t="shared" si="18"/>
        <v>12</v>
      </c>
      <c r="C604" s="245" t="s">
        <v>2744</v>
      </c>
      <c r="D604" s="254">
        <v>1</v>
      </c>
      <c r="E604" s="322">
        <v>34131</v>
      </c>
      <c r="F604" s="278" t="s">
        <v>2739</v>
      </c>
      <c r="G604" s="342">
        <v>42005</v>
      </c>
      <c r="H604" s="228" t="s">
        <v>368</v>
      </c>
      <c r="I604" s="270">
        <v>45657</v>
      </c>
      <c r="J604" s="242">
        <v>3653</v>
      </c>
      <c r="K604" s="242">
        <v>0</v>
      </c>
      <c r="L604" s="242">
        <v>3653</v>
      </c>
      <c r="M604" s="242">
        <v>1707</v>
      </c>
      <c r="N604" s="242">
        <v>32424</v>
      </c>
      <c r="O604" s="242">
        <v>33332</v>
      </c>
      <c r="P604" s="242">
        <v>3563</v>
      </c>
      <c r="Q604" s="242">
        <v>31625</v>
      </c>
      <c r="R604" s="337">
        <v>365</v>
      </c>
      <c r="S604" s="336">
        <v>3240</v>
      </c>
      <c r="T604" s="336">
        <v>22698</v>
      </c>
      <c r="U604" s="336">
        <v>10634</v>
      </c>
    </row>
    <row r="605" spans="2:21" s="22" customFormat="1" ht="27">
      <c r="B605" s="15">
        <f t="shared" si="18"/>
        <v>13</v>
      </c>
      <c r="C605" s="245" t="s">
        <v>2957</v>
      </c>
      <c r="D605" s="237" t="s">
        <v>887</v>
      </c>
      <c r="E605" s="322">
        <v>68508</v>
      </c>
      <c r="F605" s="349" t="s">
        <v>2958</v>
      </c>
      <c r="G605" s="350">
        <v>42202</v>
      </c>
      <c r="H605" s="228" t="s">
        <v>368</v>
      </c>
      <c r="I605" s="270">
        <v>45854</v>
      </c>
      <c r="J605" s="242">
        <v>3653</v>
      </c>
      <c r="K605" s="242">
        <v>0</v>
      </c>
      <c r="L605" s="242">
        <v>3653</v>
      </c>
      <c r="M605" s="242">
        <v>3425</v>
      </c>
      <c r="N605" s="242">
        <v>65083</v>
      </c>
      <c r="O605" s="242">
        <v>68508</v>
      </c>
      <c r="P605" s="242">
        <v>3653</v>
      </c>
      <c r="Q605" s="242">
        <v>65083</v>
      </c>
      <c r="R605" s="337">
        <v>365</v>
      </c>
      <c r="S605" s="336">
        <v>6503</v>
      </c>
      <c r="T605" s="336">
        <v>43650</v>
      </c>
      <c r="U605" s="336">
        <v>24858</v>
      </c>
    </row>
    <row r="606" spans="2:21" s="22" customFormat="1" ht="40.5">
      <c r="B606" s="15">
        <f t="shared" si="18"/>
        <v>14</v>
      </c>
      <c r="C606" s="245" t="s">
        <v>3934</v>
      </c>
      <c r="D606" s="237" t="s">
        <v>887</v>
      </c>
      <c r="E606" s="322">
        <v>112249</v>
      </c>
      <c r="F606" s="349"/>
      <c r="G606" s="350">
        <v>42825</v>
      </c>
      <c r="H606" s="228" t="s">
        <v>368</v>
      </c>
      <c r="I606" s="270">
        <v>46476</v>
      </c>
      <c r="J606" s="242">
        <v>3652</v>
      </c>
      <c r="K606" s="242">
        <v>0</v>
      </c>
      <c r="L606" s="242">
        <v>3652</v>
      </c>
      <c r="M606" s="242">
        <v>5612</v>
      </c>
      <c r="N606" s="242">
        <v>106637</v>
      </c>
      <c r="O606" s="242">
        <v>112249</v>
      </c>
      <c r="P606" s="242">
        <v>3652</v>
      </c>
      <c r="Q606" s="242">
        <v>106637</v>
      </c>
      <c r="R606" s="337">
        <v>365</v>
      </c>
      <c r="S606" s="336">
        <v>10658</v>
      </c>
      <c r="T606" s="336">
        <v>53348</v>
      </c>
      <c r="U606" s="336">
        <v>58901</v>
      </c>
    </row>
    <row r="607" spans="2:21" s="22" customFormat="1">
      <c r="B607" s="15">
        <f t="shared" si="18"/>
        <v>15</v>
      </c>
      <c r="C607" s="245" t="s">
        <v>3935</v>
      </c>
      <c r="D607" s="237" t="s">
        <v>887</v>
      </c>
      <c r="E607" s="322">
        <v>77997</v>
      </c>
      <c r="F607" s="349"/>
      <c r="G607" s="350">
        <v>42825</v>
      </c>
      <c r="H607" s="228" t="s">
        <v>368</v>
      </c>
      <c r="I607" s="270">
        <v>46476</v>
      </c>
      <c r="J607" s="242">
        <v>3652</v>
      </c>
      <c r="K607" s="242">
        <v>0</v>
      </c>
      <c r="L607" s="242">
        <v>3652</v>
      </c>
      <c r="M607" s="242">
        <v>3900</v>
      </c>
      <c r="N607" s="242">
        <v>74097</v>
      </c>
      <c r="O607" s="242">
        <v>77997</v>
      </c>
      <c r="P607" s="242">
        <v>3652</v>
      </c>
      <c r="Q607" s="242">
        <v>74097</v>
      </c>
      <c r="R607" s="337">
        <v>365</v>
      </c>
      <c r="S607" s="336">
        <v>7406</v>
      </c>
      <c r="T607" s="336">
        <v>37070</v>
      </c>
      <c r="U607" s="336">
        <v>40927</v>
      </c>
    </row>
    <row r="608" spans="2:21" s="22" customFormat="1" ht="27">
      <c r="B608" s="15">
        <f t="shared" si="18"/>
        <v>16</v>
      </c>
      <c r="C608" s="245" t="s">
        <v>3936</v>
      </c>
      <c r="D608" s="237" t="s">
        <v>887</v>
      </c>
      <c r="E608" s="322">
        <v>258012</v>
      </c>
      <c r="F608" s="349" t="s">
        <v>3937</v>
      </c>
      <c r="G608" s="350">
        <v>42825</v>
      </c>
      <c r="H608" s="228" t="s">
        <v>368</v>
      </c>
      <c r="I608" s="270">
        <v>46476</v>
      </c>
      <c r="J608" s="242">
        <v>3652</v>
      </c>
      <c r="K608" s="242">
        <v>0</v>
      </c>
      <c r="L608" s="242">
        <v>3652</v>
      </c>
      <c r="M608" s="242">
        <v>12901</v>
      </c>
      <c r="N608" s="242">
        <v>245111</v>
      </c>
      <c r="O608" s="242">
        <v>258012</v>
      </c>
      <c r="P608" s="242">
        <v>3652</v>
      </c>
      <c r="Q608" s="242">
        <v>245111</v>
      </c>
      <c r="R608" s="337">
        <v>365</v>
      </c>
      <c r="S608" s="336">
        <v>24498</v>
      </c>
      <c r="T608" s="336">
        <v>122624</v>
      </c>
      <c r="U608" s="336">
        <v>135388</v>
      </c>
    </row>
    <row r="609" spans="2:21" s="22" customFormat="1">
      <c r="B609" s="8"/>
      <c r="C609" s="245"/>
      <c r="D609" s="237"/>
      <c r="E609" s="322"/>
      <c r="F609" s="349"/>
      <c r="G609" s="350"/>
      <c r="H609" s="239"/>
      <c r="I609" s="270"/>
      <c r="J609" s="242"/>
      <c r="K609" s="242"/>
      <c r="L609" s="242"/>
      <c r="M609" s="242"/>
      <c r="N609" s="242"/>
      <c r="O609" s="242">
        <v>0</v>
      </c>
      <c r="P609" s="242"/>
      <c r="Q609" s="272"/>
      <c r="R609" s="318"/>
      <c r="S609" s="242"/>
      <c r="T609" s="242"/>
      <c r="U609" s="228"/>
    </row>
    <row r="610" spans="2:21" s="22" customFormat="1" ht="14.25">
      <c r="B610" s="51" t="s">
        <v>2627</v>
      </c>
      <c r="C610" s="245"/>
      <c r="D610" s="237"/>
      <c r="E610" s="322"/>
      <c r="F610" s="237"/>
      <c r="G610" s="238"/>
      <c r="H610" s="239"/>
      <c r="I610" s="270"/>
      <c r="J610" s="242"/>
      <c r="K610" s="242"/>
      <c r="L610" s="242"/>
      <c r="M610" s="242"/>
      <c r="N610" s="242"/>
      <c r="O610" s="242">
        <v>0</v>
      </c>
      <c r="P610" s="242"/>
      <c r="Q610" s="272"/>
      <c r="R610" s="318"/>
      <c r="S610" s="242"/>
      <c r="T610" s="242"/>
      <c r="U610" s="228"/>
    </row>
    <row r="611" spans="2:21" s="22" customFormat="1" ht="27">
      <c r="B611" s="15">
        <v>1</v>
      </c>
      <c r="C611" s="249" t="s">
        <v>2628</v>
      </c>
      <c r="D611" s="254">
        <v>1</v>
      </c>
      <c r="E611" s="242">
        <v>11760</v>
      </c>
      <c r="F611" s="249" t="s">
        <v>2625</v>
      </c>
      <c r="G611" s="233">
        <v>42018</v>
      </c>
      <c r="H611" s="228" t="s">
        <v>368</v>
      </c>
      <c r="I611" s="270">
        <v>45670</v>
      </c>
      <c r="J611" s="242">
        <v>3653</v>
      </c>
      <c r="K611" s="242">
        <v>0</v>
      </c>
      <c r="L611" s="242">
        <v>3653</v>
      </c>
      <c r="M611" s="242">
        <v>588</v>
      </c>
      <c r="N611" s="242">
        <v>11172</v>
      </c>
      <c r="O611" s="242">
        <v>11525</v>
      </c>
      <c r="P611" s="242">
        <v>3576</v>
      </c>
      <c r="Q611" s="242">
        <v>10937</v>
      </c>
      <c r="R611" s="337">
        <v>365</v>
      </c>
      <c r="S611" s="336">
        <v>1116</v>
      </c>
      <c r="T611" s="336">
        <v>7818</v>
      </c>
      <c r="U611" s="336">
        <v>3707</v>
      </c>
    </row>
    <row r="612" spans="2:21" s="22" customFormat="1" ht="27">
      <c r="B612" s="15">
        <f>+B611+1</f>
        <v>2</v>
      </c>
      <c r="C612" s="249" t="s">
        <v>2629</v>
      </c>
      <c r="D612" s="254">
        <v>4</v>
      </c>
      <c r="E612" s="242">
        <v>7140</v>
      </c>
      <c r="F612" s="249" t="s">
        <v>2625</v>
      </c>
      <c r="G612" s="233">
        <v>42018</v>
      </c>
      <c r="H612" s="228" t="s">
        <v>368</v>
      </c>
      <c r="I612" s="270">
        <v>45670</v>
      </c>
      <c r="J612" s="242">
        <v>3653</v>
      </c>
      <c r="K612" s="242">
        <v>0</v>
      </c>
      <c r="L612" s="242">
        <v>3653</v>
      </c>
      <c r="M612" s="242">
        <v>357</v>
      </c>
      <c r="N612" s="242">
        <v>6783</v>
      </c>
      <c r="O612" s="242">
        <v>6997</v>
      </c>
      <c r="P612" s="242">
        <v>3576</v>
      </c>
      <c r="Q612" s="242">
        <v>6640</v>
      </c>
      <c r="R612" s="337">
        <v>365</v>
      </c>
      <c r="S612" s="336">
        <v>678</v>
      </c>
      <c r="T612" s="336">
        <v>4750</v>
      </c>
      <c r="U612" s="336">
        <v>2247</v>
      </c>
    </row>
    <row r="613" spans="2:21" s="22" customFormat="1">
      <c r="B613" s="15"/>
      <c r="C613" s="23"/>
      <c r="D613" s="37"/>
      <c r="E613" s="72"/>
      <c r="F613" s="37"/>
      <c r="G613" s="7"/>
      <c r="H613" s="25"/>
      <c r="I613" s="193"/>
      <c r="J613" s="72"/>
      <c r="K613" s="72"/>
      <c r="L613" s="72"/>
      <c r="M613" s="72"/>
      <c r="N613" s="72"/>
      <c r="O613" s="72">
        <v>0</v>
      </c>
      <c r="P613" s="72"/>
      <c r="Q613" s="70"/>
      <c r="R613" s="25"/>
      <c r="S613" s="25"/>
      <c r="T613" s="25"/>
      <c r="U613" s="25"/>
    </row>
    <row r="614" spans="2:21" s="22" customFormat="1" ht="14.25">
      <c r="B614" s="45"/>
      <c r="C614" s="44"/>
      <c r="D614" s="8"/>
      <c r="E614" s="91"/>
      <c r="F614" s="92"/>
      <c r="G614" s="8"/>
      <c r="H614" s="45"/>
      <c r="I614" s="93"/>
      <c r="J614" s="93"/>
      <c r="K614" s="93"/>
      <c r="L614" s="93"/>
      <c r="M614" s="93"/>
      <c r="N614" s="93"/>
      <c r="O614" s="182"/>
      <c r="P614" s="182"/>
      <c r="Q614" s="194"/>
      <c r="R614" s="93"/>
      <c r="S614" s="93"/>
      <c r="T614" s="93"/>
      <c r="U614" s="93"/>
    </row>
    <row r="615" spans="2:21" ht="15" thickBot="1">
      <c r="B615" s="169"/>
      <c r="C615" s="222" t="s">
        <v>915</v>
      </c>
      <c r="D615" s="303"/>
      <c r="E615" s="304">
        <f>SUM(E6:E614)</f>
        <v>51867379.960000001</v>
      </c>
      <c r="F615" s="351"/>
      <c r="G615" s="303"/>
      <c r="H615" s="352"/>
      <c r="I615" s="136"/>
      <c r="J615" s="136"/>
      <c r="K615" s="136"/>
      <c r="L615" s="136"/>
      <c r="M615" s="136"/>
      <c r="N615" s="136"/>
      <c r="O615" s="142">
        <f>SUM(O6:O614)</f>
        <v>37371683.141166799</v>
      </c>
      <c r="P615" s="142"/>
      <c r="Q615" s="142"/>
      <c r="R615" s="353"/>
      <c r="S615" s="142">
        <f>SUM(S6:S614)</f>
        <v>2690677</v>
      </c>
      <c r="T615" s="142">
        <f>SUM(T6:T614)</f>
        <v>30795335</v>
      </c>
      <c r="U615" s="142">
        <f>SUM(U6:U614)</f>
        <v>6576347.1511667995</v>
      </c>
    </row>
    <row r="616" spans="2:21" ht="14.25" thickTop="1">
      <c r="E616" s="4">
        <f>50938590.96+928789-E615</f>
        <v>0</v>
      </c>
      <c r="O616" s="4">
        <f>36452315.1411668+919368-O615</f>
        <v>0</v>
      </c>
      <c r="S616" s="4">
        <f>2617572+73105-S615</f>
        <v>0</v>
      </c>
      <c r="T616" s="4">
        <f>30341970+453365-T615</f>
        <v>0</v>
      </c>
      <c r="U616" s="4">
        <f>6110344.1511668+466003-U615</f>
        <v>0</v>
      </c>
    </row>
    <row r="618" spans="2:21">
      <c r="C618" s="5"/>
      <c r="D618" s="5"/>
      <c r="E618" s="5"/>
      <c r="F618" s="5"/>
      <c r="H618" s="5"/>
    </row>
    <row r="619" spans="2:21">
      <c r="C619" s="5"/>
      <c r="D619" s="5"/>
      <c r="E619" s="5"/>
      <c r="F619" s="5"/>
      <c r="H619" s="5"/>
      <c r="S619" s="4"/>
      <c r="T619" s="4"/>
      <c r="U619" s="4"/>
    </row>
    <row r="620" spans="2:21">
      <c r="C620" s="5"/>
      <c r="D620" s="5"/>
      <c r="E620" s="5"/>
      <c r="F620" s="5"/>
      <c r="H620" s="5"/>
    </row>
    <row r="621" spans="2:21">
      <c r="C621" s="5"/>
      <c r="D621" s="5"/>
      <c r="E621" s="5"/>
      <c r="F621" s="5"/>
      <c r="H621" s="5"/>
    </row>
    <row r="622" spans="2:21">
      <c r="C622" s="5"/>
      <c r="D622" s="5"/>
      <c r="E622" s="5"/>
      <c r="F622" s="5"/>
      <c r="H622" s="5"/>
    </row>
    <row r="623" spans="2:21">
      <c r="C623" s="5"/>
      <c r="D623" s="5"/>
      <c r="E623" s="5"/>
      <c r="F623" s="5"/>
      <c r="H623" s="5"/>
    </row>
    <row r="624" spans="2:21">
      <c r="C624" s="5"/>
      <c r="D624" s="5"/>
      <c r="E624" s="5"/>
      <c r="F624" s="5"/>
      <c r="H624" s="5"/>
    </row>
    <row r="625" spans="3:8">
      <c r="C625" s="5"/>
      <c r="D625" s="5"/>
      <c r="E625" s="5"/>
      <c r="F625" s="5"/>
      <c r="H625" s="5"/>
    </row>
    <row r="626" spans="3:8">
      <c r="C626" s="5"/>
      <c r="D626" s="5"/>
      <c r="E626" s="5"/>
      <c r="F626" s="5"/>
      <c r="H626" s="5"/>
    </row>
    <row r="627" spans="3:8">
      <c r="C627" s="5"/>
      <c r="D627" s="5"/>
      <c r="E627" s="5"/>
      <c r="F627" s="5"/>
      <c r="H627" s="5"/>
    </row>
    <row r="628" spans="3:8">
      <c r="C628" s="5"/>
      <c r="D628" s="5"/>
      <c r="E628" s="5"/>
      <c r="F628" s="5"/>
      <c r="H628" s="5"/>
    </row>
    <row r="629" spans="3:8">
      <c r="C629" s="5"/>
      <c r="D629" s="5"/>
      <c r="E629" s="5"/>
      <c r="F629" s="5"/>
      <c r="H629" s="5"/>
    </row>
    <row r="630" spans="3:8">
      <c r="C630" s="5"/>
      <c r="D630" s="5"/>
      <c r="E630" s="5"/>
      <c r="F630" s="5"/>
      <c r="H630" s="5"/>
    </row>
    <row r="631" spans="3:8">
      <c r="C631" s="5"/>
      <c r="D631" s="5"/>
      <c r="E631" s="5"/>
      <c r="F631" s="5"/>
      <c r="H631" s="5"/>
    </row>
    <row r="632" spans="3:8">
      <c r="C632" s="5"/>
      <c r="D632" s="5"/>
      <c r="E632" s="5"/>
      <c r="F632" s="5"/>
      <c r="H632" s="5"/>
    </row>
    <row r="633" spans="3:8">
      <c r="C633" s="5"/>
      <c r="D633" s="5"/>
      <c r="E633" s="5"/>
      <c r="F633" s="5"/>
      <c r="H633" s="5"/>
    </row>
    <row r="634" spans="3:8">
      <c r="C634" s="5"/>
      <c r="D634" s="5"/>
      <c r="E634" s="5"/>
      <c r="F634" s="5"/>
      <c r="H634" s="5"/>
    </row>
    <row r="635" spans="3:8">
      <c r="C635" s="5"/>
      <c r="D635" s="5"/>
      <c r="E635" s="5"/>
      <c r="F635" s="5"/>
      <c r="H635" s="5"/>
    </row>
    <row r="636" spans="3:8">
      <c r="C636" s="5"/>
      <c r="D636" s="5"/>
      <c r="E636" s="5"/>
      <c r="F636" s="5"/>
      <c r="H636" s="5"/>
    </row>
    <row r="637" spans="3:8">
      <c r="C637" s="5"/>
      <c r="D637" s="5"/>
      <c r="E637" s="5"/>
      <c r="F637" s="5"/>
      <c r="H637" s="5"/>
    </row>
    <row r="638" spans="3:8">
      <c r="C638" s="5"/>
      <c r="D638" s="5"/>
      <c r="E638" s="5"/>
      <c r="F638" s="5"/>
      <c r="H638" s="5"/>
    </row>
    <row r="639" spans="3:8">
      <c r="C639" s="5"/>
      <c r="D639" s="5"/>
      <c r="E639" s="5"/>
      <c r="F639" s="5"/>
      <c r="H639" s="5"/>
    </row>
    <row r="640" spans="3:8">
      <c r="C640" s="5"/>
      <c r="D640" s="5"/>
      <c r="E640" s="5"/>
      <c r="F640" s="5"/>
      <c r="H640" s="5"/>
    </row>
    <row r="641" spans="3:8">
      <c r="C641" s="5"/>
      <c r="D641" s="5"/>
      <c r="E641" s="5"/>
      <c r="F641" s="5"/>
      <c r="H641" s="5"/>
    </row>
    <row r="642" spans="3:8">
      <c r="C642" s="5"/>
      <c r="D642" s="5"/>
      <c r="E642" s="5"/>
      <c r="F642" s="5"/>
      <c r="H642" s="5"/>
    </row>
    <row r="643" spans="3:8">
      <c r="C643" s="5"/>
      <c r="D643" s="5"/>
      <c r="E643" s="5"/>
      <c r="F643" s="5"/>
      <c r="H643" s="5"/>
    </row>
    <row r="644" spans="3:8">
      <c r="C644" s="5"/>
      <c r="D644" s="5"/>
      <c r="E644" s="5"/>
      <c r="F644" s="5"/>
      <c r="H644" s="5"/>
    </row>
    <row r="645" spans="3:8">
      <c r="C645" s="5"/>
      <c r="D645" s="5"/>
      <c r="E645" s="5"/>
      <c r="F645" s="5"/>
      <c r="H645" s="5"/>
    </row>
    <row r="646" spans="3:8">
      <c r="C646" s="5"/>
      <c r="D646" s="5"/>
      <c r="E646" s="5"/>
      <c r="F646" s="5"/>
      <c r="H646" s="5"/>
    </row>
    <row r="647" spans="3:8">
      <c r="C647" s="5"/>
      <c r="D647" s="5"/>
      <c r="E647" s="5"/>
      <c r="F647" s="5"/>
      <c r="H647" s="5"/>
    </row>
    <row r="648" spans="3:8">
      <c r="C648" s="5"/>
      <c r="D648" s="5"/>
      <c r="E648" s="5"/>
      <c r="F648" s="5"/>
      <c r="H648" s="5"/>
    </row>
    <row r="649" spans="3:8">
      <c r="C649" s="5"/>
      <c r="D649" s="5"/>
      <c r="E649" s="5"/>
      <c r="F649" s="5"/>
      <c r="H649" s="5"/>
    </row>
    <row r="650" spans="3:8">
      <c r="C650" s="5"/>
      <c r="D650" s="5"/>
      <c r="E650" s="5"/>
      <c r="F650" s="5"/>
      <c r="H650" s="5"/>
    </row>
    <row r="651" spans="3:8">
      <c r="C651" s="5"/>
      <c r="D651" s="5"/>
      <c r="E651" s="5"/>
      <c r="F651" s="5"/>
      <c r="H651" s="5"/>
    </row>
    <row r="652" spans="3:8">
      <c r="C652" s="5"/>
      <c r="D652" s="5"/>
      <c r="E652" s="5"/>
      <c r="F652" s="5"/>
      <c r="H652" s="5"/>
    </row>
    <row r="653" spans="3:8">
      <c r="C653" s="5"/>
      <c r="D653" s="5"/>
      <c r="E653" s="5"/>
      <c r="F653" s="5"/>
      <c r="H653" s="5"/>
    </row>
    <row r="654" spans="3:8">
      <c r="C654" s="5"/>
      <c r="D654" s="5"/>
      <c r="E654" s="5"/>
      <c r="F654" s="5"/>
      <c r="H654" s="5"/>
    </row>
    <row r="655" spans="3:8">
      <c r="C655" s="5"/>
      <c r="D655" s="5"/>
      <c r="E655" s="5"/>
      <c r="F655" s="5"/>
      <c r="H655" s="5"/>
    </row>
    <row r="656" spans="3:8">
      <c r="C656" s="5"/>
      <c r="D656" s="5"/>
      <c r="E656" s="5"/>
      <c r="F656" s="5"/>
      <c r="H656" s="5"/>
    </row>
    <row r="657" spans="3:5">
      <c r="E657" s="3"/>
    </row>
    <row r="659" spans="3:5">
      <c r="C659" s="5"/>
    </row>
    <row r="660" spans="3:5">
      <c r="C660" s="5"/>
    </row>
    <row r="661" spans="3:5">
      <c r="C661" s="5"/>
    </row>
    <row r="662" spans="3:5">
      <c r="C662" s="5"/>
    </row>
    <row r="663" spans="3:5">
      <c r="C663" s="5"/>
    </row>
    <row r="664" spans="3:5">
      <c r="C664" s="5"/>
    </row>
    <row r="665" spans="3:5">
      <c r="C665" s="5"/>
    </row>
    <row r="666" spans="3:5">
      <c r="C666" s="5"/>
    </row>
    <row r="667" spans="3:5">
      <c r="C667" s="5"/>
    </row>
    <row r="668" spans="3:5">
      <c r="C668" s="5"/>
    </row>
    <row r="669" spans="3:5">
      <c r="C669" s="5"/>
    </row>
    <row r="670" spans="3:5">
      <c r="C670" s="5"/>
    </row>
    <row r="671" spans="3:5">
      <c r="C671" s="5"/>
    </row>
    <row r="672" spans="3:5">
      <c r="C672" s="5"/>
    </row>
    <row r="673" spans="3:8">
      <c r="C673" s="5"/>
    </row>
    <row r="674" spans="3:8">
      <c r="C674" s="5"/>
    </row>
    <row r="675" spans="3:8">
      <c r="C675" s="5"/>
      <c r="D675" s="5"/>
      <c r="E675" s="5"/>
      <c r="F675" s="5"/>
      <c r="H675" s="5"/>
    </row>
    <row r="676" spans="3:8">
      <c r="C676" s="5"/>
      <c r="D676" s="5"/>
      <c r="E676" s="5"/>
      <c r="F676" s="5"/>
      <c r="H676" s="5"/>
    </row>
    <row r="677" spans="3:8">
      <c r="C677" s="5"/>
      <c r="D677" s="5"/>
      <c r="E677" s="5"/>
      <c r="F677" s="5"/>
      <c r="H677" s="5"/>
    </row>
    <row r="678" spans="3:8">
      <c r="C678" s="5"/>
      <c r="D678" s="5"/>
      <c r="E678" s="5"/>
      <c r="F678" s="5"/>
      <c r="H678" s="5"/>
    </row>
    <row r="771" spans="3:8">
      <c r="C771" s="5"/>
      <c r="D771" s="5"/>
      <c r="E771" s="5"/>
      <c r="F771" s="5"/>
      <c r="H771" s="5"/>
    </row>
    <row r="772" spans="3:8">
      <c r="C772" s="5"/>
      <c r="D772" s="5"/>
      <c r="E772" s="5"/>
      <c r="F772" s="5"/>
      <c r="H772" s="5"/>
    </row>
    <row r="773" spans="3:8">
      <c r="C773" s="5"/>
      <c r="D773" s="5"/>
      <c r="E773" s="5"/>
      <c r="F773" s="5"/>
      <c r="H773" s="5"/>
    </row>
    <row r="774" spans="3:8">
      <c r="C774" s="5"/>
      <c r="D774" s="5"/>
      <c r="E774" s="5"/>
      <c r="F774" s="5"/>
      <c r="H774" s="5"/>
    </row>
    <row r="775" spans="3:8">
      <c r="C775" s="5"/>
      <c r="D775" s="5"/>
      <c r="E775" s="5"/>
      <c r="F775" s="5"/>
      <c r="H775" s="5"/>
    </row>
    <row r="776" spans="3:8">
      <c r="C776" s="5"/>
      <c r="D776" s="5"/>
      <c r="E776" s="5"/>
      <c r="F776" s="5"/>
      <c r="H776" s="5"/>
    </row>
    <row r="777" spans="3:8">
      <c r="C777" s="5"/>
      <c r="D777" s="5"/>
      <c r="E777" s="5"/>
      <c r="F777" s="5"/>
      <c r="H777" s="5"/>
    </row>
    <row r="778" spans="3:8">
      <c r="C778" s="5"/>
      <c r="D778" s="5"/>
      <c r="E778" s="5"/>
      <c r="F778" s="5"/>
      <c r="H778" s="5"/>
    </row>
    <row r="779" spans="3:8">
      <c r="C779" s="5"/>
      <c r="D779" s="5"/>
      <c r="E779" s="5"/>
      <c r="F779" s="5"/>
      <c r="H779" s="5"/>
    </row>
    <row r="780" spans="3:8">
      <c r="C780" s="5"/>
      <c r="D780" s="5"/>
      <c r="E780" s="5"/>
      <c r="F780" s="5"/>
      <c r="H780" s="5"/>
    </row>
    <row r="781" spans="3:8">
      <c r="C781" s="5"/>
      <c r="D781" s="5"/>
      <c r="E781" s="5"/>
      <c r="F781" s="5"/>
      <c r="H781" s="5"/>
    </row>
    <row r="782" spans="3:8">
      <c r="C782" s="5"/>
      <c r="D782" s="5"/>
      <c r="E782" s="5"/>
      <c r="F782" s="5"/>
      <c r="H782" s="5"/>
    </row>
    <row r="783" spans="3:8">
      <c r="C783" s="5"/>
      <c r="D783" s="5"/>
      <c r="E783" s="5"/>
      <c r="F783" s="5"/>
      <c r="H783" s="5"/>
    </row>
    <row r="784" spans="3:8">
      <c r="C784" s="5"/>
      <c r="D784" s="5"/>
      <c r="E784" s="5"/>
      <c r="F784" s="5"/>
      <c r="H784" s="5"/>
    </row>
    <row r="785" spans="3:8">
      <c r="C785" s="5"/>
      <c r="D785" s="5"/>
      <c r="E785" s="5"/>
      <c r="F785" s="5"/>
      <c r="H785" s="5"/>
    </row>
    <row r="786" spans="3:8">
      <c r="C786" s="5"/>
      <c r="D786" s="5"/>
      <c r="E786" s="5"/>
      <c r="F786" s="5"/>
      <c r="H786" s="5"/>
    </row>
    <row r="787" spans="3:8">
      <c r="C787" s="5"/>
      <c r="D787" s="5"/>
      <c r="E787" s="5"/>
      <c r="F787" s="5"/>
      <c r="H787" s="5"/>
    </row>
    <row r="788" spans="3:8">
      <c r="C788" s="5"/>
      <c r="D788" s="5"/>
      <c r="E788" s="5"/>
      <c r="F788" s="5"/>
      <c r="H788" s="5"/>
    </row>
    <row r="789" spans="3:8">
      <c r="C789" s="5"/>
      <c r="D789" s="5"/>
      <c r="E789" s="5"/>
      <c r="F789" s="5"/>
      <c r="H789" s="5"/>
    </row>
    <row r="790" spans="3:8">
      <c r="C790" s="5"/>
      <c r="D790" s="5"/>
      <c r="E790" s="5"/>
      <c r="F790" s="5"/>
      <c r="H790" s="5"/>
    </row>
    <row r="791" spans="3:8">
      <c r="C791" s="5"/>
      <c r="D791" s="5"/>
      <c r="E791" s="5"/>
      <c r="F791" s="5"/>
      <c r="H791" s="5"/>
    </row>
    <row r="792" spans="3:8">
      <c r="C792" s="5"/>
      <c r="D792" s="5"/>
      <c r="E792" s="5"/>
      <c r="F792" s="5"/>
      <c r="H792" s="5"/>
    </row>
    <row r="793" spans="3:8">
      <c r="C793" s="5"/>
      <c r="D793" s="5"/>
      <c r="E793" s="5"/>
      <c r="F793" s="5"/>
      <c r="H793" s="5"/>
    </row>
    <row r="794" spans="3:8">
      <c r="C794" s="5"/>
      <c r="D794" s="5"/>
      <c r="E794" s="5"/>
      <c r="F794" s="5"/>
      <c r="H794" s="5"/>
    </row>
    <row r="795" spans="3:8">
      <c r="C795" s="5"/>
      <c r="D795" s="5"/>
      <c r="E795" s="5"/>
      <c r="F795" s="5"/>
      <c r="H795" s="5"/>
    </row>
    <row r="796" spans="3:8">
      <c r="C796" s="5"/>
      <c r="D796" s="5"/>
      <c r="E796" s="5"/>
      <c r="F796" s="5"/>
      <c r="H796" s="5"/>
    </row>
    <row r="797" spans="3:8">
      <c r="C797" s="5"/>
      <c r="D797" s="5"/>
      <c r="E797" s="5"/>
      <c r="F797" s="5"/>
      <c r="H797" s="5"/>
    </row>
    <row r="798" spans="3:8">
      <c r="C798" s="5"/>
      <c r="D798" s="5"/>
      <c r="E798" s="5"/>
      <c r="F798" s="5"/>
      <c r="H798" s="5"/>
    </row>
    <row r="799" spans="3:8">
      <c r="C799" s="5"/>
      <c r="D799" s="5"/>
      <c r="E799" s="5"/>
      <c r="F799" s="5"/>
      <c r="H799" s="5"/>
    </row>
    <row r="800" spans="3:8">
      <c r="C800" s="5"/>
      <c r="D800" s="5"/>
      <c r="E800" s="5"/>
      <c r="F800" s="5"/>
      <c r="H800" s="5"/>
    </row>
    <row r="801" spans="3:8">
      <c r="C801" s="5"/>
      <c r="D801" s="5"/>
      <c r="E801" s="5"/>
      <c r="F801" s="5"/>
      <c r="H801" s="5"/>
    </row>
    <row r="802" spans="3:8">
      <c r="C802" s="5"/>
      <c r="D802" s="5"/>
      <c r="E802" s="5"/>
      <c r="F802" s="5"/>
      <c r="H802" s="5"/>
    </row>
    <row r="803" spans="3:8">
      <c r="C803" s="5"/>
      <c r="D803" s="5"/>
      <c r="E803" s="5"/>
      <c r="F803" s="5"/>
      <c r="H803" s="5"/>
    </row>
    <row r="804" spans="3:8">
      <c r="C804" s="5"/>
      <c r="D804" s="5"/>
      <c r="E804" s="5"/>
      <c r="F804" s="5"/>
      <c r="H804" s="5"/>
    </row>
    <row r="805" spans="3:8">
      <c r="C805" s="5"/>
      <c r="D805" s="5"/>
      <c r="E805" s="5"/>
      <c r="F805" s="5"/>
      <c r="H805" s="5"/>
    </row>
    <row r="806" spans="3:8">
      <c r="C806" s="5"/>
      <c r="D806" s="5"/>
      <c r="E806" s="5"/>
      <c r="F806" s="5"/>
      <c r="H806" s="5"/>
    </row>
    <row r="807" spans="3:8">
      <c r="C807" s="5"/>
      <c r="D807" s="5"/>
      <c r="E807" s="5"/>
      <c r="F807" s="5"/>
      <c r="H807" s="5"/>
    </row>
    <row r="808" spans="3:8">
      <c r="C808" s="5"/>
      <c r="D808" s="5"/>
      <c r="E808" s="5"/>
      <c r="F808" s="5"/>
      <c r="H808" s="5"/>
    </row>
    <row r="809" spans="3:8">
      <c r="C809" s="5"/>
      <c r="D809" s="5"/>
      <c r="E809" s="5"/>
      <c r="F809" s="5"/>
      <c r="H809" s="5"/>
    </row>
    <row r="810" spans="3:8">
      <c r="C810" s="5"/>
      <c r="D810" s="5"/>
      <c r="E810" s="5"/>
      <c r="F810" s="5"/>
      <c r="H810" s="5"/>
    </row>
    <row r="811" spans="3:8">
      <c r="C811" s="5"/>
      <c r="D811" s="5"/>
      <c r="E811" s="5"/>
      <c r="F811" s="5"/>
      <c r="H811" s="5"/>
    </row>
    <row r="812" spans="3:8">
      <c r="C812" s="5"/>
      <c r="D812" s="5"/>
      <c r="E812" s="5"/>
      <c r="F812" s="5"/>
      <c r="H812" s="5"/>
    </row>
    <row r="813" spans="3:8">
      <c r="C813" s="5"/>
      <c r="D813" s="5"/>
      <c r="E813" s="5"/>
      <c r="F813" s="5"/>
      <c r="H813" s="5"/>
    </row>
    <row r="814" spans="3:8">
      <c r="C814" s="5"/>
      <c r="D814" s="5"/>
      <c r="E814" s="5"/>
      <c r="F814" s="5"/>
      <c r="H814" s="5"/>
    </row>
    <row r="815" spans="3:8">
      <c r="C815" s="5"/>
      <c r="D815" s="5"/>
      <c r="E815" s="5"/>
      <c r="F815" s="5"/>
      <c r="H815" s="5"/>
    </row>
    <row r="816" spans="3:8">
      <c r="C816" s="5"/>
      <c r="D816" s="5"/>
      <c r="E816" s="5"/>
      <c r="F816" s="5"/>
      <c r="H816" s="5"/>
    </row>
    <row r="817" spans="3:8">
      <c r="C817" s="5"/>
      <c r="D817" s="5"/>
      <c r="E817" s="5"/>
      <c r="F817" s="5"/>
      <c r="H817" s="5"/>
    </row>
    <row r="818" spans="3:8">
      <c r="C818" s="5"/>
      <c r="D818" s="5"/>
      <c r="E818" s="5"/>
      <c r="F818" s="5"/>
      <c r="H818" s="5"/>
    </row>
    <row r="819" spans="3:8">
      <c r="C819" s="5"/>
      <c r="D819" s="5"/>
      <c r="E819" s="5"/>
      <c r="F819" s="5"/>
      <c r="H819" s="5"/>
    </row>
    <row r="820" spans="3:8">
      <c r="C820" s="5"/>
      <c r="D820" s="5"/>
      <c r="E820" s="5"/>
      <c r="F820" s="5"/>
      <c r="H820" s="5"/>
    </row>
    <row r="821" spans="3:8">
      <c r="C821" s="5"/>
      <c r="D821" s="5"/>
      <c r="E821" s="5"/>
      <c r="F821" s="5"/>
      <c r="H821" s="5"/>
    </row>
    <row r="822" spans="3:8">
      <c r="C822" s="5"/>
      <c r="D822" s="5"/>
      <c r="E822" s="5"/>
      <c r="F822" s="5"/>
      <c r="H822" s="5"/>
    </row>
    <row r="823" spans="3:8">
      <c r="C823" s="5"/>
      <c r="D823" s="5"/>
      <c r="E823" s="5"/>
      <c r="F823" s="5"/>
      <c r="H823" s="5"/>
    </row>
    <row r="824" spans="3:8">
      <c r="C824" s="5"/>
      <c r="D824" s="5"/>
      <c r="E824" s="5"/>
      <c r="F824" s="5"/>
      <c r="H824" s="5"/>
    </row>
    <row r="825" spans="3:8">
      <c r="C825" s="5"/>
      <c r="D825" s="5"/>
      <c r="E825" s="5"/>
      <c r="F825" s="5"/>
      <c r="H825" s="5"/>
    </row>
    <row r="826" spans="3:8">
      <c r="C826" s="5"/>
      <c r="D826" s="5"/>
      <c r="E826" s="5"/>
      <c r="F826" s="5"/>
      <c r="H826" s="5"/>
    </row>
    <row r="827" spans="3:8">
      <c r="C827" s="5"/>
      <c r="D827" s="5"/>
      <c r="E827" s="5"/>
      <c r="F827" s="5"/>
      <c r="H827" s="5"/>
    </row>
    <row r="828" spans="3:8">
      <c r="C828" s="5"/>
      <c r="D828" s="5"/>
      <c r="E828" s="5"/>
      <c r="F828" s="5"/>
      <c r="H828" s="5"/>
    </row>
    <row r="829" spans="3:8">
      <c r="C829" s="5"/>
      <c r="D829" s="5"/>
      <c r="E829" s="5"/>
      <c r="F829" s="5"/>
      <c r="H829" s="5"/>
    </row>
    <row r="830" spans="3:8">
      <c r="C830" s="5"/>
      <c r="D830" s="5"/>
      <c r="E830" s="5"/>
      <c r="F830" s="5"/>
      <c r="H830" s="5"/>
    </row>
    <row r="831" spans="3:8">
      <c r="C831" s="5"/>
      <c r="D831" s="5"/>
      <c r="E831" s="5"/>
      <c r="F831" s="5"/>
      <c r="H831" s="5"/>
    </row>
    <row r="832" spans="3:8">
      <c r="C832" s="5"/>
      <c r="D832" s="5"/>
      <c r="E832" s="5"/>
      <c r="F832" s="5"/>
      <c r="H832" s="5"/>
    </row>
    <row r="833" spans="3:8">
      <c r="C833" s="5"/>
      <c r="D833" s="5"/>
      <c r="E833" s="5"/>
      <c r="F833" s="5"/>
      <c r="H833" s="5"/>
    </row>
    <row r="834" spans="3:8">
      <c r="C834" s="5"/>
      <c r="D834" s="5"/>
      <c r="E834" s="5"/>
      <c r="F834" s="5"/>
      <c r="H834" s="5"/>
    </row>
    <row r="835" spans="3:8">
      <c r="C835" s="5"/>
      <c r="D835" s="5"/>
      <c r="E835" s="5"/>
      <c r="F835" s="5"/>
      <c r="H835" s="5"/>
    </row>
    <row r="836" spans="3:8">
      <c r="C836" s="5"/>
      <c r="D836" s="5"/>
      <c r="E836" s="5"/>
      <c r="F836" s="5"/>
      <c r="H836" s="5"/>
    </row>
    <row r="837" spans="3:8">
      <c r="C837" s="5"/>
      <c r="D837" s="5"/>
      <c r="E837" s="5"/>
      <c r="F837" s="5"/>
      <c r="H837" s="5"/>
    </row>
    <row r="838" spans="3:8">
      <c r="C838" s="5"/>
      <c r="D838" s="5"/>
      <c r="E838" s="5"/>
      <c r="F838" s="5"/>
      <c r="H838" s="5"/>
    </row>
    <row r="839" spans="3:8">
      <c r="C839" s="5"/>
      <c r="D839" s="5"/>
      <c r="E839" s="5"/>
      <c r="F839" s="5"/>
      <c r="H839" s="5"/>
    </row>
    <row r="840" spans="3:8">
      <c r="C840" s="5"/>
      <c r="D840" s="5"/>
      <c r="E840" s="5"/>
      <c r="F840" s="5"/>
      <c r="H840" s="5"/>
    </row>
    <row r="841" spans="3:8">
      <c r="C841" s="5"/>
      <c r="D841" s="5"/>
      <c r="E841" s="5"/>
      <c r="F841" s="5"/>
      <c r="H841" s="5"/>
    </row>
    <row r="842" spans="3:8">
      <c r="C842" s="5"/>
      <c r="D842" s="5"/>
      <c r="E842" s="5"/>
      <c r="F842" s="5"/>
      <c r="H842" s="5"/>
    </row>
    <row r="843" spans="3:8">
      <c r="C843" s="5"/>
      <c r="D843" s="5"/>
      <c r="E843" s="5"/>
      <c r="F843" s="5"/>
      <c r="H843" s="5"/>
    </row>
    <row r="844" spans="3:8">
      <c r="C844" s="5"/>
      <c r="D844" s="5"/>
      <c r="E844" s="5"/>
      <c r="F844" s="5"/>
      <c r="H844" s="5"/>
    </row>
    <row r="845" spans="3:8">
      <c r="C845" s="5"/>
      <c r="D845" s="5"/>
      <c r="E845" s="5"/>
      <c r="F845" s="5"/>
      <c r="H845" s="5"/>
    </row>
    <row r="846" spans="3:8">
      <c r="C846" s="5"/>
      <c r="D846" s="5"/>
      <c r="E846" s="5"/>
      <c r="F846" s="5"/>
      <c r="H846" s="5"/>
    </row>
    <row r="847" spans="3:8">
      <c r="C847" s="5"/>
      <c r="D847" s="5"/>
      <c r="E847" s="5"/>
      <c r="F847" s="5"/>
      <c r="H847" s="5"/>
    </row>
    <row r="848" spans="3:8">
      <c r="C848" s="5"/>
      <c r="D848" s="5"/>
      <c r="E848" s="5"/>
      <c r="F848" s="5"/>
      <c r="H848" s="5"/>
    </row>
    <row r="849" spans="3:8">
      <c r="C849" s="5"/>
      <c r="D849" s="5"/>
      <c r="E849" s="5"/>
      <c r="F849" s="5"/>
      <c r="H849" s="5"/>
    </row>
    <row r="850" spans="3:8">
      <c r="C850" s="5"/>
      <c r="D850" s="5"/>
      <c r="E850" s="5"/>
      <c r="F850" s="5"/>
      <c r="H850" s="5"/>
    </row>
    <row r="851" spans="3:8">
      <c r="C851" s="5"/>
      <c r="D851" s="5"/>
      <c r="E851" s="5"/>
      <c r="F851" s="5"/>
      <c r="H851" s="5"/>
    </row>
    <row r="852" spans="3:8">
      <c r="C852" s="5"/>
      <c r="D852" s="5"/>
      <c r="E852" s="5"/>
      <c r="F852" s="5"/>
      <c r="H852" s="5"/>
    </row>
    <row r="853" spans="3:8">
      <c r="C853" s="5"/>
      <c r="D853" s="5"/>
      <c r="E853" s="5"/>
      <c r="F853" s="5"/>
      <c r="H853" s="5"/>
    </row>
    <row r="854" spans="3:8">
      <c r="C854" s="5"/>
      <c r="D854" s="5"/>
      <c r="E854" s="5"/>
      <c r="F854" s="5"/>
      <c r="H854" s="5"/>
    </row>
    <row r="855" spans="3:8">
      <c r="C855" s="5"/>
      <c r="D855" s="5"/>
      <c r="E855" s="5"/>
      <c r="F855" s="5"/>
      <c r="H855" s="5"/>
    </row>
    <row r="856" spans="3:8">
      <c r="C856" s="5"/>
      <c r="D856" s="5"/>
      <c r="E856" s="5"/>
      <c r="F856" s="5"/>
      <c r="H856" s="5"/>
    </row>
    <row r="857" spans="3:8">
      <c r="C857" s="5"/>
      <c r="D857" s="5"/>
      <c r="E857" s="5"/>
      <c r="F857" s="5"/>
      <c r="H857" s="5"/>
    </row>
    <row r="858" spans="3:8">
      <c r="C858" s="5"/>
      <c r="D858" s="5"/>
      <c r="E858" s="5"/>
      <c r="F858" s="5"/>
      <c r="H858" s="5"/>
    </row>
    <row r="859" spans="3:8">
      <c r="C859" s="5"/>
      <c r="D859" s="5"/>
      <c r="E859" s="5"/>
      <c r="F859" s="5"/>
      <c r="H859" s="5"/>
    </row>
    <row r="860" spans="3:8">
      <c r="C860" s="5"/>
      <c r="D860" s="5"/>
      <c r="E860" s="5"/>
      <c r="F860" s="5"/>
      <c r="H860" s="5"/>
    </row>
    <row r="861" spans="3:8">
      <c r="C861" s="5"/>
      <c r="D861" s="5"/>
      <c r="E861" s="5"/>
      <c r="F861" s="5"/>
      <c r="H861" s="5"/>
    </row>
    <row r="862" spans="3:8">
      <c r="C862" s="5"/>
      <c r="D862" s="5"/>
      <c r="E862" s="5"/>
      <c r="F862" s="5"/>
      <c r="H862" s="5"/>
    </row>
    <row r="863" spans="3:8">
      <c r="C863" s="5"/>
      <c r="D863" s="5"/>
      <c r="E863" s="5"/>
      <c r="F863" s="5"/>
      <c r="H863" s="5"/>
    </row>
    <row r="864" spans="3:8">
      <c r="C864" s="5"/>
      <c r="D864" s="5"/>
      <c r="E864" s="5"/>
      <c r="F864" s="5"/>
      <c r="H864" s="5"/>
    </row>
    <row r="865" spans="3:8">
      <c r="C865" s="5"/>
      <c r="D865" s="5"/>
      <c r="E865" s="5"/>
      <c r="F865" s="5"/>
      <c r="H865" s="5"/>
    </row>
    <row r="866" spans="3:8">
      <c r="C866" s="5"/>
      <c r="D866" s="5"/>
      <c r="E866" s="5"/>
      <c r="F866" s="5"/>
      <c r="H866" s="5"/>
    </row>
    <row r="867" spans="3:8">
      <c r="C867" s="5"/>
      <c r="D867" s="5"/>
      <c r="E867" s="5"/>
      <c r="F867" s="5"/>
      <c r="H867" s="5"/>
    </row>
    <row r="868" spans="3:8">
      <c r="C868" s="5"/>
      <c r="D868" s="5"/>
      <c r="E868" s="5"/>
      <c r="F868" s="5"/>
      <c r="H868" s="5"/>
    </row>
    <row r="869" spans="3:8">
      <c r="C869" s="5"/>
      <c r="D869" s="5"/>
      <c r="E869" s="5"/>
      <c r="F869" s="5"/>
      <c r="H869" s="5"/>
    </row>
    <row r="870" spans="3:8">
      <c r="C870" s="5"/>
      <c r="D870" s="5"/>
      <c r="E870" s="5"/>
      <c r="F870" s="5"/>
      <c r="H870" s="5"/>
    </row>
    <row r="871" spans="3:8">
      <c r="C871" s="5"/>
      <c r="D871" s="5"/>
      <c r="E871" s="5"/>
      <c r="F871" s="5"/>
      <c r="H871" s="5"/>
    </row>
    <row r="872" spans="3:8">
      <c r="C872" s="5"/>
      <c r="D872" s="5"/>
      <c r="E872" s="5"/>
      <c r="F872" s="5"/>
      <c r="H872" s="5"/>
    </row>
    <row r="873" spans="3:8">
      <c r="C873" s="5"/>
      <c r="D873" s="5"/>
      <c r="E873" s="5"/>
      <c r="F873" s="5"/>
      <c r="H873" s="5"/>
    </row>
    <row r="874" spans="3:8">
      <c r="C874" s="5"/>
      <c r="D874" s="5"/>
      <c r="E874" s="5"/>
      <c r="F874" s="5"/>
      <c r="H874" s="5"/>
    </row>
    <row r="875" spans="3:8">
      <c r="C875" s="5"/>
      <c r="D875" s="5"/>
      <c r="E875" s="5"/>
      <c r="F875" s="5"/>
      <c r="H875" s="5"/>
    </row>
    <row r="876" spans="3:8">
      <c r="C876" s="5"/>
      <c r="D876" s="5"/>
      <c r="E876" s="5"/>
      <c r="F876" s="5"/>
      <c r="H876" s="5"/>
    </row>
    <row r="877" spans="3:8">
      <c r="C877" s="5"/>
      <c r="D877" s="5"/>
      <c r="E877" s="5"/>
      <c r="F877" s="5"/>
      <c r="H877" s="5"/>
    </row>
    <row r="878" spans="3:8">
      <c r="C878" s="5"/>
      <c r="D878" s="5"/>
      <c r="E878" s="5"/>
      <c r="F878" s="5"/>
      <c r="H878" s="5"/>
    </row>
    <row r="879" spans="3:8">
      <c r="C879" s="5"/>
      <c r="D879" s="5"/>
      <c r="E879" s="5"/>
      <c r="F879" s="5"/>
      <c r="H879" s="5"/>
    </row>
    <row r="880" spans="3:8">
      <c r="C880" s="5"/>
      <c r="D880" s="5"/>
      <c r="E880" s="5"/>
      <c r="F880" s="5"/>
      <c r="H880" s="5"/>
    </row>
    <row r="881" spans="3:8">
      <c r="C881" s="5"/>
      <c r="D881" s="5"/>
      <c r="E881" s="5"/>
      <c r="F881" s="5"/>
      <c r="H881" s="5"/>
    </row>
    <row r="882" spans="3:8">
      <c r="C882" s="5"/>
      <c r="D882" s="5"/>
      <c r="E882" s="5"/>
      <c r="F882" s="5"/>
      <c r="H882" s="5"/>
    </row>
    <row r="883" spans="3:8">
      <c r="C883" s="5"/>
      <c r="D883" s="5"/>
      <c r="E883" s="5"/>
      <c r="F883" s="5"/>
      <c r="H883" s="5"/>
    </row>
    <row r="884" spans="3:8">
      <c r="C884" s="5"/>
      <c r="D884" s="5"/>
      <c r="E884" s="5"/>
      <c r="F884" s="5"/>
      <c r="H884" s="5"/>
    </row>
    <row r="885" spans="3:8">
      <c r="C885" s="5"/>
      <c r="D885" s="5"/>
      <c r="E885" s="5"/>
      <c r="F885" s="5"/>
      <c r="H885" s="5"/>
    </row>
    <row r="886" spans="3:8">
      <c r="C886" s="5"/>
      <c r="D886" s="5"/>
      <c r="E886" s="5"/>
      <c r="F886" s="5"/>
      <c r="H886" s="5"/>
    </row>
    <row r="887" spans="3:8">
      <c r="C887" s="5"/>
      <c r="D887" s="5"/>
      <c r="E887" s="5"/>
      <c r="F887" s="5"/>
      <c r="H887" s="5"/>
    </row>
    <row r="888" spans="3:8">
      <c r="C888" s="5"/>
      <c r="D888" s="5"/>
      <c r="E888" s="5"/>
      <c r="F888" s="5"/>
      <c r="H888" s="5"/>
    </row>
    <row r="889" spans="3:8">
      <c r="C889" s="5"/>
      <c r="D889" s="5"/>
      <c r="E889" s="5"/>
      <c r="F889" s="5"/>
      <c r="H889" s="5"/>
    </row>
    <row r="890" spans="3:8">
      <c r="C890" s="5"/>
      <c r="D890" s="5"/>
      <c r="E890" s="5"/>
      <c r="F890" s="5"/>
      <c r="H890" s="5"/>
    </row>
    <row r="891" spans="3:8">
      <c r="C891" s="5"/>
      <c r="D891" s="5"/>
      <c r="E891" s="5"/>
      <c r="F891" s="5"/>
      <c r="H891" s="5"/>
    </row>
    <row r="892" spans="3:8">
      <c r="C892" s="5"/>
      <c r="D892" s="5"/>
      <c r="E892" s="5"/>
      <c r="F892" s="5"/>
      <c r="H892" s="5"/>
    </row>
    <row r="893" spans="3:8">
      <c r="C893" s="5"/>
      <c r="D893" s="5"/>
      <c r="E893" s="5"/>
      <c r="F893" s="5"/>
      <c r="H893" s="5"/>
    </row>
    <row r="894" spans="3:8">
      <c r="C894" s="5"/>
      <c r="D894" s="5"/>
      <c r="E894" s="5"/>
      <c r="F894" s="5"/>
      <c r="H894" s="5"/>
    </row>
    <row r="895" spans="3:8">
      <c r="C895" s="5"/>
      <c r="D895" s="5"/>
      <c r="E895" s="5"/>
      <c r="F895" s="5"/>
      <c r="H895" s="5"/>
    </row>
    <row r="896" spans="3:8">
      <c r="C896" s="5"/>
      <c r="D896" s="5"/>
      <c r="E896" s="5"/>
      <c r="F896" s="5"/>
      <c r="H896" s="5"/>
    </row>
    <row r="897" spans="3:8">
      <c r="C897" s="5"/>
      <c r="D897" s="5"/>
      <c r="E897" s="5"/>
      <c r="F897" s="5"/>
      <c r="H897" s="5"/>
    </row>
    <row r="898" spans="3:8">
      <c r="C898" s="5"/>
      <c r="D898" s="5"/>
      <c r="E898" s="5"/>
      <c r="F898" s="5"/>
      <c r="H898" s="5"/>
    </row>
    <row r="899" spans="3:8">
      <c r="C899" s="5"/>
      <c r="D899" s="5"/>
      <c r="E899" s="5"/>
      <c r="F899" s="5"/>
      <c r="H899" s="5"/>
    </row>
    <row r="900" spans="3:8">
      <c r="C900" s="5"/>
      <c r="D900" s="5"/>
      <c r="E900" s="5"/>
      <c r="F900" s="5"/>
      <c r="H900" s="5"/>
    </row>
    <row r="901" spans="3:8">
      <c r="C901" s="5"/>
      <c r="D901" s="5"/>
      <c r="E901" s="5"/>
      <c r="F901" s="5"/>
      <c r="H901" s="5"/>
    </row>
    <row r="902" spans="3:8">
      <c r="C902" s="5"/>
      <c r="D902" s="5"/>
      <c r="E902" s="5"/>
      <c r="F902" s="5"/>
      <c r="H902" s="5"/>
    </row>
    <row r="903" spans="3:8">
      <c r="C903" s="5"/>
      <c r="D903" s="5"/>
      <c r="E903" s="5"/>
      <c r="F903" s="5"/>
      <c r="H903" s="5"/>
    </row>
    <row r="904" spans="3:8">
      <c r="C904" s="5"/>
      <c r="D904" s="5"/>
      <c r="E904" s="5"/>
      <c r="F904" s="5"/>
      <c r="H904" s="5"/>
    </row>
    <row r="905" spans="3:8">
      <c r="C905" s="5"/>
      <c r="D905" s="5"/>
      <c r="E905" s="5"/>
      <c r="F905" s="5"/>
      <c r="H905" s="5"/>
    </row>
    <row r="906" spans="3:8">
      <c r="C906" s="5"/>
      <c r="D906" s="5"/>
      <c r="E906" s="5"/>
      <c r="F906" s="5"/>
      <c r="H906" s="5"/>
    </row>
    <row r="907" spans="3:8">
      <c r="C907" s="5"/>
      <c r="D907" s="5"/>
      <c r="E907" s="5"/>
      <c r="F907" s="5"/>
      <c r="H907" s="5"/>
    </row>
    <row r="908" spans="3:8">
      <c r="C908" s="5"/>
      <c r="D908" s="5"/>
      <c r="E908" s="5"/>
      <c r="F908" s="5"/>
      <c r="H908" s="5"/>
    </row>
    <row r="909" spans="3:8">
      <c r="C909" s="5"/>
      <c r="D909" s="5"/>
      <c r="E909" s="5"/>
      <c r="F909" s="5"/>
      <c r="H909" s="5"/>
    </row>
    <row r="910" spans="3:8">
      <c r="C910" s="5"/>
      <c r="D910" s="5"/>
      <c r="E910" s="5"/>
      <c r="F910" s="5"/>
      <c r="H910" s="5"/>
    </row>
    <row r="911" spans="3:8">
      <c r="C911" s="5"/>
      <c r="D911" s="5"/>
      <c r="E911" s="5"/>
      <c r="F911" s="5"/>
      <c r="H911" s="5"/>
    </row>
    <row r="912" spans="3:8">
      <c r="C912" s="5"/>
      <c r="D912" s="5"/>
      <c r="E912" s="5"/>
      <c r="F912" s="5"/>
      <c r="H912" s="5"/>
    </row>
    <row r="913" spans="3:8">
      <c r="C913" s="5"/>
      <c r="D913" s="5"/>
      <c r="E913" s="5"/>
      <c r="F913" s="5"/>
      <c r="H913" s="5"/>
    </row>
    <row r="914" spans="3:8">
      <c r="C914" s="5"/>
      <c r="D914" s="5"/>
      <c r="E914" s="5"/>
      <c r="F914" s="5"/>
      <c r="H914" s="5"/>
    </row>
    <row r="915" spans="3:8">
      <c r="C915" s="5"/>
      <c r="D915" s="5"/>
      <c r="E915" s="5"/>
      <c r="F915" s="5"/>
      <c r="H915" s="5"/>
    </row>
    <row r="916" spans="3:8">
      <c r="C916" s="5"/>
      <c r="D916" s="5"/>
      <c r="E916" s="5"/>
      <c r="F916" s="5"/>
      <c r="H916" s="5"/>
    </row>
    <row r="917" spans="3:8">
      <c r="C917" s="5"/>
      <c r="D917" s="5"/>
      <c r="E917" s="5"/>
      <c r="F917" s="5"/>
      <c r="H917" s="5"/>
    </row>
    <row r="918" spans="3:8">
      <c r="C918" s="5"/>
      <c r="D918" s="5"/>
      <c r="E918" s="5"/>
      <c r="F918" s="5"/>
      <c r="H918" s="5"/>
    </row>
    <row r="919" spans="3:8">
      <c r="C919" s="5"/>
      <c r="D919" s="5"/>
      <c r="E919" s="5"/>
      <c r="F919" s="5"/>
      <c r="H919" s="5"/>
    </row>
    <row r="920" spans="3:8">
      <c r="C920" s="5"/>
      <c r="D920" s="5"/>
      <c r="E920" s="5"/>
      <c r="F920" s="5"/>
      <c r="H920" s="5"/>
    </row>
    <row r="921" spans="3:8">
      <c r="C921" s="5"/>
      <c r="D921" s="5"/>
      <c r="E921" s="5"/>
      <c r="F921" s="5"/>
      <c r="H921" s="5"/>
    </row>
    <row r="922" spans="3:8">
      <c r="C922" s="5"/>
      <c r="D922" s="5"/>
      <c r="E922" s="5"/>
      <c r="F922" s="5"/>
      <c r="H922" s="5"/>
    </row>
    <row r="923" spans="3:8">
      <c r="C923" s="5"/>
      <c r="D923" s="5"/>
      <c r="E923" s="5"/>
      <c r="F923" s="5"/>
      <c r="H923" s="5"/>
    </row>
    <row r="924" spans="3:8">
      <c r="C924" s="5"/>
      <c r="D924" s="5"/>
      <c r="E924" s="5"/>
      <c r="F924" s="5"/>
      <c r="H924" s="5"/>
    </row>
    <row r="925" spans="3:8">
      <c r="C925" s="5"/>
      <c r="D925" s="5"/>
      <c r="E925" s="5"/>
      <c r="F925" s="5"/>
      <c r="H925" s="5"/>
    </row>
    <row r="926" spans="3:8">
      <c r="C926" s="5"/>
      <c r="D926" s="5"/>
      <c r="E926" s="5"/>
      <c r="F926" s="5"/>
      <c r="H926" s="5"/>
    </row>
    <row r="927" spans="3:8">
      <c r="C927" s="5"/>
      <c r="D927" s="5"/>
      <c r="E927" s="5"/>
      <c r="F927" s="5"/>
      <c r="H927" s="5"/>
    </row>
    <row r="928" spans="3:8">
      <c r="C928" s="5"/>
      <c r="D928" s="5"/>
      <c r="E928" s="5"/>
      <c r="F928" s="5"/>
      <c r="H928" s="5"/>
    </row>
    <row r="929" spans="3:8">
      <c r="C929" s="5"/>
      <c r="D929" s="5"/>
      <c r="E929" s="5"/>
      <c r="F929" s="5"/>
      <c r="H929" s="5"/>
    </row>
    <row r="930" spans="3:8">
      <c r="C930" s="5"/>
      <c r="D930" s="5"/>
      <c r="E930" s="5"/>
      <c r="F930" s="5"/>
      <c r="H930" s="5"/>
    </row>
    <row r="931" spans="3:8">
      <c r="C931" s="5"/>
      <c r="D931" s="5"/>
      <c r="E931" s="5"/>
      <c r="F931" s="5"/>
      <c r="H931" s="5"/>
    </row>
    <row r="932" spans="3:8">
      <c r="C932" s="5"/>
      <c r="D932" s="5"/>
      <c r="E932" s="5"/>
      <c r="F932" s="5"/>
      <c r="H932" s="5"/>
    </row>
    <row r="933" spans="3:8">
      <c r="C933" s="5"/>
      <c r="D933" s="5"/>
      <c r="E933" s="5"/>
      <c r="F933" s="5"/>
      <c r="H933" s="5"/>
    </row>
    <row r="934" spans="3:8">
      <c r="C934" s="5"/>
      <c r="D934" s="5"/>
      <c r="E934" s="5"/>
      <c r="F934" s="5"/>
      <c r="H934" s="5"/>
    </row>
    <row r="935" spans="3:8">
      <c r="C935" s="5"/>
      <c r="D935" s="5"/>
      <c r="E935" s="5"/>
      <c r="F935" s="5"/>
      <c r="H935" s="5"/>
    </row>
    <row r="936" spans="3:8">
      <c r="C936" s="5"/>
      <c r="D936" s="5"/>
      <c r="E936" s="5"/>
      <c r="F936" s="5"/>
      <c r="H936" s="5"/>
    </row>
    <row r="937" spans="3:8">
      <c r="C937" s="5"/>
      <c r="D937" s="5"/>
      <c r="E937" s="5"/>
      <c r="F937" s="5"/>
      <c r="H937" s="5"/>
    </row>
    <row r="938" spans="3:8">
      <c r="C938" s="5"/>
      <c r="D938" s="5"/>
      <c r="E938" s="5"/>
      <c r="F938" s="5"/>
      <c r="H938" s="5"/>
    </row>
    <row r="939" spans="3:8">
      <c r="C939" s="5"/>
      <c r="D939" s="5"/>
      <c r="E939" s="5"/>
      <c r="F939" s="5"/>
      <c r="H939" s="5"/>
    </row>
    <row r="940" spans="3:8">
      <c r="C940" s="5"/>
      <c r="D940" s="5"/>
      <c r="E940" s="5"/>
      <c r="F940" s="5"/>
      <c r="H940" s="5"/>
    </row>
    <row r="941" spans="3:8">
      <c r="C941" s="5"/>
      <c r="D941" s="5"/>
      <c r="E941" s="5"/>
      <c r="F941" s="5"/>
      <c r="H941" s="5"/>
    </row>
    <row r="942" spans="3:8">
      <c r="C942" s="5"/>
      <c r="D942" s="5"/>
      <c r="E942" s="5"/>
      <c r="F942" s="5"/>
      <c r="H942" s="5"/>
    </row>
    <row r="943" spans="3:8">
      <c r="C943" s="5"/>
      <c r="D943" s="5"/>
      <c r="E943" s="5"/>
      <c r="F943" s="5"/>
      <c r="H943" s="5"/>
    </row>
    <row r="944" spans="3:8">
      <c r="C944" s="5"/>
      <c r="D944" s="5"/>
      <c r="E944" s="5"/>
      <c r="F944" s="5"/>
      <c r="H944" s="5"/>
    </row>
    <row r="945" spans="3:8">
      <c r="C945" s="5"/>
      <c r="D945" s="5"/>
      <c r="E945" s="5"/>
      <c r="F945" s="5"/>
      <c r="H945" s="5"/>
    </row>
    <row r="946" spans="3:8">
      <c r="C946" s="5"/>
      <c r="D946" s="5"/>
      <c r="E946" s="5"/>
      <c r="F946" s="5"/>
      <c r="H946" s="5"/>
    </row>
    <row r="947" spans="3:8">
      <c r="C947" s="5"/>
      <c r="D947" s="5"/>
      <c r="E947" s="5"/>
      <c r="F947" s="5"/>
      <c r="H947" s="5"/>
    </row>
    <row r="948" spans="3:8">
      <c r="C948" s="5"/>
      <c r="D948" s="5"/>
      <c r="E948" s="5"/>
      <c r="F948" s="5"/>
      <c r="H948" s="5"/>
    </row>
    <row r="949" spans="3:8">
      <c r="C949" s="5"/>
      <c r="D949" s="5"/>
      <c r="E949" s="5"/>
      <c r="F949" s="5"/>
      <c r="H949" s="5"/>
    </row>
    <row r="950" spans="3:8">
      <c r="C950" s="5"/>
      <c r="D950" s="5"/>
      <c r="E950" s="5"/>
      <c r="F950" s="5"/>
      <c r="H950" s="5"/>
    </row>
    <row r="951" spans="3:8">
      <c r="C951" s="5"/>
      <c r="D951" s="5"/>
      <c r="E951" s="5"/>
      <c r="F951" s="5"/>
      <c r="H951" s="5"/>
    </row>
    <row r="952" spans="3:8">
      <c r="C952" s="5"/>
      <c r="D952" s="5"/>
      <c r="E952" s="5"/>
      <c r="F952" s="5"/>
      <c r="H952" s="5"/>
    </row>
    <row r="953" spans="3:8">
      <c r="C953" s="5"/>
      <c r="D953" s="5"/>
      <c r="E953" s="5"/>
      <c r="F953" s="5"/>
      <c r="H953" s="5"/>
    </row>
    <row r="954" spans="3:8">
      <c r="C954" s="5"/>
      <c r="D954" s="5"/>
      <c r="E954" s="5"/>
      <c r="F954" s="5"/>
      <c r="H954" s="5"/>
    </row>
    <row r="955" spans="3:8">
      <c r="C955" s="5"/>
      <c r="D955" s="5"/>
      <c r="E955" s="5"/>
      <c r="F955" s="5"/>
      <c r="H955" s="5"/>
    </row>
    <row r="956" spans="3:8">
      <c r="C956" s="5"/>
      <c r="D956" s="5"/>
      <c r="E956" s="5"/>
      <c r="F956" s="5"/>
      <c r="H956" s="5"/>
    </row>
    <row r="957" spans="3:8">
      <c r="C957" s="5"/>
      <c r="D957" s="5"/>
      <c r="E957" s="5"/>
      <c r="F957" s="5"/>
      <c r="H957" s="5"/>
    </row>
    <row r="958" spans="3:8">
      <c r="C958" s="5"/>
      <c r="D958" s="5"/>
      <c r="E958" s="5"/>
      <c r="F958" s="5"/>
      <c r="H958" s="5"/>
    </row>
    <row r="959" spans="3:8">
      <c r="C959" s="5"/>
      <c r="D959" s="5"/>
      <c r="E959" s="5"/>
      <c r="F959" s="5"/>
      <c r="H959" s="5"/>
    </row>
    <row r="960" spans="3:8">
      <c r="C960" s="5"/>
      <c r="D960" s="5"/>
      <c r="E960" s="5"/>
      <c r="F960" s="5"/>
      <c r="H960" s="5"/>
    </row>
    <row r="961" spans="3:8">
      <c r="C961" s="5"/>
      <c r="D961" s="5"/>
      <c r="E961" s="5"/>
      <c r="F961" s="5"/>
      <c r="H961" s="5"/>
    </row>
    <row r="962" spans="3:8">
      <c r="C962" s="5"/>
      <c r="D962" s="5"/>
      <c r="E962" s="5"/>
      <c r="F962" s="5"/>
      <c r="H962" s="5"/>
    </row>
    <row r="963" spans="3:8">
      <c r="C963" s="5"/>
      <c r="D963" s="5"/>
      <c r="E963" s="5"/>
      <c r="F963" s="5"/>
      <c r="H963" s="5"/>
    </row>
    <row r="964" spans="3:8">
      <c r="C964" s="5"/>
      <c r="D964" s="5"/>
      <c r="E964" s="5"/>
      <c r="F964" s="5"/>
      <c r="H964" s="5"/>
    </row>
    <row r="965" spans="3:8">
      <c r="C965" s="5"/>
      <c r="D965" s="5"/>
      <c r="E965" s="5"/>
      <c r="F965" s="5"/>
      <c r="H965" s="5"/>
    </row>
    <row r="966" spans="3:8">
      <c r="C966" s="5"/>
      <c r="D966" s="5"/>
      <c r="E966" s="5"/>
      <c r="F966" s="5"/>
      <c r="H966" s="5"/>
    </row>
    <row r="967" spans="3:8">
      <c r="C967" s="5"/>
      <c r="D967" s="5"/>
      <c r="E967" s="5"/>
      <c r="F967" s="5"/>
      <c r="H967" s="5"/>
    </row>
    <row r="968" spans="3:8">
      <c r="C968" s="5"/>
      <c r="D968" s="5"/>
      <c r="E968" s="5"/>
      <c r="F968" s="5"/>
      <c r="H968" s="5"/>
    </row>
    <row r="969" spans="3:8">
      <c r="C969" s="5"/>
      <c r="D969" s="5"/>
      <c r="E969" s="5"/>
      <c r="F969" s="5"/>
      <c r="H969" s="5"/>
    </row>
    <row r="970" spans="3:8">
      <c r="C970" s="5"/>
      <c r="D970" s="5"/>
      <c r="E970" s="5"/>
      <c r="F970" s="5"/>
      <c r="H970" s="5"/>
    </row>
    <row r="971" spans="3:8">
      <c r="C971" s="5"/>
      <c r="D971" s="5"/>
      <c r="E971" s="5"/>
      <c r="F971" s="5"/>
      <c r="H971" s="5"/>
    </row>
    <row r="972" spans="3:8">
      <c r="C972" s="5"/>
      <c r="D972" s="5"/>
      <c r="E972" s="5"/>
      <c r="F972" s="5"/>
      <c r="H972" s="5"/>
    </row>
    <row r="973" spans="3:8">
      <c r="C973" s="5"/>
      <c r="D973" s="5"/>
      <c r="E973" s="5"/>
      <c r="F973" s="5"/>
      <c r="H973" s="5"/>
    </row>
    <row r="974" spans="3:8">
      <c r="C974" s="5"/>
      <c r="D974" s="5"/>
      <c r="E974" s="5"/>
      <c r="F974" s="5"/>
      <c r="H974" s="5"/>
    </row>
    <row r="975" spans="3:8">
      <c r="C975" s="5"/>
      <c r="D975" s="5"/>
      <c r="E975" s="5"/>
      <c r="F975" s="5"/>
      <c r="H975" s="5"/>
    </row>
    <row r="976" spans="3:8">
      <c r="C976" s="5"/>
      <c r="D976" s="5"/>
      <c r="E976" s="5"/>
      <c r="F976" s="5"/>
      <c r="H976" s="5"/>
    </row>
    <row r="977" spans="3:8">
      <c r="C977" s="5"/>
      <c r="D977" s="5"/>
      <c r="E977" s="5"/>
      <c r="F977" s="5"/>
      <c r="H977" s="5"/>
    </row>
    <row r="978" spans="3:8">
      <c r="C978" s="5"/>
      <c r="D978" s="5"/>
      <c r="E978" s="5"/>
      <c r="F978" s="5"/>
      <c r="H978" s="5"/>
    </row>
    <row r="979" spans="3:8">
      <c r="C979" s="5"/>
      <c r="D979" s="5"/>
      <c r="E979" s="5"/>
      <c r="F979" s="5"/>
      <c r="H979" s="5"/>
    </row>
    <row r="980" spans="3:8">
      <c r="C980" s="5"/>
      <c r="D980" s="5"/>
      <c r="E980" s="5"/>
      <c r="F980" s="5"/>
      <c r="H980" s="5"/>
    </row>
    <row r="981" spans="3:8">
      <c r="C981" s="5"/>
      <c r="D981" s="5"/>
      <c r="E981" s="5"/>
      <c r="F981" s="5"/>
      <c r="H981" s="5"/>
    </row>
    <row r="982" spans="3:8">
      <c r="C982" s="5"/>
      <c r="D982" s="5"/>
      <c r="E982" s="5"/>
      <c r="F982" s="5"/>
      <c r="H982" s="5"/>
    </row>
    <row r="983" spans="3:8">
      <c r="C983" s="5"/>
      <c r="D983" s="5"/>
      <c r="E983" s="5"/>
      <c r="F983" s="5"/>
      <c r="H983" s="5"/>
    </row>
    <row r="984" spans="3:8">
      <c r="C984" s="5"/>
      <c r="D984" s="5"/>
      <c r="E984" s="5"/>
      <c r="F984" s="5"/>
      <c r="H984" s="5"/>
    </row>
    <row r="985" spans="3:8">
      <c r="C985" s="5"/>
      <c r="D985" s="5"/>
      <c r="E985" s="5"/>
      <c r="F985" s="5"/>
      <c r="H985" s="5"/>
    </row>
    <row r="986" spans="3:8">
      <c r="C986" s="5"/>
      <c r="D986" s="5"/>
      <c r="E986" s="5"/>
      <c r="F986" s="5"/>
      <c r="H986" s="5"/>
    </row>
    <row r="987" spans="3:8">
      <c r="C987" s="5"/>
      <c r="D987" s="5"/>
      <c r="E987" s="5"/>
      <c r="F987" s="5"/>
      <c r="H987" s="5"/>
    </row>
    <row r="988" spans="3:8">
      <c r="C988" s="5"/>
      <c r="D988" s="5"/>
      <c r="E988" s="5"/>
      <c r="F988" s="5"/>
      <c r="H988" s="5"/>
    </row>
    <row r="989" spans="3:8">
      <c r="C989" s="5"/>
      <c r="D989" s="5"/>
      <c r="E989" s="5"/>
      <c r="F989" s="5"/>
      <c r="H989" s="5"/>
    </row>
    <row r="990" spans="3:8">
      <c r="C990" s="5"/>
      <c r="D990" s="5"/>
      <c r="E990" s="5"/>
      <c r="F990" s="5"/>
      <c r="H990" s="5"/>
    </row>
    <row r="991" spans="3:8">
      <c r="C991" s="5"/>
      <c r="D991" s="5"/>
      <c r="E991" s="5"/>
      <c r="F991" s="5"/>
      <c r="H991" s="5"/>
    </row>
    <row r="992" spans="3:8">
      <c r="C992" s="5"/>
      <c r="D992" s="5"/>
      <c r="E992" s="5"/>
      <c r="F992" s="5"/>
      <c r="H992" s="5"/>
    </row>
    <row r="993" spans="3:8">
      <c r="C993" s="5"/>
      <c r="D993" s="5"/>
      <c r="E993" s="5"/>
      <c r="F993" s="5"/>
      <c r="H993" s="5"/>
    </row>
    <row r="994" spans="3:8">
      <c r="C994" s="5"/>
      <c r="D994" s="5"/>
      <c r="E994" s="5"/>
      <c r="F994" s="5"/>
      <c r="H994" s="5"/>
    </row>
    <row r="995" spans="3:8">
      <c r="C995" s="5"/>
      <c r="D995" s="5"/>
      <c r="E995" s="5"/>
      <c r="F995" s="5"/>
      <c r="H995" s="5"/>
    </row>
    <row r="996" spans="3:8">
      <c r="C996" s="5"/>
      <c r="D996" s="5"/>
      <c r="E996" s="5"/>
      <c r="F996" s="5"/>
      <c r="H996" s="5"/>
    </row>
    <row r="997" spans="3:8">
      <c r="C997" s="5"/>
      <c r="D997" s="5"/>
      <c r="E997" s="5"/>
      <c r="F997" s="5"/>
      <c r="H997" s="5"/>
    </row>
    <row r="998" spans="3:8">
      <c r="C998" s="5"/>
      <c r="D998" s="5"/>
      <c r="E998" s="5"/>
      <c r="F998" s="5"/>
      <c r="H998" s="5"/>
    </row>
    <row r="999" spans="3:8">
      <c r="C999" s="5"/>
      <c r="D999" s="5"/>
      <c r="E999" s="5"/>
      <c r="F999" s="5"/>
      <c r="H999" s="5"/>
    </row>
    <row r="1000" spans="3:8">
      <c r="C1000" s="5"/>
      <c r="D1000" s="5"/>
      <c r="E1000" s="5"/>
      <c r="F1000" s="5"/>
      <c r="H1000" s="5"/>
    </row>
  </sheetData>
  <autoFilter ref="B5:Q615"/>
  <mergeCells count="2">
    <mergeCell ref="R3:U3"/>
    <mergeCell ref="R4:U4"/>
  </mergeCells>
  <phoneticPr fontId="43" type="noConversion"/>
  <printOptions horizontalCentered="1"/>
  <pageMargins left="0" right="0" top="0.25" bottom="0" header="0.5" footer="0.5"/>
  <pageSetup paperSize="9" scale="1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8"/>
  <sheetViews>
    <sheetView zoomScaleNormal="100" zoomScaleSheetLayoutView="100" workbookViewId="0">
      <pane xSplit="3" ySplit="6" topLeftCell="D7" activePane="bottomRight" state="frozen"/>
      <selection pane="topRight" activeCell="F1" sqref="F1"/>
      <selection pane="bottomLeft" activeCell="A9" sqref="A9"/>
      <selection pane="bottomRight" activeCell="E1" sqref="E1"/>
    </sheetView>
  </sheetViews>
  <sheetFormatPr defaultColWidth="9" defaultRowHeight="13.5"/>
  <cols>
    <col min="1" max="1" width="3.125" style="5" customWidth="1"/>
    <col min="2" max="2" width="5.625" style="5" customWidth="1"/>
    <col min="3" max="3" width="22.625" style="20" customWidth="1"/>
    <col min="4" max="4" width="5.25" style="20" customWidth="1"/>
    <col min="5" max="5" width="9.875" style="3" customWidth="1"/>
    <col min="6" max="6" width="8.625" style="29" customWidth="1"/>
    <col min="7" max="7" width="8.375" style="5" customWidth="1"/>
    <col min="8" max="8" width="8.625" style="20" customWidth="1"/>
    <col min="9" max="9" width="8.125" style="5" customWidth="1"/>
    <col min="10" max="10" width="6.875" style="5" customWidth="1"/>
    <col min="11" max="11" width="6.25" style="5" customWidth="1"/>
    <col min="12" max="12" width="5.875" style="5" customWidth="1"/>
    <col min="13" max="13" width="6.875" style="5" customWidth="1"/>
    <col min="14" max="14" width="7.75" style="5" customWidth="1"/>
    <col min="15" max="15" width="11.5" style="5" customWidth="1"/>
    <col min="16" max="16" width="6.25" style="5" customWidth="1"/>
    <col min="17" max="17" width="9.75" style="5" customWidth="1"/>
    <col min="18" max="18" width="5.25" style="5" bestFit="1" customWidth="1"/>
    <col min="19" max="19" width="9.625" style="3" customWidth="1"/>
    <col min="20" max="20" width="10" style="3" customWidth="1"/>
    <col min="21" max="21" width="8.375" style="3" bestFit="1" customWidth="1"/>
    <col min="22" max="16384" width="9" style="5"/>
  </cols>
  <sheetData>
    <row r="1" spans="1:21">
      <c r="A1" s="12"/>
      <c r="B1" s="12"/>
      <c r="C1" s="219"/>
      <c r="D1" s="219"/>
      <c r="F1" s="181"/>
      <c r="G1" s="12"/>
      <c r="H1" s="219"/>
      <c r="I1" s="139"/>
      <c r="J1" s="139"/>
    </row>
    <row r="2" spans="1:21" ht="14.25">
      <c r="B2" s="19" t="s">
        <v>436</v>
      </c>
      <c r="I2" s="111"/>
      <c r="J2" s="263"/>
    </row>
    <row r="3" spans="1:21" ht="14.25">
      <c r="R3" s="619">
        <v>44651</v>
      </c>
      <c r="S3" s="620"/>
      <c r="T3" s="620"/>
      <c r="U3" s="620"/>
    </row>
    <row r="4" spans="1:21" ht="14.25">
      <c r="B4" s="19" t="s">
        <v>4648</v>
      </c>
      <c r="R4" s="610" t="s">
        <v>4569</v>
      </c>
      <c r="S4" s="610"/>
      <c r="T4" s="610"/>
      <c r="U4" s="610"/>
    </row>
    <row r="5" spans="1:21" ht="33" customHeight="1">
      <c r="B5" s="82" t="s">
        <v>56</v>
      </c>
      <c r="C5" s="82" t="s">
        <v>397</v>
      </c>
      <c r="D5" s="179" t="s">
        <v>398</v>
      </c>
      <c r="E5" s="85" t="s">
        <v>2623</v>
      </c>
      <c r="F5" s="82" t="s">
        <v>400</v>
      </c>
      <c r="G5" s="82" t="s">
        <v>401</v>
      </c>
      <c r="H5" s="82" t="s">
        <v>402</v>
      </c>
      <c r="I5" s="190" t="s">
        <v>2471</v>
      </c>
      <c r="J5" s="190" t="s">
        <v>2470</v>
      </c>
      <c r="K5" s="190" t="s">
        <v>2468</v>
      </c>
      <c r="L5" s="190" t="s">
        <v>2469</v>
      </c>
      <c r="M5" s="190" t="s">
        <v>2473</v>
      </c>
      <c r="N5" s="190" t="s">
        <v>2472</v>
      </c>
      <c r="O5" s="208" t="s">
        <v>4050</v>
      </c>
      <c r="P5" s="213" t="s">
        <v>3883</v>
      </c>
      <c r="Q5" s="213" t="s">
        <v>3024</v>
      </c>
      <c r="R5" s="82" t="s">
        <v>403</v>
      </c>
      <c r="S5" s="85" t="s">
        <v>405</v>
      </c>
      <c r="T5" s="85" t="s">
        <v>3886</v>
      </c>
      <c r="U5" s="85" t="s">
        <v>404</v>
      </c>
    </row>
    <row r="6" spans="1:21" s="22" customFormat="1" ht="14.25">
      <c r="B6" s="64" t="s">
        <v>968</v>
      </c>
      <c r="C6" s="65"/>
      <c r="D6" s="65"/>
      <c r="E6" s="102"/>
      <c r="F6" s="13"/>
      <c r="G6" s="65"/>
      <c r="H6" s="65"/>
      <c r="I6" s="209"/>
      <c r="J6" s="210" t="s">
        <v>2229</v>
      </c>
      <c r="K6" s="210" t="s">
        <v>2229</v>
      </c>
      <c r="L6" s="210" t="s">
        <v>2229</v>
      </c>
      <c r="M6" s="18" t="s">
        <v>2478</v>
      </c>
      <c r="N6" s="18" t="s">
        <v>2478</v>
      </c>
      <c r="O6" s="59"/>
      <c r="P6" s="59"/>
      <c r="Q6" s="18"/>
      <c r="R6" s="65"/>
      <c r="S6" s="102"/>
      <c r="T6" s="102"/>
      <c r="U6" s="102"/>
    </row>
    <row r="7" spans="1:21" s="22" customFormat="1" ht="14.25">
      <c r="B7" s="32" t="s">
        <v>963</v>
      </c>
      <c r="C7" s="25"/>
      <c r="D7" s="25"/>
      <c r="E7" s="24"/>
      <c r="F7" s="15"/>
      <c r="G7" s="25"/>
      <c r="H7" s="25"/>
      <c r="I7" s="75"/>
      <c r="J7" s="75"/>
      <c r="K7" s="211"/>
      <c r="L7" s="201"/>
      <c r="M7" s="201"/>
      <c r="N7" s="201"/>
      <c r="O7" s="59"/>
      <c r="P7" s="59"/>
      <c r="Q7" s="212"/>
      <c r="R7" s="25"/>
      <c r="S7" s="24"/>
      <c r="T7" s="24"/>
      <c r="U7" s="24"/>
    </row>
    <row r="8" spans="1:21" s="22" customFormat="1" ht="67.5">
      <c r="B8" s="15">
        <v>1</v>
      </c>
      <c r="C8" s="249" t="s">
        <v>4533</v>
      </c>
      <c r="D8" s="15"/>
      <c r="E8" s="250">
        <v>7500</v>
      </c>
      <c r="F8" s="249" t="s">
        <v>336</v>
      </c>
      <c r="G8" s="233">
        <v>39890</v>
      </c>
      <c r="H8" s="228" t="s">
        <v>282</v>
      </c>
      <c r="I8" s="300">
        <v>42811</v>
      </c>
      <c r="J8" s="301">
        <v>2922</v>
      </c>
      <c r="K8" s="301">
        <v>1840</v>
      </c>
      <c r="L8" s="301">
        <v>1082</v>
      </c>
      <c r="M8" s="301">
        <v>375</v>
      </c>
      <c r="N8" s="301">
        <v>3531.6712328767126</v>
      </c>
      <c r="O8" s="301">
        <v>2715.6712328767126</v>
      </c>
      <c r="P8" s="301">
        <v>717</v>
      </c>
      <c r="Q8" s="301">
        <v>2341</v>
      </c>
      <c r="R8" s="313">
        <v>0</v>
      </c>
      <c r="S8" s="250">
        <v>0</v>
      </c>
      <c r="T8" s="250">
        <v>2716</v>
      </c>
      <c r="U8" s="250">
        <v>-0.32876712328743452</v>
      </c>
    </row>
    <row r="9" spans="1:21" s="22" customFormat="1" ht="67.5">
      <c r="B9" s="15">
        <f t="shared" ref="B9:B14" si="0">+B8+1</f>
        <v>2</v>
      </c>
      <c r="C9" s="249" t="s">
        <v>4533</v>
      </c>
      <c r="D9" s="15"/>
      <c r="E9" s="250">
        <v>18000</v>
      </c>
      <c r="F9" s="249" t="s">
        <v>336</v>
      </c>
      <c r="G9" s="233">
        <v>39890</v>
      </c>
      <c r="H9" s="228" t="s">
        <v>282</v>
      </c>
      <c r="I9" s="300">
        <v>42811</v>
      </c>
      <c r="J9" s="301">
        <v>2922</v>
      </c>
      <c r="K9" s="301">
        <v>1840</v>
      </c>
      <c r="L9" s="301">
        <v>1082</v>
      </c>
      <c r="M9" s="301">
        <v>900</v>
      </c>
      <c r="N9" s="301">
        <v>8484.4109589041109</v>
      </c>
      <c r="O9" s="301">
        <v>6522.4109589041091</v>
      </c>
      <c r="P9" s="301">
        <v>717</v>
      </c>
      <c r="Q9" s="301">
        <v>5622</v>
      </c>
      <c r="R9" s="313">
        <v>0</v>
      </c>
      <c r="S9" s="250">
        <v>0</v>
      </c>
      <c r="T9" s="250">
        <v>6522</v>
      </c>
      <c r="U9" s="250">
        <v>0.41095890411088476</v>
      </c>
    </row>
    <row r="10" spans="1:21" s="22" customFormat="1" ht="40.5">
      <c r="B10" s="15">
        <f t="shared" si="0"/>
        <v>3</v>
      </c>
      <c r="C10" s="249" t="s">
        <v>4074</v>
      </c>
      <c r="D10" s="15">
        <v>1</v>
      </c>
      <c r="E10" s="250">
        <v>754518</v>
      </c>
      <c r="F10" s="249" t="s">
        <v>163</v>
      </c>
      <c r="G10" s="233">
        <v>40234</v>
      </c>
      <c r="H10" s="228" t="s">
        <v>949</v>
      </c>
      <c r="I10" s="300">
        <v>43155</v>
      </c>
      <c r="J10" s="301">
        <v>2922</v>
      </c>
      <c r="K10" s="301">
        <v>1496</v>
      </c>
      <c r="L10" s="301">
        <v>1426</v>
      </c>
      <c r="M10" s="301">
        <v>37726</v>
      </c>
      <c r="N10" s="301">
        <v>423202</v>
      </c>
      <c r="O10" s="301">
        <v>352605</v>
      </c>
      <c r="P10" s="301">
        <v>1061</v>
      </c>
      <c r="Q10" s="301">
        <v>314879</v>
      </c>
      <c r="R10" s="313">
        <v>0</v>
      </c>
      <c r="S10" s="250">
        <v>0</v>
      </c>
      <c r="T10" s="250">
        <v>352605</v>
      </c>
      <c r="U10" s="250">
        <v>0</v>
      </c>
    </row>
    <row r="11" spans="1:21" s="22" customFormat="1" ht="40.5">
      <c r="B11" s="15">
        <f t="shared" si="0"/>
        <v>4</v>
      </c>
      <c r="C11" s="249" t="s">
        <v>4083</v>
      </c>
      <c r="D11" s="15">
        <v>1</v>
      </c>
      <c r="E11" s="250">
        <f>ROUND(4738500/4,)</f>
        <v>1184625</v>
      </c>
      <c r="F11" s="249" t="s">
        <v>1023</v>
      </c>
      <c r="G11" s="233">
        <v>40379</v>
      </c>
      <c r="H11" s="228" t="s">
        <v>160</v>
      </c>
      <c r="I11" s="300">
        <v>43300</v>
      </c>
      <c r="J11" s="301">
        <v>2922</v>
      </c>
      <c r="K11" s="301">
        <v>1351</v>
      </c>
      <c r="L11" s="301">
        <v>1571</v>
      </c>
      <c r="M11" s="301">
        <v>59231</v>
      </c>
      <c r="N11" s="301">
        <v>709153</v>
      </c>
      <c r="O11" s="301">
        <v>603621</v>
      </c>
      <c r="P11" s="301">
        <v>1206</v>
      </c>
      <c r="Q11" s="301">
        <v>544391</v>
      </c>
      <c r="R11" s="313">
        <v>0</v>
      </c>
      <c r="S11" s="250">
        <v>0</v>
      </c>
      <c r="T11" s="250">
        <v>603622</v>
      </c>
      <c r="U11" s="250">
        <v>0</v>
      </c>
    </row>
    <row r="12" spans="1:21" s="22" customFormat="1" ht="27">
      <c r="B12" s="15">
        <f t="shared" si="0"/>
        <v>5</v>
      </c>
      <c r="C12" s="249" t="s">
        <v>3908</v>
      </c>
      <c r="D12" s="15">
        <v>1</v>
      </c>
      <c r="E12" s="250">
        <f>ROUND(46598/4,)-1</f>
        <v>11649</v>
      </c>
      <c r="F12" s="249" t="s">
        <v>935</v>
      </c>
      <c r="G12" s="233" t="e">
        <f>+#REF!</f>
        <v>#REF!</v>
      </c>
      <c r="H12" s="228" t="s">
        <v>160</v>
      </c>
      <c r="I12" s="300">
        <v>43309</v>
      </c>
      <c r="J12" s="301">
        <v>2922</v>
      </c>
      <c r="K12" s="301">
        <v>1342</v>
      </c>
      <c r="L12" s="301">
        <v>1580</v>
      </c>
      <c r="M12" s="301">
        <v>582</v>
      </c>
      <c r="N12" s="301">
        <v>7001</v>
      </c>
      <c r="O12" s="301">
        <v>5965</v>
      </c>
      <c r="P12" s="301">
        <v>1215</v>
      </c>
      <c r="Q12" s="301">
        <v>5384</v>
      </c>
      <c r="R12" s="313">
        <v>0</v>
      </c>
      <c r="S12" s="250">
        <v>0</v>
      </c>
      <c r="T12" s="250">
        <v>5966</v>
      </c>
      <c r="U12" s="250">
        <v>0</v>
      </c>
    </row>
    <row r="13" spans="1:21" s="22" customFormat="1" ht="67.5">
      <c r="B13" s="15">
        <f t="shared" si="0"/>
        <v>6</v>
      </c>
      <c r="C13" s="249" t="s">
        <v>4532</v>
      </c>
      <c r="D13" s="15">
        <v>1</v>
      </c>
      <c r="E13" s="250">
        <v>557331</v>
      </c>
      <c r="F13" s="230" t="s">
        <v>342</v>
      </c>
      <c r="G13" s="233">
        <v>40599</v>
      </c>
      <c r="H13" s="228" t="s">
        <v>282</v>
      </c>
      <c r="I13" s="300">
        <v>43520</v>
      </c>
      <c r="J13" s="301">
        <v>2922</v>
      </c>
      <c r="K13" s="301">
        <v>1131</v>
      </c>
      <c r="L13" s="301">
        <v>1791</v>
      </c>
      <c r="M13" s="301">
        <v>27867</v>
      </c>
      <c r="N13" s="301">
        <v>365549</v>
      </c>
      <c r="O13" s="301">
        <v>318918</v>
      </c>
      <c r="P13" s="301">
        <v>1426</v>
      </c>
      <c r="Q13" s="301">
        <v>291051</v>
      </c>
      <c r="R13" s="313">
        <v>0</v>
      </c>
      <c r="S13" s="250">
        <v>0</v>
      </c>
      <c r="T13" s="250">
        <v>318918</v>
      </c>
      <c r="U13" s="250">
        <v>0</v>
      </c>
    </row>
    <row r="14" spans="1:21" s="22" customFormat="1" ht="40.5">
      <c r="B14" s="15">
        <f t="shared" si="0"/>
        <v>7</v>
      </c>
      <c r="C14" s="249" t="s">
        <v>2410</v>
      </c>
      <c r="D14" s="15">
        <v>1</v>
      </c>
      <c r="E14" s="250">
        <v>2223370</v>
      </c>
      <c r="F14" s="230" t="s">
        <v>2398</v>
      </c>
      <c r="G14" s="233">
        <v>41603</v>
      </c>
      <c r="H14" s="228" t="s">
        <v>368</v>
      </c>
      <c r="I14" s="300">
        <v>44524</v>
      </c>
      <c r="J14" s="301">
        <v>2922</v>
      </c>
      <c r="K14" s="301">
        <v>127</v>
      </c>
      <c r="L14" s="301">
        <v>2795</v>
      </c>
      <c r="M14" s="301">
        <v>111169</v>
      </c>
      <c r="N14" s="301">
        <v>2038708</v>
      </c>
      <c r="O14" s="301">
        <v>1883641</v>
      </c>
      <c r="P14" s="301">
        <v>2430</v>
      </c>
      <c r="Q14" s="301">
        <v>1772473</v>
      </c>
      <c r="R14" s="376">
        <v>238</v>
      </c>
      <c r="S14" s="250">
        <v>284767</v>
      </c>
      <c r="T14" s="250">
        <v>1883641</v>
      </c>
      <c r="U14" s="250">
        <v>0</v>
      </c>
    </row>
    <row r="15" spans="1:21" s="22" customFormat="1" ht="27">
      <c r="B15" s="15">
        <f t="shared" ref="B15:B25" si="1">+B14+1</f>
        <v>8</v>
      </c>
      <c r="C15" s="249" t="s">
        <v>2405</v>
      </c>
      <c r="D15" s="15"/>
      <c r="E15" s="250">
        <v>165618</v>
      </c>
      <c r="F15" s="230" t="s">
        <v>2399</v>
      </c>
      <c r="G15" s="233">
        <v>41603</v>
      </c>
      <c r="H15" s="228" t="s">
        <v>368</v>
      </c>
      <c r="I15" s="300">
        <v>44524</v>
      </c>
      <c r="J15" s="301">
        <v>2922</v>
      </c>
      <c r="K15" s="301">
        <v>127</v>
      </c>
      <c r="L15" s="301">
        <v>2795</v>
      </c>
      <c r="M15" s="301">
        <v>8281</v>
      </c>
      <c r="N15" s="301">
        <v>151863</v>
      </c>
      <c r="O15" s="301">
        <v>140312</v>
      </c>
      <c r="P15" s="301">
        <v>2430</v>
      </c>
      <c r="Q15" s="301">
        <v>132031</v>
      </c>
      <c r="R15" s="376">
        <v>238</v>
      </c>
      <c r="S15" s="250">
        <v>21212</v>
      </c>
      <c r="T15" s="250">
        <v>140312</v>
      </c>
      <c r="U15" s="250">
        <v>0</v>
      </c>
    </row>
    <row r="16" spans="1:21" s="22" customFormat="1" ht="67.5">
      <c r="B16" s="15">
        <f t="shared" si="1"/>
        <v>9</v>
      </c>
      <c r="C16" s="249" t="s">
        <v>2411</v>
      </c>
      <c r="D16" s="15"/>
      <c r="E16" s="250">
        <v>37578</v>
      </c>
      <c r="F16" s="230" t="s">
        <v>42</v>
      </c>
      <c r="G16" s="233">
        <v>41603</v>
      </c>
      <c r="H16" s="228" t="s">
        <v>368</v>
      </c>
      <c r="I16" s="300">
        <v>44524</v>
      </c>
      <c r="J16" s="301">
        <v>2922</v>
      </c>
      <c r="K16" s="301">
        <v>127</v>
      </c>
      <c r="L16" s="301">
        <v>2795</v>
      </c>
      <c r="M16" s="301">
        <v>1879</v>
      </c>
      <c r="N16" s="301">
        <v>34457</v>
      </c>
      <c r="O16" s="301">
        <v>31836</v>
      </c>
      <c r="P16" s="301">
        <v>2430</v>
      </c>
      <c r="Q16" s="301">
        <v>29957</v>
      </c>
      <c r="R16" s="376">
        <v>238</v>
      </c>
      <c r="S16" s="250">
        <v>4812</v>
      </c>
      <c r="T16" s="250">
        <v>31836</v>
      </c>
      <c r="U16" s="250">
        <v>0</v>
      </c>
    </row>
    <row r="17" spans="2:21" s="22" customFormat="1" ht="27">
      <c r="B17" s="15">
        <f t="shared" si="1"/>
        <v>10</v>
      </c>
      <c r="C17" s="249" t="s">
        <v>2412</v>
      </c>
      <c r="D17" s="15"/>
      <c r="E17" s="250">
        <v>44850</v>
      </c>
      <c r="F17" s="230" t="s">
        <v>2400</v>
      </c>
      <c r="G17" s="233">
        <v>41603</v>
      </c>
      <c r="H17" s="228" t="s">
        <v>368</v>
      </c>
      <c r="I17" s="300">
        <v>44524</v>
      </c>
      <c r="J17" s="301">
        <v>2922</v>
      </c>
      <c r="K17" s="301">
        <v>127</v>
      </c>
      <c r="L17" s="301">
        <v>2795</v>
      </c>
      <c r="M17" s="301">
        <v>2243</v>
      </c>
      <c r="N17" s="301">
        <v>41124</v>
      </c>
      <c r="O17" s="301">
        <v>37997</v>
      </c>
      <c r="P17" s="301">
        <v>2430</v>
      </c>
      <c r="Q17" s="301">
        <v>35755</v>
      </c>
      <c r="R17" s="376">
        <v>238</v>
      </c>
      <c r="S17" s="250">
        <v>5743</v>
      </c>
      <c r="T17" s="250">
        <v>37997</v>
      </c>
      <c r="U17" s="250">
        <v>0</v>
      </c>
    </row>
    <row r="18" spans="2:21" s="22" customFormat="1" ht="54">
      <c r="B18" s="15">
        <f t="shared" si="1"/>
        <v>11</v>
      </c>
      <c r="C18" s="249" t="s">
        <v>2407</v>
      </c>
      <c r="D18" s="15">
        <v>1</v>
      </c>
      <c r="E18" s="250">
        <v>2223370</v>
      </c>
      <c r="F18" s="230" t="s">
        <v>2401</v>
      </c>
      <c r="G18" s="233">
        <v>41646</v>
      </c>
      <c r="H18" s="228" t="s">
        <v>368</v>
      </c>
      <c r="I18" s="300">
        <v>44567</v>
      </c>
      <c r="J18" s="301">
        <v>2922</v>
      </c>
      <c r="K18" s="301">
        <v>84</v>
      </c>
      <c r="L18" s="301">
        <v>2838</v>
      </c>
      <c r="M18" s="301">
        <v>111169</v>
      </c>
      <c r="N18" s="301">
        <v>2063591</v>
      </c>
      <c r="O18" s="301">
        <v>1909358</v>
      </c>
      <c r="P18" s="301">
        <v>2473</v>
      </c>
      <c r="Q18" s="301">
        <v>1798190</v>
      </c>
      <c r="R18" s="376">
        <v>281</v>
      </c>
      <c r="S18" s="250">
        <v>315492</v>
      </c>
      <c r="T18" s="250">
        <v>1909358</v>
      </c>
      <c r="U18" s="250">
        <v>0</v>
      </c>
    </row>
    <row r="19" spans="2:21" s="22" customFormat="1" ht="27">
      <c r="B19" s="15">
        <f t="shared" si="1"/>
        <v>12</v>
      </c>
      <c r="C19" s="249" t="s">
        <v>2406</v>
      </c>
      <c r="D19" s="15"/>
      <c r="E19" s="250">
        <v>165618</v>
      </c>
      <c r="F19" s="230" t="s">
        <v>2402</v>
      </c>
      <c r="G19" s="233">
        <v>41646</v>
      </c>
      <c r="H19" s="228" t="s">
        <v>368</v>
      </c>
      <c r="I19" s="300">
        <v>44567</v>
      </c>
      <c r="J19" s="301">
        <v>2922</v>
      </c>
      <c r="K19" s="301">
        <v>84</v>
      </c>
      <c r="L19" s="301">
        <v>2838</v>
      </c>
      <c r="M19" s="301">
        <v>8281</v>
      </c>
      <c r="N19" s="301">
        <v>153716</v>
      </c>
      <c r="O19" s="301">
        <v>142227</v>
      </c>
      <c r="P19" s="301">
        <v>2473</v>
      </c>
      <c r="Q19" s="301">
        <v>133946</v>
      </c>
      <c r="R19" s="376">
        <v>281</v>
      </c>
      <c r="S19" s="250">
        <v>23499</v>
      </c>
      <c r="T19" s="250">
        <v>142227</v>
      </c>
      <c r="U19" s="250">
        <v>0</v>
      </c>
    </row>
    <row r="20" spans="2:21" s="22" customFormat="1" ht="67.5">
      <c r="B20" s="15">
        <f t="shared" si="1"/>
        <v>13</v>
      </c>
      <c r="C20" s="249" t="s">
        <v>2408</v>
      </c>
      <c r="D20" s="15"/>
      <c r="E20" s="250">
        <v>37579</v>
      </c>
      <c r="F20" s="230" t="s">
        <v>42</v>
      </c>
      <c r="G20" s="233">
        <v>41646</v>
      </c>
      <c r="H20" s="228" t="s">
        <v>368</v>
      </c>
      <c r="I20" s="300">
        <v>44567</v>
      </c>
      <c r="J20" s="301">
        <v>2922</v>
      </c>
      <c r="K20" s="301">
        <v>84</v>
      </c>
      <c r="L20" s="301">
        <v>2838</v>
      </c>
      <c r="M20" s="301">
        <v>1879</v>
      </c>
      <c r="N20" s="301">
        <v>34878</v>
      </c>
      <c r="O20" s="301">
        <v>32271</v>
      </c>
      <c r="P20" s="301">
        <v>2473</v>
      </c>
      <c r="Q20" s="301">
        <v>30392</v>
      </c>
      <c r="R20" s="376">
        <v>281</v>
      </c>
      <c r="S20" s="250">
        <v>5331</v>
      </c>
      <c r="T20" s="250">
        <v>32271</v>
      </c>
      <c r="U20" s="250">
        <v>0</v>
      </c>
    </row>
    <row r="21" spans="2:21" s="22" customFormat="1" ht="27">
      <c r="B21" s="15">
        <f t="shared" si="1"/>
        <v>14</v>
      </c>
      <c r="C21" s="249" t="s">
        <v>2409</v>
      </c>
      <c r="D21" s="15"/>
      <c r="E21" s="250">
        <v>44555</v>
      </c>
      <c r="F21" s="230" t="s">
        <v>2403</v>
      </c>
      <c r="G21" s="233">
        <v>41646</v>
      </c>
      <c r="H21" s="228" t="s">
        <v>368</v>
      </c>
      <c r="I21" s="300">
        <v>44567</v>
      </c>
      <c r="J21" s="301">
        <v>2922</v>
      </c>
      <c r="K21" s="301">
        <v>84</v>
      </c>
      <c r="L21" s="301">
        <v>2838</v>
      </c>
      <c r="M21" s="301">
        <v>2228</v>
      </c>
      <c r="N21" s="301">
        <v>41353</v>
      </c>
      <c r="O21" s="301">
        <v>38263</v>
      </c>
      <c r="P21" s="301">
        <v>2473</v>
      </c>
      <c r="Q21" s="301">
        <v>36035</v>
      </c>
      <c r="R21" s="376">
        <v>281</v>
      </c>
      <c r="S21" s="250">
        <v>6321</v>
      </c>
      <c r="T21" s="250">
        <v>38263</v>
      </c>
      <c r="U21" s="250">
        <v>0</v>
      </c>
    </row>
    <row r="22" spans="2:21" s="22" customFormat="1" ht="27">
      <c r="B22" s="15">
        <f t="shared" si="1"/>
        <v>15</v>
      </c>
      <c r="C22" s="249" t="s">
        <v>2409</v>
      </c>
      <c r="D22" s="15"/>
      <c r="E22" s="250">
        <v>3000</v>
      </c>
      <c r="F22" s="230" t="s">
        <v>2404</v>
      </c>
      <c r="G22" s="233">
        <v>41646</v>
      </c>
      <c r="H22" s="228" t="s">
        <v>368</v>
      </c>
      <c r="I22" s="300">
        <v>44567</v>
      </c>
      <c r="J22" s="301">
        <v>2922</v>
      </c>
      <c r="K22" s="301">
        <v>84</v>
      </c>
      <c r="L22" s="301">
        <v>2838</v>
      </c>
      <c r="M22" s="301">
        <v>150</v>
      </c>
      <c r="N22" s="301">
        <v>2784</v>
      </c>
      <c r="O22" s="301">
        <v>2576</v>
      </c>
      <c r="P22" s="301">
        <v>2473</v>
      </c>
      <c r="Q22" s="301">
        <v>2426</v>
      </c>
      <c r="R22" s="376">
        <v>281</v>
      </c>
      <c r="S22" s="250">
        <v>426</v>
      </c>
      <c r="T22" s="250">
        <v>2576</v>
      </c>
      <c r="U22" s="250">
        <v>0</v>
      </c>
    </row>
    <row r="23" spans="2:21" s="22" customFormat="1" ht="67.5">
      <c r="B23" s="15">
        <f t="shared" si="1"/>
        <v>16</v>
      </c>
      <c r="C23" s="249" t="s">
        <v>2754</v>
      </c>
      <c r="D23" s="15">
        <v>1</v>
      </c>
      <c r="E23" s="250">
        <v>755112</v>
      </c>
      <c r="F23" s="230" t="s">
        <v>2756</v>
      </c>
      <c r="G23" s="233">
        <v>42066</v>
      </c>
      <c r="H23" s="228" t="s">
        <v>368</v>
      </c>
      <c r="I23" s="300">
        <v>44987</v>
      </c>
      <c r="J23" s="301">
        <v>2922</v>
      </c>
      <c r="K23" s="301">
        <v>0</v>
      </c>
      <c r="L23" s="301">
        <v>2922</v>
      </c>
      <c r="M23" s="301">
        <v>37756</v>
      </c>
      <c r="N23" s="301">
        <v>717356</v>
      </c>
      <c r="O23" s="301">
        <v>747992</v>
      </c>
      <c r="P23" s="301">
        <v>2893</v>
      </c>
      <c r="Q23" s="301">
        <v>710236</v>
      </c>
      <c r="R23" s="376">
        <v>365</v>
      </c>
      <c r="S23" s="250">
        <v>89608</v>
      </c>
      <c r="T23" s="250">
        <v>627748</v>
      </c>
      <c r="U23" s="250">
        <v>120244</v>
      </c>
    </row>
    <row r="24" spans="2:21" s="22" customFormat="1" ht="40.5">
      <c r="B24" s="15">
        <f t="shared" si="1"/>
        <v>17</v>
      </c>
      <c r="C24" s="249" t="s">
        <v>2755</v>
      </c>
      <c r="D24" s="15">
        <v>1</v>
      </c>
      <c r="E24" s="250">
        <v>6250</v>
      </c>
      <c r="F24" s="230" t="s">
        <v>2757</v>
      </c>
      <c r="G24" s="233">
        <v>42066</v>
      </c>
      <c r="H24" s="228" t="s">
        <v>368</v>
      </c>
      <c r="I24" s="300">
        <v>44987</v>
      </c>
      <c r="J24" s="301">
        <v>2922</v>
      </c>
      <c r="K24" s="301">
        <v>0</v>
      </c>
      <c r="L24" s="301">
        <v>2922</v>
      </c>
      <c r="M24" s="301">
        <v>313</v>
      </c>
      <c r="N24" s="301">
        <v>5937</v>
      </c>
      <c r="O24" s="301">
        <v>6191</v>
      </c>
      <c r="P24" s="301">
        <v>2893</v>
      </c>
      <c r="Q24" s="301">
        <v>5879</v>
      </c>
      <c r="R24" s="376">
        <v>365</v>
      </c>
      <c r="S24" s="250">
        <v>742</v>
      </c>
      <c r="T24" s="250">
        <v>5198</v>
      </c>
      <c r="U24" s="250">
        <v>993</v>
      </c>
    </row>
    <row r="25" spans="2:21" s="22" customFormat="1" ht="81">
      <c r="B25" s="15">
        <f t="shared" si="1"/>
        <v>18</v>
      </c>
      <c r="C25" s="249" t="s">
        <v>2814</v>
      </c>
      <c r="D25" s="15">
        <v>1</v>
      </c>
      <c r="E25" s="250">
        <v>22673</v>
      </c>
      <c r="F25" s="230" t="s">
        <v>2758</v>
      </c>
      <c r="G25" s="233">
        <v>42066</v>
      </c>
      <c r="H25" s="228" t="s">
        <v>368</v>
      </c>
      <c r="I25" s="300">
        <v>44987</v>
      </c>
      <c r="J25" s="301">
        <v>2922</v>
      </c>
      <c r="K25" s="301">
        <v>0</v>
      </c>
      <c r="L25" s="301">
        <v>2922</v>
      </c>
      <c r="M25" s="301">
        <v>1134</v>
      </c>
      <c r="N25" s="301">
        <v>21539</v>
      </c>
      <c r="O25" s="301">
        <v>22459</v>
      </c>
      <c r="P25" s="301">
        <v>2893</v>
      </c>
      <c r="Q25" s="301">
        <v>21325</v>
      </c>
      <c r="R25" s="376">
        <v>365</v>
      </c>
      <c r="S25" s="250">
        <v>2691</v>
      </c>
      <c r="T25" s="250">
        <v>18851</v>
      </c>
      <c r="U25" s="250">
        <v>3608</v>
      </c>
    </row>
    <row r="26" spans="2:21" s="22" customFormat="1" ht="14.25">
      <c r="B26" s="6" t="s">
        <v>964</v>
      </c>
      <c r="C26" s="229"/>
      <c r="D26" s="229"/>
      <c r="E26" s="252"/>
      <c r="F26" s="230"/>
      <c r="G26" s="230"/>
      <c r="H26" s="228"/>
      <c r="I26" s="301"/>
      <c r="J26" s="301"/>
      <c r="K26" s="301"/>
      <c r="L26" s="301"/>
      <c r="M26" s="301"/>
      <c r="N26" s="301"/>
      <c r="O26" s="301"/>
      <c r="P26" s="288"/>
      <c r="Q26" s="288"/>
      <c r="R26" s="228"/>
      <c r="S26" s="250"/>
      <c r="T26" s="250"/>
      <c r="U26" s="250"/>
    </row>
    <row r="27" spans="2:21" s="22" customFormat="1" ht="27">
      <c r="B27" s="15">
        <v>1</v>
      </c>
      <c r="C27" s="249" t="s">
        <v>2213</v>
      </c>
      <c r="D27" s="37">
        <v>1</v>
      </c>
      <c r="E27" s="250">
        <v>1747207</v>
      </c>
      <c r="F27" s="249" t="s">
        <v>601</v>
      </c>
      <c r="G27" s="233">
        <v>39671</v>
      </c>
      <c r="H27" s="228" t="s">
        <v>885</v>
      </c>
      <c r="I27" s="300">
        <v>42592</v>
      </c>
      <c r="J27" s="301">
        <v>2922</v>
      </c>
      <c r="K27" s="301">
        <v>2059</v>
      </c>
      <c r="L27" s="301">
        <v>863</v>
      </c>
      <c r="M27" s="301">
        <v>87360</v>
      </c>
      <c r="N27" s="301">
        <v>723967.6659041096</v>
      </c>
      <c r="O27" s="301">
        <v>505130.6659041096</v>
      </c>
      <c r="P27" s="301">
        <v>498</v>
      </c>
      <c r="Q27" s="301">
        <v>417770</v>
      </c>
      <c r="R27" s="313">
        <v>0</v>
      </c>
      <c r="S27" s="250">
        <v>0</v>
      </c>
      <c r="T27" s="250">
        <v>505131</v>
      </c>
      <c r="U27" s="250">
        <v>-0.33409589040093124</v>
      </c>
    </row>
    <row r="28" spans="2:21" s="22" customFormat="1" ht="40.5">
      <c r="B28" s="15">
        <f>+B27+1</f>
        <v>2</v>
      </c>
      <c r="C28" s="249" t="s">
        <v>4049</v>
      </c>
      <c r="D28" s="37">
        <v>1</v>
      </c>
      <c r="E28" s="250">
        <v>1038477</v>
      </c>
      <c r="F28" s="249" t="s">
        <v>336</v>
      </c>
      <c r="G28" s="233">
        <v>39890</v>
      </c>
      <c r="H28" s="228" t="s">
        <v>883</v>
      </c>
      <c r="I28" s="300">
        <v>42811</v>
      </c>
      <c r="J28" s="301">
        <v>2922</v>
      </c>
      <c r="K28" s="301">
        <v>1840</v>
      </c>
      <c r="L28" s="301">
        <v>1082</v>
      </c>
      <c r="M28" s="301">
        <v>51924</v>
      </c>
      <c r="N28" s="301">
        <v>489490.96052054793</v>
      </c>
      <c r="O28" s="301">
        <v>376290.96052054793</v>
      </c>
      <c r="P28" s="301">
        <v>717</v>
      </c>
      <c r="Q28" s="301">
        <v>324367</v>
      </c>
      <c r="R28" s="313">
        <v>0</v>
      </c>
      <c r="S28" s="250">
        <v>0</v>
      </c>
      <c r="T28" s="250">
        <v>376291</v>
      </c>
      <c r="U28" s="250">
        <v>-3.9479452068917453E-2</v>
      </c>
    </row>
    <row r="29" spans="2:21" s="22" customFormat="1" ht="27">
      <c r="B29" s="15">
        <f t="shared" ref="B29:B34" si="2">+B28+1</f>
        <v>3</v>
      </c>
      <c r="C29" s="228" t="s">
        <v>4076</v>
      </c>
      <c r="D29" s="37">
        <v>1</v>
      </c>
      <c r="E29" s="250">
        <v>598123</v>
      </c>
      <c r="F29" s="249" t="s">
        <v>337</v>
      </c>
      <c r="G29" s="233">
        <v>39970</v>
      </c>
      <c r="H29" s="228" t="s">
        <v>949</v>
      </c>
      <c r="I29" s="300">
        <v>42891</v>
      </c>
      <c r="J29" s="301">
        <v>2922</v>
      </c>
      <c r="K29" s="301">
        <v>1760</v>
      </c>
      <c r="L29" s="301">
        <v>1162</v>
      </c>
      <c r="M29" s="301">
        <v>29906</v>
      </c>
      <c r="N29" s="301">
        <v>294382</v>
      </c>
      <c r="O29" s="301">
        <v>231819</v>
      </c>
      <c r="P29" s="301">
        <v>797</v>
      </c>
      <c r="Q29" s="301">
        <v>201913</v>
      </c>
      <c r="R29" s="313">
        <v>0</v>
      </c>
      <c r="S29" s="250">
        <v>0</v>
      </c>
      <c r="T29" s="250">
        <v>231819</v>
      </c>
      <c r="U29" s="250">
        <v>0</v>
      </c>
    </row>
    <row r="30" spans="2:21" s="22" customFormat="1" ht="40.5">
      <c r="B30" s="15">
        <f t="shared" si="2"/>
        <v>4</v>
      </c>
      <c r="C30" s="249" t="s">
        <v>4534</v>
      </c>
      <c r="D30" s="37">
        <v>1</v>
      </c>
      <c r="E30" s="250">
        <v>-85412.86</v>
      </c>
      <c r="F30" s="230" t="s">
        <v>42</v>
      </c>
      <c r="G30" s="233">
        <v>40234</v>
      </c>
      <c r="H30" s="228" t="s">
        <v>160</v>
      </c>
      <c r="I30" s="300">
        <v>43155</v>
      </c>
      <c r="J30" s="301">
        <v>2922</v>
      </c>
      <c r="K30" s="301">
        <v>1496</v>
      </c>
      <c r="L30" s="301">
        <v>1426</v>
      </c>
      <c r="M30" s="301">
        <v>-4271</v>
      </c>
      <c r="N30" s="301">
        <v>-47907.86</v>
      </c>
      <c r="O30" s="301">
        <v>-39915.86</v>
      </c>
      <c r="P30" s="301">
        <v>1061</v>
      </c>
      <c r="Q30" s="301">
        <v>-35645</v>
      </c>
      <c r="R30" s="313">
        <v>0</v>
      </c>
      <c r="S30" s="250">
        <v>0</v>
      </c>
      <c r="T30" s="250">
        <v>-39916</v>
      </c>
      <c r="U30" s="250">
        <v>0.13999999999941792</v>
      </c>
    </row>
    <row r="31" spans="2:21" s="22" customFormat="1" ht="27">
      <c r="B31" s="15">
        <f t="shared" si="2"/>
        <v>5</v>
      </c>
      <c r="C31" s="228" t="s">
        <v>4075</v>
      </c>
      <c r="D31" s="37">
        <v>1</v>
      </c>
      <c r="E31" s="250">
        <v>732775</v>
      </c>
      <c r="F31" s="254" t="s">
        <v>1278</v>
      </c>
      <c r="G31" s="233">
        <v>40724</v>
      </c>
      <c r="H31" s="228" t="s">
        <v>160</v>
      </c>
      <c r="I31" s="300">
        <v>43645</v>
      </c>
      <c r="J31" s="301">
        <v>2922</v>
      </c>
      <c r="K31" s="301">
        <v>1006</v>
      </c>
      <c r="L31" s="301">
        <v>1916</v>
      </c>
      <c r="M31" s="301">
        <v>36639</v>
      </c>
      <c r="N31" s="301">
        <v>504412</v>
      </c>
      <c r="O31" s="301">
        <v>444960</v>
      </c>
      <c r="P31" s="301">
        <v>1551</v>
      </c>
      <c r="Q31" s="301">
        <v>408321</v>
      </c>
      <c r="R31" s="313">
        <v>0</v>
      </c>
      <c r="S31" s="250">
        <v>0</v>
      </c>
      <c r="T31" s="250">
        <v>444960</v>
      </c>
      <c r="U31" s="250">
        <v>0</v>
      </c>
    </row>
    <row r="32" spans="2:21" s="22" customFormat="1" ht="27">
      <c r="B32" s="15">
        <f t="shared" si="2"/>
        <v>6</v>
      </c>
      <c r="C32" s="228" t="s">
        <v>4077</v>
      </c>
      <c r="D32" s="15">
        <v>1</v>
      </c>
      <c r="E32" s="250">
        <v>9193</v>
      </c>
      <c r="F32" s="254" t="s">
        <v>1278</v>
      </c>
      <c r="G32" s="233">
        <v>40724</v>
      </c>
      <c r="H32" s="228" t="s">
        <v>160</v>
      </c>
      <c r="I32" s="300">
        <v>43645</v>
      </c>
      <c r="J32" s="301">
        <v>2922</v>
      </c>
      <c r="K32" s="301">
        <v>1006</v>
      </c>
      <c r="L32" s="301">
        <v>1916</v>
      </c>
      <c r="M32" s="301">
        <v>460</v>
      </c>
      <c r="N32" s="301">
        <v>6328</v>
      </c>
      <c r="O32" s="301">
        <v>5583</v>
      </c>
      <c r="P32" s="301">
        <v>1551</v>
      </c>
      <c r="Q32" s="301">
        <v>5123</v>
      </c>
      <c r="R32" s="313">
        <v>0</v>
      </c>
      <c r="S32" s="250">
        <v>0</v>
      </c>
      <c r="T32" s="250">
        <v>5583</v>
      </c>
      <c r="U32" s="250">
        <v>0</v>
      </c>
    </row>
    <row r="33" spans="2:21" s="22" customFormat="1" ht="67.5">
      <c r="B33" s="15">
        <f t="shared" si="2"/>
        <v>7</v>
      </c>
      <c r="C33" s="228" t="s">
        <v>4095</v>
      </c>
      <c r="D33" s="15">
        <v>1</v>
      </c>
      <c r="E33" s="250">
        <v>2018701</v>
      </c>
      <c r="F33" s="230" t="s">
        <v>4084</v>
      </c>
      <c r="G33" s="233">
        <v>42902</v>
      </c>
      <c r="H33" s="276" t="s">
        <v>895</v>
      </c>
      <c r="I33" s="300">
        <v>45823</v>
      </c>
      <c r="J33" s="301">
        <v>2922</v>
      </c>
      <c r="K33" s="301">
        <v>0</v>
      </c>
      <c r="L33" s="301">
        <v>2922</v>
      </c>
      <c r="M33" s="301">
        <v>100935</v>
      </c>
      <c r="N33" s="301">
        <v>1917766</v>
      </c>
      <c r="O33" s="301">
        <v>2018701</v>
      </c>
      <c r="P33" s="301">
        <v>2922</v>
      </c>
      <c r="Q33" s="301">
        <v>1917766</v>
      </c>
      <c r="R33" s="376">
        <v>365</v>
      </c>
      <c r="S33" s="250">
        <v>239557</v>
      </c>
      <c r="T33" s="250">
        <v>1148560</v>
      </c>
      <c r="U33" s="250">
        <v>870141</v>
      </c>
    </row>
    <row r="34" spans="2:21" s="22" customFormat="1" ht="67.5">
      <c r="B34" s="15">
        <f t="shared" si="2"/>
        <v>8</v>
      </c>
      <c r="C34" s="228" t="s">
        <v>4094</v>
      </c>
      <c r="D34" s="15">
        <v>1</v>
      </c>
      <c r="E34" s="250">
        <v>2018701</v>
      </c>
      <c r="F34" s="230" t="s">
        <v>4091</v>
      </c>
      <c r="G34" s="233">
        <v>42902</v>
      </c>
      <c r="H34" s="276" t="s">
        <v>895</v>
      </c>
      <c r="I34" s="300">
        <v>45823</v>
      </c>
      <c r="J34" s="301">
        <v>2922</v>
      </c>
      <c r="K34" s="301">
        <v>0</v>
      </c>
      <c r="L34" s="301">
        <v>2922</v>
      </c>
      <c r="M34" s="301">
        <v>100935</v>
      </c>
      <c r="N34" s="301">
        <v>1917766</v>
      </c>
      <c r="O34" s="301">
        <v>2018701</v>
      </c>
      <c r="P34" s="301">
        <v>2922</v>
      </c>
      <c r="Q34" s="301">
        <v>1917766</v>
      </c>
      <c r="R34" s="376">
        <v>365</v>
      </c>
      <c r="S34" s="250">
        <v>239557</v>
      </c>
      <c r="T34" s="250">
        <v>1148560</v>
      </c>
      <c r="U34" s="250">
        <v>870141</v>
      </c>
    </row>
    <row r="35" spans="2:21" s="22" customFormat="1" ht="67.5">
      <c r="B35" s="15">
        <v>9</v>
      </c>
      <c r="C35" s="228" t="s">
        <v>4092</v>
      </c>
      <c r="D35" s="230">
        <v>1</v>
      </c>
      <c r="E35" s="250">
        <f>92461+480094</f>
        <v>572555</v>
      </c>
      <c r="F35" s="283" t="s">
        <v>4093</v>
      </c>
      <c r="G35" s="233">
        <v>42906</v>
      </c>
      <c r="H35" s="276" t="s">
        <v>895</v>
      </c>
      <c r="I35" s="270">
        <v>45827</v>
      </c>
      <c r="J35" s="242">
        <v>2922</v>
      </c>
      <c r="K35" s="242">
        <v>0</v>
      </c>
      <c r="L35" s="242">
        <v>2922</v>
      </c>
      <c r="M35" s="242">
        <v>28628</v>
      </c>
      <c r="N35" s="242">
        <v>543927</v>
      </c>
      <c r="O35" s="301">
        <v>572555</v>
      </c>
      <c r="P35" s="301"/>
      <c r="Q35" s="301"/>
      <c r="R35" s="376">
        <v>365</v>
      </c>
      <c r="S35" s="250">
        <v>67944</v>
      </c>
      <c r="T35" s="250">
        <v>325014</v>
      </c>
      <c r="U35" s="250">
        <v>247541</v>
      </c>
    </row>
    <row r="36" spans="2:21" s="22" customFormat="1" ht="67.5">
      <c r="B36" s="15">
        <v>10</v>
      </c>
      <c r="C36" s="228" t="s">
        <v>4097</v>
      </c>
      <c r="D36" s="230">
        <v>1</v>
      </c>
      <c r="E36" s="250">
        <f>917551</f>
        <v>917551</v>
      </c>
      <c r="F36" s="283" t="s">
        <v>4098</v>
      </c>
      <c r="G36" s="233">
        <v>43069</v>
      </c>
      <c r="H36" s="276" t="s">
        <v>161</v>
      </c>
      <c r="I36" s="270">
        <v>45990</v>
      </c>
      <c r="J36" s="242">
        <v>2922</v>
      </c>
      <c r="K36" s="242">
        <v>0</v>
      </c>
      <c r="L36" s="242">
        <v>2922</v>
      </c>
      <c r="M36" s="242">
        <v>45878</v>
      </c>
      <c r="N36" s="242">
        <v>871673</v>
      </c>
      <c r="O36" s="301">
        <v>917551</v>
      </c>
      <c r="P36" s="301"/>
      <c r="Q36" s="301"/>
      <c r="R36" s="376">
        <v>365</v>
      </c>
      <c r="S36" s="250">
        <v>108885</v>
      </c>
      <c r="T36" s="250">
        <v>472232</v>
      </c>
      <c r="U36" s="250">
        <v>445319</v>
      </c>
    </row>
    <row r="37" spans="2:21" s="22" customFormat="1" ht="67.5">
      <c r="B37" s="15">
        <v>11</v>
      </c>
      <c r="C37" s="228" t="s">
        <v>4639</v>
      </c>
      <c r="D37" s="230">
        <v>1</v>
      </c>
      <c r="E37" s="250">
        <v>6600</v>
      </c>
      <c r="F37" s="283" t="s">
        <v>4099</v>
      </c>
      <c r="G37" s="233">
        <v>43069</v>
      </c>
      <c r="H37" s="276" t="s">
        <v>161</v>
      </c>
      <c r="I37" s="270">
        <v>45990</v>
      </c>
      <c r="J37" s="242">
        <v>2922</v>
      </c>
      <c r="K37" s="242">
        <v>0</v>
      </c>
      <c r="L37" s="242">
        <v>2922</v>
      </c>
      <c r="M37" s="242">
        <v>330</v>
      </c>
      <c r="N37" s="242">
        <v>6270</v>
      </c>
      <c r="O37" s="301">
        <v>6600</v>
      </c>
      <c r="P37" s="301"/>
      <c r="Q37" s="301"/>
      <c r="R37" s="376">
        <v>365</v>
      </c>
      <c r="S37" s="250">
        <v>783</v>
      </c>
      <c r="T37" s="250">
        <v>3396</v>
      </c>
      <c r="U37" s="250">
        <v>3204</v>
      </c>
    </row>
    <row r="38" spans="2:21" s="22" customFormat="1" ht="94.5">
      <c r="B38" s="15">
        <v>12</v>
      </c>
      <c r="C38" s="228" t="s">
        <v>4557</v>
      </c>
      <c r="D38" s="230">
        <v>1</v>
      </c>
      <c r="E38" s="250">
        <f>1624411-11876</f>
        <v>1612535</v>
      </c>
      <c r="F38" s="230" t="s">
        <v>4556</v>
      </c>
      <c r="G38" s="233">
        <v>44200</v>
      </c>
      <c r="H38" s="276" t="s">
        <v>368</v>
      </c>
      <c r="I38" s="270">
        <v>47121</v>
      </c>
      <c r="J38" s="242">
        <v>2922</v>
      </c>
      <c r="K38" s="242">
        <v>0</v>
      </c>
      <c r="L38" s="242">
        <v>2922</v>
      </c>
      <c r="M38" s="242">
        <v>80627</v>
      </c>
      <c r="N38" s="242">
        <v>1531908</v>
      </c>
      <c r="O38" s="301">
        <v>1612535</v>
      </c>
      <c r="P38" s="301"/>
      <c r="Q38" s="301"/>
      <c r="R38" s="376">
        <v>365</v>
      </c>
      <c r="S38" s="250">
        <v>191357</v>
      </c>
      <c r="T38" s="250">
        <v>236968</v>
      </c>
      <c r="U38" s="250">
        <v>1375567</v>
      </c>
    </row>
    <row r="39" spans="2:21" s="22" customFormat="1" ht="27">
      <c r="B39" s="15">
        <v>13</v>
      </c>
      <c r="C39" s="228" t="s">
        <v>4638</v>
      </c>
      <c r="D39" s="230">
        <v>1</v>
      </c>
      <c r="E39" s="250">
        <f>1630762*0+1637842</f>
        <v>1637842</v>
      </c>
      <c r="F39" s="230" t="s">
        <v>4562</v>
      </c>
      <c r="G39" s="233">
        <v>44274</v>
      </c>
      <c r="H39" s="276" t="s">
        <v>895</v>
      </c>
      <c r="I39" s="270">
        <v>47195</v>
      </c>
      <c r="J39" s="242">
        <v>2922</v>
      </c>
      <c r="K39" s="242">
        <v>0</v>
      </c>
      <c r="L39" s="242">
        <v>2922</v>
      </c>
      <c r="M39" s="242">
        <v>81892</v>
      </c>
      <c r="N39" s="242">
        <v>1555950</v>
      </c>
      <c r="O39" s="301">
        <v>1637842</v>
      </c>
      <c r="P39" s="301"/>
      <c r="Q39" s="301"/>
      <c r="R39" s="376">
        <v>365</v>
      </c>
      <c r="S39" s="250">
        <v>194361</v>
      </c>
      <c r="T39" s="250">
        <v>201283</v>
      </c>
      <c r="U39" s="250">
        <v>1436559</v>
      </c>
    </row>
    <row r="40" spans="2:21" s="22" customFormat="1">
      <c r="B40" s="15"/>
      <c r="C40" s="228"/>
      <c r="D40" s="228"/>
      <c r="E40" s="250"/>
      <c r="F40" s="230"/>
      <c r="G40" s="233"/>
      <c r="H40" s="228"/>
      <c r="I40" s="300"/>
      <c r="J40" s="301"/>
      <c r="K40" s="301"/>
      <c r="L40" s="301"/>
      <c r="M40" s="301"/>
      <c r="N40" s="301"/>
      <c r="O40" s="301"/>
      <c r="P40" s="301"/>
      <c r="Q40" s="301"/>
      <c r="R40" s="376"/>
      <c r="S40" s="377"/>
      <c r="T40" s="250"/>
      <c r="U40" s="250"/>
    </row>
    <row r="41" spans="2:21" s="22" customFormat="1" ht="14.25">
      <c r="B41" s="6" t="s">
        <v>965</v>
      </c>
      <c r="C41" s="272"/>
      <c r="D41" s="272"/>
      <c r="E41" s="252"/>
      <c r="F41" s="230"/>
      <c r="G41" s="230"/>
      <c r="H41" s="228"/>
      <c r="I41" s="301"/>
      <c r="J41" s="301"/>
      <c r="K41" s="301"/>
      <c r="L41" s="301"/>
      <c r="M41" s="301"/>
      <c r="N41" s="301"/>
      <c r="O41" s="301"/>
      <c r="P41" s="288"/>
      <c r="Q41" s="288"/>
      <c r="R41" s="228"/>
      <c r="S41" s="250"/>
      <c r="T41" s="250"/>
      <c r="U41" s="250"/>
    </row>
    <row r="42" spans="2:21" s="22" customFormat="1">
      <c r="B42" s="15">
        <v>1</v>
      </c>
      <c r="C42" s="249" t="s">
        <v>2611</v>
      </c>
      <c r="D42" s="15">
        <v>1</v>
      </c>
      <c r="E42" s="250">
        <v>28090</v>
      </c>
      <c r="F42" s="254">
        <v>131</v>
      </c>
      <c r="G42" s="233">
        <v>39665</v>
      </c>
      <c r="H42" s="228" t="s">
        <v>885</v>
      </c>
      <c r="I42" s="300">
        <v>43316</v>
      </c>
      <c r="J42" s="301">
        <v>3652</v>
      </c>
      <c r="K42" s="301">
        <v>2065</v>
      </c>
      <c r="L42" s="301">
        <v>1587</v>
      </c>
      <c r="M42" s="301">
        <v>1405</v>
      </c>
      <c r="N42" s="301">
        <v>11593.648082191779</v>
      </c>
      <c r="O42" s="301">
        <v>10332.648082191779</v>
      </c>
      <c r="P42" s="301">
        <v>1222</v>
      </c>
      <c r="Q42" s="301">
        <v>8928</v>
      </c>
      <c r="R42" s="313">
        <v>0</v>
      </c>
      <c r="S42" s="250">
        <v>0</v>
      </c>
      <c r="T42" s="250">
        <v>10333</v>
      </c>
      <c r="U42" s="250">
        <v>-0.35191780822060537</v>
      </c>
    </row>
    <row r="43" spans="2:21" s="22" customFormat="1" ht="27">
      <c r="B43" s="15">
        <f>+B42+1</f>
        <v>2</v>
      </c>
      <c r="C43" s="249" t="s">
        <v>4334</v>
      </c>
      <c r="D43" s="15">
        <v>1</v>
      </c>
      <c r="E43" s="250">
        <v>41771</v>
      </c>
      <c r="F43" s="254">
        <v>29272</v>
      </c>
      <c r="G43" s="233">
        <v>39783</v>
      </c>
      <c r="H43" s="228" t="s">
        <v>602</v>
      </c>
      <c r="I43" s="300">
        <v>43434</v>
      </c>
      <c r="J43" s="301">
        <v>3652</v>
      </c>
      <c r="K43" s="301">
        <v>1947</v>
      </c>
      <c r="L43" s="301">
        <v>1705</v>
      </c>
      <c r="M43" s="301">
        <v>2089</v>
      </c>
      <c r="N43" s="301">
        <v>18528.499602739728</v>
      </c>
      <c r="O43" s="301">
        <v>16650.499602739728</v>
      </c>
      <c r="P43" s="301">
        <v>1340</v>
      </c>
      <c r="Q43" s="301">
        <v>14562</v>
      </c>
      <c r="R43" s="313">
        <v>0</v>
      </c>
      <c r="S43" s="250">
        <v>0</v>
      </c>
      <c r="T43" s="250">
        <v>16650</v>
      </c>
      <c r="U43" s="250">
        <v>0.49960273972828873</v>
      </c>
    </row>
    <row r="44" spans="2:21" s="22" customFormat="1" ht="27">
      <c r="B44" s="15">
        <f t="shared" ref="B44:B58" si="3">+B43+1</f>
        <v>3</v>
      </c>
      <c r="C44" s="249" t="s">
        <v>4082</v>
      </c>
      <c r="D44" s="15">
        <v>1</v>
      </c>
      <c r="E44" s="250">
        <v>45350</v>
      </c>
      <c r="F44" s="254">
        <v>70</v>
      </c>
      <c r="G44" s="233">
        <v>39767</v>
      </c>
      <c r="H44" s="228" t="s">
        <v>602</v>
      </c>
      <c r="I44" s="300">
        <v>43418</v>
      </c>
      <c r="J44" s="301">
        <v>3652</v>
      </c>
      <c r="K44" s="301">
        <v>1963</v>
      </c>
      <c r="L44" s="301">
        <v>1689</v>
      </c>
      <c r="M44" s="301">
        <v>2268</v>
      </c>
      <c r="N44" s="301">
        <v>19924.930821917806</v>
      </c>
      <c r="O44" s="301">
        <v>17886.930821917809</v>
      </c>
      <c r="P44" s="301">
        <v>1324</v>
      </c>
      <c r="Q44" s="301">
        <v>15619</v>
      </c>
      <c r="R44" s="313">
        <v>0</v>
      </c>
      <c r="S44" s="250">
        <v>0</v>
      </c>
      <c r="T44" s="250">
        <v>17887</v>
      </c>
      <c r="U44" s="250">
        <v>-6.9178082194412127E-2</v>
      </c>
    </row>
    <row r="45" spans="2:21" s="22" customFormat="1">
      <c r="B45" s="15">
        <f t="shared" si="3"/>
        <v>4</v>
      </c>
      <c r="C45" s="249" t="s">
        <v>4336</v>
      </c>
      <c r="D45" s="15">
        <v>1</v>
      </c>
      <c r="E45" s="250">
        <v>45350</v>
      </c>
      <c r="F45" s="254">
        <v>96</v>
      </c>
      <c r="G45" s="233">
        <v>39776</v>
      </c>
      <c r="H45" s="228" t="s">
        <v>602</v>
      </c>
      <c r="I45" s="300">
        <v>43427</v>
      </c>
      <c r="J45" s="301">
        <v>3652</v>
      </c>
      <c r="K45" s="301">
        <v>1954</v>
      </c>
      <c r="L45" s="301">
        <v>1698</v>
      </c>
      <c r="M45" s="301">
        <v>2268</v>
      </c>
      <c r="N45" s="301">
        <v>20031.161643835614</v>
      </c>
      <c r="O45" s="301">
        <v>17993.161643835614</v>
      </c>
      <c r="P45" s="301">
        <v>1333</v>
      </c>
      <c r="Q45" s="301">
        <v>15726</v>
      </c>
      <c r="R45" s="313">
        <v>0</v>
      </c>
      <c r="S45" s="250">
        <v>0</v>
      </c>
      <c r="T45" s="250">
        <v>17993</v>
      </c>
      <c r="U45" s="250">
        <v>0.16164383561408613</v>
      </c>
    </row>
    <row r="46" spans="2:21" s="22" customFormat="1" ht="27">
      <c r="B46" s="15">
        <f t="shared" si="3"/>
        <v>5</v>
      </c>
      <c r="C46" s="249" t="s">
        <v>4337</v>
      </c>
      <c r="D46" s="15">
        <v>1</v>
      </c>
      <c r="E46" s="250">
        <v>44700</v>
      </c>
      <c r="F46" s="254">
        <v>8</v>
      </c>
      <c r="G46" s="233">
        <v>39704</v>
      </c>
      <c r="H46" s="228" t="s">
        <v>602</v>
      </c>
      <c r="I46" s="300">
        <v>43355</v>
      </c>
      <c r="J46" s="301">
        <v>3652</v>
      </c>
      <c r="K46" s="301">
        <v>2026</v>
      </c>
      <c r="L46" s="301">
        <v>1626</v>
      </c>
      <c r="M46" s="301">
        <v>2235</v>
      </c>
      <c r="N46" s="301">
        <v>18906.150684931505</v>
      </c>
      <c r="O46" s="301">
        <v>16897.150684931505</v>
      </c>
      <c r="P46" s="301">
        <v>1261</v>
      </c>
      <c r="Q46" s="301">
        <v>14662</v>
      </c>
      <c r="R46" s="313">
        <v>0</v>
      </c>
      <c r="S46" s="250">
        <v>0</v>
      </c>
      <c r="T46" s="250">
        <v>16897</v>
      </c>
      <c r="U46" s="250">
        <v>0.15068493150465656</v>
      </c>
    </row>
    <row r="47" spans="2:21" s="22" customFormat="1" ht="40.5">
      <c r="B47" s="15">
        <f t="shared" si="3"/>
        <v>6</v>
      </c>
      <c r="C47" s="249" t="s">
        <v>2810</v>
      </c>
      <c r="D47" s="15">
        <v>3</v>
      </c>
      <c r="E47" s="250">
        <v>125580</v>
      </c>
      <c r="F47" s="254">
        <v>294295296</v>
      </c>
      <c r="G47" s="233">
        <v>39962</v>
      </c>
      <c r="H47" s="228" t="s">
        <v>949</v>
      </c>
      <c r="I47" s="300">
        <v>43613</v>
      </c>
      <c r="J47" s="301">
        <v>3652</v>
      </c>
      <c r="K47" s="301">
        <v>1768</v>
      </c>
      <c r="L47" s="301">
        <v>1884</v>
      </c>
      <c r="M47" s="301">
        <v>6279</v>
      </c>
      <c r="N47" s="301">
        <v>61546</v>
      </c>
      <c r="O47" s="301">
        <v>55901</v>
      </c>
      <c r="P47" s="301">
        <v>1519</v>
      </c>
      <c r="Q47" s="301">
        <v>49622</v>
      </c>
      <c r="R47" s="313">
        <v>0</v>
      </c>
      <c r="S47" s="250">
        <v>0</v>
      </c>
      <c r="T47" s="250">
        <v>55901</v>
      </c>
      <c r="U47" s="250">
        <v>0</v>
      </c>
    </row>
    <row r="48" spans="2:21" s="22" customFormat="1" ht="27">
      <c r="B48" s="15">
        <f t="shared" si="3"/>
        <v>7</v>
      </c>
      <c r="C48" s="249" t="s">
        <v>2809</v>
      </c>
      <c r="D48" s="15">
        <v>1</v>
      </c>
      <c r="E48" s="250">
        <v>43360</v>
      </c>
      <c r="F48" s="254">
        <v>286</v>
      </c>
      <c r="G48" s="233">
        <v>39958</v>
      </c>
      <c r="H48" s="228" t="s">
        <v>949</v>
      </c>
      <c r="I48" s="300">
        <v>43609</v>
      </c>
      <c r="J48" s="301">
        <v>3652</v>
      </c>
      <c r="K48" s="301">
        <v>1772</v>
      </c>
      <c r="L48" s="301">
        <v>1880</v>
      </c>
      <c r="M48" s="301">
        <v>2168</v>
      </c>
      <c r="N48" s="301">
        <v>21207</v>
      </c>
      <c r="O48" s="301">
        <v>19258</v>
      </c>
      <c r="P48" s="301">
        <v>1515</v>
      </c>
      <c r="Q48" s="301">
        <v>17090</v>
      </c>
      <c r="R48" s="313">
        <v>0</v>
      </c>
      <c r="S48" s="250">
        <v>0</v>
      </c>
      <c r="T48" s="250">
        <v>19258</v>
      </c>
      <c r="U48" s="250">
        <v>0</v>
      </c>
    </row>
    <row r="49" spans="1:21" s="22" customFormat="1" ht="27">
      <c r="B49" s="15">
        <f t="shared" si="3"/>
        <v>8</v>
      </c>
      <c r="C49" s="249" t="s">
        <v>2808</v>
      </c>
      <c r="D49" s="15">
        <v>1</v>
      </c>
      <c r="E49" s="250">
        <v>43360</v>
      </c>
      <c r="F49" s="254">
        <v>289</v>
      </c>
      <c r="G49" s="233">
        <v>39958</v>
      </c>
      <c r="H49" s="228" t="s">
        <v>949</v>
      </c>
      <c r="I49" s="300">
        <v>43609</v>
      </c>
      <c r="J49" s="301">
        <v>3652</v>
      </c>
      <c r="K49" s="301">
        <v>1772</v>
      </c>
      <c r="L49" s="301">
        <v>1880</v>
      </c>
      <c r="M49" s="301">
        <v>2168</v>
      </c>
      <c r="N49" s="301">
        <v>21207</v>
      </c>
      <c r="O49" s="301">
        <v>19258</v>
      </c>
      <c r="P49" s="301">
        <v>1515</v>
      </c>
      <c r="Q49" s="301">
        <v>17090</v>
      </c>
      <c r="R49" s="313">
        <v>0</v>
      </c>
      <c r="S49" s="250">
        <v>0</v>
      </c>
      <c r="T49" s="250">
        <v>19258</v>
      </c>
      <c r="U49" s="250">
        <v>0</v>
      </c>
    </row>
    <row r="50" spans="1:21" s="22" customFormat="1" ht="27">
      <c r="B50" s="15">
        <f t="shared" si="3"/>
        <v>9</v>
      </c>
      <c r="C50" s="249" t="s">
        <v>4338</v>
      </c>
      <c r="D50" s="15">
        <v>1</v>
      </c>
      <c r="E50" s="250">
        <v>44058</v>
      </c>
      <c r="F50" s="254">
        <v>43381</v>
      </c>
      <c r="G50" s="233">
        <v>40206</v>
      </c>
      <c r="H50" s="228" t="s">
        <v>602</v>
      </c>
      <c r="I50" s="300">
        <v>43857</v>
      </c>
      <c r="J50" s="301">
        <v>3652</v>
      </c>
      <c r="K50" s="301">
        <v>1524</v>
      </c>
      <c r="L50" s="301">
        <v>2128</v>
      </c>
      <c r="M50" s="301">
        <v>2203</v>
      </c>
      <c r="N50" s="301">
        <v>24389</v>
      </c>
      <c r="O50" s="301">
        <v>22409</v>
      </c>
      <c r="P50" s="301">
        <v>1763</v>
      </c>
      <c r="Q50" s="301">
        <v>20206</v>
      </c>
      <c r="R50" s="313">
        <v>0</v>
      </c>
      <c r="S50" s="250">
        <v>0</v>
      </c>
      <c r="T50" s="250">
        <v>22409</v>
      </c>
      <c r="U50" s="250">
        <v>0</v>
      </c>
    </row>
    <row r="51" spans="1:21" s="22" customFormat="1" ht="27">
      <c r="B51" s="15">
        <f t="shared" si="3"/>
        <v>10</v>
      </c>
      <c r="C51" s="249" t="s">
        <v>4339</v>
      </c>
      <c r="D51" s="15">
        <v>1</v>
      </c>
      <c r="E51" s="250">
        <v>42954</v>
      </c>
      <c r="F51" s="254">
        <v>624</v>
      </c>
      <c r="G51" s="233">
        <v>40203</v>
      </c>
      <c r="H51" s="228" t="s">
        <v>949</v>
      </c>
      <c r="I51" s="300">
        <v>43854</v>
      </c>
      <c r="J51" s="301">
        <v>3652</v>
      </c>
      <c r="K51" s="301">
        <v>1527</v>
      </c>
      <c r="L51" s="301">
        <v>2125</v>
      </c>
      <c r="M51" s="301">
        <v>2148</v>
      </c>
      <c r="N51" s="301">
        <v>23743</v>
      </c>
      <c r="O51" s="301">
        <v>21813</v>
      </c>
      <c r="P51" s="301">
        <v>1760</v>
      </c>
      <c r="Q51" s="301">
        <v>19665</v>
      </c>
      <c r="R51" s="313">
        <v>0</v>
      </c>
      <c r="S51" s="250">
        <v>0</v>
      </c>
      <c r="T51" s="250">
        <v>21813</v>
      </c>
      <c r="U51" s="250">
        <v>0</v>
      </c>
    </row>
    <row r="52" spans="1:21" s="22" customFormat="1" ht="27">
      <c r="B52" s="15">
        <f t="shared" si="3"/>
        <v>11</v>
      </c>
      <c r="C52" s="249" t="s">
        <v>4340</v>
      </c>
      <c r="D52" s="15">
        <v>1</v>
      </c>
      <c r="E52" s="250">
        <v>42954</v>
      </c>
      <c r="F52" s="254">
        <v>623</v>
      </c>
      <c r="G52" s="233">
        <v>40203</v>
      </c>
      <c r="H52" s="228" t="s">
        <v>949</v>
      </c>
      <c r="I52" s="300">
        <v>43854</v>
      </c>
      <c r="J52" s="301">
        <v>3652</v>
      </c>
      <c r="K52" s="301">
        <v>1527</v>
      </c>
      <c r="L52" s="301">
        <v>2125</v>
      </c>
      <c r="M52" s="301">
        <v>2148</v>
      </c>
      <c r="N52" s="301">
        <v>23743</v>
      </c>
      <c r="O52" s="301">
        <v>21813</v>
      </c>
      <c r="P52" s="301">
        <v>1760</v>
      </c>
      <c r="Q52" s="301">
        <v>19665</v>
      </c>
      <c r="R52" s="313">
        <v>0</v>
      </c>
      <c r="S52" s="250">
        <v>0</v>
      </c>
      <c r="T52" s="250">
        <v>21813</v>
      </c>
      <c r="U52" s="250">
        <v>0</v>
      </c>
    </row>
    <row r="53" spans="1:21" s="22" customFormat="1" ht="27">
      <c r="B53" s="15">
        <f t="shared" si="3"/>
        <v>12</v>
      </c>
      <c r="C53" s="249" t="s">
        <v>4341</v>
      </c>
      <c r="D53" s="15">
        <v>1</v>
      </c>
      <c r="E53" s="250">
        <v>42954</v>
      </c>
      <c r="F53" s="254">
        <v>622</v>
      </c>
      <c r="G53" s="233">
        <v>40203</v>
      </c>
      <c r="H53" s="228" t="s">
        <v>949</v>
      </c>
      <c r="I53" s="300">
        <v>43854</v>
      </c>
      <c r="J53" s="301">
        <v>3652</v>
      </c>
      <c r="K53" s="301">
        <v>1527</v>
      </c>
      <c r="L53" s="301">
        <v>2125</v>
      </c>
      <c r="M53" s="301">
        <v>2148</v>
      </c>
      <c r="N53" s="301">
        <v>23743</v>
      </c>
      <c r="O53" s="301">
        <v>21813</v>
      </c>
      <c r="P53" s="301">
        <v>1760</v>
      </c>
      <c r="Q53" s="301">
        <v>19665</v>
      </c>
      <c r="R53" s="313">
        <v>0</v>
      </c>
      <c r="S53" s="250">
        <v>0</v>
      </c>
      <c r="T53" s="250">
        <v>21813</v>
      </c>
      <c r="U53" s="250">
        <v>0</v>
      </c>
    </row>
    <row r="54" spans="1:21" s="22" customFormat="1">
      <c r="A54" s="31"/>
      <c r="B54" s="15">
        <f t="shared" si="3"/>
        <v>13</v>
      </c>
      <c r="C54" s="249" t="s">
        <v>2286</v>
      </c>
      <c r="D54" s="15">
        <v>1</v>
      </c>
      <c r="E54" s="250">
        <v>51997</v>
      </c>
      <c r="F54" s="254" t="s">
        <v>1019</v>
      </c>
      <c r="G54" s="233">
        <v>40221</v>
      </c>
      <c r="H54" s="228" t="s">
        <v>161</v>
      </c>
      <c r="I54" s="300">
        <v>43872</v>
      </c>
      <c r="J54" s="301">
        <v>3652</v>
      </c>
      <c r="K54" s="301">
        <v>1509</v>
      </c>
      <c r="L54" s="301">
        <v>2143</v>
      </c>
      <c r="M54" s="301">
        <v>2600</v>
      </c>
      <c r="N54" s="301">
        <v>28987</v>
      </c>
      <c r="O54" s="301">
        <v>26650</v>
      </c>
      <c r="P54" s="301">
        <v>1778</v>
      </c>
      <c r="Q54" s="301">
        <v>24050</v>
      </c>
      <c r="R54" s="313">
        <v>0</v>
      </c>
      <c r="S54" s="250">
        <v>0</v>
      </c>
      <c r="T54" s="250">
        <v>26650</v>
      </c>
      <c r="U54" s="250">
        <v>0</v>
      </c>
    </row>
    <row r="55" spans="1:21" s="22" customFormat="1" ht="27">
      <c r="A55" s="31"/>
      <c r="B55" s="15">
        <f t="shared" si="3"/>
        <v>14</v>
      </c>
      <c r="C55" s="249" t="s">
        <v>4535</v>
      </c>
      <c r="D55" s="15">
        <v>1</v>
      </c>
      <c r="E55" s="250">
        <v>30100</v>
      </c>
      <c r="F55" s="254" t="s">
        <v>1359</v>
      </c>
      <c r="G55" s="233">
        <v>40778</v>
      </c>
      <c r="H55" s="228" t="s">
        <v>282</v>
      </c>
      <c r="I55" s="300">
        <v>44430</v>
      </c>
      <c r="J55" s="301">
        <v>3653</v>
      </c>
      <c r="K55" s="301">
        <v>952</v>
      </c>
      <c r="L55" s="301">
        <v>2701</v>
      </c>
      <c r="M55" s="301">
        <v>1505</v>
      </c>
      <c r="N55" s="301">
        <v>21140</v>
      </c>
      <c r="O55" s="301">
        <v>19788</v>
      </c>
      <c r="P55" s="301">
        <v>2336</v>
      </c>
      <c r="Q55" s="301">
        <v>18283</v>
      </c>
      <c r="R55" s="376">
        <v>144</v>
      </c>
      <c r="S55" s="250">
        <v>2630</v>
      </c>
      <c r="T55" s="250">
        <v>19788</v>
      </c>
      <c r="U55" s="250">
        <v>0</v>
      </c>
    </row>
    <row r="56" spans="1:21" s="22" customFormat="1" ht="54">
      <c r="A56" s="31"/>
      <c r="B56" s="15">
        <f t="shared" si="3"/>
        <v>15</v>
      </c>
      <c r="C56" s="249" t="s">
        <v>4335</v>
      </c>
      <c r="D56" s="15">
        <v>4</v>
      </c>
      <c r="E56" s="250">
        <v>158636</v>
      </c>
      <c r="F56" s="254" t="s">
        <v>1691</v>
      </c>
      <c r="G56" s="233">
        <v>40921</v>
      </c>
      <c r="H56" s="228" t="s">
        <v>368</v>
      </c>
      <c r="I56" s="300">
        <v>44573</v>
      </c>
      <c r="J56" s="301">
        <v>3653</v>
      </c>
      <c r="K56" s="301">
        <v>809</v>
      </c>
      <c r="L56" s="301">
        <v>2844</v>
      </c>
      <c r="M56" s="301">
        <v>7932</v>
      </c>
      <c r="N56" s="301">
        <v>117311</v>
      </c>
      <c r="O56" s="301">
        <v>110187</v>
      </c>
      <c r="P56" s="301">
        <v>2479</v>
      </c>
      <c r="Q56" s="301">
        <v>102255</v>
      </c>
      <c r="R56" s="376">
        <v>287</v>
      </c>
      <c r="S56" s="250">
        <v>19769</v>
      </c>
      <c r="T56" s="250">
        <v>110187</v>
      </c>
      <c r="U56" s="250">
        <v>0</v>
      </c>
    </row>
    <row r="57" spans="1:21" s="22" customFormat="1" ht="40.5">
      <c r="A57" s="31"/>
      <c r="B57" s="15">
        <f t="shared" si="3"/>
        <v>16</v>
      </c>
      <c r="C57" s="249" t="s">
        <v>4081</v>
      </c>
      <c r="D57" s="15">
        <v>4</v>
      </c>
      <c r="E57" s="250">
        <v>4484</v>
      </c>
      <c r="F57" s="254" t="s">
        <v>42</v>
      </c>
      <c r="G57" s="233">
        <v>40921</v>
      </c>
      <c r="H57" s="228" t="s">
        <v>368</v>
      </c>
      <c r="I57" s="300">
        <v>44573</v>
      </c>
      <c r="J57" s="301">
        <v>3653</v>
      </c>
      <c r="K57" s="301">
        <v>809</v>
      </c>
      <c r="L57" s="301">
        <v>2844</v>
      </c>
      <c r="M57" s="301">
        <v>224</v>
      </c>
      <c r="N57" s="301">
        <v>3316</v>
      </c>
      <c r="O57" s="301">
        <v>3114</v>
      </c>
      <c r="P57" s="301">
        <v>2479</v>
      </c>
      <c r="Q57" s="301">
        <v>2890</v>
      </c>
      <c r="R57" s="376">
        <v>287</v>
      </c>
      <c r="S57" s="250">
        <v>556</v>
      </c>
      <c r="T57" s="250">
        <v>3114</v>
      </c>
      <c r="U57" s="250">
        <v>0</v>
      </c>
    </row>
    <row r="58" spans="1:21" s="22" customFormat="1" ht="67.5">
      <c r="A58" s="31"/>
      <c r="B58" s="15">
        <f t="shared" si="3"/>
        <v>17</v>
      </c>
      <c r="C58" s="249" t="s">
        <v>1917</v>
      </c>
      <c r="D58" s="15">
        <v>1</v>
      </c>
      <c r="E58" s="250">
        <f>59247-5</f>
        <v>59242</v>
      </c>
      <c r="F58" s="254" t="s">
        <v>1913</v>
      </c>
      <c r="G58" s="233">
        <v>41091</v>
      </c>
      <c r="H58" s="249" t="s">
        <v>895</v>
      </c>
      <c r="I58" s="300">
        <v>44742</v>
      </c>
      <c r="J58" s="301">
        <v>3652</v>
      </c>
      <c r="K58" s="301">
        <v>639</v>
      </c>
      <c r="L58" s="301">
        <v>3013</v>
      </c>
      <c r="M58" s="301">
        <v>2962</v>
      </c>
      <c r="N58" s="301">
        <v>46427</v>
      </c>
      <c r="O58" s="301">
        <v>43765</v>
      </c>
      <c r="P58" s="301">
        <v>2648</v>
      </c>
      <c r="Q58" s="301">
        <v>40803</v>
      </c>
      <c r="R58" s="376">
        <v>365</v>
      </c>
      <c r="S58" s="250">
        <v>5624</v>
      </c>
      <c r="T58" s="250">
        <v>39400</v>
      </c>
      <c r="U58" s="250">
        <v>4365</v>
      </c>
    </row>
    <row r="59" spans="1:21" s="22" customFormat="1" ht="14.25">
      <c r="B59" s="32" t="s">
        <v>500</v>
      </c>
      <c r="C59" s="228"/>
      <c r="D59" s="228"/>
      <c r="E59" s="250"/>
      <c r="F59" s="230"/>
      <c r="G59" s="230"/>
      <c r="H59" s="228"/>
      <c r="I59" s="301"/>
      <c r="J59" s="301"/>
      <c r="K59" s="301"/>
      <c r="L59" s="301"/>
      <c r="M59" s="301"/>
      <c r="N59" s="301"/>
      <c r="O59" s="301"/>
      <c r="P59" s="288"/>
      <c r="Q59" s="288"/>
      <c r="R59" s="228"/>
      <c r="S59" s="250"/>
      <c r="T59" s="250"/>
      <c r="U59" s="250"/>
    </row>
    <row r="60" spans="1:21" s="22" customFormat="1">
      <c r="B60" s="15">
        <v>1</v>
      </c>
      <c r="C60" s="228" t="s">
        <v>947</v>
      </c>
      <c r="D60" s="15">
        <v>1</v>
      </c>
      <c r="E60" s="320">
        <v>2700</v>
      </c>
      <c r="F60" s="230"/>
      <c r="G60" s="233">
        <v>40046</v>
      </c>
      <c r="H60" s="228" t="s">
        <v>161</v>
      </c>
      <c r="I60" s="378">
        <v>0</v>
      </c>
      <c r="J60" s="378">
        <v>0</v>
      </c>
      <c r="K60" s="301">
        <v>0</v>
      </c>
      <c r="L60" s="301">
        <v>0</v>
      </c>
      <c r="M60" s="301">
        <v>0</v>
      </c>
      <c r="N60" s="301">
        <v>0</v>
      </c>
      <c r="O60" s="301">
        <v>0</v>
      </c>
      <c r="P60" s="301">
        <v>0</v>
      </c>
      <c r="Q60" s="301">
        <v>-135</v>
      </c>
      <c r="R60" s="313">
        <v>0</v>
      </c>
      <c r="S60" s="250">
        <v>0</v>
      </c>
      <c r="T60" s="250">
        <v>0</v>
      </c>
      <c r="U60" s="250">
        <v>0</v>
      </c>
    </row>
    <row r="61" spans="1:21" s="22" customFormat="1" ht="27">
      <c r="B61" s="15">
        <f>+B60+1</f>
        <v>2</v>
      </c>
      <c r="C61" s="228" t="s">
        <v>1151</v>
      </c>
      <c r="D61" s="15">
        <v>1</v>
      </c>
      <c r="E61" s="250">
        <v>3150</v>
      </c>
      <c r="F61" s="230" t="s">
        <v>1152</v>
      </c>
      <c r="G61" s="233">
        <v>40686</v>
      </c>
      <c r="H61" s="228" t="s">
        <v>368</v>
      </c>
      <c r="I61" s="378">
        <v>0</v>
      </c>
      <c r="J61" s="378">
        <v>0</v>
      </c>
      <c r="K61" s="301">
        <v>0</v>
      </c>
      <c r="L61" s="301">
        <v>0</v>
      </c>
      <c r="M61" s="301">
        <v>0</v>
      </c>
      <c r="N61" s="301">
        <v>0</v>
      </c>
      <c r="O61" s="301">
        <v>0</v>
      </c>
      <c r="P61" s="301">
        <v>0</v>
      </c>
      <c r="Q61" s="301">
        <v>-158</v>
      </c>
      <c r="R61" s="313">
        <v>0</v>
      </c>
      <c r="S61" s="250">
        <v>0</v>
      </c>
      <c r="T61" s="250">
        <v>0</v>
      </c>
      <c r="U61" s="250">
        <v>0</v>
      </c>
    </row>
    <row r="62" spans="1:21" s="22" customFormat="1">
      <c r="B62" s="15">
        <f>+B61+1</f>
        <v>3</v>
      </c>
      <c r="C62" s="228" t="s">
        <v>1151</v>
      </c>
      <c r="D62" s="15">
        <v>1</v>
      </c>
      <c r="E62" s="250">
        <v>2800</v>
      </c>
      <c r="F62" s="230" t="s">
        <v>42</v>
      </c>
      <c r="G62" s="233">
        <v>40722</v>
      </c>
      <c r="H62" s="228" t="s">
        <v>1132</v>
      </c>
      <c r="I62" s="378">
        <v>0</v>
      </c>
      <c r="J62" s="378">
        <v>0</v>
      </c>
      <c r="K62" s="301">
        <v>0</v>
      </c>
      <c r="L62" s="301">
        <v>0</v>
      </c>
      <c r="M62" s="301">
        <v>0</v>
      </c>
      <c r="N62" s="301">
        <v>0</v>
      </c>
      <c r="O62" s="301">
        <v>0</v>
      </c>
      <c r="P62" s="301">
        <v>0</v>
      </c>
      <c r="Q62" s="301">
        <v>-140</v>
      </c>
      <c r="R62" s="313">
        <v>0</v>
      </c>
      <c r="S62" s="250">
        <v>0</v>
      </c>
      <c r="T62" s="250">
        <v>0</v>
      </c>
      <c r="U62" s="250">
        <v>0</v>
      </c>
    </row>
    <row r="63" spans="1:21" s="22" customFormat="1" ht="40.5">
      <c r="B63" s="15">
        <f>+B62+1</f>
        <v>4</v>
      </c>
      <c r="C63" s="228" t="s">
        <v>3909</v>
      </c>
      <c r="D63" s="15">
        <v>1</v>
      </c>
      <c r="E63" s="250">
        <v>7000</v>
      </c>
      <c r="F63" s="230" t="s">
        <v>3910</v>
      </c>
      <c r="G63" s="233">
        <v>42579</v>
      </c>
      <c r="H63" s="228" t="s">
        <v>368</v>
      </c>
      <c r="I63" s="300">
        <v>46230</v>
      </c>
      <c r="J63" s="301">
        <v>3652</v>
      </c>
      <c r="K63" s="301"/>
      <c r="L63" s="301">
        <v>3652</v>
      </c>
      <c r="M63" s="301">
        <v>350</v>
      </c>
      <c r="N63" s="301">
        <v>6650</v>
      </c>
      <c r="O63" s="301">
        <v>7000</v>
      </c>
      <c r="P63" s="301">
        <v>3652</v>
      </c>
      <c r="Q63" s="301">
        <v>6650</v>
      </c>
      <c r="R63" s="313">
        <v>0</v>
      </c>
      <c r="S63" s="250">
        <v>0</v>
      </c>
      <c r="T63" s="250">
        <v>7000</v>
      </c>
      <c r="U63" s="250">
        <v>0</v>
      </c>
    </row>
    <row r="64" spans="1:21" s="22" customFormat="1" ht="27">
      <c r="B64" s="15">
        <v>5</v>
      </c>
      <c r="C64" s="228" t="s">
        <v>4575</v>
      </c>
      <c r="D64" s="230">
        <v>1</v>
      </c>
      <c r="E64" s="250">
        <v>5880</v>
      </c>
      <c r="F64" s="230" t="s">
        <v>4576</v>
      </c>
      <c r="G64" s="233">
        <v>44351</v>
      </c>
      <c r="H64" s="276" t="s">
        <v>368</v>
      </c>
      <c r="I64" s="270">
        <v>44377</v>
      </c>
      <c r="J64" s="242">
        <v>27</v>
      </c>
      <c r="K64" s="242">
        <v>0</v>
      </c>
      <c r="L64" s="242">
        <v>27</v>
      </c>
      <c r="M64" s="242">
        <v>294</v>
      </c>
      <c r="N64" s="242">
        <v>5586</v>
      </c>
      <c r="O64" s="301">
        <v>5880</v>
      </c>
      <c r="P64" s="301"/>
      <c r="Q64" s="301"/>
      <c r="R64" s="376">
        <v>27</v>
      </c>
      <c r="S64" s="250">
        <v>5880</v>
      </c>
      <c r="T64" s="250">
        <v>5880</v>
      </c>
      <c r="U64" s="250">
        <v>0</v>
      </c>
    </row>
    <row r="65" spans="2:21" s="22" customFormat="1" ht="14.25">
      <c r="B65" s="32"/>
      <c r="C65" s="32"/>
      <c r="D65" s="32"/>
      <c r="E65" s="35"/>
      <c r="F65" s="15"/>
      <c r="G65" s="15"/>
      <c r="H65" s="25"/>
      <c r="I65" s="201"/>
      <c r="J65" s="201"/>
      <c r="K65" s="201"/>
      <c r="L65" s="201"/>
      <c r="M65" s="201"/>
      <c r="N65" s="201"/>
      <c r="O65" s="201"/>
      <c r="P65" s="59"/>
      <c r="Q65" s="59"/>
      <c r="R65" s="69"/>
      <c r="S65" s="35"/>
      <c r="T65" s="35"/>
      <c r="U65" s="35"/>
    </row>
    <row r="66" spans="2:21">
      <c r="B66" s="133"/>
      <c r="C66" s="256"/>
      <c r="D66" s="256"/>
      <c r="E66" s="134"/>
      <c r="F66" s="256"/>
      <c r="G66" s="133"/>
      <c r="H66" s="256"/>
      <c r="I66" s="149"/>
      <c r="J66" s="149"/>
      <c r="K66" s="149"/>
      <c r="L66" s="149"/>
      <c r="M66" s="149"/>
      <c r="N66" s="149"/>
      <c r="O66" s="148"/>
      <c r="P66" s="148"/>
      <c r="Q66" s="148"/>
      <c r="R66" s="133"/>
      <c r="S66" s="134"/>
      <c r="T66" s="134"/>
      <c r="U66" s="134"/>
    </row>
    <row r="67" spans="2:21" ht="15" thickBot="1">
      <c r="B67" s="168"/>
      <c r="C67" s="222" t="s">
        <v>915</v>
      </c>
      <c r="D67" s="489"/>
      <c r="E67" s="358">
        <f>SUBTOTAL(9,E6:E66)</f>
        <v>22004513.140000001</v>
      </c>
      <c r="F67" s="257"/>
      <c r="G67" s="168"/>
      <c r="H67" s="221"/>
      <c r="I67" s="374"/>
      <c r="J67" s="374"/>
      <c r="K67" s="374"/>
      <c r="L67" s="374"/>
      <c r="M67" s="374"/>
      <c r="N67" s="374"/>
      <c r="O67" s="328">
        <f>SUM(O6:O66)</f>
        <v>17072232.239452053</v>
      </c>
      <c r="P67" s="328"/>
      <c r="Q67" s="328"/>
      <c r="R67" s="357"/>
      <c r="S67" s="358">
        <f>SUBTOTAL(9,S6:S66)</f>
        <v>1837547</v>
      </c>
      <c r="T67" s="358">
        <f>SUBTOTAL(9,T6:T66)</f>
        <v>11694552</v>
      </c>
      <c r="U67" s="358">
        <f>SUBTOTAL(9,U6:U66)</f>
        <v>5377682.2394520547</v>
      </c>
    </row>
    <row r="68" spans="2:21" ht="14.25" thickTop="1">
      <c r="E68" s="3">
        <f>22004513.14-E67</f>
        <v>0</v>
      </c>
      <c r="O68" s="4">
        <f>12319269.2394521+4752963-O67</f>
        <v>4.8428773880004883E-8</v>
      </c>
      <c r="S68" s="3">
        <f>1268337+569210-S67</f>
        <v>0</v>
      </c>
      <c r="T68" s="3">
        <f>10449779+1244773-T67</f>
        <v>0</v>
      </c>
      <c r="U68" s="155">
        <f>1869492.23945205+3508190-U67</f>
        <v>0</v>
      </c>
    </row>
  </sheetData>
  <autoFilter ref="A5:Q66"/>
  <mergeCells count="2">
    <mergeCell ref="R3:U3"/>
    <mergeCell ref="R4:U4"/>
  </mergeCells>
  <phoneticPr fontId="43" type="noConversion"/>
  <printOptions horizontalCentered="1"/>
  <pageMargins left="0" right="0" top="0.25" bottom="0" header="0.5" footer="0.5"/>
  <pageSetup paperSize="9" scale="6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28"/>
  <sheetViews>
    <sheetView zoomScaleNormal="100" workbookViewId="0">
      <pane xSplit="2" ySplit="5" topLeftCell="C123" activePane="bottomRight" state="frozen"/>
      <selection pane="topRight" activeCell="F1" sqref="F1"/>
      <selection pane="bottomLeft" activeCell="A6" sqref="A6"/>
      <selection pane="bottomRight" activeCell="E123" sqref="E123:E776"/>
    </sheetView>
  </sheetViews>
  <sheetFormatPr defaultColWidth="9" defaultRowHeight="13.5"/>
  <cols>
    <col min="1" max="1" width="3.75" style="22" customWidth="1"/>
    <col min="2" max="2" width="4.875" style="22" customWidth="1"/>
    <col min="3" max="3" width="37.625" style="22" customWidth="1"/>
    <col min="4" max="4" width="5.75" style="9" customWidth="1"/>
    <col min="5" max="5" width="10.75" style="11" customWidth="1"/>
    <col min="6" max="6" width="24" style="139" customWidth="1"/>
    <col min="7" max="7" width="9.125" style="22" customWidth="1"/>
    <col min="8" max="8" width="10.75" style="20" customWidth="1"/>
    <col min="9" max="9" width="7.75" style="22" customWidth="1"/>
    <col min="10" max="10" width="7.25" style="22" customWidth="1"/>
    <col min="11" max="11" width="7.5" style="22" customWidth="1"/>
    <col min="12" max="12" width="5.875" style="22" customWidth="1"/>
    <col min="13" max="13" width="9" style="22" customWidth="1"/>
    <col min="14" max="14" width="8.875" style="22" customWidth="1"/>
    <col min="15" max="15" width="8" style="11" customWidth="1"/>
    <col min="16" max="16" width="11.375" style="22" customWidth="1"/>
    <col min="17" max="17" width="8.25" style="22" customWidth="1"/>
    <col min="18" max="18" width="9.25" style="11" customWidth="1"/>
    <col min="19" max="19" width="4.5" style="22" customWidth="1"/>
    <col min="20" max="20" width="8.875" style="11" customWidth="1"/>
    <col min="21" max="21" width="10.125" style="11" customWidth="1"/>
    <col min="22" max="22" width="8.125" style="11" bestFit="1" customWidth="1"/>
    <col min="23" max="16384" width="9" style="22"/>
  </cols>
  <sheetData>
    <row r="1" spans="1:22">
      <c r="A1" s="42"/>
      <c r="B1" s="42"/>
      <c r="C1" s="42"/>
      <c r="D1" s="220"/>
      <c r="F1" s="354"/>
      <c r="G1" s="42"/>
      <c r="H1" s="219"/>
      <c r="I1" s="111"/>
      <c r="J1" s="263"/>
    </row>
    <row r="2" spans="1:22" ht="14.25">
      <c r="B2" s="151" t="s">
        <v>436</v>
      </c>
      <c r="I2" s="111"/>
      <c r="J2" s="263"/>
      <c r="U2" s="355"/>
    </row>
    <row r="3" spans="1:22" ht="14.25">
      <c r="I3" s="9"/>
      <c r="J3" s="5"/>
      <c r="K3" s="5"/>
      <c r="L3" s="5"/>
      <c r="M3" s="5"/>
      <c r="N3" s="5"/>
      <c r="O3" s="3"/>
      <c r="S3" s="619">
        <v>44651</v>
      </c>
      <c r="T3" s="620"/>
      <c r="U3" s="620"/>
      <c r="V3" s="620"/>
    </row>
    <row r="4" spans="1:22" ht="14.25">
      <c r="B4" s="151" t="s">
        <v>4648</v>
      </c>
      <c r="I4" s="81"/>
      <c r="J4" s="81"/>
      <c r="K4" s="81"/>
      <c r="L4" s="81"/>
      <c r="M4" s="81"/>
      <c r="N4" s="81"/>
      <c r="O4" s="163"/>
      <c r="S4" s="610" t="s">
        <v>4569</v>
      </c>
      <c r="T4" s="610"/>
      <c r="U4" s="610"/>
      <c r="V4" s="610"/>
    </row>
    <row r="5" spans="1:22" s="115" customFormat="1" ht="51">
      <c r="B5" s="95" t="s">
        <v>56</v>
      </c>
      <c r="C5" s="95" t="s">
        <v>397</v>
      </c>
      <c r="D5" s="95" t="s">
        <v>398</v>
      </c>
      <c r="E5" s="116" t="s">
        <v>2623</v>
      </c>
      <c r="F5" s="95" t="s">
        <v>400</v>
      </c>
      <c r="G5" s="95" t="s">
        <v>401</v>
      </c>
      <c r="H5" s="95" t="s">
        <v>402</v>
      </c>
      <c r="I5" s="206" t="s">
        <v>2471</v>
      </c>
      <c r="J5" s="206" t="s">
        <v>2470</v>
      </c>
      <c r="K5" s="206" t="s">
        <v>2468</v>
      </c>
      <c r="L5" s="206" t="s">
        <v>2469</v>
      </c>
      <c r="M5" s="206" t="s">
        <v>2473</v>
      </c>
      <c r="N5" s="206" t="s">
        <v>2472</v>
      </c>
      <c r="O5" s="207" t="s">
        <v>2475</v>
      </c>
      <c r="P5" s="191" t="s">
        <v>4050</v>
      </c>
      <c r="Q5" s="192" t="s">
        <v>3883</v>
      </c>
      <c r="R5" s="200" t="s">
        <v>3024</v>
      </c>
      <c r="S5" s="117" t="s">
        <v>403</v>
      </c>
      <c r="T5" s="117" t="s">
        <v>405</v>
      </c>
      <c r="U5" s="117" t="s">
        <v>3886</v>
      </c>
      <c r="V5" s="117" t="s">
        <v>404</v>
      </c>
    </row>
    <row r="6" spans="1:22" ht="14.25">
      <c r="B6" s="32" t="s">
        <v>626</v>
      </c>
      <c r="C6" s="96"/>
      <c r="D6" s="96"/>
      <c r="E6" s="33"/>
      <c r="F6" s="43"/>
      <c r="G6" s="96"/>
      <c r="H6" s="96"/>
      <c r="I6" s="59"/>
      <c r="J6" s="18" t="s">
        <v>2229</v>
      </c>
      <c r="K6" s="18" t="s">
        <v>2229</v>
      </c>
      <c r="L6" s="18" t="s">
        <v>2229</v>
      </c>
      <c r="M6" s="18" t="s">
        <v>2478</v>
      </c>
      <c r="N6" s="18" t="s">
        <v>2478</v>
      </c>
      <c r="O6" s="150" t="s">
        <v>2478</v>
      </c>
      <c r="P6" s="59"/>
      <c r="Q6" s="59"/>
      <c r="R6" s="75"/>
      <c r="S6" s="25"/>
      <c r="T6" s="24"/>
      <c r="U6" s="24"/>
      <c r="V6" s="24"/>
    </row>
    <row r="7" spans="1:22" ht="14.25">
      <c r="A7" s="42"/>
      <c r="B7" s="32" t="s">
        <v>281</v>
      </c>
      <c r="C7" s="27"/>
      <c r="D7" s="26"/>
      <c r="E7" s="24"/>
      <c r="F7" s="97"/>
      <c r="G7" s="96"/>
      <c r="H7" s="27"/>
      <c r="I7" s="201"/>
      <c r="J7" s="201"/>
      <c r="K7" s="201"/>
      <c r="L7" s="201"/>
      <c r="M7" s="201"/>
      <c r="N7" s="201"/>
      <c r="O7" s="75"/>
      <c r="P7" s="201"/>
      <c r="Q7" s="201"/>
      <c r="R7" s="75"/>
      <c r="S7" s="25"/>
      <c r="T7" s="24"/>
      <c r="U7" s="24"/>
      <c r="V7" s="24"/>
    </row>
    <row r="8" spans="1:22">
      <c r="A8" s="9"/>
      <c r="B8" s="15">
        <v>1</v>
      </c>
      <c r="C8" s="249" t="s">
        <v>283</v>
      </c>
      <c r="D8" s="254">
        <v>1</v>
      </c>
      <c r="E8" s="250">
        <v>29501</v>
      </c>
      <c r="F8" s="275">
        <v>81024</v>
      </c>
      <c r="G8" s="233">
        <v>39745</v>
      </c>
      <c r="H8" s="239" t="s">
        <v>4366</v>
      </c>
      <c r="I8" s="300">
        <v>41570</v>
      </c>
      <c r="J8" s="301">
        <v>1826</v>
      </c>
      <c r="K8" s="301">
        <v>1985</v>
      </c>
      <c r="L8" s="301">
        <v>-159</v>
      </c>
      <c r="M8" s="301">
        <v>1475</v>
      </c>
      <c r="N8" s="301">
        <v>0</v>
      </c>
      <c r="O8" s="292">
        <v>21887</v>
      </c>
      <c r="P8" s="301">
        <v>-0.42822602739761351</v>
      </c>
      <c r="Q8" s="301">
        <v>-159</v>
      </c>
      <c r="R8" s="292">
        <v>-1475</v>
      </c>
      <c r="S8" s="251">
        <v>0</v>
      </c>
      <c r="T8" s="250">
        <v>0</v>
      </c>
      <c r="U8" s="250">
        <v>0</v>
      </c>
      <c r="V8" s="250">
        <v>-0.42822602739761351</v>
      </c>
    </row>
    <row r="9" spans="1:22" ht="14.25">
      <c r="A9" s="42"/>
      <c r="B9" s="107" t="s">
        <v>199</v>
      </c>
      <c r="C9" s="229"/>
      <c r="D9" s="313"/>
      <c r="E9" s="250"/>
      <c r="F9" s="364"/>
      <c r="G9" s="229"/>
      <c r="H9" s="241"/>
      <c r="I9" s="301"/>
      <c r="J9" s="301"/>
      <c r="K9" s="301"/>
      <c r="L9" s="301"/>
      <c r="M9" s="301"/>
      <c r="N9" s="301"/>
      <c r="O9" s="292"/>
      <c r="P9" s="301">
        <v>0</v>
      </c>
      <c r="Q9" s="301"/>
      <c r="R9" s="292"/>
      <c r="S9" s="272"/>
      <c r="T9" s="250"/>
      <c r="U9" s="250"/>
      <c r="V9" s="250"/>
    </row>
    <row r="10" spans="1:22" ht="40.5">
      <c r="B10" s="39">
        <v>1</v>
      </c>
      <c r="C10" s="249" t="s">
        <v>82</v>
      </c>
      <c r="D10" s="254">
        <f>17+3+34+3</f>
        <v>57</v>
      </c>
      <c r="E10" s="250">
        <v>36275</v>
      </c>
      <c r="F10" s="364" t="s">
        <v>83</v>
      </c>
      <c r="G10" s="233">
        <v>40310</v>
      </c>
      <c r="H10" s="228" t="s">
        <v>368</v>
      </c>
      <c r="I10" s="301">
        <v>0</v>
      </c>
      <c r="J10" s="301">
        <v>0</v>
      </c>
      <c r="K10" s="301">
        <v>0</v>
      </c>
      <c r="L10" s="301">
        <v>0</v>
      </c>
      <c r="M10" s="301">
        <v>0</v>
      </c>
      <c r="N10" s="301">
        <v>0</v>
      </c>
      <c r="O10" s="292">
        <v>0</v>
      </c>
      <c r="P10" s="301">
        <v>0</v>
      </c>
      <c r="Q10" s="301">
        <v>0</v>
      </c>
      <c r="R10" s="292"/>
      <c r="S10" s="251">
        <v>0</v>
      </c>
      <c r="T10" s="250">
        <v>0</v>
      </c>
      <c r="U10" s="250">
        <v>0</v>
      </c>
      <c r="V10" s="250">
        <v>0</v>
      </c>
    </row>
    <row r="11" spans="1:22" ht="27">
      <c r="B11" s="39">
        <v>2</v>
      </c>
      <c r="C11" s="249" t="s">
        <v>367</v>
      </c>
      <c r="D11" s="254">
        <v>1</v>
      </c>
      <c r="E11" s="250">
        <v>25926</v>
      </c>
      <c r="F11" s="365" t="s">
        <v>81</v>
      </c>
      <c r="G11" s="233">
        <v>40354</v>
      </c>
      <c r="H11" s="228" t="s">
        <v>368</v>
      </c>
      <c r="I11" s="300">
        <v>42179</v>
      </c>
      <c r="J11" s="301">
        <v>1826</v>
      </c>
      <c r="K11" s="301">
        <v>1376</v>
      </c>
      <c r="L11" s="301">
        <v>450</v>
      </c>
      <c r="M11" s="301">
        <v>1296</v>
      </c>
      <c r="N11" s="301">
        <v>19991</v>
      </c>
      <c r="O11" s="292">
        <v>0</v>
      </c>
      <c r="P11" s="301">
        <v>5072</v>
      </c>
      <c r="Q11" s="301">
        <v>85</v>
      </c>
      <c r="R11" s="292">
        <v>3776</v>
      </c>
      <c r="S11" s="251">
        <v>0</v>
      </c>
      <c r="T11" s="250">
        <v>0</v>
      </c>
      <c r="U11" s="250">
        <v>5072</v>
      </c>
      <c r="V11" s="250">
        <v>0</v>
      </c>
    </row>
    <row r="12" spans="1:22">
      <c r="B12" s="39">
        <v>3</v>
      </c>
      <c r="C12" s="249" t="s">
        <v>780</v>
      </c>
      <c r="D12" s="254">
        <v>1</v>
      </c>
      <c r="E12" s="250">
        <v>325500</v>
      </c>
      <c r="F12" s="364" t="s">
        <v>781</v>
      </c>
      <c r="G12" s="233">
        <v>40493</v>
      </c>
      <c r="H12" s="228" t="s">
        <v>368</v>
      </c>
      <c r="I12" s="300">
        <v>42318</v>
      </c>
      <c r="J12" s="301">
        <v>1826</v>
      </c>
      <c r="K12" s="301">
        <v>1237</v>
      </c>
      <c r="L12" s="301">
        <v>589</v>
      </c>
      <c r="M12" s="301">
        <v>16275</v>
      </c>
      <c r="N12" s="301">
        <v>256870</v>
      </c>
      <c r="O12" s="292">
        <v>0</v>
      </c>
      <c r="P12" s="301">
        <v>113964</v>
      </c>
      <c r="Q12" s="301">
        <v>224</v>
      </c>
      <c r="R12" s="292">
        <v>97689</v>
      </c>
      <c r="S12" s="251">
        <v>0</v>
      </c>
      <c r="T12" s="250">
        <v>0</v>
      </c>
      <c r="U12" s="250">
        <v>113964</v>
      </c>
      <c r="V12" s="250">
        <v>0</v>
      </c>
    </row>
    <row r="13" spans="1:22" ht="54">
      <c r="B13" s="39">
        <v>1</v>
      </c>
      <c r="C13" s="249" t="s">
        <v>1179</v>
      </c>
      <c r="D13" s="254">
        <v>2</v>
      </c>
      <c r="E13" s="250">
        <v>128500</v>
      </c>
      <c r="F13" s="254" t="s">
        <v>1180</v>
      </c>
      <c r="G13" s="233">
        <v>40722</v>
      </c>
      <c r="H13" s="239" t="s">
        <v>4366</v>
      </c>
      <c r="I13" s="300">
        <v>42548</v>
      </c>
      <c r="J13" s="301">
        <v>1827</v>
      </c>
      <c r="K13" s="301">
        <v>1008</v>
      </c>
      <c r="L13" s="301">
        <v>819</v>
      </c>
      <c r="M13" s="301">
        <v>6425</v>
      </c>
      <c r="N13" s="301">
        <v>105231</v>
      </c>
      <c r="O13" s="292">
        <v>0</v>
      </c>
      <c r="P13" s="301">
        <v>64758</v>
      </c>
      <c r="Q13" s="301">
        <v>454</v>
      </c>
      <c r="R13" s="292">
        <v>58333</v>
      </c>
      <c r="S13" s="251">
        <v>0</v>
      </c>
      <c r="T13" s="250">
        <v>0</v>
      </c>
      <c r="U13" s="250">
        <v>64758</v>
      </c>
      <c r="V13" s="250">
        <v>0</v>
      </c>
    </row>
    <row r="14" spans="1:22">
      <c r="B14" s="39">
        <v>2</v>
      </c>
      <c r="C14" s="249" t="s">
        <v>1206</v>
      </c>
      <c r="D14" s="254" t="s">
        <v>314</v>
      </c>
      <c r="E14" s="250">
        <v>98425</v>
      </c>
      <c r="F14" s="254" t="s">
        <v>1207</v>
      </c>
      <c r="G14" s="233">
        <v>40634</v>
      </c>
      <c r="H14" s="228" t="s">
        <v>368</v>
      </c>
      <c r="I14" s="300">
        <v>42460</v>
      </c>
      <c r="J14" s="301">
        <v>1827</v>
      </c>
      <c r="K14" s="301">
        <v>1096</v>
      </c>
      <c r="L14" s="301">
        <v>731</v>
      </c>
      <c r="M14" s="301">
        <v>4921</v>
      </c>
      <c r="N14" s="301">
        <v>79480</v>
      </c>
      <c r="O14" s="292">
        <v>0</v>
      </c>
      <c r="P14" s="301">
        <v>44715</v>
      </c>
      <c r="Q14" s="301">
        <v>366</v>
      </c>
      <c r="R14" s="292">
        <v>39794</v>
      </c>
      <c r="S14" s="251">
        <v>0</v>
      </c>
      <c r="T14" s="250">
        <v>0</v>
      </c>
      <c r="U14" s="250">
        <v>44715</v>
      </c>
      <c r="V14" s="250">
        <v>0</v>
      </c>
    </row>
    <row r="15" spans="1:22">
      <c r="B15" s="39">
        <v>3</v>
      </c>
      <c r="C15" s="249" t="s">
        <v>1208</v>
      </c>
      <c r="D15" s="254">
        <v>1</v>
      </c>
      <c r="E15" s="250">
        <v>3539</v>
      </c>
      <c r="F15" s="254" t="s">
        <v>1209</v>
      </c>
      <c r="G15" s="233">
        <v>40634</v>
      </c>
      <c r="H15" s="228" t="s">
        <v>368</v>
      </c>
      <c r="I15" s="301">
        <v>0</v>
      </c>
      <c r="J15" s="301">
        <v>0</v>
      </c>
      <c r="K15" s="301">
        <v>0</v>
      </c>
      <c r="L15" s="301">
        <v>0</v>
      </c>
      <c r="M15" s="301">
        <v>0</v>
      </c>
      <c r="N15" s="301">
        <v>0</v>
      </c>
      <c r="O15" s="292">
        <v>0</v>
      </c>
      <c r="P15" s="301">
        <v>0</v>
      </c>
      <c r="Q15" s="301">
        <v>0</v>
      </c>
      <c r="R15" s="292"/>
      <c r="S15" s="251">
        <v>0</v>
      </c>
      <c r="T15" s="250">
        <v>0</v>
      </c>
      <c r="U15" s="250">
        <v>0</v>
      </c>
      <c r="V15" s="250">
        <v>0</v>
      </c>
    </row>
    <row r="16" spans="1:22" ht="27">
      <c r="B16" s="39">
        <v>4</v>
      </c>
      <c r="C16" s="249" t="s">
        <v>1210</v>
      </c>
      <c r="D16" s="254" t="s">
        <v>314</v>
      </c>
      <c r="E16" s="250">
        <v>72634</v>
      </c>
      <c r="F16" s="254" t="s">
        <v>1211</v>
      </c>
      <c r="G16" s="233">
        <v>40663</v>
      </c>
      <c r="H16" s="228" t="s">
        <v>368</v>
      </c>
      <c r="I16" s="300">
        <v>42489</v>
      </c>
      <c r="J16" s="301">
        <v>1827</v>
      </c>
      <c r="K16" s="301">
        <v>1067</v>
      </c>
      <c r="L16" s="301">
        <v>760</v>
      </c>
      <c r="M16" s="301">
        <v>3632</v>
      </c>
      <c r="N16" s="301">
        <v>58926</v>
      </c>
      <c r="O16" s="292">
        <v>0</v>
      </c>
      <c r="P16" s="301">
        <v>34258</v>
      </c>
      <c r="Q16" s="301">
        <v>395</v>
      </c>
      <c r="R16" s="292">
        <v>30626</v>
      </c>
      <c r="S16" s="251">
        <v>0</v>
      </c>
      <c r="T16" s="250">
        <v>0</v>
      </c>
      <c r="U16" s="250">
        <v>34258</v>
      </c>
      <c r="V16" s="250">
        <v>0</v>
      </c>
    </row>
    <row r="17" spans="2:22" ht="27">
      <c r="B17" s="39">
        <v>5</v>
      </c>
      <c r="C17" s="249" t="s">
        <v>1212</v>
      </c>
      <c r="D17" s="254" t="s">
        <v>314</v>
      </c>
      <c r="E17" s="250">
        <v>54091</v>
      </c>
      <c r="F17" s="254" t="s">
        <v>1213</v>
      </c>
      <c r="G17" s="233">
        <v>40634</v>
      </c>
      <c r="H17" s="228" t="s">
        <v>368</v>
      </c>
      <c r="I17" s="300">
        <v>42460</v>
      </c>
      <c r="J17" s="301">
        <v>1827</v>
      </c>
      <c r="K17" s="301">
        <v>1096</v>
      </c>
      <c r="L17" s="301">
        <v>731</v>
      </c>
      <c r="M17" s="301">
        <v>2705</v>
      </c>
      <c r="N17" s="301">
        <v>43678</v>
      </c>
      <c r="O17" s="292">
        <v>0</v>
      </c>
      <c r="P17" s="301">
        <v>24574</v>
      </c>
      <c r="Q17" s="301">
        <v>366</v>
      </c>
      <c r="R17" s="292">
        <v>21869</v>
      </c>
      <c r="S17" s="251">
        <v>0</v>
      </c>
      <c r="T17" s="250">
        <v>0</v>
      </c>
      <c r="U17" s="250">
        <v>24574</v>
      </c>
      <c r="V17" s="250">
        <v>0</v>
      </c>
    </row>
    <row r="18" spans="2:22" ht="27">
      <c r="B18" s="39">
        <v>6</v>
      </c>
      <c r="C18" s="249" t="s">
        <v>1392</v>
      </c>
      <c r="D18" s="254" t="s">
        <v>314</v>
      </c>
      <c r="E18" s="250">
        <v>58646</v>
      </c>
      <c r="F18" s="254" t="s">
        <v>1393</v>
      </c>
      <c r="G18" s="233">
        <v>40837</v>
      </c>
      <c r="H18" s="228" t="s">
        <v>368</v>
      </c>
      <c r="I18" s="300">
        <v>42663</v>
      </c>
      <c r="J18" s="301">
        <v>1827</v>
      </c>
      <c r="K18" s="301">
        <v>893</v>
      </c>
      <c r="L18" s="301">
        <v>934</v>
      </c>
      <c r="M18" s="301">
        <v>2932</v>
      </c>
      <c r="N18" s="301">
        <v>48901</v>
      </c>
      <c r="O18" s="292">
        <v>0</v>
      </c>
      <c r="P18" s="301">
        <v>32723</v>
      </c>
      <c r="Q18" s="301">
        <v>569</v>
      </c>
      <c r="R18" s="292">
        <v>29791</v>
      </c>
      <c r="S18" s="251">
        <v>0</v>
      </c>
      <c r="T18" s="250">
        <v>0</v>
      </c>
      <c r="U18" s="250">
        <v>32723</v>
      </c>
      <c r="V18" s="250">
        <v>0</v>
      </c>
    </row>
    <row r="19" spans="2:22" ht="27">
      <c r="B19" s="15">
        <v>7</v>
      </c>
      <c r="C19" s="249" t="s">
        <v>1943</v>
      </c>
      <c r="D19" s="254">
        <v>6</v>
      </c>
      <c r="E19" s="250">
        <v>38062</v>
      </c>
      <c r="F19" s="250" t="s">
        <v>1944</v>
      </c>
      <c r="G19" s="233">
        <v>41186</v>
      </c>
      <c r="H19" s="228" t="s">
        <v>368</v>
      </c>
      <c r="I19" s="300">
        <v>43011</v>
      </c>
      <c r="J19" s="301">
        <v>1826</v>
      </c>
      <c r="K19" s="301">
        <v>544</v>
      </c>
      <c r="L19" s="301">
        <v>1282</v>
      </c>
      <c r="M19" s="301">
        <v>1903</v>
      </c>
      <c r="N19" s="301">
        <v>33464</v>
      </c>
      <c r="O19" s="292">
        <v>0</v>
      </c>
      <c r="P19" s="301">
        <v>25839</v>
      </c>
      <c r="Q19" s="301">
        <v>917</v>
      </c>
      <c r="R19" s="292">
        <v>23936</v>
      </c>
      <c r="S19" s="251">
        <v>0</v>
      </c>
      <c r="T19" s="250">
        <v>0</v>
      </c>
      <c r="U19" s="250">
        <v>25839</v>
      </c>
      <c r="V19" s="250">
        <v>0</v>
      </c>
    </row>
    <row r="20" spans="2:22">
      <c r="B20" s="39">
        <v>8</v>
      </c>
      <c r="C20" s="249" t="s">
        <v>2117</v>
      </c>
      <c r="D20" s="254">
        <v>8</v>
      </c>
      <c r="E20" s="250">
        <v>14136</v>
      </c>
      <c r="F20" s="254" t="s">
        <v>2118</v>
      </c>
      <c r="G20" s="233">
        <v>41409</v>
      </c>
      <c r="H20" s="228" t="s">
        <v>368</v>
      </c>
      <c r="I20" s="301">
        <v>0</v>
      </c>
      <c r="J20" s="301">
        <v>0</v>
      </c>
      <c r="K20" s="301">
        <v>0</v>
      </c>
      <c r="L20" s="301">
        <v>0</v>
      </c>
      <c r="M20" s="301">
        <v>0</v>
      </c>
      <c r="N20" s="301">
        <v>0</v>
      </c>
      <c r="O20" s="292">
        <v>0</v>
      </c>
      <c r="P20" s="301">
        <v>0</v>
      </c>
      <c r="Q20" s="301">
        <v>0</v>
      </c>
      <c r="R20" s="292">
        <v>-707</v>
      </c>
      <c r="S20" s="251">
        <v>0</v>
      </c>
      <c r="T20" s="250">
        <v>0</v>
      </c>
      <c r="U20" s="250">
        <v>0</v>
      </c>
      <c r="V20" s="250">
        <v>0</v>
      </c>
    </row>
    <row r="21" spans="2:22">
      <c r="B21" s="39">
        <v>9</v>
      </c>
      <c r="C21" s="249" t="s">
        <v>2117</v>
      </c>
      <c r="D21" s="254">
        <v>5</v>
      </c>
      <c r="E21" s="250">
        <v>8835</v>
      </c>
      <c r="F21" s="254" t="s">
        <v>2119</v>
      </c>
      <c r="G21" s="233">
        <v>41407</v>
      </c>
      <c r="H21" s="228" t="s">
        <v>368</v>
      </c>
      <c r="I21" s="301">
        <v>0</v>
      </c>
      <c r="J21" s="301">
        <v>0</v>
      </c>
      <c r="K21" s="301">
        <v>0</v>
      </c>
      <c r="L21" s="301">
        <v>0</v>
      </c>
      <c r="M21" s="301">
        <v>0</v>
      </c>
      <c r="N21" s="301">
        <v>0</v>
      </c>
      <c r="O21" s="292">
        <v>0</v>
      </c>
      <c r="P21" s="301">
        <v>0</v>
      </c>
      <c r="Q21" s="301">
        <v>0</v>
      </c>
      <c r="R21" s="292">
        <v>-442</v>
      </c>
      <c r="S21" s="251">
        <v>0</v>
      </c>
      <c r="T21" s="250">
        <v>0</v>
      </c>
      <c r="U21" s="250">
        <v>0</v>
      </c>
      <c r="V21" s="250">
        <v>0</v>
      </c>
    </row>
    <row r="22" spans="2:22">
      <c r="B22" s="39">
        <v>10</v>
      </c>
      <c r="C22" s="249" t="s">
        <v>2117</v>
      </c>
      <c r="D22" s="254">
        <v>2</v>
      </c>
      <c r="E22" s="250">
        <v>3534</v>
      </c>
      <c r="F22" s="254" t="s">
        <v>2120</v>
      </c>
      <c r="G22" s="233">
        <v>41409</v>
      </c>
      <c r="H22" s="228" t="s">
        <v>368</v>
      </c>
      <c r="I22" s="301">
        <v>0</v>
      </c>
      <c r="J22" s="301">
        <v>0</v>
      </c>
      <c r="K22" s="301">
        <v>0</v>
      </c>
      <c r="L22" s="301">
        <v>0</v>
      </c>
      <c r="M22" s="301">
        <v>0</v>
      </c>
      <c r="N22" s="301">
        <v>0</v>
      </c>
      <c r="O22" s="292">
        <v>0</v>
      </c>
      <c r="P22" s="301">
        <v>0</v>
      </c>
      <c r="Q22" s="301">
        <v>0</v>
      </c>
      <c r="R22" s="292">
        <v>-177</v>
      </c>
      <c r="S22" s="251">
        <v>0</v>
      </c>
      <c r="T22" s="250">
        <v>0</v>
      </c>
      <c r="U22" s="250">
        <v>0</v>
      </c>
      <c r="V22" s="250">
        <v>0</v>
      </c>
    </row>
    <row r="23" spans="2:22">
      <c r="B23" s="39">
        <v>11</v>
      </c>
      <c r="C23" s="249" t="s">
        <v>2121</v>
      </c>
      <c r="D23" s="254">
        <v>6</v>
      </c>
      <c r="E23" s="250">
        <v>16416</v>
      </c>
      <c r="F23" s="254" t="s">
        <v>2122</v>
      </c>
      <c r="G23" s="233">
        <v>41369</v>
      </c>
      <c r="H23" s="228" t="s">
        <v>368</v>
      </c>
      <c r="I23" s="301">
        <v>0</v>
      </c>
      <c r="J23" s="301">
        <v>0</v>
      </c>
      <c r="K23" s="301">
        <v>0</v>
      </c>
      <c r="L23" s="301">
        <v>0</v>
      </c>
      <c r="M23" s="301">
        <v>0</v>
      </c>
      <c r="N23" s="301">
        <v>0</v>
      </c>
      <c r="O23" s="292">
        <v>0</v>
      </c>
      <c r="P23" s="301">
        <v>0</v>
      </c>
      <c r="Q23" s="301">
        <v>0</v>
      </c>
      <c r="R23" s="292">
        <v>-821</v>
      </c>
      <c r="S23" s="251">
        <v>0</v>
      </c>
      <c r="T23" s="250">
        <v>0</v>
      </c>
      <c r="U23" s="250">
        <v>0</v>
      </c>
      <c r="V23" s="250">
        <v>0</v>
      </c>
    </row>
    <row r="24" spans="2:22">
      <c r="B24" s="39">
        <v>12</v>
      </c>
      <c r="C24" s="249" t="s">
        <v>2123</v>
      </c>
      <c r="D24" s="254">
        <v>2</v>
      </c>
      <c r="E24" s="250">
        <v>3534</v>
      </c>
      <c r="F24" s="254" t="s">
        <v>2124</v>
      </c>
      <c r="G24" s="233">
        <v>41421</v>
      </c>
      <c r="H24" s="228" t="s">
        <v>368</v>
      </c>
      <c r="I24" s="301">
        <v>0</v>
      </c>
      <c r="J24" s="301">
        <v>0</v>
      </c>
      <c r="K24" s="301">
        <v>0</v>
      </c>
      <c r="L24" s="301">
        <v>0</v>
      </c>
      <c r="M24" s="301">
        <v>0</v>
      </c>
      <c r="N24" s="301">
        <v>0</v>
      </c>
      <c r="O24" s="292">
        <v>0</v>
      </c>
      <c r="P24" s="301">
        <v>0</v>
      </c>
      <c r="Q24" s="301">
        <v>0</v>
      </c>
      <c r="R24" s="292">
        <v>-177</v>
      </c>
      <c r="S24" s="251">
        <v>0</v>
      </c>
      <c r="T24" s="250">
        <v>0</v>
      </c>
      <c r="U24" s="250">
        <v>0</v>
      </c>
      <c r="V24" s="250">
        <v>0</v>
      </c>
    </row>
    <row r="25" spans="2:22">
      <c r="B25" s="39">
        <v>13</v>
      </c>
      <c r="C25" s="249" t="s">
        <v>2125</v>
      </c>
      <c r="D25" s="254">
        <v>10</v>
      </c>
      <c r="E25" s="250">
        <v>25650</v>
      </c>
      <c r="F25" s="254" t="s">
        <v>2126</v>
      </c>
      <c r="G25" s="233">
        <v>41394</v>
      </c>
      <c r="H25" s="228" t="s">
        <v>368</v>
      </c>
      <c r="I25" s="301">
        <v>0</v>
      </c>
      <c r="J25" s="301">
        <v>0</v>
      </c>
      <c r="K25" s="301">
        <v>0</v>
      </c>
      <c r="L25" s="301">
        <v>0</v>
      </c>
      <c r="M25" s="301">
        <v>0</v>
      </c>
      <c r="N25" s="301">
        <v>0</v>
      </c>
      <c r="O25" s="292">
        <v>0</v>
      </c>
      <c r="P25" s="301">
        <v>0</v>
      </c>
      <c r="Q25" s="301">
        <v>0</v>
      </c>
      <c r="R25" s="292">
        <v>-1283</v>
      </c>
      <c r="S25" s="251">
        <v>0</v>
      </c>
      <c r="T25" s="250">
        <v>0</v>
      </c>
      <c r="U25" s="250">
        <v>0</v>
      </c>
      <c r="V25" s="250">
        <v>0</v>
      </c>
    </row>
    <row r="26" spans="2:22" ht="40.5">
      <c r="B26" s="39">
        <v>14</v>
      </c>
      <c r="C26" s="249" t="s">
        <v>2127</v>
      </c>
      <c r="D26" s="254">
        <v>1</v>
      </c>
      <c r="E26" s="250">
        <v>22800</v>
      </c>
      <c r="F26" s="275" t="s">
        <v>2128</v>
      </c>
      <c r="G26" s="233">
        <v>41370</v>
      </c>
      <c r="H26" s="228" t="s">
        <v>1177</v>
      </c>
      <c r="I26" s="300">
        <v>43195</v>
      </c>
      <c r="J26" s="301">
        <v>1826</v>
      </c>
      <c r="K26" s="301">
        <v>360</v>
      </c>
      <c r="L26" s="301">
        <v>1466</v>
      </c>
      <c r="M26" s="301">
        <v>1140</v>
      </c>
      <c r="N26" s="301">
        <v>20592</v>
      </c>
      <c r="O26" s="292">
        <v>0</v>
      </c>
      <c r="P26" s="301">
        <v>16605</v>
      </c>
      <c r="Q26" s="301">
        <v>1101</v>
      </c>
      <c r="R26" s="292">
        <v>15465</v>
      </c>
      <c r="S26" s="251">
        <v>0</v>
      </c>
      <c r="T26" s="250">
        <v>0</v>
      </c>
      <c r="U26" s="250">
        <v>16605</v>
      </c>
      <c r="V26" s="250">
        <v>0</v>
      </c>
    </row>
    <row r="27" spans="2:22">
      <c r="B27" s="39">
        <v>15</v>
      </c>
      <c r="C27" s="249" t="s">
        <v>2362</v>
      </c>
      <c r="D27" s="254" t="s">
        <v>314</v>
      </c>
      <c r="E27" s="250">
        <v>31193</v>
      </c>
      <c r="F27" s="275" t="s">
        <v>2364</v>
      </c>
      <c r="G27" s="233">
        <v>41640</v>
      </c>
      <c r="H27" s="228" t="s">
        <v>368</v>
      </c>
      <c r="I27" s="300">
        <v>43465</v>
      </c>
      <c r="J27" s="301">
        <v>1826</v>
      </c>
      <c r="K27" s="301">
        <v>90</v>
      </c>
      <c r="L27" s="301">
        <v>1736</v>
      </c>
      <c r="M27" s="301">
        <v>1560</v>
      </c>
      <c r="N27" s="301">
        <v>29268</v>
      </c>
      <c r="O27" s="292">
        <v>0</v>
      </c>
      <c r="P27" s="301">
        <v>24674</v>
      </c>
      <c r="Q27" s="301">
        <v>1371</v>
      </c>
      <c r="R27" s="292">
        <v>23114</v>
      </c>
      <c r="S27" s="251">
        <v>0</v>
      </c>
      <c r="T27" s="250">
        <v>0</v>
      </c>
      <c r="U27" s="250">
        <v>24674</v>
      </c>
      <c r="V27" s="250">
        <v>0</v>
      </c>
    </row>
    <row r="28" spans="2:22">
      <c r="B28" s="39">
        <v>16</v>
      </c>
      <c r="C28" s="249" t="s">
        <v>2363</v>
      </c>
      <c r="D28" s="254" t="s">
        <v>314</v>
      </c>
      <c r="E28" s="250">
        <v>225998</v>
      </c>
      <c r="F28" s="275" t="s">
        <v>2365</v>
      </c>
      <c r="G28" s="233">
        <v>41715</v>
      </c>
      <c r="H28" s="228" t="s">
        <v>368</v>
      </c>
      <c r="I28" s="300">
        <v>43540</v>
      </c>
      <c r="J28" s="301">
        <v>1826</v>
      </c>
      <c r="K28" s="301">
        <v>15</v>
      </c>
      <c r="L28" s="301">
        <v>1811</v>
      </c>
      <c r="M28" s="301">
        <v>11300</v>
      </c>
      <c r="N28" s="301">
        <v>214257</v>
      </c>
      <c r="O28" s="292">
        <v>0</v>
      </c>
      <c r="P28" s="301">
        <v>182374</v>
      </c>
      <c r="Q28" s="301">
        <v>1446</v>
      </c>
      <c r="R28" s="292">
        <v>171074</v>
      </c>
      <c r="S28" s="251">
        <v>0</v>
      </c>
      <c r="T28" s="250">
        <v>0</v>
      </c>
      <c r="U28" s="250">
        <v>182374</v>
      </c>
      <c r="V28" s="250">
        <v>0</v>
      </c>
    </row>
    <row r="29" spans="2:22">
      <c r="B29" s="39">
        <v>17</v>
      </c>
      <c r="C29" s="249" t="s">
        <v>2363</v>
      </c>
      <c r="D29" s="254" t="s">
        <v>314</v>
      </c>
      <c r="E29" s="250">
        <v>277573</v>
      </c>
      <c r="F29" s="275" t="s">
        <v>2366</v>
      </c>
      <c r="G29" s="233">
        <v>41715</v>
      </c>
      <c r="H29" s="228" t="s">
        <v>368</v>
      </c>
      <c r="I29" s="300">
        <v>43540</v>
      </c>
      <c r="J29" s="301">
        <v>1826</v>
      </c>
      <c r="K29" s="301">
        <v>15</v>
      </c>
      <c r="L29" s="301">
        <v>1811</v>
      </c>
      <c r="M29" s="301">
        <v>13879</v>
      </c>
      <c r="N29" s="301">
        <v>263152</v>
      </c>
      <c r="O29" s="292">
        <v>0</v>
      </c>
      <c r="P29" s="301">
        <v>223994</v>
      </c>
      <c r="Q29" s="301">
        <v>1446</v>
      </c>
      <c r="R29" s="292">
        <v>210115</v>
      </c>
      <c r="S29" s="251">
        <v>0</v>
      </c>
      <c r="T29" s="250">
        <v>0</v>
      </c>
      <c r="U29" s="250">
        <v>223994</v>
      </c>
      <c r="V29" s="250">
        <v>0</v>
      </c>
    </row>
    <row r="30" spans="2:22">
      <c r="B30" s="39">
        <f t="shared" ref="B30:B35" si="0">+B29+1</f>
        <v>18</v>
      </c>
      <c r="C30" s="249" t="s">
        <v>2502</v>
      </c>
      <c r="D30" s="254">
        <v>1</v>
      </c>
      <c r="E30" s="250">
        <v>40530</v>
      </c>
      <c r="F30" s="275" t="s">
        <v>2503</v>
      </c>
      <c r="G30" s="233">
        <v>41841</v>
      </c>
      <c r="H30" s="228" t="s">
        <v>368</v>
      </c>
      <c r="I30" s="300">
        <v>43666</v>
      </c>
      <c r="J30" s="301">
        <v>1826</v>
      </c>
      <c r="K30" s="301">
        <v>0</v>
      </c>
      <c r="L30" s="301">
        <v>1826</v>
      </c>
      <c r="M30" s="301">
        <v>2027</v>
      </c>
      <c r="N30" s="301">
        <v>38503</v>
      </c>
      <c r="O30" s="292">
        <v>0</v>
      </c>
      <c r="P30" s="301">
        <v>35174</v>
      </c>
      <c r="Q30" s="301">
        <v>1572</v>
      </c>
      <c r="R30" s="292">
        <v>33148</v>
      </c>
      <c r="S30" s="251">
        <v>0</v>
      </c>
      <c r="T30" s="250">
        <v>0</v>
      </c>
      <c r="U30" s="250">
        <v>35174</v>
      </c>
      <c r="V30" s="250">
        <v>0</v>
      </c>
    </row>
    <row r="31" spans="2:22" ht="27">
      <c r="B31" s="39">
        <f t="shared" si="0"/>
        <v>19</v>
      </c>
      <c r="C31" s="249" t="s">
        <v>2562</v>
      </c>
      <c r="D31" s="254">
        <v>2</v>
      </c>
      <c r="E31" s="250">
        <v>11172</v>
      </c>
      <c r="F31" s="275" t="s">
        <v>2563</v>
      </c>
      <c r="G31" s="233">
        <v>41852</v>
      </c>
      <c r="H31" s="228" t="s">
        <v>368</v>
      </c>
      <c r="I31" s="300">
        <v>43677</v>
      </c>
      <c r="J31" s="301">
        <v>1826</v>
      </c>
      <c r="K31" s="301">
        <v>0</v>
      </c>
      <c r="L31" s="301">
        <v>1826</v>
      </c>
      <c r="M31" s="301">
        <v>559</v>
      </c>
      <c r="N31" s="301">
        <v>10613</v>
      </c>
      <c r="O31" s="292">
        <v>0</v>
      </c>
      <c r="P31" s="301">
        <v>9760</v>
      </c>
      <c r="Q31" s="301">
        <v>1583</v>
      </c>
      <c r="R31" s="292">
        <v>9201</v>
      </c>
      <c r="S31" s="251">
        <v>0</v>
      </c>
      <c r="T31" s="250">
        <v>0</v>
      </c>
      <c r="U31" s="250">
        <v>9760</v>
      </c>
      <c r="V31" s="250">
        <v>0</v>
      </c>
    </row>
    <row r="32" spans="2:22" ht="27">
      <c r="B32" s="39">
        <f t="shared" si="0"/>
        <v>20</v>
      </c>
      <c r="C32" s="249" t="s">
        <v>2562</v>
      </c>
      <c r="D32" s="254">
        <v>10</v>
      </c>
      <c r="E32" s="250">
        <v>55860</v>
      </c>
      <c r="F32" s="254" t="s">
        <v>2564</v>
      </c>
      <c r="G32" s="233">
        <v>41866</v>
      </c>
      <c r="H32" s="228" t="s">
        <v>368</v>
      </c>
      <c r="I32" s="300">
        <v>43691</v>
      </c>
      <c r="J32" s="301">
        <v>1826</v>
      </c>
      <c r="K32" s="301">
        <v>0</v>
      </c>
      <c r="L32" s="301">
        <v>1826</v>
      </c>
      <c r="M32" s="301">
        <v>2793</v>
      </c>
      <c r="N32" s="301">
        <v>53067</v>
      </c>
      <c r="O32" s="292">
        <v>0</v>
      </c>
      <c r="P32" s="301">
        <v>49205</v>
      </c>
      <c r="Q32" s="301">
        <v>1597</v>
      </c>
      <c r="R32" s="292">
        <v>46412</v>
      </c>
      <c r="S32" s="251">
        <v>0</v>
      </c>
      <c r="T32" s="250">
        <v>0</v>
      </c>
      <c r="U32" s="250">
        <v>49205</v>
      </c>
      <c r="V32" s="250">
        <v>0</v>
      </c>
    </row>
    <row r="33" spans="2:22" ht="40.5">
      <c r="B33" s="39">
        <f t="shared" si="0"/>
        <v>21</v>
      </c>
      <c r="C33" s="249" t="s">
        <v>2603</v>
      </c>
      <c r="D33" s="254">
        <v>40</v>
      </c>
      <c r="E33" s="250">
        <f>44923+7523</f>
        <v>52446</v>
      </c>
      <c r="F33" s="249" t="s">
        <v>2590</v>
      </c>
      <c r="G33" s="233">
        <v>41913</v>
      </c>
      <c r="H33" s="228" t="s">
        <v>368</v>
      </c>
      <c r="I33" s="300">
        <v>41126</v>
      </c>
      <c r="J33" s="301">
        <v>0</v>
      </c>
      <c r="K33" s="301">
        <v>0</v>
      </c>
      <c r="L33" s="301">
        <v>0</v>
      </c>
      <c r="M33" s="301">
        <v>2622</v>
      </c>
      <c r="N33" s="301">
        <v>49824</v>
      </c>
      <c r="O33" s="292">
        <v>0</v>
      </c>
      <c r="P33" s="301">
        <v>0</v>
      </c>
      <c r="Q33" s="301">
        <v>0</v>
      </c>
      <c r="R33" s="292"/>
      <c r="S33" s="251">
        <v>0</v>
      </c>
      <c r="T33" s="250">
        <v>0</v>
      </c>
      <c r="U33" s="250">
        <v>0</v>
      </c>
      <c r="V33" s="250">
        <v>0</v>
      </c>
    </row>
    <row r="34" spans="2:22" ht="27">
      <c r="B34" s="39">
        <f t="shared" si="0"/>
        <v>22</v>
      </c>
      <c r="C34" s="249" t="s">
        <v>2674</v>
      </c>
      <c r="D34" s="254">
        <v>3</v>
      </c>
      <c r="E34" s="250">
        <v>19836</v>
      </c>
      <c r="F34" s="249" t="s">
        <v>2675</v>
      </c>
      <c r="G34" s="233">
        <v>41968</v>
      </c>
      <c r="H34" s="228" t="s">
        <v>368</v>
      </c>
      <c r="I34" s="300">
        <v>43793</v>
      </c>
      <c r="J34" s="301">
        <v>1826</v>
      </c>
      <c r="K34" s="301">
        <v>0</v>
      </c>
      <c r="L34" s="301">
        <v>1826</v>
      </c>
      <c r="M34" s="301">
        <v>992</v>
      </c>
      <c r="N34" s="301">
        <v>18844</v>
      </c>
      <c r="O34" s="292">
        <v>0</v>
      </c>
      <c r="P34" s="301">
        <v>18525</v>
      </c>
      <c r="Q34" s="301">
        <v>1699</v>
      </c>
      <c r="R34" s="292">
        <v>17533</v>
      </c>
      <c r="S34" s="251">
        <v>0</v>
      </c>
      <c r="T34" s="250">
        <v>0</v>
      </c>
      <c r="U34" s="250">
        <v>18525</v>
      </c>
      <c r="V34" s="250">
        <v>0</v>
      </c>
    </row>
    <row r="35" spans="2:22" ht="67.5">
      <c r="B35" s="15">
        <f t="shared" si="0"/>
        <v>23</v>
      </c>
      <c r="C35" s="249" t="s">
        <v>2680</v>
      </c>
      <c r="D35" s="254" t="s">
        <v>314</v>
      </c>
      <c r="E35" s="250">
        <f>193074+349+1123</f>
        <v>194546</v>
      </c>
      <c r="F35" s="278" t="s">
        <v>2679</v>
      </c>
      <c r="G35" s="342">
        <v>42005</v>
      </c>
      <c r="H35" s="228" t="s">
        <v>368</v>
      </c>
      <c r="I35" s="300">
        <v>43830</v>
      </c>
      <c r="J35" s="301">
        <v>1826</v>
      </c>
      <c r="K35" s="301">
        <v>0</v>
      </c>
      <c r="L35" s="301">
        <v>1826</v>
      </c>
      <c r="M35" s="301">
        <v>9727</v>
      </c>
      <c r="N35" s="301">
        <v>184819</v>
      </c>
      <c r="O35" s="292">
        <v>0</v>
      </c>
      <c r="P35" s="301">
        <v>185437</v>
      </c>
      <c r="Q35" s="301">
        <v>1736</v>
      </c>
      <c r="R35" s="292">
        <v>175710</v>
      </c>
      <c r="S35" s="251">
        <v>0</v>
      </c>
      <c r="T35" s="250">
        <v>0</v>
      </c>
      <c r="U35" s="250">
        <v>185437</v>
      </c>
      <c r="V35" s="250">
        <v>0</v>
      </c>
    </row>
    <row r="36" spans="2:22" ht="14.25">
      <c r="B36" s="107" t="s">
        <v>649</v>
      </c>
      <c r="C36" s="228"/>
      <c r="D36" s="230"/>
      <c r="E36" s="250"/>
      <c r="F36" s="254"/>
      <c r="G36" s="230"/>
      <c r="H36" s="228"/>
      <c r="I36" s="301"/>
      <c r="J36" s="301"/>
      <c r="K36" s="301"/>
      <c r="L36" s="301"/>
      <c r="M36" s="301"/>
      <c r="N36" s="301"/>
      <c r="O36" s="292"/>
      <c r="P36" s="301">
        <v>0</v>
      </c>
      <c r="Q36" s="301"/>
      <c r="R36" s="292"/>
      <c r="S36" s="272"/>
      <c r="T36" s="250"/>
      <c r="U36" s="250"/>
      <c r="V36" s="250"/>
    </row>
    <row r="37" spans="2:22">
      <c r="B37" s="15">
        <v>1</v>
      </c>
      <c r="C37" s="249" t="s">
        <v>650</v>
      </c>
      <c r="D37" s="254">
        <v>1</v>
      </c>
      <c r="E37" s="250">
        <v>7800</v>
      </c>
      <c r="F37" s="254">
        <v>157803</v>
      </c>
      <c r="G37" s="233">
        <v>39792</v>
      </c>
      <c r="H37" s="228" t="s">
        <v>282</v>
      </c>
      <c r="I37" s="300">
        <v>41617</v>
      </c>
      <c r="J37" s="301">
        <v>1826</v>
      </c>
      <c r="K37" s="301">
        <v>1938</v>
      </c>
      <c r="L37" s="301">
        <v>-112</v>
      </c>
      <c r="M37" s="301">
        <v>390</v>
      </c>
      <c r="N37" s="301">
        <v>0</v>
      </c>
      <c r="O37" s="292">
        <v>5836</v>
      </c>
      <c r="P37" s="301">
        <v>0.31232876712329016</v>
      </c>
      <c r="Q37" s="301">
        <v>-112</v>
      </c>
      <c r="R37" s="292"/>
      <c r="S37" s="251">
        <v>0</v>
      </c>
      <c r="T37" s="250">
        <v>0</v>
      </c>
      <c r="U37" s="250">
        <v>0</v>
      </c>
      <c r="V37" s="250">
        <v>0.31232876712329016</v>
      </c>
    </row>
    <row r="38" spans="2:22">
      <c r="B38" s="15">
        <f>+B37+1</f>
        <v>2</v>
      </c>
      <c r="C38" s="249" t="s">
        <v>284</v>
      </c>
      <c r="D38" s="254">
        <v>1</v>
      </c>
      <c r="E38" s="250">
        <v>6500</v>
      </c>
      <c r="F38" s="254">
        <v>56</v>
      </c>
      <c r="G38" s="233">
        <v>39814</v>
      </c>
      <c r="H38" s="228" t="s">
        <v>282</v>
      </c>
      <c r="I38" s="300">
        <v>41639</v>
      </c>
      <c r="J38" s="301">
        <v>1826</v>
      </c>
      <c r="K38" s="301">
        <v>1916</v>
      </c>
      <c r="L38" s="301">
        <v>-90</v>
      </c>
      <c r="M38" s="301">
        <v>325</v>
      </c>
      <c r="N38" s="301">
        <v>0</v>
      </c>
      <c r="O38" s="292">
        <v>4878</v>
      </c>
      <c r="P38" s="301">
        <v>-0.13013698630129511</v>
      </c>
      <c r="Q38" s="301">
        <v>-90</v>
      </c>
      <c r="R38" s="292"/>
      <c r="S38" s="251">
        <v>0</v>
      </c>
      <c r="T38" s="250">
        <v>0</v>
      </c>
      <c r="U38" s="250">
        <v>0</v>
      </c>
      <c r="V38" s="250">
        <v>-0.13013698630129511</v>
      </c>
    </row>
    <row r="39" spans="2:22">
      <c r="B39" s="15">
        <f t="shared" ref="B39:B45" si="1">+B38+1</f>
        <v>3</v>
      </c>
      <c r="C39" s="249" t="s">
        <v>285</v>
      </c>
      <c r="D39" s="254">
        <v>1</v>
      </c>
      <c r="E39" s="250">
        <v>5175</v>
      </c>
      <c r="F39" s="254">
        <v>466</v>
      </c>
      <c r="G39" s="233">
        <v>39910</v>
      </c>
      <c r="H39" s="228" t="s">
        <v>282</v>
      </c>
      <c r="I39" s="300">
        <v>41735</v>
      </c>
      <c r="J39" s="301">
        <v>1826</v>
      </c>
      <c r="K39" s="301">
        <v>1820</v>
      </c>
      <c r="L39" s="301">
        <v>6</v>
      </c>
      <c r="M39" s="301">
        <v>259</v>
      </c>
      <c r="N39" s="301">
        <v>3690</v>
      </c>
      <c r="O39" s="292">
        <v>0</v>
      </c>
      <c r="P39" s="301">
        <v>0</v>
      </c>
      <c r="Q39" s="301">
        <v>0</v>
      </c>
      <c r="R39" s="292"/>
      <c r="S39" s="251">
        <v>0</v>
      </c>
      <c r="T39" s="250">
        <v>0</v>
      </c>
      <c r="U39" s="250">
        <v>0</v>
      </c>
      <c r="V39" s="250">
        <v>0</v>
      </c>
    </row>
    <row r="40" spans="2:22">
      <c r="B40" s="15">
        <f t="shared" si="1"/>
        <v>4</v>
      </c>
      <c r="C40" s="249" t="s">
        <v>286</v>
      </c>
      <c r="D40" s="254">
        <v>1</v>
      </c>
      <c r="E40" s="250">
        <v>16000</v>
      </c>
      <c r="F40" s="366" t="s">
        <v>287</v>
      </c>
      <c r="G40" s="233">
        <v>39925</v>
      </c>
      <c r="H40" s="228" t="s">
        <v>282</v>
      </c>
      <c r="I40" s="300">
        <v>41750</v>
      </c>
      <c r="J40" s="301">
        <v>1826</v>
      </c>
      <c r="K40" s="301">
        <v>1805</v>
      </c>
      <c r="L40" s="301">
        <v>21</v>
      </c>
      <c r="M40" s="301">
        <v>800</v>
      </c>
      <c r="N40" s="301">
        <v>11443</v>
      </c>
      <c r="O40" s="292">
        <v>0</v>
      </c>
      <c r="P40" s="301">
        <v>0</v>
      </c>
      <c r="Q40" s="301">
        <v>0</v>
      </c>
      <c r="R40" s="292">
        <v>-800</v>
      </c>
      <c r="S40" s="251">
        <v>0</v>
      </c>
      <c r="T40" s="250">
        <v>0</v>
      </c>
      <c r="U40" s="250">
        <v>0</v>
      </c>
      <c r="V40" s="250">
        <v>0</v>
      </c>
    </row>
    <row r="41" spans="2:22">
      <c r="B41" s="15">
        <f t="shared" si="1"/>
        <v>5</v>
      </c>
      <c r="C41" s="249" t="s">
        <v>917</v>
      </c>
      <c r="D41" s="254">
        <v>1</v>
      </c>
      <c r="E41" s="250">
        <v>19000</v>
      </c>
      <c r="F41" s="366" t="s">
        <v>918</v>
      </c>
      <c r="G41" s="233">
        <v>40096</v>
      </c>
      <c r="H41" s="228" t="s">
        <v>282</v>
      </c>
      <c r="I41" s="300">
        <v>41921</v>
      </c>
      <c r="J41" s="301">
        <v>1826</v>
      </c>
      <c r="K41" s="301">
        <v>1634</v>
      </c>
      <c r="L41" s="301">
        <v>192</v>
      </c>
      <c r="M41" s="301">
        <v>950</v>
      </c>
      <c r="N41" s="301">
        <v>14012</v>
      </c>
      <c r="O41" s="292">
        <v>0</v>
      </c>
      <c r="P41" s="301">
        <v>0</v>
      </c>
      <c r="Q41" s="301">
        <v>0</v>
      </c>
      <c r="R41" s="292">
        <v>-950</v>
      </c>
      <c r="S41" s="251">
        <v>0</v>
      </c>
      <c r="T41" s="250">
        <v>0</v>
      </c>
      <c r="U41" s="250">
        <v>0</v>
      </c>
      <c r="V41" s="250">
        <v>0</v>
      </c>
    </row>
    <row r="42" spans="2:22">
      <c r="B42" s="15">
        <f t="shared" si="1"/>
        <v>6</v>
      </c>
      <c r="C42" s="249" t="s">
        <v>338</v>
      </c>
      <c r="D42" s="254">
        <v>1</v>
      </c>
      <c r="E42" s="250">
        <v>5700</v>
      </c>
      <c r="F42" s="366" t="s">
        <v>534</v>
      </c>
      <c r="G42" s="233">
        <v>40506</v>
      </c>
      <c r="H42" s="228" t="s">
        <v>161</v>
      </c>
      <c r="I42" s="300">
        <v>42331</v>
      </c>
      <c r="J42" s="301">
        <v>1826</v>
      </c>
      <c r="K42" s="301">
        <v>1224</v>
      </c>
      <c r="L42" s="301">
        <v>602</v>
      </c>
      <c r="M42" s="301">
        <v>285</v>
      </c>
      <c r="N42" s="301">
        <v>4508</v>
      </c>
      <c r="O42" s="292">
        <v>0</v>
      </c>
      <c r="P42" s="301">
        <v>2060</v>
      </c>
      <c r="Q42" s="301">
        <v>237</v>
      </c>
      <c r="R42" s="292">
        <v>1775</v>
      </c>
      <c r="S42" s="251">
        <v>0</v>
      </c>
      <c r="T42" s="250">
        <v>0</v>
      </c>
      <c r="U42" s="250">
        <v>2060</v>
      </c>
      <c r="V42" s="250">
        <v>0</v>
      </c>
    </row>
    <row r="43" spans="2:22">
      <c r="B43" s="15">
        <f t="shared" si="1"/>
        <v>7</v>
      </c>
      <c r="C43" s="249" t="s">
        <v>1160</v>
      </c>
      <c r="D43" s="254">
        <v>8</v>
      </c>
      <c r="E43" s="250">
        <v>96846</v>
      </c>
      <c r="F43" s="254" t="s">
        <v>1161</v>
      </c>
      <c r="G43" s="233">
        <v>40638</v>
      </c>
      <c r="H43" s="228" t="s">
        <v>368</v>
      </c>
      <c r="I43" s="300">
        <v>42464</v>
      </c>
      <c r="J43" s="301">
        <v>1827</v>
      </c>
      <c r="K43" s="301">
        <v>1092</v>
      </c>
      <c r="L43" s="301">
        <v>735</v>
      </c>
      <c r="M43" s="301">
        <v>4842</v>
      </c>
      <c r="N43" s="301">
        <v>78255</v>
      </c>
      <c r="O43" s="292">
        <v>0</v>
      </c>
      <c r="P43" s="301">
        <v>44236</v>
      </c>
      <c r="Q43" s="301">
        <v>370</v>
      </c>
      <c r="R43" s="292">
        <v>39394</v>
      </c>
      <c r="S43" s="251">
        <v>0</v>
      </c>
      <c r="T43" s="250">
        <v>0</v>
      </c>
      <c r="U43" s="250">
        <v>44236</v>
      </c>
      <c r="V43" s="250">
        <v>0</v>
      </c>
    </row>
    <row r="44" spans="2:22">
      <c r="B44" s="15">
        <f t="shared" si="1"/>
        <v>8</v>
      </c>
      <c r="C44" s="249" t="s">
        <v>1251</v>
      </c>
      <c r="D44" s="254">
        <v>1</v>
      </c>
      <c r="E44" s="250">
        <v>2950</v>
      </c>
      <c r="F44" s="254" t="s">
        <v>1297</v>
      </c>
      <c r="G44" s="233">
        <v>40738</v>
      </c>
      <c r="H44" s="228" t="s">
        <v>282</v>
      </c>
      <c r="I44" s="301">
        <v>0</v>
      </c>
      <c r="J44" s="301">
        <v>0</v>
      </c>
      <c r="K44" s="301">
        <v>0</v>
      </c>
      <c r="L44" s="301">
        <v>0</v>
      </c>
      <c r="M44" s="301">
        <v>0</v>
      </c>
      <c r="N44" s="301">
        <v>0</v>
      </c>
      <c r="O44" s="292">
        <v>0</v>
      </c>
      <c r="P44" s="301">
        <v>0</v>
      </c>
      <c r="Q44" s="301">
        <v>0</v>
      </c>
      <c r="R44" s="292"/>
      <c r="S44" s="251">
        <v>0</v>
      </c>
      <c r="T44" s="250">
        <v>0</v>
      </c>
      <c r="U44" s="250">
        <v>0</v>
      </c>
      <c r="V44" s="250">
        <v>0</v>
      </c>
    </row>
    <row r="45" spans="2:22" ht="27">
      <c r="B45" s="15">
        <f t="shared" si="1"/>
        <v>9</v>
      </c>
      <c r="C45" s="249" t="s">
        <v>2672</v>
      </c>
      <c r="D45" s="254">
        <v>2</v>
      </c>
      <c r="E45" s="250">
        <v>57960</v>
      </c>
      <c r="F45" s="254" t="s">
        <v>2673</v>
      </c>
      <c r="G45" s="233">
        <v>42011</v>
      </c>
      <c r="H45" s="228" t="s">
        <v>368</v>
      </c>
      <c r="I45" s="300">
        <v>43836</v>
      </c>
      <c r="J45" s="301">
        <v>1826</v>
      </c>
      <c r="K45" s="301">
        <v>0</v>
      </c>
      <c r="L45" s="301">
        <v>1826</v>
      </c>
      <c r="M45" s="301">
        <v>2898</v>
      </c>
      <c r="N45" s="301">
        <v>55062</v>
      </c>
      <c r="O45" s="292">
        <v>0</v>
      </c>
      <c r="P45" s="301">
        <v>55427</v>
      </c>
      <c r="Q45" s="301">
        <v>1742</v>
      </c>
      <c r="R45" s="292">
        <v>52529</v>
      </c>
      <c r="S45" s="251">
        <v>0</v>
      </c>
      <c r="T45" s="250">
        <v>0</v>
      </c>
      <c r="U45" s="250">
        <v>55427</v>
      </c>
      <c r="V45" s="250">
        <v>0</v>
      </c>
    </row>
    <row r="46" spans="2:22" ht="14.25">
      <c r="B46" s="107" t="s">
        <v>896</v>
      </c>
      <c r="C46" s="228"/>
      <c r="D46" s="230"/>
      <c r="E46" s="250"/>
      <c r="F46" s="254"/>
      <c r="G46" s="230"/>
      <c r="H46" s="228"/>
      <c r="I46" s="301"/>
      <c r="J46" s="301"/>
      <c r="K46" s="301"/>
      <c r="L46" s="301"/>
      <c r="M46" s="301"/>
      <c r="N46" s="301"/>
      <c r="O46" s="292"/>
      <c r="P46" s="301">
        <v>0</v>
      </c>
      <c r="Q46" s="301"/>
      <c r="R46" s="292"/>
      <c r="S46" s="272"/>
      <c r="T46" s="250"/>
      <c r="U46" s="250"/>
      <c r="V46" s="250"/>
    </row>
    <row r="47" spans="2:22" ht="27">
      <c r="B47" s="15">
        <v>1</v>
      </c>
      <c r="C47" s="249" t="s">
        <v>1990</v>
      </c>
      <c r="D47" s="254">
        <v>2</v>
      </c>
      <c r="E47" s="250">
        <v>64798</v>
      </c>
      <c r="F47" s="254">
        <v>22</v>
      </c>
      <c r="G47" s="233">
        <v>39759</v>
      </c>
      <c r="H47" s="228" t="s">
        <v>282</v>
      </c>
      <c r="I47" s="300">
        <v>41584</v>
      </c>
      <c r="J47" s="301">
        <v>1826</v>
      </c>
      <c r="K47" s="301">
        <v>1971</v>
      </c>
      <c r="L47" s="301">
        <v>-145</v>
      </c>
      <c r="M47" s="301">
        <v>3240</v>
      </c>
      <c r="N47" s="301">
        <v>0</v>
      </c>
      <c r="O47" s="292">
        <v>48185</v>
      </c>
      <c r="P47" s="301">
        <v>0.27061643835622817</v>
      </c>
      <c r="Q47" s="301">
        <v>-145</v>
      </c>
      <c r="R47" s="292"/>
      <c r="S47" s="251">
        <v>0</v>
      </c>
      <c r="T47" s="250">
        <v>0</v>
      </c>
      <c r="U47" s="250">
        <v>0</v>
      </c>
      <c r="V47" s="250">
        <v>0.27061643835622817</v>
      </c>
    </row>
    <row r="48" spans="2:22">
      <c r="B48" s="15">
        <f>+B47+1</f>
        <v>2</v>
      </c>
      <c r="C48" s="249" t="s">
        <v>799</v>
      </c>
      <c r="D48" s="254">
        <v>2</v>
      </c>
      <c r="E48" s="250">
        <v>6405</v>
      </c>
      <c r="F48" s="254">
        <v>23</v>
      </c>
      <c r="G48" s="233">
        <v>39759</v>
      </c>
      <c r="H48" s="228" t="s">
        <v>282</v>
      </c>
      <c r="I48" s="300">
        <v>41584</v>
      </c>
      <c r="J48" s="301">
        <v>1826</v>
      </c>
      <c r="K48" s="301">
        <v>1971</v>
      </c>
      <c r="L48" s="301">
        <v>-145</v>
      </c>
      <c r="M48" s="301">
        <v>320</v>
      </c>
      <c r="N48" s="301">
        <v>0</v>
      </c>
      <c r="O48" s="292">
        <v>4762</v>
      </c>
      <c r="P48" s="301">
        <v>0.1385273972603045</v>
      </c>
      <c r="Q48" s="301">
        <v>-145</v>
      </c>
      <c r="R48" s="292"/>
      <c r="S48" s="251">
        <v>0</v>
      </c>
      <c r="T48" s="250">
        <v>0</v>
      </c>
      <c r="U48" s="250">
        <v>0</v>
      </c>
      <c r="V48" s="250">
        <v>0.13852739726007712</v>
      </c>
    </row>
    <row r="49" spans="1:22">
      <c r="B49" s="15">
        <f t="shared" ref="B49:B112" si="2">+B48+1</f>
        <v>3</v>
      </c>
      <c r="C49" s="249" t="s">
        <v>800</v>
      </c>
      <c r="D49" s="254">
        <v>4</v>
      </c>
      <c r="E49" s="250">
        <v>106020</v>
      </c>
      <c r="F49" s="254">
        <v>87</v>
      </c>
      <c r="G49" s="233">
        <v>39858</v>
      </c>
      <c r="H49" s="228" t="s">
        <v>282</v>
      </c>
      <c r="I49" s="300">
        <v>41683</v>
      </c>
      <c r="J49" s="301">
        <v>1826</v>
      </c>
      <c r="K49" s="301">
        <v>1872</v>
      </c>
      <c r="L49" s="301">
        <v>-46</v>
      </c>
      <c r="M49" s="301">
        <v>5301</v>
      </c>
      <c r="N49" s="301">
        <v>0</v>
      </c>
      <c r="O49" s="292">
        <v>80205</v>
      </c>
      <c r="P49" s="301">
        <v>0.33232876712281723</v>
      </c>
      <c r="Q49" s="301">
        <v>-46</v>
      </c>
      <c r="R49" s="292"/>
      <c r="S49" s="251">
        <v>0</v>
      </c>
      <c r="T49" s="250">
        <v>0</v>
      </c>
      <c r="U49" s="250">
        <v>0</v>
      </c>
      <c r="V49" s="250">
        <v>0.33232876712281723</v>
      </c>
    </row>
    <row r="50" spans="1:22">
      <c r="B50" s="15">
        <f t="shared" si="2"/>
        <v>4</v>
      </c>
      <c r="C50" s="249" t="s">
        <v>801</v>
      </c>
      <c r="D50" s="254">
        <v>4</v>
      </c>
      <c r="E50" s="250">
        <v>10575</v>
      </c>
      <c r="F50" s="254">
        <v>87</v>
      </c>
      <c r="G50" s="233">
        <v>39858</v>
      </c>
      <c r="H50" s="228" t="s">
        <v>282</v>
      </c>
      <c r="I50" s="300">
        <v>41683</v>
      </c>
      <c r="J50" s="301">
        <v>1826</v>
      </c>
      <c r="K50" s="301">
        <v>1872</v>
      </c>
      <c r="L50" s="301">
        <v>-46</v>
      </c>
      <c r="M50" s="301">
        <v>529</v>
      </c>
      <c r="N50" s="301">
        <v>0</v>
      </c>
      <c r="O50" s="292">
        <v>8000</v>
      </c>
      <c r="P50" s="301">
        <v>-0.30513698630147701</v>
      </c>
      <c r="Q50" s="301">
        <v>-46</v>
      </c>
      <c r="R50" s="292"/>
      <c r="S50" s="251">
        <v>0</v>
      </c>
      <c r="T50" s="250">
        <v>0</v>
      </c>
      <c r="U50" s="250">
        <v>0</v>
      </c>
      <c r="V50" s="250">
        <v>-0.30513698630147701</v>
      </c>
    </row>
    <row r="51" spans="1:22">
      <c r="B51" s="15">
        <f t="shared" si="2"/>
        <v>5</v>
      </c>
      <c r="C51" s="249" t="s">
        <v>802</v>
      </c>
      <c r="D51" s="254">
        <v>4</v>
      </c>
      <c r="E51" s="250">
        <v>4494.3999999999996</v>
      </c>
      <c r="F51" s="254">
        <v>88</v>
      </c>
      <c r="G51" s="233">
        <v>39856</v>
      </c>
      <c r="H51" s="228" t="s">
        <v>282</v>
      </c>
      <c r="I51" s="300">
        <v>41681</v>
      </c>
      <c r="J51" s="301">
        <v>1826</v>
      </c>
      <c r="K51" s="301">
        <v>1874</v>
      </c>
      <c r="L51" s="301">
        <v>-48</v>
      </c>
      <c r="M51" s="301">
        <v>225</v>
      </c>
      <c r="N51" s="301">
        <v>0</v>
      </c>
      <c r="O51" s="292">
        <v>3398</v>
      </c>
      <c r="P51" s="301">
        <v>0.32539178082151921</v>
      </c>
      <c r="Q51" s="301">
        <v>-48</v>
      </c>
      <c r="R51" s="292"/>
      <c r="S51" s="251">
        <v>0</v>
      </c>
      <c r="T51" s="250">
        <v>0</v>
      </c>
      <c r="U51" s="250">
        <v>0</v>
      </c>
      <c r="V51" s="250">
        <v>0.32539178082151921</v>
      </c>
    </row>
    <row r="52" spans="1:22">
      <c r="B52" s="15">
        <f t="shared" si="2"/>
        <v>6</v>
      </c>
      <c r="C52" s="249" t="s">
        <v>803</v>
      </c>
      <c r="D52" s="254">
        <v>3</v>
      </c>
      <c r="E52" s="250">
        <v>1685.4</v>
      </c>
      <c r="F52" s="254">
        <v>88</v>
      </c>
      <c r="G52" s="233">
        <v>39856</v>
      </c>
      <c r="H52" s="228" t="s">
        <v>282</v>
      </c>
      <c r="I52" s="300">
        <v>41681</v>
      </c>
      <c r="J52" s="301">
        <v>1826</v>
      </c>
      <c r="K52" s="301">
        <v>1874</v>
      </c>
      <c r="L52" s="301">
        <v>-48</v>
      </c>
      <c r="M52" s="301">
        <v>84</v>
      </c>
      <c r="N52" s="301">
        <v>0</v>
      </c>
      <c r="O52" s="292">
        <v>1275</v>
      </c>
      <c r="P52" s="301">
        <v>-0.12797808219170292</v>
      </c>
      <c r="Q52" s="301">
        <v>-48</v>
      </c>
      <c r="R52" s="292"/>
      <c r="S52" s="251">
        <v>0</v>
      </c>
      <c r="T52" s="250">
        <v>0</v>
      </c>
      <c r="U52" s="250">
        <v>0</v>
      </c>
      <c r="V52" s="250">
        <v>-0.12797808219170292</v>
      </c>
    </row>
    <row r="53" spans="1:22">
      <c r="B53" s="15">
        <f t="shared" si="2"/>
        <v>7</v>
      </c>
      <c r="C53" s="249" t="s">
        <v>800</v>
      </c>
      <c r="D53" s="254">
        <v>1</v>
      </c>
      <c r="E53" s="250">
        <f>22222+2777</f>
        <v>24999</v>
      </c>
      <c r="F53" s="254">
        <v>88</v>
      </c>
      <c r="G53" s="233">
        <v>39901</v>
      </c>
      <c r="H53" s="228" t="s">
        <v>282</v>
      </c>
      <c r="I53" s="300">
        <v>41726</v>
      </c>
      <c r="J53" s="301">
        <v>1826</v>
      </c>
      <c r="K53" s="301">
        <v>1829</v>
      </c>
      <c r="L53" s="301">
        <v>-3</v>
      </c>
      <c r="M53" s="301">
        <v>1250</v>
      </c>
      <c r="N53" s="301">
        <v>0</v>
      </c>
      <c r="O53" s="292">
        <v>19055</v>
      </c>
      <c r="P53" s="301">
        <v>0.24011643835638097</v>
      </c>
      <c r="Q53" s="301">
        <v>-3</v>
      </c>
      <c r="R53" s="292"/>
      <c r="S53" s="251">
        <v>0</v>
      </c>
      <c r="T53" s="250">
        <v>0</v>
      </c>
      <c r="U53" s="250">
        <v>0</v>
      </c>
      <c r="V53" s="250">
        <v>0.24011643835547147</v>
      </c>
    </row>
    <row r="54" spans="1:22">
      <c r="A54" s="42"/>
      <c r="B54" s="15">
        <f t="shared" si="2"/>
        <v>8</v>
      </c>
      <c r="C54" s="249" t="s">
        <v>804</v>
      </c>
      <c r="D54" s="254">
        <v>1</v>
      </c>
      <c r="E54" s="250">
        <f>5778+2350+1016</f>
        <v>9144</v>
      </c>
      <c r="F54" s="254">
        <v>88</v>
      </c>
      <c r="G54" s="233">
        <v>39901</v>
      </c>
      <c r="H54" s="228" t="s">
        <v>282</v>
      </c>
      <c r="I54" s="300">
        <v>41726</v>
      </c>
      <c r="J54" s="301">
        <v>1826</v>
      </c>
      <c r="K54" s="301">
        <v>1829</v>
      </c>
      <c r="L54" s="301">
        <v>-3</v>
      </c>
      <c r="M54" s="301">
        <v>457</v>
      </c>
      <c r="N54" s="301">
        <v>0</v>
      </c>
      <c r="O54" s="292">
        <v>6972</v>
      </c>
      <c r="P54" s="301">
        <v>0.43008219178091167</v>
      </c>
      <c r="Q54" s="301">
        <v>-3</v>
      </c>
      <c r="R54" s="292"/>
      <c r="S54" s="251">
        <v>0</v>
      </c>
      <c r="T54" s="250">
        <v>0</v>
      </c>
      <c r="U54" s="250">
        <v>0</v>
      </c>
      <c r="V54" s="250">
        <v>0.43008219178045692</v>
      </c>
    </row>
    <row r="55" spans="1:22" ht="27">
      <c r="B55" s="15">
        <f t="shared" si="2"/>
        <v>9</v>
      </c>
      <c r="C55" s="249" t="s">
        <v>805</v>
      </c>
      <c r="D55" s="254">
        <v>1</v>
      </c>
      <c r="E55" s="250">
        <v>30251</v>
      </c>
      <c r="F55" s="254">
        <v>227</v>
      </c>
      <c r="G55" s="233">
        <v>39925</v>
      </c>
      <c r="H55" s="228" t="s">
        <v>282</v>
      </c>
      <c r="I55" s="300">
        <v>41750</v>
      </c>
      <c r="J55" s="301">
        <v>1826</v>
      </c>
      <c r="K55" s="301">
        <v>1805</v>
      </c>
      <c r="L55" s="301">
        <v>21</v>
      </c>
      <c r="M55" s="301">
        <v>1513</v>
      </c>
      <c r="N55" s="301">
        <v>21638</v>
      </c>
      <c r="O55" s="292">
        <v>0</v>
      </c>
      <c r="P55" s="301">
        <v>0</v>
      </c>
      <c r="Q55" s="301">
        <v>0</v>
      </c>
      <c r="R55" s="292"/>
      <c r="S55" s="251">
        <v>0</v>
      </c>
      <c r="T55" s="250">
        <v>0</v>
      </c>
      <c r="U55" s="250">
        <v>0</v>
      </c>
      <c r="V55" s="250">
        <v>0</v>
      </c>
    </row>
    <row r="56" spans="1:22" ht="27">
      <c r="B56" s="15">
        <f t="shared" si="2"/>
        <v>10</v>
      </c>
      <c r="C56" s="249" t="s">
        <v>1050</v>
      </c>
      <c r="D56" s="254">
        <v>3</v>
      </c>
      <c r="E56" s="250">
        <v>90755</v>
      </c>
      <c r="F56" s="254">
        <v>22</v>
      </c>
      <c r="G56" s="233">
        <v>39940</v>
      </c>
      <c r="H56" s="228" t="s">
        <v>282</v>
      </c>
      <c r="I56" s="300">
        <v>41765</v>
      </c>
      <c r="J56" s="301">
        <v>1826</v>
      </c>
      <c r="K56" s="301">
        <v>1790</v>
      </c>
      <c r="L56" s="301">
        <v>36</v>
      </c>
      <c r="M56" s="301">
        <v>4538</v>
      </c>
      <c r="N56" s="301">
        <v>65084</v>
      </c>
      <c r="O56" s="292">
        <v>0</v>
      </c>
      <c r="P56" s="301">
        <v>0</v>
      </c>
      <c r="Q56" s="301">
        <v>0</v>
      </c>
      <c r="R56" s="292"/>
      <c r="S56" s="251">
        <v>0</v>
      </c>
      <c r="T56" s="250">
        <v>0</v>
      </c>
      <c r="U56" s="250">
        <v>0</v>
      </c>
      <c r="V56" s="250">
        <v>0</v>
      </c>
    </row>
    <row r="57" spans="1:22">
      <c r="B57" s="15">
        <f t="shared" si="2"/>
        <v>11</v>
      </c>
      <c r="C57" s="249" t="s">
        <v>1090</v>
      </c>
      <c r="D57" s="254">
        <v>3</v>
      </c>
      <c r="E57" s="320">
        <f>+ROUND(145447/7*3,)</f>
        <v>62334</v>
      </c>
      <c r="F57" s="254">
        <v>2300000347</v>
      </c>
      <c r="G57" s="233">
        <v>40106</v>
      </c>
      <c r="H57" s="228" t="s">
        <v>282</v>
      </c>
      <c r="I57" s="300">
        <v>41931</v>
      </c>
      <c r="J57" s="301">
        <v>1826</v>
      </c>
      <c r="K57" s="301">
        <v>1624</v>
      </c>
      <c r="L57" s="301">
        <v>202</v>
      </c>
      <c r="M57" s="301">
        <v>3116</v>
      </c>
      <c r="N57" s="301">
        <v>46052</v>
      </c>
      <c r="O57" s="292">
        <v>0</v>
      </c>
      <c r="P57" s="301">
        <v>0</v>
      </c>
      <c r="Q57" s="301">
        <v>0</v>
      </c>
      <c r="R57" s="292"/>
      <c r="S57" s="251">
        <v>0</v>
      </c>
      <c r="T57" s="250">
        <v>0</v>
      </c>
      <c r="U57" s="250">
        <v>0</v>
      </c>
      <c r="V57" s="250">
        <v>0</v>
      </c>
    </row>
    <row r="58" spans="1:22">
      <c r="B58" s="15">
        <f t="shared" si="2"/>
        <v>12</v>
      </c>
      <c r="C58" s="249" t="s">
        <v>1092</v>
      </c>
      <c r="D58" s="254">
        <v>1</v>
      </c>
      <c r="E58" s="320">
        <v>48733</v>
      </c>
      <c r="F58" s="254">
        <v>1558</v>
      </c>
      <c r="G58" s="233">
        <v>40106</v>
      </c>
      <c r="H58" s="228" t="s">
        <v>282</v>
      </c>
      <c r="I58" s="300">
        <v>41931</v>
      </c>
      <c r="J58" s="301">
        <v>1826</v>
      </c>
      <c r="K58" s="301">
        <v>1624</v>
      </c>
      <c r="L58" s="301">
        <v>202</v>
      </c>
      <c r="M58" s="301">
        <v>2437</v>
      </c>
      <c r="N58" s="301">
        <v>36002</v>
      </c>
      <c r="O58" s="292">
        <v>0</v>
      </c>
      <c r="P58" s="301">
        <v>0</v>
      </c>
      <c r="Q58" s="301">
        <v>0</v>
      </c>
      <c r="R58" s="292"/>
      <c r="S58" s="251">
        <v>0</v>
      </c>
      <c r="T58" s="250">
        <v>0</v>
      </c>
      <c r="U58" s="250">
        <v>0</v>
      </c>
      <c r="V58" s="250">
        <v>0</v>
      </c>
    </row>
    <row r="59" spans="1:22">
      <c r="B59" s="15">
        <f t="shared" si="2"/>
        <v>13</v>
      </c>
      <c r="C59" s="249" t="s">
        <v>1091</v>
      </c>
      <c r="D59" s="254">
        <v>2</v>
      </c>
      <c r="E59" s="320">
        <v>72443</v>
      </c>
      <c r="F59" s="254">
        <v>2300000349</v>
      </c>
      <c r="G59" s="233">
        <v>40106</v>
      </c>
      <c r="H59" s="228" t="s">
        <v>282</v>
      </c>
      <c r="I59" s="300">
        <v>41931</v>
      </c>
      <c r="J59" s="301">
        <v>1826</v>
      </c>
      <c r="K59" s="301">
        <v>1624</v>
      </c>
      <c r="L59" s="301">
        <v>202</v>
      </c>
      <c r="M59" s="301">
        <v>3622</v>
      </c>
      <c r="N59" s="301">
        <v>53521</v>
      </c>
      <c r="O59" s="292">
        <v>0</v>
      </c>
      <c r="P59" s="301">
        <v>0</v>
      </c>
      <c r="Q59" s="301">
        <v>0</v>
      </c>
      <c r="R59" s="292"/>
      <c r="S59" s="251">
        <v>0</v>
      </c>
      <c r="T59" s="250">
        <v>0</v>
      </c>
      <c r="U59" s="250">
        <v>0</v>
      </c>
      <c r="V59" s="250">
        <v>0</v>
      </c>
    </row>
    <row r="60" spans="1:22">
      <c r="B60" s="15">
        <f t="shared" si="2"/>
        <v>14</v>
      </c>
      <c r="C60" s="249" t="s">
        <v>39</v>
      </c>
      <c r="D60" s="254">
        <v>1</v>
      </c>
      <c r="E60" s="320">
        <v>114049</v>
      </c>
      <c r="F60" s="254">
        <v>1558</v>
      </c>
      <c r="G60" s="233">
        <v>40106</v>
      </c>
      <c r="H60" s="228" t="s">
        <v>282</v>
      </c>
      <c r="I60" s="300">
        <v>41931</v>
      </c>
      <c r="J60" s="301">
        <v>1826</v>
      </c>
      <c r="K60" s="301">
        <v>1624</v>
      </c>
      <c r="L60" s="301">
        <v>202</v>
      </c>
      <c r="M60" s="301">
        <v>5702</v>
      </c>
      <c r="N60" s="301">
        <v>84259</v>
      </c>
      <c r="O60" s="292">
        <v>0</v>
      </c>
      <c r="P60" s="301">
        <v>0</v>
      </c>
      <c r="Q60" s="301">
        <v>0</v>
      </c>
      <c r="R60" s="292"/>
      <c r="S60" s="251">
        <v>0</v>
      </c>
      <c r="T60" s="250">
        <v>0</v>
      </c>
      <c r="U60" s="250">
        <v>0</v>
      </c>
      <c r="V60" s="250">
        <v>0</v>
      </c>
    </row>
    <row r="61" spans="1:22">
      <c r="B61" s="15">
        <f t="shared" si="2"/>
        <v>15</v>
      </c>
      <c r="C61" s="249" t="s">
        <v>40</v>
      </c>
      <c r="D61" s="254">
        <v>1</v>
      </c>
      <c r="E61" s="320">
        <v>135434</v>
      </c>
      <c r="F61" s="254">
        <v>1558</v>
      </c>
      <c r="G61" s="233">
        <v>40106</v>
      </c>
      <c r="H61" s="228" t="s">
        <v>282</v>
      </c>
      <c r="I61" s="300">
        <v>41931</v>
      </c>
      <c r="J61" s="301">
        <v>1826</v>
      </c>
      <c r="K61" s="301">
        <v>1624</v>
      </c>
      <c r="L61" s="301">
        <v>202</v>
      </c>
      <c r="M61" s="301">
        <v>6772</v>
      </c>
      <c r="N61" s="301">
        <v>100059</v>
      </c>
      <c r="O61" s="292">
        <v>0</v>
      </c>
      <c r="P61" s="301">
        <v>0</v>
      </c>
      <c r="Q61" s="301">
        <v>0</v>
      </c>
      <c r="R61" s="292"/>
      <c r="S61" s="251">
        <v>0</v>
      </c>
      <c r="T61" s="250">
        <v>0</v>
      </c>
      <c r="U61" s="250">
        <v>0</v>
      </c>
      <c r="V61" s="250">
        <v>0</v>
      </c>
    </row>
    <row r="62" spans="1:22" ht="40.5">
      <c r="B62" s="15">
        <f t="shared" si="2"/>
        <v>16</v>
      </c>
      <c r="C62" s="249" t="s">
        <v>41</v>
      </c>
      <c r="D62" s="254">
        <v>2</v>
      </c>
      <c r="E62" s="320">
        <f>65545+1598</f>
        <v>67143</v>
      </c>
      <c r="F62" s="254">
        <v>449</v>
      </c>
      <c r="G62" s="233">
        <v>40096</v>
      </c>
      <c r="H62" s="239" t="s">
        <v>4366</v>
      </c>
      <c r="I62" s="300">
        <v>41921</v>
      </c>
      <c r="J62" s="301">
        <v>1826</v>
      </c>
      <c r="K62" s="301">
        <v>1634</v>
      </c>
      <c r="L62" s="301">
        <v>192</v>
      </c>
      <c r="M62" s="301">
        <v>3357</v>
      </c>
      <c r="N62" s="301">
        <v>49518</v>
      </c>
      <c r="O62" s="292">
        <v>0</v>
      </c>
      <c r="P62" s="301">
        <v>0</v>
      </c>
      <c r="Q62" s="301">
        <v>0</v>
      </c>
      <c r="R62" s="292"/>
      <c r="S62" s="251">
        <v>0</v>
      </c>
      <c r="T62" s="250">
        <v>0</v>
      </c>
      <c r="U62" s="250">
        <v>0</v>
      </c>
      <c r="V62" s="250">
        <v>0</v>
      </c>
    </row>
    <row r="63" spans="1:22">
      <c r="B63" s="15">
        <f t="shared" si="2"/>
        <v>17</v>
      </c>
      <c r="C63" s="249" t="s">
        <v>497</v>
      </c>
      <c r="D63" s="254">
        <f>36+12</f>
        <v>48</v>
      </c>
      <c r="E63" s="320">
        <v>100500</v>
      </c>
      <c r="F63" s="254" t="s">
        <v>498</v>
      </c>
      <c r="G63" s="233">
        <v>40141</v>
      </c>
      <c r="H63" s="239" t="s">
        <v>4366</v>
      </c>
      <c r="I63" s="300">
        <v>41966</v>
      </c>
      <c r="J63" s="301">
        <v>1826</v>
      </c>
      <c r="K63" s="301">
        <v>1589</v>
      </c>
      <c r="L63" s="301">
        <v>237</v>
      </c>
      <c r="M63" s="301">
        <v>5025</v>
      </c>
      <c r="N63" s="301">
        <v>74706</v>
      </c>
      <c r="O63" s="292">
        <v>0</v>
      </c>
      <c r="P63" s="301">
        <v>0</v>
      </c>
      <c r="Q63" s="301">
        <v>0</v>
      </c>
      <c r="R63" s="292"/>
      <c r="S63" s="251">
        <v>0</v>
      </c>
      <c r="T63" s="250">
        <v>0</v>
      </c>
      <c r="U63" s="250">
        <v>0</v>
      </c>
      <c r="V63" s="250">
        <v>0</v>
      </c>
    </row>
    <row r="64" spans="1:22">
      <c r="B64" s="15">
        <f t="shared" si="2"/>
        <v>18</v>
      </c>
      <c r="C64" s="249" t="s">
        <v>614</v>
      </c>
      <c r="D64" s="254">
        <v>1</v>
      </c>
      <c r="E64" s="320">
        <v>348792</v>
      </c>
      <c r="F64" s="254" t="s">
        <v>623</v>
      </c>
      <c r="G64" s="233">
        <v>40137</v>
      </c>
      <c r="H64" s="228" t="s">
        <v>282</v>
      </c>
      <c r="I64" s="300">
        <v>41962</v>
      </c>
      <c r="J64" s="301">
        <v>1826</v>
      </c>
      <c r="K64" s="301">
        <v>1593</v>
      </c>
      <c r="L64" s="301">
        <v>233</v>
      </c>
      <c r="M64" s="301">
        <v>17440</v>
      </c>
      <c r="N64" s="301">
        <v>259089</v>
      </c>
      <c r="O64" s="292">
        <v>0</v>
      </c>
      <c r="P64" s="301">
        <v>0</v>
      </c>
      <c r="Q64" s="301">
        <v>0</v>
      </c>
      <c r="R64" s="292"/>
      <c r="S64" s="251">
        <v>0</v>
      </c>
      <c r="T64" s="250">
        <v>0</v>
      </c>
      <c r="U64" s="250">
        <v>0</v>
      </c>
      <c r="V64" s="250">
        <v>0</v>
      </c>
    </row>
    <row r="65" spans="2:22">
      <c r="B65" s="15">
        <f t="shared" si="2"/>
        <v>19</v>
      </c>
      <c r="C65" s="249" t="s">
        <v>4364</v>
      </c>
      <c r="D65" s="254">
        <v>2</v>
      </c>
      <c r="E65" s="320">
        <v>41000</v>
      </c>
      <c r="F65" s="254" t="s">
        <v>101</v>
      </c>
      <c r="G65" s="233">
        <v>40179</v>
      </c>
      <c r="H65" s="239" t="s">
        <v>4366</v>
      </c>
      <c r="I65" s="300">
        <v>42004</v>
      </c>
      <c r="J65" s="301">
        <v>1826</v>
      </c>
      <c r="K65" s="301">
        <v>1551</v>
      </c>
      <c r="L65" s="301">
        <v>275</v>
      </c>
      <c r="M65" s="301">
        <v>2050</v>
      </c>
      <c r="N65" s="301">
        <v>30678</v>
      </c>
      <c r="O65" s="292">
        <v>0</v>
      </c>
      <c r="P65" s="301">
        <v>0</v>
      </c>
      <c r="Q65" s="301">
        <v>0</v>
      </c>
      <c r="R65" s="292"/>
      <c r="S65" s="251">
        <v>0</v>
      </c>
      <c r="T65" s="250">
        <v>0</v>
      </c>
      <c r="U65" s="250">
        <v>0</v>
      </c>
      <c r="V65" s="250">
        <v>0</v>
      </c>
    </row>
    <row r="66" spans="2:22">
      <c r="B66" s="15">
        <f t="shared" si="2"/>
        <v>20</v>
      </c>
      <c r="C66" s="249" t="s">
        <v>318</v>
      </c>
      <c r="D66" s="254">
        <v>19</v>
      </c>
      <c r="E66" s="320">
        <v>480700</v>
      </c>
      <c r="F66" s="254" t="s">
        <v>101</v>
      </c>
      <c r="G66" s="233">
        <v>40179</v>
      </c>
      <c r="H66" s="239" t="s">
        <v>4366</v>
      </c>
      <c r="I66" s="300">
        <v>42004</v>
      </c>
      <c r="J66" s="301">
        <v>1826</v>
      </c>
      <c r="K66" s="301">
        <v>1551</v>
      </c>
      <c r="L66" s="301">
        <v>275</v>
      </c>
      <c r="M66" s="301">
        <v>24035</v>
      </c>
      <c r="N66" s="301">
        <v>359702</v>
      </c>
      <c r="O66" s="292">
        <v>0</v>
      </c>
      <c r="P66" s="301">
        <v>0</v>
      </c>
      <c r="Q66" s="301">
        <v>0</v>
      </c>
      <c r="R66" s="292"/>
      <c r="S66" s="251">
        <v>0</v>
      </c>
      <c r="T66" s="250">
        <v>0</v>
      </c>
      <c r="U66" s="250">
        <v>0</v>
      </c>
      <c r="V66" s="250">
        <v>0</v>
      </c>
    </row>
    <row r="67" spans="2:22">
      <c r="B67" s="15">
        <f t="shared" si="2"/>
        <v>21</v>
      </c>
      <c r="C67" s="249" t="s">
        <v>319</v>
      </c>
      <c r="D67" s="254">
        <f>15-9</f>
        <v>6</v>
      </c>
      <c r="E67" s="320">
        <f>480000-287996</f>
        <v>192004</v>
      </c>
      <c r="F67" s="254" t="s">
        <v>101</v>
      </c>
      <c r="G67" s="233">
        <v>40179</v>
      </c>
      <c r="H67" s="239" t="s">
        <v>4366</v>
      </c>
      <c r="I67" s="300">
        <v>42004</v>
      </c>
      <c r="J67" s="301">
        <v>1826</v>
      </c>
      <c r="K67" s="301">
        <v>1551</v>
      </c>
      <c r="L67" s="301">
        <v>275</v>
      </c>
      <c r="M67" s="301">
        <v>9600</v>
      </c>
      <c r="N67" s="301">
        <v>143672</v>
      </c>
      <c r="O67" s="292">
        <v>0</v>
      </c>
      <c r="P67" s="301">
        <v>0</v>
      </c>
      <c r="Q67" s="301">
        <v>0</v>
      </c>
      <c r="R67" s="292"/>
      <c r="S67" s="251">
        <v>0</v>
      </c>
      <c r="T67" s="250">
        <v>0</v>
      </c>
      <c r="U67" s="250">
        <v>0</v>
      </c>
      <c r="V67" s="250">
        <v>0</v>
      </c>
    </row>
    <row r="68" spans="2:22">
      <c r="B68" s="15">
        <f t="shared" si="2"/>
        <v>22</v>
      </c>
      <c r="C68" s="249" t="s">
        <v>320</v>
      </c>
      <c r="D68" s="254">
        <v>12</v>
      </c>
      <c r="E68" s="320">
        <v>624000</v>
      </c>
      <c r="F68" s="254" t="s">
        <v>103</v>
      </c>
      <c r="G68" s="233">
        <v>40179</v>
      </c>
      <c r="H68" s="239" t="s">
        <v>4366</v>
      </c>
      <c r="I68" s="300">
        <v>42004</v>
      </c>
      <c r="J68" s="301">
        <v>1826</v>
      </c>
      <c r="K68" s="301">
        <v>1551</v>
      </c>
      <c r="L68" s="301">
        <v>275</v>
      </c>
      <c r="M68" s="301">
        <v>31200</v>
      </c>
      <c r="N68" s="301">
        <v>466932</v>
      </c>
      <c r="O68" s="292">
        <v>0</v>
      </c>
      <c r="P68" s="301">
        <v>0</v>
      </c>
      <c r="Q68" s="301">
        <v>0</v>
      </c>
      <c r="R68" s="292"/>
      <c r="S68" s="251">
        <v>0</v>
      </c>
      <c r="T68" s="250">
        <v>0</v>
      </c>
      <c r="U68" s="250">
        <v>0</v>
      </c>
      <c r="V68" s="250">
        <v>0</v>
      </c>
    </row>
    <row r="69" spans="2:22" ht="27">
      <c r="B69" s="15">
        <f t="shared" si="2"/>
        <v>23</v>
      </c>
      <c r="C69" s="249" t="s">
        <v>321</v>
      </c>
      <c r="D69" s="254">
        <v>2</v>
      </c>
      <c r="E69" s="320">
        <v>4000</v>
      </c>
      <c r="F69" s="254" t="s">
        <v>102</v>
      </c>
      <c r="G69" s="233">
        <v>40179</v>
      </c>
      <c r="H69" s="239" t="s">
        <v>4366</v>
      </c>
      <c r="I69" s="301">
        <v>0</v>
      </c>
      <c r="J69" s="301">
        <v>0</v>
      </c>
      <c r="K69" s="301">
        <v>0</v>
      </c>
      <c r="L69" s="301">
        <v>0</v>
      </c>
      <c r="M69" s="301">
        <v>0</v>
      </c>
      <c r="N69" s="301">
        <v>0</v>
      </c>
      <c r="O69" s="292">
        <v>0</v>
      </c>
      <c r="P69" s="301">
        <v>0</v>
      </c>
      <c r="Q69" s="301">
        <v>0</v>
      </c>
      <c r="R69" s="292"/>
      <c r="S69" s="251">
        <v>0</v>
      </c>
      <c r="T69" s="250">
        <v>0</v>
      </c>
      <c r="U69" s="250">
        <v>0</v>
      </c>
      <c r="V69" s="250">
        <v>0</v>
      </c>
    </row>
    <row r="70" spans="2:22" ht="27">
      <c r="B70" s="15">
        <f t="shared" si="2"/>
        <v>24</v>
      </c>
      <c r="C70" s="249" t="s">
        <v>686</v>
      </c>
      <c r="D70" s="254">
        <v>19</v>
      </c>
      <c r="E70" s="320">
        <v>38000</v>
      </c>
      <c r="F70" s="254" t="s">
        <v>102</v>
      </c>
      <c r="G70" s="233">
        <v>40179</v>
      </c>
      <c r="H70" s="239" t="s">
        <v>4366</v>
      </c>
      <c r="I70" s="301">
        <v>0</v>
      </c>
      <c r="J70" s="301">
        <v>0</v>
      </c>
      <c r="K70" s="301">
        <v>0</v>
      </c>
      <c r="L70" s="301">
        <v>0</v>
      </c>
      <c r="M70" s="301">
        <v>0</v>
      </c>
      <c r="N70" s="301">
        <v>0</v>
      </c>
      <c r="O70" s="292">
        <v>0</v>
      </c>
      <c r="P70" s="301">
        <v>0</v>
      </c>
      <c r="Q70" s="301">
        <v>0</v>
      </c>
      <c r="R70" s="292"/>
      <c r="S70" s="251">
        <v>0</v>
      </c>
      <c r="T70" s="250">
        <v>0</v>
      </c>
      <c r="U70" s="250">
        <v>0</v>
      </c>
      <c r="V70" s="250">
        <v>0</v>
      </c>
    </row>
    <row r="71" spans="2:22" ht="27">
      <c r="B71" s="15">
        <f t="shared" si="2"/>
        <v>25</v>
      </c>
      <c r="C71" s="249" t="s">
        <v>687</v>
      </c>
      <c r="D71" s="254">
        <f>15-3</f>
        <v>12</v>
      </c>
      <c r="E71" s="320">
        <f>30000-6000</f>
        <v>24000</v>
      </c>
      <c r="F71" s="254" t="s">
        <v>102</v>
      </c>
      <c r="G71" s="233">
        <v>40179</v>
      </c>
      <c r="H71" s="239" t="s">
        <v>4366</v>
      </c>
      <c r="I71" s="301">
        <v>0</v>
      </c>
      <c r="J71" s="301">
        <v>0</v>
      </c>
      <c r="K71" s="301">
        <v>0</v>
      </c>
      <c r="L71" s="301">
        <v>0</v>
      </c>
      <c r="M71" s="301">
        <v>0</v>
      </c>
      <c r="N71" s="301">
        <v>0</v>
      </c>
      <c r="O71" s="292">
        <v>0</v>
      </c>
      <c r="P71" s="301">
        <v>0</v>
      </c>
      <c r="Q71" s="301">
        <v>0</v>
      </c>
      <c r="R71" s="292"/>
      <c r="S71" s="251">
        <v>0</v>
      </c>
      <c r="T71" s="250">
        <v>0</v>
      </c>
      <c r="U71" s="250">
        <v>0</v>
      </c>
      <c r="V71" s="250">
        <v>0</v>
      </c>
    </row>
    <row r="72" spans="2:22" ht="27">
      <c r="B72" s="15">
        <f t="shared" si="2"/>
        <v>26</v>
      </c>
      <c r="C72" s="249" t="s">
        <v>100</v>
      </c>
      <c r="D72" s="254">
        <v>12</v>
      </c>
      <c r="E72" s="320">
        <v>24000</v>
      </c>
      <c r="F72" s="254" t="s">
        <v>102</v>
      </c>
      <c r="G72" s="233">
        <v>40179</v>
      </c>
      <c r="H72" s="239" t="s">
        <v>4366</v>
      </c>
      <c r="I72" s="301">
        <v>0</v>
      </c>
      <c r="J72" s="301">
        <v>0</v>
      </c>
      <c r="K72" s="301">
        <v>0</v>
      </c>
      <c r="L72" s="301">
        <v>0</v>
      </c>
      <c r="M72" s="301">
        <v>0</v>
      </c>
      <c r="N72" s="301">
        <v>0</v>
      </c>
      <c r="O72" s="292">
        <v>0</v>
      </c>
      <c r="P72" s="301">
        <v>0</v>
      </c>
      <c r="Q72" s="301">
        <v>0</v>
      </c>
      <c r="R72" s="292"/>
      <c r="S72" s="251">
        <v>0</v>
      </c>
      <c r="T72" s="250">
        <v>0</v>
      </c>
      <c r="U72" s="250">
        <v>0</v>
      </c>
      <c r="V72" s="250">
        <v>0</v>
      </c>
    </row>
    <row r="73" spans="2:22">
      <c r="B73" s="15">
        <f t="shared" si="2"/>
        <v>27</v>
      </c>
      <c r="C73" s="249" t="s">
        <v>1092</v>
      </c>
      <c r="D73" s="254">
        <v>1</v>
      </c>
      <c r="E73" s="320">
        <f>ROUND(30723/298216*48773,0)-6</f>
        <v>5019</v>
      </c>
      <c r="F73" s="254">
        <v>1558</v>
      </c>
      <c r="G73" s="233">
        <v>40106</v>
      </c>
      <c r="H73" s="228" t="s">
        <v>282</v>
      </c>
      <c r="I73" s="300">
        <v>41931</v>
      </c>
      <c r="J73" s="301">
        <v>1826</v>
      </c>
      <c r="K73" s="301">
        <v>1624</v>
      </c>
      <c r="L73" s="301">
        <v>202</v>
      </c>
      <c r="M73" s="301">
        <v>251</v>
      </c>
      <c r="N73" s="301">
        <v>3710</v>
      </c>
      <c r="O73" s="292">
        <v>0</v>
      </c>
      <c r="P73" s="301">
        <v>0</v>
      </c>
      <c r="Q73" s="301">
        <v>0</v>
      </c>
      <c r="R73" s="292"/>
      <c r="S73" s="251">
        <v>0</v>
      </c>
      <c r="T73" s="250">
        <v>0</v>
      </c>
      <c r="U73" s="250">
        <v>0</v>
      </c>
      <c r="V73" s="250">
        <v>0</v>
      </c>
    </row>
    <row r="74" spans="2:22">
      <c r="B74" s="15">
        <f t="shared" si="2"/>
        <v>28</v>
      </c>
      <c r="C74" s="249" t="s">
        <v>39</v>
      </c>
      <c r="D74" s="254">
        <v>1</v>
      </c>
      <c r="E74" s="320">
        <f>ROUND(30723/298216*114049,0)-4</f>
        <v>11746</v>
      </c>
      <c r="F74" s="254">
        <v>1558</v>
      </c>
      <c r="G74" s="233">
        <v>40106</v>
      </c>
      <c r="H74" s="228" t="s">
        <v>282</v>
      </c>
      <c r="I74" s="300">
        <v>41931</v>
      </c>
      <c r="J74" s="301">
        <v>1826</v>
      </c>
      <c r="K74" s="301">
        <v>1624</v>
      </c>
      <c r="L74" s="301">
        <v>202</v>
      </c>
      <c r="M74" s="301">
        <v>587</v>
      </c>
      <c r="N74" s="301">
        <v>8677</v>
      </c>
      <c r="O74" s="292">
        <v>0</v>
      </c>
      <c r="P74" s="301">
        <v>0</v>
      </c>
      <c r="Q74" s="301">
        <v>0</v>
      </c>
      <c r="R74" s="292"/>
      <c r="S74" s="251">
        <v>0</v>
      </c>
      <c r="T74" s="250">
        <v>0</v>
      </c>
      <c r="U74" s="250">
        <v>0</v>
      </c>
      <c r="V74" s="250">
        <v>0</v>
      </c>
    </row>
    <row r="75" spans="2:22">
      <c r="B75" s="15">
        <f t="shared" si="2"/>
        <v>29</v>
      </c>
      <c r="C75" s="249" t="s">
        <v>40</v>
      </c>
      <c r="D75" s="254">
        <v>1</v>
      </c>
      <c r="E75" s="320">
        <f>ROUND(30723/298216*135434,0)-2-3</f>
        <v>13948</v>
      </c>
      <c r="F75" s="254">
        <v>1558</v>
      </c>
      <c r="G75" s="233">
        <v>40106</v>
      </c>
      <c r="H75" s="228" t="s">
        <v>282</v>
      </c>
      <c r="I75" s="300">
        <v>41931</v>
      </c>
      <c r="J75" s="301">
        <v>1826</v>
      </c>
      <c r="K75" s="301">
        <v>1624</v>
      </c>
      <c r="L75" s="301">
        <v>202</v>
      </c>
      <c r="M75" s="301">
        <v>697</v>
      </c>
      <c r="N75" s="301">
        <v>10303</v>
      </c>
      <c r="O75" s="292">
        <v>0</v>
      </c>
      <c r="P75" s="301">
        <v>0</v>
      </c>
      <c r="Q75" s="301">
        <v>0</v>
      </c>
      <c r="R75" s="292"/>
      <c r="S75" s="251">
        <v>0</v>
      </c>
      <c r="T75" s="250">
        <v>0</v>
      </c>
      <c r="U75" s="250">
        <v>0</v>
      </c>
      <c r="V75" s="250">
        <v>0</v>
      </c>
    </row>
    <row r="76" spans="2:22">
      <c r="B76" s="15">
        <f t="shared" si="2"/>
        <v>30</v>
      </c>
      <c r="C76" s="249" t="s">
        <v>1090</v>
      </c>
      <c r="D76" s="254">
        <v>7</v>
      </c>
      <c r="E76" s="320">
        <f>ROUND(22430/(145447+72443)*145447,0)+6</f>
        <v>14979</v>
      </c>
      <c r="F76" s="254">
        <v>2300000347</v>
      </c>
      <c r="G76" s="233">
        <v>40106</v>
      </c>
      <c r="H76" s="228" t="s">
        <v>282</v>
      </c>
      <c r="I76" s="301">
        <v>0</v>
      </c>
      <c r="J76" s="301">
        <v>0</v>
      </c>
      <c r="K76" s="301">
        <v>0</v>
      </c>
      <c r="L76" s="301">
        <v>0</v>
      </c>
      <c r="M76" s="301">
        <v>0</v>
      </c>
      <c r="N76" s="301">
        <v>0</v>
      </c>
      <c r="O76" s="292">
        <v>0</v>
      </c>
      <c r="P76" s="301">
        <v>0</v>
      </c>
      <c r="Q76" s="301">
        <v>0</v>
      </c>
      <c r="R76" s="292"/>
      <c r="S76" s="251">
        <v>0</v>
      </c>
      <c r="T76" s="250">
        <v>0</v>
      </c>
      <c r="U76" s="250">
        <v>0</v>
      </c>
      <c r="V76" s="250">
        <v>0</v>
      </c>
    </row>
    <row r="77" spans="2:22">
      <c r="B77" s="15">
        <f t="shared" si="2"/>
        <v>31</v>
      </c>
      <c r="C77" s="249" t="s">
        <v>1091</v>
      </c>
      <c r="D77" s="254">
        <v>2</v>
      </c>
      <c r="E77" s="320">
        <f>ROUND(22430/(145447+72443)*72443,0)+4</f>
        <v>7461</v>
      </c>
      <c r="F77" s="254">
        <v>2300000349</v>
      </c>
      <c r="G77" s="233">
        <v>40106</v>
      </c>
      <c r="H77" s="228" t="s">
        <v>282</v>
      </c>
      <c r="I77" s="301">
        <v>0</v>
      </c>
      <c r="J77" s="301">
        <v>0</v>
      </c>
      <c r="K77" s="301">
        <v>0</v>
      </c>
      <c r="L77" s="301">
        <v>0</v>
      </c>
      <c r="M77" s="301">
        <v>0</v>
      </c>
      <c r="N77" s="301">
        <v>0</v>
      </c>
      <c r="O77" s="292">
        <v>0</v>
      </c>
      <c r="P77" s="301">
        <v>0</v>
      </c>
      <c r="Q77" s="301">
        <v>0</v>
      </c>
      <c r="R77" s="292"/>
      <c r="S77" s="251">
        <v>0</v>
      </c>
      <c r="T77" s="250">
        <v>0</v>
      </c>
      <c r="U77" s="250">
        <v>0</v>
      </c>
      <c r="V77" s="250">
        <v>0</v>
      </c>
    </row>
    <row r="78" spans="2:22" ht="27">
      <c r="B78" s="15">
        <f t="shared" si="2"/>
        <v>32</v>
      </c>
      <c r="C78" s="249" t="s">
        <v>465</v>
      </c>
      <c r="D78" s="254">
        <v>1</v>
      </c>
      <c r="E78" s="320">
        <v>148123</v>
      </c>
      <c r="F78" s="254" t="s">
        <v>466</v>
      </c>
      <c r="G78" s="233">
        <v>40137</v>
      </c>
      <c r="H78" s="228" t="s">
        <v>282</v>
      </c>
      <c r="I78" s="300">
        <v>41962</v>
      </c>
      <c r="J78" s="301">
        <v>1826</v>
      </c>
      <c r="K78" s="301">
        <v>1593</v>
      </c>
      <c r="L78" s="301">
        <v>233</v>
      </c>
      <c r="M78" s="301">
        <v>7406</v>
      </c>
      <c r="N78" s="301">
        <v>110030</v>
      </c>
      <c r="O78" s="292">
        <v>0</v>
      </c>
      <c r="P78" s="301">
        <v>0</v>
      </c>
      <c r="Q78" s="301">
        <v>0</v>
      </c>
      <c r="R78" s="292"/>
      <c r="S78" s="251">
        <v>0</v>
      </c>
      <c r="T78" s="250">
        <v>0</v>
      </c>
      <c r="U78" s="250">
        <v>0</v>
      </c>
      <c r="V78" s="250">
        <v>0</v>
      </c>
    </row>
    <row r="79" spans="2:22">
      <c r="B79" s="15">
        <f t="shared" si="2"/>
        <v>33</v>
      </c>
      <c r="C79" s="249" t="s">
        <v>1298</v>
      </c>
      <c r="D79" s="254">
        <v>6</v>
      </c>
      <c r="E79" s="320">
        <f>+ROUND((277332*1.125)+(31322*1.145),0)</f>
        <v>347862</v>
      </c>
      <c r="F79" s="254" t="s">
        <v>774</v>
      </c>
      <c r="G79" s="233">
        <v>40183</v>
      </c>
      <c r="H79" s="239" t="s">
        <v>4366</v>
      </c>
      <c r="I79" s="300">
        <v>42008</v>
      </c>
      <c r="J79" s="301">
        <v>1826</v>
      </c>
      <c r="K79" s="301">
        <v>1547</v>
      </c>
      <c r="L79" s="301">
        <v>279</v>
      </c>
      <c r="M79" s="301">
        <v>17393</v>
      </c>
      <c r="N79" s="301">
        <v>260484</v>
      </c>
      <c r="O79" s="292">
        <v>0</v>
      </c>
      <c r="P79" s="301">
        <v>0</v>
      </c>
      <c r="Q79" s="301">
        <v>0</v>
      </c>
      <c r="R79" s="292"/>
      <c r="S79" s="251">
        <v>0</v>
      </c>
      <c r="T79" s="250">
        <v>0</v>
      </c>
      <c r="U79" s="250">
        <v>0</v>
      </c>
      <c r="V79" s="250">
        <v>0</v>
      </c>
    </row>
    <row r="80" spans="2:22">
      <c r="B80" s="15">
        <f t="shared" si="2"/>
        <v>34</v>
      </c>
      <c r="C80" s="249" t="s">
        <v>1299</v>
      </c>
      <c r="D80" s="254">
        <v>1</v>
      </c>
      <c r="E80" s="320">
        <f>18224*1.125</f>
        <v>20502</v>
      </c>
      <c r="F80" s="254" t="s">
        <v>773</v>
      </c>
      <c r="G80" s="233">
        <v>40183</v>
      </c>
      <c r="H80" s="239" t="s">
        <v>4366</v>
      </c>
      <c r="I80" s="300">
        <v>42008</v>
      </c>
      <c r="J80" s="301">
        <v>1826</v>
      </c>
      <c r="K80" s="301">
        <v>1547</v>
      </c>
      <c r="L80" s="301">
        <v>279</v>
      </c>
      <c r="M80" s="301">
        <v>1025</v>
      </c>
      <c r="N80" s="301">
        <v>15353</v>
      </c>
      <c r="O80" s="292">
        <v>0</v>
      </c>
      <c r="P80" s="301">
        <v>0</v>
      </c>
      <c r="Q80" s="301">
        <v>0</v>
      </c>
      <c r="R80" s="292"/>
      <c r="S80" s="251">
        <v>0</v>
      </c>
      <c r="T80" s="250">
        <v>0</v>
      </c>
      <c r="U80" s="250">
        <v>0</v>
      </c>
      <c r="V80" s="250">
        <v>0</v>
      </c>
    </row>
    <row r="81" spans="1:22">
      <c r="B81" s="15">
        <f t="shared" si="2"/>
        <v>35</v>
      </c>
      <c r="C81" s="249" t="s">
        <v>1300</v>
      </c>
      <c r="D81" s="254">
        <v>1</v>
      </c>
      <c r="E81" s="320">
        <f>ROUND(1778*1.125,0)</f>
        <v>2000</v>
      </c>
      <c r="F81" s="254" t="s">
        <v>773</v>
      </c>
      <c r="G81" s="233">
        <v>40183</v>
      </c>
      <c r="H81" s="239" t="s">
        <v>4366</v>
      </c>
      <c r="I81" s="301">
        <v>0</v>
      </c>
      <c r="J81" s="301">
        <v>0</v>
      </c>
      <c r="K81" s="301">
        <v>0</v>
      </c>
      <c r="L81" s="301">
        <v>0</v>
      </c>
      <c r="M81" s="301">
        <v>0</v>
      </c>
      <c r="N81" s="301">
        <v>0</v>
      </c>
      <c r="O81" s="292">
        <v>0</v>
      </c>
      <c r="P81" s="301">
        <v>0</v>
      </c>
      <c r="Q81" s="301">
        <v>0</v>
      </c>
      <c r="R81" s="292"/>
      <c r="S81" s="251">
        <v>0</v>
      </c>
      <c r="T81" s="250">
        <v>0</v>
      </c>
      <c r="U81" s="250">
        <v>0</v>
      </c>
      <c r="V81" s="250">
        <v>0</v>
      </c>
    </row>
    <row r="82" spans="1:22" ht="27">
      <c r="A82" s="42"/>
      <c r="B82" s="15">
        <f t="shared" si="2"/>
        <v>36</v>
      </c>
      <c r="C82" s="249" t="s">
        <v>53</v>
      </c>
      <c r="D82" s="254">
        <v>4</v>
      </c>
      <c r="E82" s="250">
        <v>121800</v>
      </c>
      <c r="F82" s="275" t="s">
        <v>987</v>
      </c>
      <c r="G82" s="233">
        <v>40284</v>
      </c>
      <c r="H82" s="228" t="s">
        <v>282</v>
      </c>
      <c r="I82" s="300">
        <v>42109</v>
      </c>
      <c r="J82" s="301">
        <v>1826</v>
      </c>
      <c r="K82" s="301">
        <v>1446</v>
      </c>
      <c r="L82" s="301">
        <v>380</v>
      </c>
      <c r="M82" s="301">
        <v>6090</v>
      </c>
      <c r="N82" s="301">
        <v>92806</v>
      </c>
      <c r="O82" s="292">
        <v>0</v>
      </c>
      <c r="P82" s="301">
        <v>9753</v>
      </c>
      <c r="Q82" s="301">
        <v>15</v>
      </c>
      <c r="R82" s="292">
        <v>3663</v>
      </c>
      <c r="S82" s="251">
        <v>0</v>
      </c>
      <c r="T82" s="250">
        <v>0</v>
      </c>
      <c r="U82" s="250">
        <v>9753</v>
      </c>
      <c r="V82" s="250">
        <v>0</v>
      </c>
    </row>
    <row r="83" spans="1:22" ht="40.5">
      <c r="A83" s="42"/>
      <c r="B83" s="15">
        <f t="shared" si="2"/>
        <v>37</v>
      </c>
      <c r="C83" s="249" t="s">
        <v>1791</v>
      </c>
      <c r="D83" s="254">
        <v>1</v>
      </c>
      <c r="E83" s="250">
        <v>30655</v>
      </c>
      <c r="F83" s="254">
        <v>623</v>
      </c>
      <c r="G83" s="233">
        <v>40299</v>
      </c>
      <c r="H83" s="228" t="s">
        <v>161</v>
      </c>
      <c r="I83" s="300">
        <v>42124</v>
      </c>
      <c r="J83" s="301">
        <v>1826</v>
      </c>
      <c r="K83" s="301">
        <v>1431</v>
      </c>
      <c r="L83" s="301">
        <v>395</v>
      </c>
      <c r="M83" s="301">
        <v>1533</v>
      </c>
      <c r="N83" s="301">
        <v>23418</v>
      </c>
      <c r="O83" s="292">
        <v>0</v>
      </c>
      <c r="P83" s="301">
        <v>3312</v>
      </c>
      <c r="Q83" s="301">
        <v>30</v>
      </c>
      <c r="R83" s="292">
        <v>1779</v>
      </c>
      <c r="S83" s="251">
        <v>0</v>
      </c>
      <c r="T83" s="250">
        <v>0</v>
      </c>
      <c r="U83" s="250">
        <v>3312</v>
      </c>
      <c r="V83" s="250">
        <v>0</v>
      </c>
    </row>
    <row r="84" spans="1:22" ht="40.5">
      <c r="A84" s="42"/>
      <c r="B84" s="15">
        <f t="shared" si="2"/>
        <v>38</v>
      </c>
      <c r="C84" s="249" t="s">
        <v>560</v>
      </c>
      <c r="D84" s="254">
        <v>4</v>
      </c>
      <c r="E84" s="250">
        <f>105702+12133</f>
        <v>117835</v>
      </c>
      <c r="F84" s="254">
        <v>630</v>
      </c>
      <c r="G84" s="232">
        <v>40306</v>
      </c>
      <c r="H84" s="228" t="s">
        <v>368</v>
      </c>
      <c r="I84" s="300">
        <v>42131</v>
      </c>
      <c r="J84" s="301">
        <v>1826</v>
      </c>
      <c r="K84" s="301">
        <v>1424</v>
      </c>
      <c r="L84" s="301">
        <v>402</v>
      </c>
      <c r="M84" s="301">
        <v>5892</v>
      </c>
      <c r="N84" s="301">
        <v>90121</v>
      </c>
      <c r="O84" s="292">
        <v>0</v>
      </c>
      <c r="P84" s="301">
        <v>14187</v>
      </c>
      <c r="Q84" s="301">
        <v>37</v>
      </c>
      <c r="R84" s="292">
        <v>8295</v>
      </c>
      <c r="S84" s="251">
        <v>0</v>
      </c>
      <c r="T84" s="250">
        <v>0</v>
      </c>
      <c r="U84" s="250">
        <v>14187</v>
      </c>
      <c r="V84" s="250">
        <v>0</v>
      </c>
    </row>
    <row r="85" spans="1:22" ht="40.5">
      <c r="A85" s="42"/>
      <c r="B85" s="15">
        <f t="shared" si="2"/>
        <v>39</v>
      </c>
      <c r="C85" s="249" t="s">
        <v>12</v>
      </c>
      <c r="D85" s="254">
        <v>10</v>
      </c>
      <c r="E85" s="320">
        <f>ROUND((210530+19300+10000+17500)+(47603/12*10),0)+0.43</f>
        <v>296999.43</v>
      </c>
      <c r="F85" s="254">
        <v>621</v>
      </c>
      <c r="G85" s="232">
        <v>40310</v>
      </c>
      <c r="H85" s="228" t="s">
        <v>368</v>
      </c>
      <c r="I85" s="300">
        <v>42135</v>
      </c>
      <c r="J85" s="301">
        <v>1826</v>
      </c>
      <c r="K85" s="301">
        <v>1420</v>
      </c>
      <c r="L85" s="301">
        <v>406</v>
      </c>
      <c r="M85" s="301">
        <v>14850</v>
      </c>
      <c r="N85" s="301">
        <v>227303.43</v>
      </c>
      <c r="O85" s="292">
        <v>0</v>
      </c>
      <c r="P85" s="301">
        <v>37804.429999999993</v>
      </c>
      <c r="Q85" s="301">
        <v>41</v>
      </c>
      <c r="R85" s="292">
        <v>22954</v>
      </c>
      <c r="S85" s="251">
        <v>0</v>
      </c>
      <c r="T85" s="250">
        <v>0</v>
      </c>
      <c r="U85" s="250">
        <v>37804</v>
      </c>
      <c r="V85" s="250">
        <v>0.42999999999301508</v>
      </c>
    </row>
    <row r="86" spans="1:22" ht="40.5">
      <c r="A86" s="42"/>
      <c r="B86" s="15">
        <f t="shared" si="2"/>
        <v>40</v>
      </c>
      <c r="C86" s="249" t="s">
        <v>13</v>
      </c>
      <c r="D86" s="254">
        <v>2</v>
      </c>
      <c r="E86" s="320">
        <f>ROUND((54386+4386+2000+1500)+(47603/12*2),0)</f>
        <v>70206</v>
      </c>
      <c r="F86" s="254">
        <v>621</v>
      </c>
      <c r="G86" s="232">
        <v>40310</v>
      </c>
      <c r="H86" s="228" t="s">
        <v>368</v>
      </c>
      <c r="I86" s="300">
        <v>42135</v>
      </c>
      <c r="J86" s="301">
        <v>1826</v>
      </c>
      <c r="K86" s="301">
        <v>1420</v>
      </c>
      <c r="L86" s="301">
        <v>406</v>
      </c>
      <c r="M86" s="301">
        <v>3510</v>
      </c>
      <c r="N86" s="301">
        <v>53731</v>
      </c>
      <c r="O86" s="292">
        <v>0</v>
      </c>
      <c r="P86" s="301">
        <v>8936</v>
      </c>
      <c r="Q86" s="301">
        <v>41</v>
      </c>
      <c r="R86" s="292">
        <v>5426</v>
      </c>
      <c r="S86" s="251">
        <v>0</v>
      </c>
      <c r="T86" s="250">
        <v>0</v>
      </c>
      <c r="U86" s="250">
        <v>8936</v>
      </c>
      <c r="V86" s="250">
        <v>0</v>
      </c>
    </row>
    <row r="87" spans="1:22" ht="27">
      <c r="A87" s="42"/>
      <c r="B87" s="15">
        <f t="shared" si="2"/>
        <v>41</v>
      </c>
      <c r="C87" s="249" t="s">
        <v>230</v>
      </c>
      <c r="D87" s="254">
        <v>4</v>
      </c>
      <c r="E87" s="320">
        <v>117833</v>
      </c>
      <c r="F87" s="254">
        <v>682</v>
      </c>
      <c r="G87" s="232">
        <v>40348</v>
      </c>
      <c r="H87" s="228" t="s">
        <v>368</v>
      </c>
      <c r="I87" s="300">
        <v>42173</v>
      </c>
      <c r="J87" s="301">
        <v>1826</v>
      </c>
      <c r="K87" s="301">
        <v>1382</v>
      </c>
      <c r="L87" s="301">
        <v>444</v>
      </c>
      <c r="M87" s="301">
        <v>5892</v>
      </c>
      <c r="N87" s="301">
        <v>90763</v>
      </c>
      <c r="O87" s="292">
        <v>0</v>
      </c>
      <c r="P87" s="301">
        <v>22041</v>
      </c>
      <c r="Q87" s="301">
        <v>79</v>
      </c>
      <c r="R87" s="292">
        <v>16149</v>
      </c>
      <c r="S87" s="251">
        <v>0</v>
      </c>
      <c r="T87" s="250">
        <v>0</v>
      </c>
      <c r="U87" s="250">
        <v>22041</v>
      </c>
      <c r="V87" s="250">
        <v>0</v>
      </c>
    </row>
    <row r="88" spans="1:22" ht="27">
      <c r="A88" s="42"/>
      <c r="B88" s="15">
        <f t="shared" si="2"/>
        <v>42</v>
      </c>
      <c r="C88" s="249" t="s">
        <v>231</v>
      </c>
      <c r="D88" s="254">
        <v>9</v>
      </c>
      <c r="E88" s="250">
        <v>454563</v>
      </c>
      <c r="F88" s="254">
        <v>668</v>
      </c>
      <c r="G88" s="232">
        <v>40330</v>
      </c>
      <c r="H88" s="228" t="s">
        <v>368</v>
      </c>
      <c r="I88" s="300">
        <v>42155</v>
      </c>
      <c r="J88" s="301">
        <v>1826</v>
      </c>
      <c r="K88" s="301">
        <v>1400</v>
      </c>
      <c r="L88" s="301">
        <v>426</v>
      </c>
      <c r="M88" s="301">
        <v>22728</v>
      </c>
      <c r="N88" s="301">
        <v>349078</v>
      </c>
      <c r="O88" s="292">
        <v>0</v>
      </c>
      <c r="P88" s="301">
        <v>72713</v>
      </c>
      <c r="Q88" s="301">
        <v>61</v>
      </c>
      <c r="R88" s="292">
        <v>49985</v>
      </c>
      <c r="S88" s="251">
        <v>0</v>
      </c>
      <c r="T88" s="250">
        <v>0</v>
      </c>
      <c r="U88" s="250">
        <v>72713</v>
      </c>
      <c r="V88" s="250">
        <v>0</v>
      </c>
    </row>
    <row r="89" spans="1:22" ht="40.5">
      <c r="A89" s="42"/>
      <c r="B89" s="15">
        <f t="shared" si="2"/>
        <v>43</v>
      </c>
      <c r="C89" s="249" t="s">
        <v>561</v>
      </c>
      <c r="D89" s="254">
        <v>4</v>
      </c>
      <c r="E89" s="250">
        <v>146133</v>
      </c>
      <c r="F89" s="254" t="s">
        <v>322</v>
      </c>
      <c r="G89" s="232">
        <v>40417</v>
      </c>
      <c r="H89" s="228" t="s">
        <v>368</v>
      </c>
      <c r="I89" s="300">
        <v>42242</v>
      </c>
      <c r="J89" s="301">
        <v>1826</v>
      </c>
      <c r="K89" s="301">
        <v>1313</v>
      </c>
      <c r="L89" s="301">
        <v>513</v>
      </c>
      <c r="M89" s="301">
        <v>7307</v>
      </c>
      <c r="N89" s="301">
        <v>113874</v>
      </c>
      <c r="O89" s="292">
        <v>0</v>
      </c>
      <c r="P89" s="301">
        <v>40160</v>
      </c>
      <c r="Q89" s="301">
        <v>148</v>
      </c>
      <c r="R89" s="292">
        <v>32853</v>
      </c>
      <c r="S89" s="251">
        <v>0</v>
      </c>
      <c r="T89" s="250">
        <v>0</v>
      </c>
      <c r="U89" s="250">
        <v>40160</v>
      </c>
      <c r="V89" s="250">
        <v>0</v>
      </c>
    </row>
    <row r="90" spans="1:22" ht="54">
      <c r="A90" s="42"/>
      <c r="B90" s="15">
        <f t="shared" si="2"/>
        <v>44</v>
      </c>
      <c r="C90" s="249" t="s">
        <v>256</v>
      </c>
      <c r="D90" s="254">
        <v>6</v>
      </c>
      <c r="E90" s="250">
        <v>188299</v>
      </c>
      <c r="F90" s="254" t="s">
        <v>193</v>
      </c>
      <c r="G90" s="232">
        <v>40442</v>
      </c>
      <c r="H90" s="228" t="s">
        <v>368</v>
      </c>
      <c r="I90" s="300">
        <v>42267</v>
      </c>
      <c r="J90" s="301">
        <v>1826</v>
      </c>
      <c r="K90" s="301">
        <v>1288</v>
      </c>
      <c r="L90" s="301">
        <v>538</v>
      </c>
      <c r="M90" s="301">
        <v>9415</v>
      </c>
      <c r="N90" s="301">
        <v>147348</v>
      </c>
      <c r="O90" s="292">
        <v>0</v>
      </c>
      <c r="P90" s="301">
        <v>56796</v>
      </c>
      <c r="Q90" s="301">
        <v>173</v>
      </c>
      <c r="R90" s="292">
        <v>47381</v>
      </c>
      <c r="S90" s="251">
        <v>0</v>
      </c>
      <c r="T90" s="250">
        <v>0</v>
      </c>
      <c r="U90" s="250">
        <v>56796</v>
      </c>
      <c r="V90" s="250">
        <v>0</v>
      </c>
    </row>
    <row r="91" spans="1:22">
      <c r="A91" s="42"/>
      <c r="B91" s="15">
        <f t="shared" si="2"/>
        <v>45</v>
      </c>
      <c r="C91" s="249" t="s">
        <v>467</v>
      </c>
      <c r="D91" s="254">
        <v>6</v>
      </c>
      <c r="E91" s="250">
        <v>208150</v>
      </c>
      <c r="F91" s="254" t="s">
        <v>979</v>
      </c>
      <c r="G91" s="232">
        <v>40504</v>
      </c>
      <c r="H91" s="249" t="s">
        <v>368</v>
      </c>
      <c r="I91" s="300">
        <v>42329</v>
      </c>
      <c r="J91" s="301">
        <v>1826</v>
      </c>
      <c r="K91" s="301">
        <v>1226</v>
      </c>
      <c r="L91" s="301">
        <v>600</v>
      </c>
      <c r="M91" s="301">
        <v>10408</v>
      </c>
      <c r="N91" s="301">
        <v>164560</v>
      </c>
      <c r="O91" s="292">
        <v>0</v>
      </c>
      <c r="P91" s="301">
        <v>74861</v>
      </c>
      <c r="Q91" s="301">
        <v>235</v>
      </c>
      <c r="R91" s="292">
        <v>64454</v>
      </c>
      <c r="S91" s="251">
        <v>0</v>
      </c>
      <c r="T91" s="250">
        <v>0</v>
      </c>
      <c r="U91" s="250">
        <v>74861</v>
      </c>
      <c r="V91" s="250">
        <v>0</v>
      </c>
    </row>
    <row r="92" spans="1:22" ht="27">
      <c r="A92" s="42"/>
      <c r="B92" s="15">
        <f t="shared" si="2"/>
        <v>46</v>
      </c>
      <c r="C92" s="249" t="s">
        <v>213</v>
      </c>
      <c r="D92" s="254">
        <v>8</v>
      </c>
      <c r="E92" s="250">
        <f>496104/18*8</f>
        <v>220490.66666666666</v>
      </c>
      <c r="F92" s="254" t="s">
        <v>624</v>
      </c>
      <c r="G92" s="232">
        <v>40497</v>
      </c>
      <c r="H92" s="228" t="s">
        <v>368</v>
      </c>
      <c r="I92" s="300">
        <v>42322</v>
      </c>
      <c r="J92" s="301">
        <v>1826</v>
      </c>
      <c r="K92" s="301">
        <v>1233</v>
      </c>
      <c r="L92" s="301">
        <v>593</v>
      </c>
      <c r="M92" s="301">
        <v>11025</v>
      </c>
      <c r="N92" s="301">
        <v>174114.66666666666</v>
      </c>
      <c r="O92" s="292">
        <v>0</v>
      </c>
      <c r="P92" s="301">
        <v>77969.666666666657</v>
      </c>
      <c r="Q92" s="301">
        <v>228</v>
      </c>
      <c r="R92" s="292">
        <v>66945</v>
      </c>
      <c r="S92" s="251">
        <v>0</v>
      </c>
      <c r="T92" s="250">
        <v>0</v>
      </c>
      <c r="U92" s="250">
        <v>77970</v>
      </c>
      <c r="V92" s="250">
        <v>-0.33333333334303461</v>
      </c>
    </row>
    <row r="93" spans="1:22" ht="27">
      <c r="A93" s="42"/>
      <c r="B93" s="15">
        <f t="shared" si="2"/>
        <v>47</v>
      </c>
      <c r="C93" s="249" t="s">
        <v>213</v>
      </c>
      <c r="D93" s="254">
        <v>10</v>
      </c>
      <c r="E93" s="250">
        <f>496104/18*10</f>
        <v>275613.33333333331</v>
      </c>
      <c r="F93" s="254" t="s">
        <v>624</v>
      </c>
      <c r="G93" s="232">
        <v>40498</v>
      </c>
      <c r="H93" s="228" t="s">
        <v>368</v>
      </c>
      <c r="I93" s="300">
        <v>42323</v>
      </c>
      <c r="J93" s="301">
        <v>1826</v>
      </c>
      <c r="K93" s="301">
        <v>1232</v>
      </c>
      <c r="L93" s="301">
        <v>594</v>
      </c>
      <c r="M93" s="301">
        <v>13781</v>
      </c>
      <c r="N93" s="301">
        <v>217678.33333333331</v>
      </c>
      <c r="O93" s="292">
        <v>0</v>
      </c>
      <c r="P93" s="301">
        <v>97700.333333333314</v>
      </c>
      <c r="Q93" s="301">
        <v>229</v>
      </c>
      <c r="R93" s="292">
        <v>83920</v>
      </c>
      <c r="S93" s="251">
        <v>0</v>
      </c>
      <c r="T93" s="250">
        <v>0</v>
      </c>
      <c r="U93" s="250">
        <v>97700</v>
      </c>
      <c r="V93" s="250">
        <v>0.33333333331393078</v>
      </c>
    </row>
    <row r="94" spans="1:22">
      <c r="A94" s="42"/>
      <c r="B94" s="15">
        <f t="shared" si="2"/>
        <v>48</v>
      </c>
      <c r="C94" s="278" t="s">
        <v>2653</v>
      </c>
      <c r="D94" s="254">
        <v>5</v>
      </c>
      <c r="E94" s="266">
        <f>ROUND(+D94*214744,0)</f>
        <v>1073720</v>
      </c>
      <c r="F94" s="254" t="s">
        <v>98</v>
      </c>
      <c r="G94" s="232">
        <v>40523</v>
      </c>
      <c r="H94" s="239" t="s">
        <v>4366</v>
      </c>
      <c r="I94" s="300">
        <v>42348</v>
      </c>
      <c r="J94" s="301">
        <v>1826</v>
      </c>
      <c r="K94" s="301">
        <v>1207</v>
      </c>
      <c r="L94" s="301">
        <v>619</v>
      </c>
      <c r="M94" s="301">
        <v>53686</v>
      </c>
      <c r="N94" s="301">
        <v>851519</v>
      </c>
      <c r="O94" s="292">
        <v>0</v>
      </c>
      <c r="P94" s="301">
        <v>403098</v>
      </c>
      <c r="Q94" s="301">
        <v>254</v>
      </c>
      <c r="R94" s="292">
        <v>349412</v>
      </c>
      <c r="S94" s="251">
        <v>0</v>
      </c>
      <c r="T94" s="250">
        <v>0</v>
      </c>
      <c r="U94" s="250">
        <v>403098</v>
      </c>
      <c r="V94" s="250">
        <v>0</v>
      </c>
    </row>
    <row r="95" spans="1:22">
      <c r="A95" s="42"/>
      <c r="B95" s="15">
        <f t="shared" si="2"/>
        <v>49</v>
      </c>
      <c r="C95" s="278" t="s">
        <v>2652</v>
      </c>
      <c r="D95" s="254">
        <v>1</v>
      </c>
      <c r="E95" s="266">
        <f>ROUND(+D95*37829,0)</f>
        <v>37829</v>
      </c>
      <c r="F95" s="254" t="s">
        <v>98</v>
      </c>
      <c r="G95" s="232">
        <v>40523</v>
      </c>
      <c r="H95" s="239" t="s">
        <v>4366</v>
      </c>
      <c r="I95" s="300">
        <v>42348</v>
      </c>
      <c r="J95" s="301">
        <v>1826</v>
      </c>
      <c r="K95" s="301">
        <v>1207</v>
      </c>
      <c r="L95" s="301">
        <v>619</v>
      </c>
      <c r="M95" s="301">
        <v>1891</v>
      </c>
      <c r="N95" s="301">
        <v>30001</v>
      </c>
      <c r="O95" s="292">
        <v>0</v>
      </c>
      <c r="P95" s="301">
        <v>14202</v>
      </c>
      <c r="Q95" s="301">
        <v>254</v>
      </c>
      <c r="R95" s="292">
        <v>12311</v>
      </c>
      <c r="S95" s="251">
        <v>0</v>
      </c>
      <c r="T95" s="250">
        <v>0</v>
      </c>
      <c r="U95" s="250">
        <v>14202</v>
      </c>
      <c r="V95" s="250">
        <v>0</v>
      </c>
    </row>
    <row r="96" spans="1:22">
      <c r="A96" s="42"/>
      <c r="B96" s="15">
        <f t="shared" si="2"/>
        <v>50</v>
      </c>
      <c r="C96" s="249" t="s">
        <v>1015</v>
      </c>
      <c r="D96" s="254">
        <f>17+16</f>
        <v>33</v>
      </c>
      <c r="E96" s="250">
        <v>1155000</v>
      </c>
      <c r="F96" s="254" t="s">
        <v>1014</v>
      </c>
      <c r="G96" s="232">
        <v>40560</v>
      </c>
      <c r="H96" s="228" t="s">
        <v>368</v>
      </c>
      <c r="I96" s="300">
        <v>42385</v>
      </c>
      <c r="J96" s="301">
        <v>1826</v>
      </c>
      <c r="K96" s="301">
        <v>1170</v>
      </c>
      <c r="L96" s="301">
        <v>656</v>
      </c>
      <c r="M96" s="301">
        <v>57750</v>
      </c>
      <c r="N96" s="301">
        <v>921537</v>
      </c>
      <c r="O96" s="292">
        <v>0</v>
      </c>
      <c r="P96" s="301">
        <v>466542</v>
      </c>
      <c r="Q96" s="301">
        <v>291</v>
      </c>
      <c r="R96" s="292">
        <v>408792</v>
      </c>
      <c r="S96" s="251">
        <v>0</v>
      </c>
      <c r="T96" s="250">
        <v>0</v>
      </c>
      <c r="U96" s="250">
        <v>466542</v>
      </c>
      <c r="V96" s="250">
        <v>0</v>
      </c>
    </row>
    <row r="97" spans="1:22" ht="27">
      <c r="A97" s="11"/>
      <c r="B97" s="15">
        <f t="shared" si="2"/>
        <v>51</v>
      </c>
      <c r="C97" s="249" t="s">
        <v>762</v>
      </c>
      <c r="D97" s="254">
        <v>5</v>
      </c>
      <c r="E97" s="250">
        <f>29700*5</f>
        <v>148500</v>
      </c>
      <c r="F97" s="254" t="s">
        <v>407</v>
      </c>
      <c r="G97" s="232">
        <v>40642</v>
      </c>
      <c r="H97" s="239" t="s">
        <v>4366</v>
      </c>
      <c r="I97" s="300">
        <v>42468</v>
      </c>
      <c r="J97" s="301">
        <v>1827</v>
      </c>
      <c r="K97" s="301">
        <v>1088</v>
      </c>
      <c r="L97" s="301">
        <v>739</v>
      </c>
      <c r="M97" s="301">
        <v>7425</v>
      </c>
      <c r="N97" s="301">
        <v>120068</v>
      </c>
      <c r="O97" s="292">
        <v>0</v>
      </c>
      <c r="P97" s="301">
        <v>68190</v>
      </c>
      <c r="Q97" s="301">
        <v>374</v>
      </c>
      <c r="R97" s="292">
        <v>60765</v>
      </c>
      <c r="S97" s="251">
        <v>0</v>
      </c>
      <c r="T97" s="250">
        <v>0</v>
      </c>
      <c r="U97" s="250">
        <v>68190</v>
      </c>
      <c r="V97" s="250">
        <v>0</v>
      </c>
    </row>
    <row r="98" spans="1:22">
      <c r="A98" s="11"/>
      <c r="B98" s="15">
        <f t="shared" si="2"/>
        <v>52</v>
      </c>
      <c r="C98" s="249" t="s">
        <v>406</v>
      </c>
      <c r="D98" s="254">
        <v>1</v>
      </c>
      <c r="E98" s="250">
        <v>29700</v>
      </c>
      <c r="F98" s="254" t="s">
        <v>408</v>
      </c>
      <c r="G98" s="232">
        <v>40642</v>
      </c>
      <c r="H98" s="239" t="s">
        <v>4366</v>
      </c>
      <c r="I98" s="300">
        <v>42468</v>
      </c>
      <c r="J98" s="301">
        <v>1827</v>
      </c>
      <c r="K98" s="301">
        <v>1088</v>
      </c>
      <c r="L98" s="301">
        <v>739</v>
      </c>
      <c r="M98" s="301">
        <v>1485</v>
      </c>
      <c r="N98" s="301">
        <v>24013</v>
      </c>
      <c r="O98" s="292">
        <v>0</v>
      </c>
      <c r="P98" s="301">
        <v>13638</v>
      </c>
      <c r="Q98" s="301">
        <v>374</v>
      </c>
      <c r="R98" s="292">
        <v>12153</v>
      </c>
      <c r="S98" s="251">
        <v>0</v>
      </c>
      <c r="T98" s="250">
        <v>0</v>
      </c>
      <c r="U98" s="250">
        <v>13638</v>
      </c>
      <c r="V98" s="250">
        <v>0</v>
      </c>
    </row>
    <row r="99" spans="1:22">
      <c r="A99" s="11"/>
      <c r="B99" s="15">
        <f t="shared" si="2"/>
        <v>53</v>
      </c>
      <c r="C99" s="249" t="s">
        <v>1244</v>
      </c>
      <c r="D99" s="254">
        <v>14</v>
      </c>
      <c r="E99" s="250">
        <v>490000</v>
      </c>
      <c r="F99" s="254" t="s">
        <v>42</v>
      </c>
      <c r="G99" s="232">
        <v>40634</v>
      </c>
      <c r="H99" s="228" t="s">
        <v>368</v>
      </c>
      <c r="I99" s="300">
        <v>42460</v>
      </c>
      <c r="J99" s="301">
        <v>1827</v>
      </c>
      <c r="K99" s="301">
        <v>1096</v>
      </c>
      <c r="L99" s="301">
        <v>731</v>
      </c>
      <c r="M99" s="301">
        <v>24500</v>
      </c>
      <c r="N99" s="301">
        <v>395674</v>
      </c>
      <c r="O99" s="292">
        <v>0</v>
      </c>
      <c r="P99" s="301">
        <v>222608</v>
      </c>
      <c r="Q99" s="301">
        <v>366</v>
      </c>
      <c r="R99" s="292">
        <v>198108</v>
      </c>
      <c r="S99" s="251">
        <v>0</v>
      </c>
      <c r="T99" s="250">
        <v>0</v>
      </c>
      <c r="U99" s="250">
        <v>222608</v>
      </c>
      <c r="V99" s="250">
        <v>0</v>
      </c>
    </row>
    <row r="100" spans="1:22">
      <c r="A100" s="11"/>
      <c r="B100" s="15">
        <f t="shared" si="2"/>
        <v>54</v>
      </c>
      <c r="C100" s="249" t="s">
        <v>1244</v>
      </c>
      <c r="D100" s="254">
        <v>14</v>
      </c>
      <c r="E100" s="250">
        <v>490000</v>
      </c>
      <c r="F100" s="254" t="s">
        <v>42</v>
      </c>
      <c r="G100" s="232">
        <v>40634</v>
      </c>
      <c r="H100" s="228" t="s">
        <v>368</v>
      </c>
      <c r="I100" s="300">
        <v>42460</v>
      </c>
      <c r="J100" s="301">
        <v>1827</v>
      </c>
      <c r="K100" s="301">
        <v>1096</v>
      </c>
      <c r="L100" s="301">
        <v>731</v>
      </c>
      <c r="M100" s="301">
        <v>24500</v>
      </c>
      <c r="N100" s="301">
        <v>395674</v>
      </c>
      <c r="O100" s="292">
        <v>0</v>
      </c>
      <c r="P100" s="301">
        <v>222608</v>
      </c>
      <c r="Q100" s="301">
        <v>366</v>
      </c>
      <c r="R100" s="292">
        <v>198108</v>
      </c>
      <c r="S100" s="251">
        <v>0</v>
      </c>
      <c r="T100" s="250">
        <v>0</v>
      </c>
      <c r="U100" s="250">
        <v>222608</v>
      </c>
      <c r="V100" s="250">
        <v>0</v>
      </c>
    </row>
    <row r="101" spans="1:22">
      <c r="A101" s="11"/>
      <c r="B101" s="15">
        <f t="shared" si="2"/>
        <v>55</v>
      </c>
      <c r="C101" s="249" t="s">
        <v>1244</v>
      </c>
      <c r="D101" s="254">
        <v>4</v>
      </c>
      <c r="E101" s="250">
        <v>130400</v>
      </c>
      <c r="F101" s="254" t="s">
        <v>1410</v>
      </c>
      <c r="G101" s="232">
        <v>40836</v>
      </c>
      <c r="H101" s="228" t="s">
        <v>368</v>
      </c>
      <c r="I101" s="300">
        <v>42662</v>
      </c>
      <c r="J101" s="301">
        <v>1827</v>
      </c>
      <c r="K101" s="301">
        <v>894</v>
      </c>
      <c r="L101" s="301">
        <v>933</v>
      </c>
      <c r="M101" s="301">
        <v>6520</v>
      </c>
      <c r="N101" s="301">
        <v>108717</v>
      </c>
      <c r="O101" s="292">
        <v>0</v>
      </c>
      <c r="P101" s="301">
        <v>72706</v>
      </c>
      <c r="Q101" s="301">
        <v>568</v>
      </c>
      <c r="R101" s="292">
        <v>66186</v>
      </c>
      <c r="S101" s="251">
        <v>0</v>
      </c>
      <c r="T101" s="250">
        <v>0</v>
      </c>
      <c r="U101" s="250">
        <v>72706</v>
      </c>
      <c r="V101" s="250">
        <v>0</v>
      </c>
    </row>
    <row r="102" spans="1:22">
      <c r="A102" s="11"/>
      <c r="B102" s="15">
        <f t="shared" si="2"/>
        <v>56</v>
      </c>
      <c r="C102" s="249" t="s">
        <v>2863</v>
      </c>
      <c r="D102" s="254">
        <v>10</v>
      </c>
      <c r="E102" s="250">
        <v>281580</v>
      </c>
      <c r="F102" s="254" t="s">
        <v>1411</v>
      </c>
      <c r="G102" s="232">
        <v>40859</v>
      </c>
      <c r="H102" s="228" t="s">
        <v>368</v>
      </c>
      <c r="I102" s="300">
        <v>42685</v>
      </c>
      <c r="J102" s="301">
        <v>1827</v>
      </c>
      <c r="K102" s="301">
        <v>871</v>
      </c>
      <c r="L102" s="301">
        <v>956</v>
      </c>
      <c r="M102" s="301">
        <v>14079</v>
      </c>
      <c r="N102" s="301">
        <v>235599</v>
      </c>
      <c r="O102" s="292">
        <v>0</v>
      </c>
      <c r="P102" s="301">
        <v>159726</v>
      </c>
      <c r="Q102" s="301">
        <v>591</v>
      </c>
      <c r="R102" s="292">
        <v>145647</v>
      </c>
      <c r="S102" s="251">
        <v>0</v>
      </c>
      <c r="T102" s="250">
        <v>0</v>
      </c>
      <c r="U102" s="250">
        <v>159726</v>
      </c>
      <c r="V102" s="250">
        <v>0</v>
      </c>
    </row>
    <row r="103" spans="1:22">
      <c r="A103" s="11"/>
      <c r="B103" s="15">
        <f t="shared" si="2"/>
        <v>57</v>
      </c>
      <c r="C103" s="249" t="s">
        <v>2864</v>
      </c>
      <c r="D103" s="254">
        <v>2</v>
      </c>
      <c r="E103" s="250">
        <v>73644</v>
      </c>
      <c r="F103" s="254" t="s">
        <v>1411</v>
      </c>
      <c r="G103" s="232">
        <v>40859</v>
      </c>
      <c r="H103" s="228" t="s">
        <v>368</v>
      </c>
      <c r="I103" s="300">
        <v>42685</v>
      </c>
      <c r="J103" s="301">
        <v>1827</v>
      </c>
      <c r="K103" s="301">
        <v>871</v>
      </c>
      <c r="L103" s="301">
        <v>956</v>
      </c>
      <c r="M103" s="301">
        <v>3682</v>
      </c>
      <c r="N103" s="301">
        <v>61618</v>
      </c>
      <c r="O103" s="292">
        <v>0</v>
      </c>
      <c r="P103" s="301">
        <v>41774</v>
      </c>
      <c r="Q103" s="301">
        <v>591</v>
      </c>
      <c r="R103" s="292">
        <v>38092</v>
      </c>
      <c r="S103" s="251">
        <v>0</v>
      </c>
      <c r="T103" s="250">
        <v>0</v>
      </c>
      <c r="U103" s="250">
        <v>41774</v>
      </c>
      <c r="V103" s="250">
        <v>0</v>
      </c>
    </row>
    <row r="104" spans="1:22">
      <c r="A104" s="11"/>
      <c r="B104" s="15">
        <f t="shared" si="2"/>
        <v>58</v>
      </c>
      <c r="C104" s="249" t="s">
        <v>1244</v>
      </c>
      <c r="D104" s="254"/>
      <c r="E104" s="250">
        <v>174010</v>
      </c>
      <c r="F104" s="254" t="s">
        <v>1439</v>
      </c>
      <c r="G104" s="232">
        <v>40834</v>
      </c>
      <c r="H104" s="228" t="s">
        <v>282</v>
      </c>
      <c r="I104" s="300">
        <v>42660</v>
      </c>
      <c r="J104" s="301">
        <v>1827</v>
      </c>
      <c r="K104" s="301">
        <v>896</v>
      </c>
      <c r="L104" s="301">
        <v>931</v>
      </c>
      <c r="M104" s="301">
        <v>8701</v>
      </c>
      <c r="N104" s="301">
        <v>145030</v>
      </c>
      <c r="O104" s="292">
        <v>0</v>
      </c>
      <c r="P104" s="301">
        <v>96872</v>
      </c>
      <c r="Q104" s="301">
        <v>566</v>
      </c>
      <c r="R104" s="292">
        <v>88172</v>
      </c>
      <c r="S104" s="251">
        <v>0</v>
      </c>
      <c r="T104" s="250">
        <v>0</v>
      </c>
      <c r="U104" s="250">
        <v>96872</v>
      </c>
      <c r="V104" s="250">
        <v>0</v>
      </c>
    </row>
    <row r="105" spans="1:22" ht="40.5">
      <c r="A105" s="11"/>
      <c r="B105" s="15">
        <f t="shared" si="2"/>
        <v>59</v>
      </c>
      <c r="C105" s="249" t="s">
        <v>1768</v>
      </c>
      <c r="D105" s="254">
        <v>2</v>
      </c>
      <c r="E105" s="250">
        <v>65650</v>
      </c>
      <c r="F105" s="254" t="s">
        <v>1769</v>
      </c>
      <c r="G105" s="232">
        <v>40973</v>
      </c>
      <c r="H105" s="228" t="s">
        <v>368</v>
      </c>
      <c r="I105" s="300">
        <v>42798</v>
      </c>
      <c r="J105" s="301">
        <v>1826</v>
      </c>
      <c r="K105" s="301">
        <v>757</v>
      </c>
      <c r="L105" s="301">
        <v>1069</v>
      </c>
      <c r="M105" s="301">
        <v>3283</v>
      </c>
      <c r="N105" s="301">
        <v>55901</v>
      </c>
      <c r="O105" s="292">
        <v>0</v>
      </c>
      <c r="P105" s="301">
        <v>40097</v>
      </c>
      <c r="Q105" s="301">
        <v>704</v>
      </c>
      <c r="R105" s="292">
        <v>36815</v>
      </c>
      <c r="S105" s="251">
        <v>0</v>
      </c>
      <c r="T105" s="250">
        <v>0</v>
      </c>
      <c r="U105" s="250">
        <v>40097</v>
      </c>
      <c r="V105" s="250">
        <v>0</v>
      </c>
    </row>
    <row r="106" spans="1:22" ht="40.5">
      <c r="A106" s="11"/>
      <c r="B106" s="15">
        <f t="shared" si="2"/>
        <v>60</v>
      </c>
      <c r="C106" s="249" t="s">
        <v>1792</v>
      </c>
      <c r="D106" s="254">
        <v>2</v>
      </c>
      <c r="E106" s="250">
        <f>ROUND(279145*114.5%,)</f>
        <v>319621</v>
      </c>
      <c r="F106" s="254" t="s">
        <v>1796</v>
      </c>
      <c r="G106" s="232">
        <v>40924</v>
      </c>
      <c r="H106" s="228" t="s">
        <v>119</v>
      </c>
      <c r="I106" s="300">
        <v>42750</v>
      </c>
      <c r="J106" s="301">
        <v>1827</v>
      </c>
      <c r="K106" s="301">
        <v>806</v>
      </c>
      <c r="L106" s="301">
        <v>1021</v>
      </c>
      <c r="M106" s="301">
        <v>15981</v>
      </c>
      <c r="N106" s="301">
        <v>270123</v>
      </c>
      <c r="O106" s="292">
        <v>0</v>
      </c>
      <c r="P106" s="301">
        <v>189537</v>
      </c>
      <c r="Q106" s="301">
        <v>656</v>
      </c>
      <c r="R106" s="292">
        <v>173556</v>
      </c>
      <c r="S106" s="251">
        <v>0</v>
      </c>
      <c r="T106" s="250">
        <v>0</v>
      </c>
      <c r="U106" s="250">
        <v>189537</v>
      </c>
      <c r="V106" s="250">
        <v>0</v>
      </c>
    </row>
    <row r="107" spans="1:22" ht="40.5">
      <c r="A107" s="11"/>
      <c r="B107" s="15">
        <f t="shared" si="2"/>
        <v>61</v>
      </c>
      <c r="C107" s="249" t="s">
        <v>1793</v>
      </c>
      <c r="D107" s="254">
        <v>2</v>
      </c>
      <c r="E107" s="250">
        <f>ROUND(320103*114.5%,)</f>
        <v>366518</v>
      </c>
      <c r="F107" s="254" t="s">
        <v>1796</v>
      </c>
      <c r="G107" s="232">
        <v>40924</v>
      </c>
      <c r="H107" s="228" t="s">
        <v>119</v>
      </c>
      <c r="I107" s="300">
        <v>42750</v>
      </c>
      <c r="J107" s="301">
        <v>1827</v>
      </c>
      <c r="K107" s="301">
        <v>806</v>
      </c>
      <c r="L107" s="301">
        <v>1021</v>
      </c>
      <c r="M107" s="301">
        <v>18326</v>
      </c>
      <c r="N107" s="301">
        <v>309757</v>
      </c>
      <c r="O107" s="292">
        <v>0</v>
      </c>
      <c r="P107" s="301">
        <v>217347</v>
      </c>
      <c r="Q107" s="301">
        <v>656</v>
      </c>
      <c r="R107" s="292">
        <v>199021</v>
      </c>
      <c r="S107" s="251">
        <v>0</v>
      </c>
      <c r="T107" s="250">
        <v>0</v>
      </c>
      <c r="U107" s="250">
        <v>217347</v>
      </c>
      <c r="V107" s="250">
        <v>0</v>
      </c>
    </row>
    <row r="108" spans="1:22" ht="40.5">
      <c r="A108" s="11"/>
      <c r="B108" s="15">
        <f t="shared" si="2"/>
        <v>62</v>
      </c>
      <c r="C108" s="249" t="s">
        <v>1794</v>
      </c>
      <c r="D108" s="254">
        <v>2</v>
      </c>
      <c r="E108" s="250">
        <f>ROUND(56490*114.5%,)+1</f>
        <v>64682</v>
      </c>
      <c r="F108" s="254" t="s">
        <v>1796</v>
      </c>
      <c r="G108" s="232">
        <v>40924</v>
      </c>
      <c r="H108" s="228" t="s">
        <v>119</v>
      </c>
      <c r="I108" s="300">
        <v>42750</v>
      </c>
      <c r="J108" s="301">
        <v>1827</v>
      </c>
      <c r="K108" s="301">
        <v>806</v>
      </c>
      <c r="L108" s="301">
        <v>1021</v>
      </c>
      <c r="M108" s="301">
        <v>3234</v>
      </c>
      <c r="N108" s="301">
        <v>54666</v>
      </c>
      <c r="O108" s="292">
        <v>0</v>
      </c>
      <c r="P108" s="301">
        <v>38357</v>
      </c>
      <c r="Q108" s="301">
        <v>656</v>
      </c>
      <c r="R108" s="292">
        <v>35123</v>
      </c>
      <c r="S108" s="251">
        <v>0</v>
      </c>
      <c r="T108" s="250">
        <v>0</v>
      </c>
      <c r="U108" s="250">
        <v>38357</v>
      </c>
      <c r="V108" s="250">
        <v>0</v>
      </c>
    </row>
    <row r="109" spans="1:22" ht="40.5">
      <c r="A109" s="11"/>
      <c r="B109" s="15">
        <f t="shared" si="2"/>
        <v>63</v>
      </c>
      <c r="C109" s="249" t="s">
        <v>1794</v>
      </c>
      <c r="D109" s="254">
        <v>2</v>
      </c>
      <c r="E109" s="250">
        <f>ROUND(60836*114.5%,)</f>
        <v>69657</v>
      </c>
      <c r="F109" s="254" t="s">
        <v>1796</v>
      </c>
      <c r="G109" s="232">
        <v>40924</v>
      </c>
      <c r="H109" s="228" t="s">
        <v>119</v>
      </c>
      <c r="I109" s="300">
        <v>42750</v>
      </c>
      <c r="J109" s="301">
        <v>1827</v>
      </c>
      <c r="K109" s="301">
        <v>806</v>
      </c>
      <c r="L109" s="301">
        <v>1021</v>
      </c>
      <c r="M109" s="301">
        <v>3483</v>
      </c>
      <c r="N109" s="301">
        <v>58869</v>
      </c>
      <c r="O109" s="292">
        <v>0</v>
      </c>
      <c r="P109" s="301">
        <v>41307</v>
      </c>
      <c r="Q109" s="301">
        <v>656</v>
      </c>
      <c r="R109" s="292">
        <v>37824</v>
      </c>
      <c r="S109" s="251">
        <v>0</v>
      </c>
      <c r="T109" s="250">
        <v>0</v>
      </c>
      <c r="U109" s="250">
        <v>41307</v>
      </c>
      <c r="V109" s="250">
        <v>0</v>
      </c>
    </row>
    <row r="110" spans="1:22" ht="40.5">
      <c r="A110" s="11"/>
      <c r="B110" s="15">
        <f t="shared" si="2"/>
        <v>64</v>
      </c>
      <c r="C110" s="249" t="s">
        <v>1795</v>
      </c>
      <c r="D110" s="254">
        <v>1</v>
      </c>
      <c r="E110" s="250">
        <f>ROUND(168490*114.5%,)</f>
        <v>192921</v>
      </c>
      <c r="F110" s="254" t="s">
        <v>1796</v>
      </c>
      <c r="G110" s="232">
        <v>40924</v>
      </c>
      <c r="H110" s="228" t="s">
        <v>119</v>
      </c>
      <c r="I110" s="300">
        <v>42750</v>
      </c>
      <c r="J110" s="301">
        <v>1827</v>
      </c>
      <c r="K110" s="301">
        <v>806</v>
      </c>
      <c r="L110" s="301">
        <v>1021</v>
      </c>
      <c r="M110" s="301">
        <v>9646</v>
      </c>
      <c r="N110" s="301">
        <v>163044</v>
      </c>
      <c r="O110" s="292">
        <v>0</v>
      </c>
      <c r="P110" s="301">
        <v>114403</v>
      </c>
      <c r="Q110" s="301">
        <v>656</v>
      </c>
      <c r="R110" s="292">
        <v>104757</v>
      </c>
      <c r="S110" s="251">
        <v>0</v>
      </c>
      <c r="T110" s="250">
        <v>0</v>
      </c>
      <c r="U110" s="250">
        <v>114403</v>
      </c>
      <c r="V110" s="250">
        <v>0</v>
      </c>
    </row>
    <row r="111" spans="1:22" ht="27">
      <c r="A111" s="42"/>
      <c r="B111" s="15">
        <f t="shared" si="2"/>
        <v>65</v>
      </c>
      <c r="C111" s="249" t="s">
        <v>2054</v>
      </c>
      <c r="D111" s="254" t="s">
        <v>314</v>
      </c>
      <c r="E111" s="250">
        <f>339244+44400</f>
        <v>383644</v>
      </c>
      <c r="F111" s="254" t="s">
        <v>2055</v>
      </c>
      <c r="G111" s="232">
        <v>41334</v>
      </c>
      <c r="H111" s="228" t="s">
        <v>368</v>
      </c>
      <c r="I111" s="300">
        <v>43159</v>
      </c>
      <c r="J111" s="301">
        <v>1826</v>
      </c>
      <c r="K111" s="301">
        <v>396</v>
      </c>
      <c r="L111" s="301">
        <v>1430</v>
      </c>
      <c r="M111" s="301">
        <v>19182</v>
      </c>
      <c r="N111" s="301">
        <v>344691</v>
      </c>
      <c r="O111" s="292">
        <v>0</v>
      </c>
      <c r="P111" s="301">
        <v>275892</v>
      </c>
      <c r="Q111" s="301">
        <v>1065</v>
      </c>
      <c r="R111" s="292">
        <v>256710</v>
      </c>
      <c r="S111" s="251">
        <v>0</v>
      </c>
      <c r="T111" s="250">
        <v>0</v>
      </c>
      <c r="U111" s="250">
        <v>275892</v>
      </c>
      <c r="V111" s="250">
        <v>0</v>
      </c>
    </row>
    <row r="112" spans="1:22" ht="27">
      <c r="A112" s="42"/>
      <c r="B112" s="15">
        <f t="shared" si="2"/>
        <v>66</v>
      </c>
      <c r="C112" s="249" t="s">
        <v>2113</v>
      </c>
      <c r="D112" s="254">
        <v>6</v>
      </c>
      <c r="E112" s="250">
        <v>193162</v>
      </c>
      <c r="F112" s="254" t="s">
        <v>2114</v>
      </c>
      <c r="G112" s="232">
        <v>41407</v>
      </c>
      <c r="H112" s="228" t="s">
        <v>368</v>
      </c>
      <c r="I112" s="300">
        <v>43232</v>
      </c>
      <c r="J112" s="301">
        <v>1826</v>
      </c>
      <c r="K112" s="301">
        <v>323</v>
      </c>
      <c r="L112" s="301">
        <v>1503</v>
      </c>
      <c r="M112" s="301">
        <v>9658</v>
      </c>
      <c r="N112" s="301">
        <v>175385</v>
      </c>
      <c r="O112" s="292">
        <v>0</v>
      </c>
      <c r="P112" s="301">
        <v>142451</v>
      </c>
      <c r="Q112" s="301">
        <v>1138</v>
      </c>
      <c r="R112" s="292">
        <v>132793</v>
      </c>
      <c r="S112" s="251">
        <v>0</v>
      </c>
      <c r="T112" s="250">
        <v>0</v>
      </c>
      <c r="U112" s="250">
        <v>142451</v>
      </c>
      <c r="V112" s="250">
        <v>0</v>
      </c>
    </row>
    <row r="113" spans="1:22" ht="27">
      <c r="A113" s="42"/>
      <c r="B113" s="15">
        <f t="shared" ref="B113:B122" si="3">+B112+1</f>
        <v>67</v>
      </c>
      <c r="C113" s="249" t="s">
        <v>2115</v>
      </c>
      <c r="D113" s="254">
        <v>2</v>
      </c>
      <c r="E113" s="250">
        <v>68058</v>
      </c>
      <c r="F113" s="254" t="s">
        <v>2116</v>
      </c>
      <c r="G113" s="232">
        <v>41417</v>
      </c>
      <c r="H113" s="228" t="s">
        <v>282</v>
      </c>
      <c r="I113" s="300">
        <v>43242</v>
      </c>
      <c r="J113" s="301">
        <v>1826</v>
      </c>
      <c r="K113" s="301">
        <v>313</v>
      </c>
      <c r="L113" s="301">
        <v>1513</v>
      </c>
      <c r="M113" s="301">
        <v>3403</v>
      </c>
      <c r="N113" s="301">
        <v>61883</v>
      </c>
      <c r="O113" s="292">
        <v>0</v>
      </c>
      <c r="P113" s="301">
        <v>50357</v>
      </c>
      <c r="Q113" s="301">
        <v>1148</v>
      </c>
      <c r="R113" s="292">
        <v>46954</v>
      </c>
      <c r="S113" s="251">
        <v>0</v>
      </c>
      <c r="T113" s="250">
        <v>0</v>
      </c>
      <c r="U113" s="250">
        <v>50357</v>
      </c>
      <c r="V113" s="250">
        <v>0</v>
      </c>
    </row>
    <row r="114" spans="1:22" ht="40.5">
      <c r="A114" s="42"/>
      <c r="B114" s="15">
        <f t="shared" si="3"/>
        <v>68</v>
      </c>
      <c r="C114" s="249" t="s">
        <v>2604</v>
      </c>
      <c r="D114" s="254">
        <v>23</v>
      </c>
      <c r="E114" s="250">
        <f>97076+16257</f>
        <v>113333</v>
      </c>
      <c r="F114" s="249" t="s">
        <v>2590</v>
      </c>
      <c r="G114" s="232">
        <v>41913</v>
      </c>
      <c r="H114" s="228" t="s">
        <v>368</v>
      </c>
      <c r="I114" s="300">
        <v>41107</v>
      </c>
      <c r="J114" s="301">
        <v>0</v>
      </c>
      <c r="K114" s="301">
        <v>0</v>
      </c>
      <c r="L114" s="301">
        <v>0</v>
      </c>
      <c r="M114" s="301">
        <v>5667</v>
      </c>
      <c r="N114" s="301">
        <v>107666</v>
      </c>
      <c r="O114" s="292">
        <v>0</v>
      </c>
      <c r="P114" s="301">
        <v>0</v>
      </c>
      <c r="Q114" s="301">
        <v>0</v>
      </c>
      <c r="R114" s="292">
        <v>-5667</v>
      </c>
      <c r="S114" s="251">
        <v>0</v>
      </c>
      <c r="T114" s="250">
        <v>0</v>
      </c>
      <c r="U114" s="250">
        <v>0</v>
      </c>
      <c r="V114" s="250">
        <v>0</v>
      </c>
    </row>
    <row r="115" spans="1:22" ht="40.5">
      <c r="A115" s="42"/>
      <c r="B115" s="15">
        <f t="shared" si="3"/>
        <v>69</v>
      </c>
      <c r="C115" s="249" t="s">
        <v>2604</v>
      </c>
      <c r="D115" s="254">
        <v>23</v>
      </c>
      <c r="E115" s="250">
        <f>12898+2160</f>
        <v>15058</v>
      </c>
      <c r="F115" s="249" t="s">
        <v>2590</v>
      </c>
      <c r="G115" s="232">
        <v>41913</v>
      </c>
      <c r="H115" s="228" t="s">
        <v>368</v>
      </c>
      <c r="I115" s="300">
        <v>41107</v>
      </c>
      <c r="J115" s="301">
        <v>0</v>
      </c>
      <c r="K115" s="301">
        <v>0</v>
      </c>
      <c r="L115" s="301">
        <v>0</v>
      </c>
      <c r="M115" s="301">
        <v>753</v>
      </c>
      <c r="N115" s="301">
        <v>14305</v>
      </c>
      <c r="O115" s="292">
        <v>0</v>
      </c>
      <c r="P115" s="301">
        <v>0</v>
      </c>
      <c r="Q115" s="301">
        <v>0</v>
      </c>
      <c r="R115" s="292"/>
      <c r="S115" s="251">
        <v>0</v>
      </c>
      <c r="T115" s="250">
        <v>0</v>
      </c>
      <c r="U115" s="250">
        <v>0</v>
      </c>
      <c r="V115" s="250">
        <v>0</v>
      </c>
    </row>
    <row r="116" spans="1:22">
      <c r="B116" s="15">
        <f t="shared" si="3"/>
        <v>70</v>
      </c>
      <c r="C116" s="249" t="s">
        <v>2681</v>
      </c>
      <c r="D116" s="254">
        <v>1</v>
      </c>
      <c r="E116" s="250">
        <f>108303+826</f>
        <v>109129</v>
      </c>
      <c r="F116" s="278" t="s">
        <v>2679</v>
      </c>
      <c r="G116" s="342">
        <v>42005</v>
      </c>
      <c r="H116" s="228" t="s">
        <v>368</v>
      </c>
      <c r="I116" s="300">
        <v>43830</v>
      </c>
      <c r="J116" s="301">
        <v>1826</v>
      </c>
      <c r="K116" s="301">
        <v>0</v>
      </c>
      <c r="L116" s="301">
        <v>1826</v>
      </c>
      <c r="M116" s="301">
        <v>5456</v>
      </c>
      <c r="N116" s="301">
        <v>103673</v>
      </c>
      <c r="O116" s="292">
        <v>0</v>
      </c>
      <c r="P116" s="301">
        <v>104019</v>
      </c>
      <c r="Q116" s="301">
        <v>1736</v>
      </c>
      <c r="R116" s="292">
        <v>98563</v>
      </c>
      <c r="S116" s="251">
        <v>0</v>
      </c>
      <c r="T116" s="250">
        <v>0</v>
      </c>
      <c r="U116" s="250">
        <v>104019</v>
      </c>
      <c r="V116" s="250">
        <v>0</v>
      </c>
    </row>
    <row r="117" spans="1:22" ht="27">
      <c r="B117" s="15">
        <f t="shared" si="3"/>
        <v>71</v>
      </c>
      <c r="C117" s="249" t="s">
        <v>2682</v>
      </c>
      <c r="D117" s="254">
        <v>2</v>
      </c>
      <c r="E117" s="250">
        <f>73711+562</f>
        <v>74273</v>
      </c>
      <c r="F117" s="278" t="s">
        <v>2679</v>
      </c>
      <c r="G117" s="342">
        <v>42005</v>
      </c>
      <c r="H117" s="228" t="s">
        <v>368</v>
      </c>
      <c r="I117" s="300">
        <v>43830</v>
      </c>
      <c r="J117" s="301">
        <v>1826</v>
      </c>
      <c r="K117" s="301">
        <v>0</v>
      </c>
      <c r="L117" s="301">
        <v>1826</v>
      </c>
      <c r="M117" s="301">
        <v>3714</v>
      </c>
      <c r="N117" s="301">
        <v>70559</v>
      </c>
      <c r="O117" s="292">
        <v>0</v>
      </c>
      <c r="P117" s="301">
        <v>70795</v>
      </c>
      <c r="Q117" s="301">
        <v>1736</v>
      </c>
      <c r="R117" s="292">
        <v>67081</v>
      </c>
      <c r="S117" s="251">
        <v>0</v>
      </c>
      <c r="T117" s="250">
        <v>0</v>
      </c>
      <c r="U117" s="250">
        <v>70795</v>
      </c>
      <c r="V117" s="250">
        <v>0</v>
      </c>
    </row>
    <row r="118" spans="1:22">
      <c r="B118" s="15">
        <f t="shared" si="3"/>
        <v>72</v>
      </c>
      <c r="C118" s="249" t="s">
        <v>2738</v>
      </c>
      <c r="D118" s="254">
        <v>1</v>
      </c>
      <c r="E118" s="250">
        <v>81885</v>
      </c>
      <c r="F118" s="278" t="s">
        <v>2739</v>
      </c>
      <c r="G118" s="342">
        <v>42005</v>
      </c>
      <c r="H118" s="228" t="s">
        <v>368</v>
      </c>
      <c r="I118" s="300">
        <v>43830</v>
      </c>
      <c r="J118" s="301">
        <v>1826</v>
      </c>
      <c r="K118" s="301">
        <v>0</v>
      </c>
      <c r="L118" s="301">
        <v>1826</v>
      </c>
      <c r="M118" s="301">
        <v>4094</v>
      </c>
      <c r="N118" s="301">
        <v>77791</v>
      </c>
      <c r="O118" s="292">
        <v>0</v>
      </c>
      <c r="P118" s="301">
        <v>78051</v>
      </c>
      <c r="Q118" s="301">
        <v>1736</v>
      </c>
      <c r="R118" s="292">
        <v>73957</v>
      </c>
      <c r="S118" s="251">
        <v>0</v>
      </c>
      <c r="T118" s="250">
        <v>0</v>
      </c>
      <c r="U118" s="250">
        <v>78051</v>
      </c>
      <c r="V118" s="250">
        <v>0</v>
      </c>
    </row>
    <row r="119" spans="1:22">
      <c r="B119" s="15">
        <f t="shared" si="3"/>
        <v>73</v>
      </c>
      <c r="C119" s="249" t="s">
        <v>2738</v>
      </c>
      <c r="D119" s="254">
        <v>1</v>
      </c>
      <c r="E119" s="250">
        <v>52929</v>
      </c>
      <c r="F119" s="278" t="s">
        <v>2739</v>
      </c>
      <c r="G119" s="342">
        <v>42005</v>
      </c>
      <c r="H119" s="228" t="s">
        <v>368</v>
      </c>
      <c r="I119" s="300">
        <v>43830</v>
      </c>
      <c r="J119" s="301">
        <v>1826</v>
      </c>
      <c r="K119" s="301">
        <v>0</v>
      </c>
      <c r="L119" s="301">
        <v>1826</v>
      </c>
      <c r="M119" s="301">
        <v>2646</v>
      </c>
      <c r="N119" s="301">
        <v>50283</v>
      </c>
      <c r="O119" s="292">
        <v>0</v>
      </c>
      <c r="P119" s="301">
        <v>50451</v>
      </c>
      <c r="Q119" s="301">
        <v>1736</v>
      </c>
      <c r="R119" s="292">
        <v>47805</v>
      </c>
      <c r="S119" s="251">
        <v>0</v>
      </c>
      <c r="T119" s="250">
        <v>0</v>
      </c>
      <c r="U119" s="250">
        <v>50451</v>
      </c>
      <c r="V119" s="250">
        <v>0</v>
      </c>
    </row>
    <row r="120" spans="1:22" ht="27">
      <c r="B120" s="15">
        <f t="shared" si="3"/>
        <v>74</v>
      </c>
      <c r="C120" s="249" t="s">
        <v>2740</v>
      </c>
      <c r="D120" s="254" t="s">
        <v>791</v>
      </c>
      <c r="E120" s="250">
        <v>26708</v>
      </c>
      <c r="F120" s="278" t="s">
        <v>2739</v>
      </c>
      <c r="G120" s="342">
        <v>42005</v>
      </c>
      <c r="H120" s="228" t="s">
        <v>368</v>
      </c>
      <c r="I120" s="300">
        <v>43830</v>
      </c>
      <c r="J120" s="301">
        <v>1826</v>
      </c>
      <c r="K120" s="301">
        <v>0</v>
      </c>
      <c r="L120" s="301">
        <v>1826</v>
      </c>
      <c r="M120" s="301">
        <v>1335</v>
      </c>
      <c r="N120" s="301">
        <v>25373</v>
      </c>
      <c r="O120" s="292">
        <v>0</v>
      </c>
      <c r="P120" s="301">
        <v>25457</v>
      </c>
      <c r="Q120" s="301">
        <v>1736</v>
      </c>
      <c r="R120" s="292">
        <v>24122</v>
      </c>
      <c r="S120" s="251">
        <v>0</v>
      </c>
      <c r="T120" s="250">
        <v>0</v>
      </c>
      <c r="U120" s="250">
        <v>25457</v>
      </c>
      <c r="V120" s="250">
        <v>0</v>
      </c>
    </row>
    <row r="121" spans="1:22" ht="27">
      <c r="B121" s="15">
        <f t="shared" si="3"/>
        <v>75</v>
      </c>
      <c r="C121" s="249" t="s">
        <v>2740</v>
      </c>
      <c r="D121" s="254">
        <v>30</v>
      </c>
      <c r="E121" s="250">
        <v>849494</v>
      </c>
      <c r="F121" s="278" t="s">
        <v>2739</v>
      </c>
      <c r="G121" s="342">
        <v>42005</v>
      </c>
      <c r="H121" s="228" t="s">
        <v>368</v>
      </c>
      <c r="I121" s="300">
        <v>43830</v>
      </c>
      <c r="J121" s="301">
        <v>1826</v>
      </c>
      <c r="K121" s="301">
        <v>0</v>
      </c>
      <c r="L121" s="301">
        <v>1826</v>
      </c>
      <c r="M121" s="301">
        <v>42475</v>
      </c>
      <c r="N121" s="301">
        <v>807019</v>
      </c>
      <c r="O121" s="292">
        <v>0</v>
      </c>
      <c r="P121" s="301">
        <v>809718</v>
      </c>
      <c r="Q121" s="301">
        <v>1736</v>
      </c>
      <c r="R121" s="292">
        <v>767243</v>
      </c>
      <c r="S121" s="251">
        <v>0</v>
      </c>
      <c r="T121" s="250">
        <v>0</v>
      </c>
      <c r="U121" s="250">
        <v>809718</v>
      </c>
      <c r="V121" s="250">
        <v>0</v>
      </c>
    </row>
    <row r="122" spans="1:22">
      <c r="B122" s="15">
        <f t="shared" si="3"/>
        <v>76</v>
      </c>
      <c r="C122" s="249" t="s">
        <v>3889</v>
      </c>
      <c r="D122" s="254">
        <v>1</v>
      </c>
      <c r="E122" s="250">
        <v>34800</v>
      </c>
      <c r="F122" s="278" t="s">
        <v>3888</v>
      </c>
      <c r="G122" s="342">
        <v>42531</v>
      </c>
      <c r="H122" s="239" t="s">
        <v>4366</v>
      </c>
      <c r="I122" s="300">
        <v>44356</v>
      </c>
      <c r="J122" s="301">
        <v>1826</v>
      </c>
      <c r="K122" s="301">
        <v>0</v>
      </c>
      <c r="L122" s="301">
        <v>1826</v>
      </c>
      <c r="M122" s="301">
        <v>1740</v>
      </c>
      <c r="N122" s="301">
        <v>33060</v>
      </c>
      <c r="O122" s="292">
        <v>0</v>
      </c>
      <c r="P122" s="301">
        <v>34800</v>
      </c>
      <c r="Q122" s="301">
        <v>1826</v>
      </c>
      <c r="R122" s="292">
        <v>33060</v>
      </c>
      <c r="S122" s="251">
        <v>70</v>
      </c>
      <c r="T122" s="250">
        <v>3009</v>
      </c>
      <c r="U122" s="250">
        <v>34800</v>
      </c>
      <c r="V122" s="250">
        <v>0</v>
      </c>
    </row>
    <row r="123" spans="1:22">
      <c r="B123" s="15">
        <v>77</v>
      </c>
      <c r="C123" s="249" t="s">
        <v>4379</v>
      </c>
      <c r="D123" s="254">
        <v>1</v>
      </c>
      <c r="E123" s="250">
        <v>117000</v>
      </c>
      <c r="F123" s="278" t="s">
        <v>4380</v>
      </c>
      <c r="G123" s="342">
        <v>43819</v>
      </c>
      <c r="H123" s="239" t="s">
        <v>895</v>
      </c>
      <c r="I123" s="300">
        <v>45645</v>
      </c>
      <c r="J123" s="301">
        <v>1827</v>
      </c>
      <c r="K123" s="301">
        <v>0</v>
      </c>
      <c r="L123" s="301">
        <v>1827</v>
      </c>
      <c r="M123" s="301">
        <v>5850</v>
      </c>
      <c r="N123" s="301">
        <v>111150</v>
      </c>
      <c r="O123" s="292">
        <v>0</v>
      </c>
      <c r="P123" s="301">
        <v>117000</v>
      </c>
      <c r="Q123" s="301">
        <v>1827</v>
      </c>
      <c r="R123" s="292">
        <v>111150</v>
      </c>
      <c r="S123" s="251">
        <v>365</v>
      </c>
      <c r="T123" s="250">
        <v>22206</v>
      </c>
      <c r="U123" s="250">
        <v>50678</v>
      </c>
      <c r="V123" s="250">
        <v>66322</v>
      </c>
    </row>
    <row r="124" spans="1:22">
      <c r="B124" s="15">
        <v>78</v>
      </c>
      <c r="C124" s="249" t="s">
        <v>4588</v>
      </c>
      <c r="D124" s="254">
        <v>25</v>
      </c>
      <c r="E124" s="250">
        <v>400000</v>
      </c>
      <c r="F124" s="278">
        <v>154</v>
      </c>
      <c r="G124" s="342">
        <v>44218</v>
      </c>
      <c r="H124" s="239" t="s">
        <v>368</v>
      </c>
      <c r="I124" s="300">
        <v>44377</v>
      </c>
      <c r="J124" s="301">
        <v>160</v>
      </c>
      <c r="K124" s="301">
        <v>0</v>
      </c>
      <c r="L124" s="301">
        <v>160</v>
      </c>
      <c r="M124" s="301">
        <v>20000</v>
      </c>
      <c r="N124" s="301">
        <v>380000</v>
      </c>
      <c r="O124" s="292">
        <v>0</v>
      </c>
      <c r="P124" s="301">
        <v>400000</v>
      </c>
      <c r="Q124" s="301">
        <v>160</v>
      </c>
      <c r="R124" s="292">
        <v>380000</v>
      </c>
      <c r="S124" s="251">
        <v>0</v>
      </c>
      <c r="T124" s="250">
        <v>0</v>
      </c>
      <c r="U124" s="250">
        <v>400000</v>
      </c>
      <c r="V124" s="250">
        <v>0</v>
      </c>
    </row>
    <row r="125" spans="1:22">
      <c r="B125" s="15"/>
      <c r="C125" s="249"/>
      <c r="D125" s="254"/>
      <c r="E125" s="250"/>
      <c r="F125" s="278"/>
      <c r="G125" s="342"/>
      <c r="H125" s="239"/>
      <c r="I125" s="300"/>
      <c r="J125" s="301"/>
      <c r="K125" s="301"/>
      <c r="L125" s="301"/>
      <c r="M125" s="301"/>
      <c r="N125" s="301"/>
      <c r="O125" s="292"/>
      <c r="P125" s="301"/>
      <c r="Q125" s="301"/>
      <c r="R125" s="292"/>
      <c r="S125" s="251"/>
      <c r="T125" s="250"/>
      <c r="U125" s="250"/>
      <c r="V125" s="250"/>
    </row>
    <row r="126" spans="1:22" ht="14.25">
      <c r="B126" s="107" t="s">
        <v>1051</v>
      </c>
      <c r="C126" s="228"/>
      <c r="D126" s="230"/>
      <c r="E126" s="348"/>
      <c r="F126" s="254"/>
      <c r="G126" s="230"/>
      <c r="H126" s="228"/>
      <c r="I126" s="301"/>
      <c r="J126" s="301"/>
      <c r="K126" s="301"/>
      <c r="L126" s="301"/>
      <c r="M126" s="301"/>
      <c r="N126" s="301"/>
      <c r="O126" s="292"/>
      <c r="P126" s="301">
        <v>0</v>
      </c>
      <c r="Q126" s="301"/>
      <c r="R126" s="292"/>
      <c r="S126" s="272"/>
      <c r="T126" s="250"/>
      <c r="U126" s="250"/>
      <c r="V126" s="250"/>
    </row>
    <row r="127" spans="1:22">
      <c r="B127" s="15">
        <v>1</v>
      </c>
      <c r="C127" s="249" t="s">
        <v>1052</v>
      </c>
      <c r="D127" s="254">
        <v>1</v>
      </c>
      <c r="E127" s="250">
        <v>22000</v>
      </c>
      <c r="F127" s="254">
        <v>1268</v>
      </c>
      <c r="G127" s="233">
        <v>39855</v>
      </c>
      <c r="H127" s="228" t="s">
        <v>282</v>
      </c>
      <c r="I127" s="300">
        <v>41680</v>
      </c>
      <c r="J127" s="301">
        <v>1826</v>
      </c>
      <c r="K127" s="301">
        <v>1875</v>
      </c>
      <c r="L127" s="301">
        <v>-49</v>
      </c>
      <c r="M127" s="301">
        <v>1100</v>
      </c>
      <c r="N127" s="301">
        <v>0</v>
      </c>
      <c r="O127" s="292">
        <v>16634</v>
      </c>
      <c r="P127" s="301">
        <v>-0.28767123287616414</v>
      </c>
      <c r="Q127" s="301">
        <v>-49</v>
      </c>
      <c r="R127" s="292">
        <v>-1100</v>
      </c>
      <c r="S127" s="251">
        <v>0</v>
      </c>
      <c r="T127" s="250">
        <v>0</v>
      </c>
      <c r="U127" s="250">
        <v>0</v>
      </c>
      <c r="V127" s="250">
        <v>-0.28767123287616414</v>
      </c>
    </row>
    <row r="128" spans="1:22">
      <c r="B128" s="15">
        <f>+B127+1</f>
        <v>2</v>
      </c>
      <c r="C128" s="249" t="s">
        <v>1046</v>
      </c>
      <c r="D128" s="254">
        <v>1</v>
      </c>
      <c r="E128" s="250">
        <v>258800</v>
      </c>
      <c r="F128" s="254" t="s">
        <v>287</v>
      </c>
      <c r="G128" s="233">
        <v>39903</v>
      </c>
      <c r="H128" s="228" t="s">
        <v>282</v>
      </c>
      <c r="I128" s="300">
        <v>41728</v>
      </c>
      <c r="J128" s="301">
        <v>1826</v>
      </c>
      <c r="K128" s="301">
        <v>1827</v>
      </c>
      <c r="L128" s="301">
        <v>-1</v>
      </c>
      <c r="M128" s="301">
        <v>12940</v>
      </c>
      <c r="N128" s="301">
        <v>0</v>
      </c>
      <c r="O128" s="292">
        <v>197300</v>
      </c>
      <c r="P128" s="301">
        <v>0</v>
      </c>
      <c r="Q128" s="301">
        <v>-1</v>
      </c>
      <c r="R128" s="292">
        <v>-12940</v>
      </c>
      <c r="S128" s="251">
        <v>0</v>
      </c>
      <c r="T128" s="250">
        <v>0</v>
      </c>
      <c r="U128" s="250">
        <v>0</v>
      </c>
      <c r="V128" s="250">
        <v>0</v>
      </c>
    </row>
    <row r="129" spans="2:22">
      <c r="B129" s="15">
        <f t="shared" ref="B129:B145" si="4">+B128+1</f>
        <v>3</v>
      </c>
      <c r="C129" s="249" t="s">
        <v>613</v>
      </c>
      <c r="D129" s="254">
        <v>2</v>
      </c>
      <c r="E129" s="250">
        <v>3198</v>
      </c>
      <c r="F129" s="254">
        <v>66</v>
      </c>
      <c r="G129" s="233">
        <v>40259</v>
      </c>
      <c r="H129" s="228" t="s">
        <v>282</v>
      </c>
      <c r="I129" s="301">
        <v>0</v>
      </c>
      <c r="J129" s="301">
        <v>0</v>
      </c>
      <c r="K129" s="301">
        <v>0</v>
      </c>
      <c r="L129" s="301">
        <v>0</v>
      </c>
      <c r="M129" s="301">
        <v>0</v>
      </c>
      <c r="N129" s="301">
        <v>0</v>
      </c>
      <c r="O129" s="292">
        <v>0</v>
      </c>
      <c r="P129" s="301">
        <v>0</v>
      </c>
      <c r="Q129" s="301">
        <v>0</v>
      </c>
      <c r="R129" s="292"/>
      <c r="S129" s="251">
        <v>0</v>
      </c>
      <c r="T129" s="250">
        <v>0</v>
      </c>
      <c r="U129" s="250">
        <v>0</v>
      </c>
      <c r="V129" s="250">
        <v>0</v>
      </c>
    </row>
    <row r="130" spans="2:22">
      <c r="B130" s="15">
        <f t="shared" si="4"/>
        <v>4</v>
      </c>
      <c r="C130" s="249" t="s">
        <v>612</v>
      </c>
      <c r="D130" s="254">
        <v>1</v>
      </c>
      <c r="E130" s="250">
        <v>1599</v>
      </c>
      <c r="F130" s="254">
        <v>72</v>
      </c>
      <c r="G130" s="233">
        <v>40261</v>
      </c>
      <c r="H130" s="228" t="s">
        <v>282</v>
      </c>
      <c r="I130" s="301">
        <v>0</v>
      </c>
      <c r="J130" s="301">
        <v>0</v>
      </c>
      <c r="K130" s="301">
        <v>0</v>
      </c>
      <c r="L130" s="301">
        <v>0</v>
      </c>
      <c r="M130" s="301">
        <v>0</v>
      </c>
      <c r="N130" s="301">
        <v>0</v>
      </c>
      <c r="O130" s="292">
        <v>0</v>
      </c>
      <c r="P130" s="301">
        <v>0</v>
      </c>
      <c r="Q130" s="301">
        <v>0</v>
      </c>
      <c r="R130" s="292"/>
      <c r="S130" s="251">
        <v>0</v>
      </c>
      <c r="T130" s="250">
        <v>0</v>
      </c>
      <c r="U130" s="250">
        <v>0</v>
      </c>
      <c r="V130" s="250">
        <v>0</v>
      </c>
    </row>
    <row r="131" spans="2:22">
      <c r="B131" s="15">
        <f t="shared" si="4"/>
        <v>5</v>
      </c>
      <c r="C131" s="249" t="s">
        <v>1301</v>
      </c>
      <c r="D131" s="254">
        <v>2</v>
      </c>
      <c r="E131" s="250">
        <v>61800</v>
      </c>
      <c r="F131" s="254">
        <v>1372</v>
      </c>
      <c r="G131" s="233">
        <v>40263</v>
      </c>
      <c r="H131" s="228" t="s">
        <v>282</v>
      </c>
      <c r="I131" s="300">
        <v>42088</v>
      </c>
      <c r="J131" s="301">
        <v>1826</v>
      </c>
      <c r="K131" s="301">
        <v>1467</v>
      </c>
      <c r="L131" s="301">
        <v>359</v>
      </c>
      <c r="M131" s="301">
        <v>3090</v>
      </c>
      <c r="N131" s="301">
        <v>46918</v>
      </c>
      <c r="O131" s="292">
        <v>0</v>
      </c>
      <c r="P131" s="301">
        <v>0</v>
      </c>
      <c r="Q131" s="301">
        <v>0</v>
      </c>
      <c r="R131" s="292"/>
      <c r="S131" s="251">
        <v>0</v>
      </c>
      <c r="T131" s="250">
        <v>0</v>
      </c>
      <c r="U131" s="250">
        <v>0</v>
      </c>
      <c r="V131" s="250">
        <v>0</v>
      </c>
    </row>
    <row r="132" spans="2:22">
      <c r="B132" s="15">
        <f t="shared" si="4"/>
        <v>6</v>
      </c>
      <c r="C132" s="249" t="s">
        <v>1070</v>
      </c>
      <c r="D132" s="254">
        <v>1</v>
      </c>
      <c r="E132" s="250">
        <v>32900</v>
      </c>
      <c r="F132" s="254" t="s">
        <v>232</v>
      </c>
      <c r="G132" s="233">
        <v>40381</v>
      </c>
      <c r="H132" s="228" t="s">
        <v>161</v>
      </c>
      <c r="I132" s="300">
        <v>42206</v>
      </c>
      <c r="J132" s="301">
        <v>1826</v>
      </c>
      <c r="K132" s="301">
        <v>1349</v>
      </c>
      <c r="L132" s="301">
        <v>477</v>
      </c>
      <c r="M132" s="301">
        <v>1645</v>
      </c>
      <c r="N132" s="301">
        <v>25482</v>
      </c>
      <c r="O132" s="292">
        <v>0</v>
      </c>
      <c r="P132" s="301">
        <v>7628</v>
      </c>
      <c r="Q132" s="301">
        <v>112</v>
      </c>
      <c r="R132" s="292">
        <v>5983</v>
      </c>
      <c r="S132" s="251">
        <v>0</v>
      </c>
      <c r="T132" s="250">
        <v>0</v>
      </c>
      <c r="U132" s="250">
        <v>7628</v>
      </c>
      <c r="V132" s="250">
        <v>0</v>
      </c>
    </row>
    <row r="133" spans="2:22">
      <c r="B133" s="15">
        <f t="shared" si="4"/>
        <v>7</v>
      </c>
      <c r="C133" s="249" t="s">
        <v>249</v>
      </c>
      <c r="D133" s="254">
        <v>1</v>
      </c>
      <c r="E133" s="250">
        <v>28500</v>
      </c>
      <c r="F133" s="254" t="s">
        <v>250</v>
      </c>
      <c r="G133" s="233">
        <v>40460</v>
      </c>
      <c r="H133" s="228" t="s">
        <v>368</v>
      </c>
      <c r="I133" s="300">
        <v>42285</v>
      </c>
      <c r="J133" s="301">
        <v>1826</v>
      </c>
      <c r="K133" s="301">
        <v>1270</v>
      </c>
      <c r="L133" s="301">
        <v>556</v>
      </c>
      <c r="M133" s="301">
        <v>1425</v>
      </c>
      <c r="N133" s="301">
        <v>22367</v>
      </c>
      <c r="O133" s="292">
        <v>0</v>
      </c>
      <c r="P133" s="301">
        <v>9109</v>
      </c>
      <c r="Q133" s="301">
        <v>191</v>
      </c>
      <c r="R133" s="292">
        <v>7684</v>
      </c>
      <c r="S133" s="251">
        <v>0</v>
      </c>
      <c r="T133" s="250">
        <v>0</v>
      </c>
      <c r="U133" s="250">
        <v>9109</v>
      </c>
      <c r="V133" s="250">
        <v>0</v>
      </c>
    </row>
    <row r="134" spans="2:22">
      <c r="B134" s="15">
        <f t="shared" si="4"/>
        <v>8</v>
      </c>
      <c r="C134" s="249" t="s">
        <v>289</v>
      </c>
      <c r="D134" s="254">
        <v>1</v>
      </c>
      <c r="E134" s="250">
        <v>33345</v>
      </c>
      <c r="F134" s="254" t="s">
        <v>118</v>
      </c>
      <c r="G134" s="233">
        <v>40544</v>
      </c>
      <c r="H134" s="228" t="s">
        <v>119</v>
      </c>
      <c r="I134" s="300">
        <v>42369</v>
      </c>
      <c r="J134" s="301">
        <v>1826</v>
      </c>
      <c r="K134" s="301">
        <v>1186</v>
      </c>
      <c r="L134" s="301">
        <v>640</v>
      </c>
      <c r="M134" s="301">
        <v>1667</v>
      </c>
      <c r="N134" s="301">
        <v>26535</v>
      </c>
      <c r="O134" s="292">
        <v>0</v>
      </c>
      <c r="P134" s="301">
        <v>13069</v>
      </c>
      <c r="Q134" s="301">
        <v>275</v>
      </c>
      <c r="R134" s="292">
        <v>11402</v>
      </c>
      <c r="S134" s="251">
        <v>0</v>
      </c>
      <c r="T134" s="250">
        <v>0</v>
      </c>
      <c r="U134" s="250">
        <v>13069</v>
      </c>
      <c r="V134" s="250">
        <v>0</v>
      </c>
    </row>
    <row r="135" spans="2:22" ht="27">
      <c r="B135" s="15">
        <f t="shared" si="4"/>
        <v>9</v>
      </c>
      <c r="C135" s="249" t="s">
        <v>1102</v>
      </c>
      <c r="D135" s="254">
        <v>1</v>
      </c>
      <c r="E135" s="250">
        <f>3000+2869+1969</f>
        <v>7838</v>
      </c>
      <c r="F135" s="254" t="s">
        <v>1103</v>
      </c>
      <c r="G135" s="233">
        <v>40577</v>
      </c>
      <c r="H135" s="228" t="s">
        <v>368</v>
      </c>
      <c r="I135" s="300">
        <v>42402</v>
      </c>
      <c r="J135" s="301">
        <v>1826</v>
      </c>
      <c r="K135" s="301">
        <v>1153</v>
      </c>
      <c r="L135" s="301">
        <v>673</v>
      </c>
      <c r="M135" s="301">
        <v>392</v>
      </c>
      <c r="N135" s="301">
        <v>6270</v>
      </c>
      <c r="O135" s="292">
        <v>0</v>
      </c>
      <c r="P135" s="301">
        <v>3261</v>
      </c>
      <c r="Q135" s="301">
        <v>308</v>
      </c>
      <c r="R135" s="292">
        <v>2869</v>
      </c>
      <c r="S135" s="251">
        <v>0</v>
      </c>
      <c r="T135" s="250">
        <v>0</v>
      </c>
      <c r="U135" s="250">
        <v>3261</v>
      </c>
      <c r="V135" s="250">
        <v>0</v>
      </c>
    </row>
    <row r="136" spans="2:22">
      <c r="B136" s="15">
        <f t="shared" si="4"/>
        <v>10</v>
      </c>
      <c r="C136" s="249" t="s">
        <v>1134</v>
      </c>
      <c r="D136" s="254">
        <v>1</v>
      </c>
      <c r="E136" s="250">
        <v>7900</v>
      </c>
      <c r="F136" s="254" t="s">
        <v>1131</v>
      </c>
      <c r="G136" s="233">
        <v>40702</v>
      </c>
      <c r="H136" s="228" t="s">
        <v>1132</v>
      </c>
      <c r="I136" s="300">
        <v>42528</v>
      </c>
      <c r="J136" s="301">
        <v>1827</v>
      </c>
      <c r="K136" s="301">
        <v>1028</v>
      </c>
      <c r="L136" s="301">
        <v>799</v>
      </c>
      <c r="M136" s="301">
        <v>395</v>
      </c>
      <c r="N136" s="301">
        <v>6450</v>
      </c>
      <c r="O136" s="292">
        <v>0</v>
      </c>
      <c r="P136" s="301">
        <v>3899</v>
      </c>
      <c r="Q136" s="301">
        <v>434</v>
      </c>
      <c r="R136" s="292">
        <v>3504</v>
      </c>
      <c r="S136" s="251">
        <v>0</v>
      </c>
      <c r="T136" s="250">
        <v>0</v>
      </c>
      <c r="U136" s="250">
        <v>3899</v>
      </c>
      <c r="V136" s="250">
        <v>0</v>
      </c>
    </row>
    <row r="137" spans="2:22">
      <c r="B137" s="15">
        <f t="shared" si="4"/>
        <v>11</v>
      </c>
      <c r="C137" s="249" t="s">
        <v>1137</v>
      </c>
      <c r="D137" s="254">
        <v>1</v>
      </c>
      <c r="E137" s="250">
        <v>1599</v>
      </c>
      <c r="F137" s="254" t="s">
        <v>1131</v>
      </c>
      <c r="G137" s="233">
        <v>40702</v>
      </c>
      <c r="H137" s="228" t="s">
        <v>1132</v>
      </c>
      <c r="I137" s="301">
        <v>0</v>
      </c>
      <c r="J137" s="301">
        <v>0</v>
      </c>
      <c r="K137" s="301">
        <v>0</v>
      </c>
      <c r="L137" s="301">
        <v>0</v>
      </c>
      <c r="M137" s="301">
        <v>0</v>
      </c>
      <c r="N137" s="301">
        <v>0</v>
      </c>
      <c r="O137" s="292">
        <v>0</v>
      </c>
      <c r="P137" s="301">
        <v>0</v>
      </c>
      <c r="Q137" s="301">
        <v>0</v>
      </c>
      <c r="R137" s="292">
        <v>-80</v>
      </c>
      <c r="S137" s="251">
        <v>0</v>
      </c>
      <c r="T137" s="250">
        <v>0</v>
      </c>
      <c r="U137" s="250">
        <v>0</v>
      </c>
      <c r="V137" s="250">
        <v>0</v>
      </c>
    </row>
    <row r="138" spans="2:22">
      <c r="B138" s="15">
        <f t="shared" si="4"/>
        <v>12</v>
      </c>
      <c r="C138" s="249" t="s">
        <v>1265</v>
      </c>
      <c r="D138" s="254">
        <v>1</v>
      </c>
      <c r="E138" s="250">
        <v>21441</v>
      </c>
      <c r="F138" s="254" t="s">
        <v>42</v>
      </c>
      <c r="G138" s="233">
        <v>40755</v>
      </c>
      <c r="H138" s="228" t="s">
        <v>187</v>
      </c>
      <c r="I138" s="300">
        <v>42581</v>
      </c>
      <c r="J138" s="301">
        <v>1827</v>
      </c>
      <c r="K138" s="301">
        <v>975</v>
      </c>
      <c r="L138" s="301">
        <v>852</v>
      </c>
      <c r="M138" s="301">
        <v>1072</v>
      </c>
      <c r="N138" s="301">
        <v>17651</v>
      </c>
      <c r="O138" s="292">
        <v>0</v>
      </c>
      <c r="P138" s="301">
        <v>11161</v>
      </c>
      <c r="Q138" s="301">
        <v>487</v>
      </c>
      <c r="R138" s="292">
        <v>10089</v>
      </c>
      <c r="S138" s="251">
        <v>0</v>
      </c>
      <c r="T138" s="250">
        <v>0</v>
      </c>
      <c r="U138" s="250">
        <v>11161</v>
      </c>
      <c r="V138" s="250">
        <v>0</v>
      </c>
    </row>
    <row r="139" spans="2:22">
      <c r="B139" s="15">
        <f t="shared" si="4"/>
        <v>13</v>
      </c>
      <c r="C139" s="249" t="s">
        <v>1417</v>
      </c>
      <c r="D139" s="254">
        <v>1</v>
      </c>
      <c r="E139" s="250">
        <v>58800</v>
      </c>
      <c r="F139" s="254" t="s">
        <v>1418</v>
      </c>
      <c r="G139" s="233">
        <v>40857</v>
      </c>
      <c r="H139" s="228" t="s">
        <v>119</v>
      </c>
      <c r="I139" s="300">
        <v>42683</v>
      </c>
      <c r="J139" s="301">
        <v>1827</v>
      </c>
      <c r="K139" s="301">
        <v>873</v>
      </c>
      <c r="L139" s="301">
        <v>954</v>
      </c>
      <c r="M139" s="301">
        <v>2940</v>
      </c>
      <c r="N139" s="301">
        <v>49183</v>
      </c>
      <c r="O139" s="292">
        <v>0</v>
      </c>
      <c r="P139" s="301">
        <v>33306</v>
      </c>
      <c r="Q139" s="301">
        <v>589</v>
      </c>
      <c r="R139" s="292">
        <v>30366</v>
      </c>
      <c r="S139" s="251">
        <v>0</v>
      </c>
      <c r="T139" s="250">
        <v>0</v>
      </c>
      <c r="U139" s="250">
        <v>33306</v>
      </c>
      <c r="V139" s="250">
        <v>0</v>
      </c>
    </row>
    <row r="140" spans="2:22">
      <c r="B140" s="15">
        <f t="shared" si="4"/>
        <v>14</v>
      </c>
      <c r="C140" s="249" t="s">
        <v>2203</v>
      </c>
      <c r="D140" s="254">
        <v>1</v>
      </c>
      <c r="E140" s="250">
        <v>71600</v>
      </c>
      <c r="F140" s="254" t="s">
        <v>2204</v>
      </c>
      <c r="G140" s="233">
        <v>41454</v>
      </c>
      <c r="H140" s="228" t="s">
        <v>368</v>
      </c>
      <c r="I140" s="300">
        <v>43279</v>
      </c>
      <c r="J140" s="301">
        <v>1826</v>
      </c>
      <c r="K140" s="301">
        <v>276</v>
      </c>
      <c r="L140" s="301">
        <v>1550</v>
      </c>
      <c r="M140" s="301">
        <v>3580</v>
      </c>
      <c r="N140" s="301">
        <v>65448</v>
      </c>
      <c r="O140" s="292">
        <v>0</v>
      </c>
      <c r="P140" s="301">
        <v>53616</v>
      </c>
      <c r="Q140" s="301">
        <v>1185</v>
      </c>
      <c r="R140" s="292">
        <v>50036</v>
      </c>
      <c r="S140" s="251">
        <v>0</v>
      </c>
      <c r="T140" s="250">
        <v>0</v>
      </c>
      <c r="U140" s="250">
        <v>53616</v>
      </c>
      <c r="V140" s="250">
        <v>0</v>
      </c>
    </row>
    <row r="141" spans="2:22" ht="27">
      <c r="B141" s="15">
        <f t="shared" si="4"/>
        <v>15</v>
      </c>
      <c r="C141" s="249" t="s">
        <v>2686</v>
      </c>
      <c r="D141" s="254" t="s">
        <v>2685</v>
      </c>
      <c r="E141" s="250">
        <f>43264+330</f>
        <v>43594</v>
      </c>
      <c r="F141" s="278" t="s">
        <v>2679</v>
      </c>
      <c r="G141" s="342">
        <v>42005</v>
      </c>
      <c r="H141" s="228" t="s">
        <v>368</v>
      </c>
      <c r="I141" s="300">
        <v>43830</v>
      </c>
      <c r="J141" s="301">
        <v>1826</v>
      </c>
      <c r="K141" s="301">
        <v>0</v>
      </c>
      <c r="L141" s="301">
        <v>1826</v>
      </c>
      <c r="M141" s="301">
        <v>2180</v>
      </c>
      <c r="N141" s="301">
        <v>41414</v>
      </c>
      <c r="O141" s="292">
        <v>0</v>
      </c>
      <c r="P141" s="301">
        <v>41553</v>
      </c>
      <c r="Q141" s="301">
        <v>1736</v>
      </c>
      <c r="R141" s="292">
        <v>39373</v>
      </c>
      <c r="S141" s="251">
        <v>0</v>
      </c>
      <c r="T141" s="250">
        <v>0</v>
      </c>
      <c r="U141" s="250">
        <v>41553</v>
      </c>
      <c r="V141" s="250">
        <v>0</v>
      </c>
    </row>
    <row r="142" spans="2:22">
      <c r="B142" s="15">
        <f t="shared" si="4"/>
        <v>16</v>
      </c>
      <c r="C142" s="249" t="s">
        <v>2818</v>
      </c>
      <c r="D142" s="254">
        <v>1</v>
      </c>
      <c r="E142" s="250">
        <v>11990</v>
      </c>
      <c r="F142" s="340" t="s">
        <v>2819</v>
      </c>
      <c r="G142" s="342">
        <v>42131</v>
      </c>
      <c r="H142" s="228" t="s">
        <v>161</v>
      </c>
      <c r="I142" s="300">
        <v>43957</v>
      </c>
      <c r="J142" s="301">
        <v>1827</v>
      </c>
      <c r="K142" s="301">
        <v>0</v>
      </c>
      <c r="L142" s="301">
        <v>1827</v>
      </c>
      <c r="M142" s="301">
        <v>600</v>
      </c>
      <c r="N142" s="301">
        <v>11390</v>
      </c>
      <c r="O142" s="292">
        <v>0</v>
      </c>
      <c r="P142" s="301">
        <v>11990</v>
      </c>
      <c r="Q142" s="301">
        <v>1827</v>
      </c>
      <c r="R142" s="292">
        <v>11391</v>
      </c>
      <c r="S142" s="251">
        <v>0</v>
      </c>
      <c r="T142" s="250">
        <v>0</v>
      </c>
      <c r="U142" s="250">
        <v>11990</v>
      </c>
      <c r="V142" s="250">
        <v>0</v>
      </c>
    </row>
    <row r="143" spans="2:22" ht="27">
      <c r="B143" s="15">
        <f t="shared" si="4"/>
        <v>17</v>
      </c>
      <c r="C143" s="249" t="s">
        <v>2969</v>
      </c>
      <c r="D143" s="230" t="s">
        <v>314</v>
      </c>
      <c r="E143" s="250">
        <f>7137198</f>
        <v>7137198</v>
      </c>
      <c r="F143" s="249" t="s">
        <v>2971</v>
      </c>
      <c r="G143" s="233">
        <v>42095</v>
      </c>
      <c r="H143" s="228" t="s">
        <v>368</v>
      </c>
      <c r="I143" s="300">
        <v>43921</v>
      </c>
      <c r="J143" s="301">
        <v>1827</v>
      </c>
      <c r="K143" s="301">
        <v>0</v>
      </c>
      <c r="L143" s="301">
        <v>1827</v>
      </c>
      <c r="M143" s="301">
        <v>356860</v>
      </c>
      <c r="N143" s="301">
        <v>6780338</v>
      </c>
      <c r="O143" s="292">
        <v>0</v>
      </c>
      <c r="P143" s="301">
        <v>7137198</v>
      </c>
      <c r="Q143" s="301">
        <v>1827</v>
      </c>
      <c r="R143" s="292">
        <v>6780338</v>
      </c>
      <c r="S143" s="251">
        <v>0</v>
      </c>
      <c r="T143" s="250">
        <v>0</v>
      </c>
      <c r="U143" s="250">
        <v>7137198</v>
      </c>
      <c r="V143" s="250">
        <v>0</v>
      </c>
    </row>
    <row r="144" spans="2:22" ht="27">
      <c r="B144" s="15">
        <f t="shared" si="4"/>
        <v>18</v>
      </c>
      <c r="C144" s="249" t="s">
        <v>2969</v>
      </c>
      <c r="D144" s="230" t="s">
        <v>314</v>
      </c>
      <c r="E144" s="250">
        <f>907226</f>
        <v>907226</v>
      </c>
      <c r="F144" s="249" t="s">
        <v>2972</v>
      </c>
      <c r="G144" s="233">
        <v>42095</v>
      </c>
      <c r="H144" s="228" t="s">
        <v>368</v>
      </c>
      <c r="I144" s="300">
        <v>43921</v>
      </c>
      <c r="J144" s="301">
        <v>1827</v>
      </c>
      <c r="K144" s="301">
        <v>0</v>
      </c>
      <c r="L144" s="301">
        <v>1827</v>
      </c>
      <c r="M144" s="301">
        <v>45361</v>
      </c>
      <c r="N144" s="301">
        <v>861865</v>
      </c>
      <c r="O144" s="292">
        <v>0</v>
      </c>
      <c r="P144" s="301">
        <v>907226</v>
      </c>
      <c r="Q144" s="301">
        <v>1827</v>
      </c>
      <c r="R144" s="292">
        <v>861865</v>
      </c>
      <c r="S144" s="251">
        <v>0</v>
      </c>
      <c r="T144" s="250">
        <v>0</v>
      </c>
      <c r="U144" s="250">
        <v>907226</v>
      </c>
      <c r="V144" s="250">
        <v>0</v>
      </c>
    </row>
    <row r="145" spans="2:22" ht="27">
      <c r="B145" s="15">
        <f t="shared" si="4"/>
        <v>19</v>
      </c>
      <c r="C145" s="249" t="s">
        <v>2970</v>
      </c>
      <c r="D145" s="230" t="s">
        <v>314</v>
      </c>
      <c r="E145" s="250">
        <f>50000</f>
        <v>50000</v>
      </c>
      <c r="F145" s="249" t="s">
        <v>2973</v>
      </c>
      <c r="G145" s="233">
        <v>42095</v>
      </c>
      <c r="H145" s="228" t="s">
        <v>368</v>
      </c>
      <c r="I145" s="300">
        <v>43921</v>
      </c>
      <c r="J145" s="301">
        <v>1827</v>
      </c>
      <c r="K145" s="301">
        <v>0</v>
      </c>
      <c r="L145" s="301">
        <v>1827</v>
      </c>
      <c r="M145" s="301">
        <v>2500</v>
      </c>
      <c r="N145" s="301">
        <v>47500</v>
      </c>
      <c r="O145" s="292">
        <v>0</v>
      </c>
      <c r="P145" s="301">
        <v>50000</v>
      </c>
      <c r="Q145" s="301">
        <v>1827</v>
      </c>
      <c r="R145" s="292">
        <v>47500</v>
      </c>
      <c r="S145" s="251">
        <v>0</v>
      </c>
      <c r="T145" s="250">
        <v>0</v>
      </c>
      <c r="U145" s="250">
        <v>50000</v>
      </c>
      <c r="V145" s="250">
        <v>0</v>
      </c>
    </row>
    <row r="146" spans="2:22">
      <c r="B146" s="15">
        <v>20</v>
      </c>
      <c r="C146" s="249" t="s">
        <v>4051</v>
      </c>
      <c r="D146" s="230">
        <v>1</v>
      </c>
      <c r="E146" s="250">
        <v>17500</v>
      </c>
      <c r="F146" s="249" t="s">
        <v>4052</v>
      </c>
      <c r="G146" s="233">
        <v>42840</v>
      </c>
      <c r="H146" s="228" t="s">
        <v>161</v>
      </c>
      <c r="I146" s="300">
        <v>44665</v>
      </c>
      <c r="J146" s="301">
        <v>1826</v>
      </c>
      <c r="K146" s="301">
        <v>0</v>
      </c>
      <c r="L146" s="301">
        <v>1826</v>
      </c>
      <c r="M146" s="301">
        <v>875</v>
      </c>
      <c r="N146" s="301">
        <v>16625</v>
      </c>
      <c r="O146" s="292">
        <v>0</v>
      </c>
      <c r="P146" s="301">
        <v>17500</v>
      </c>
      <c r="Q146" s="301">
        <v>1826</v>
      </c>
      <c r="R146" s="292">
        <v>16625</v>
      </c>
      <c r="S146" s="251">
        <v>365</v>
      </c>
      <c r="T146" s="250">
        <v>3323</v>
      </c>
      <c r="U146" s="250">
        <v>16497</v>
      </c>
      <c r="V146" s="250">
        <v>1003</v>
      </c>
    </row>
    <row r="147" spans="2:22">
      <c r="B147" s="15">
        <v>21</v>
      </c>
      <c r="C147" s="249" t="s">
        <v>4297</v>
      </c>
      <c r="D147" s="230">
        <v>1</v>
      </c>
      <c r="E147" s="250">
        <v>22900</v>
      </c>
      <c r="F147" s="249" t="s">
        <v>4304</v>
      </c>
      <c r="G147" s="233">
        <v>43269</v>
      </c>
      <c r="H147" s="228" t="s">
        <v>282</v>
      </c>
      <c r="I147" s="300">
        <v>45094</v>
      </c>
      <c r="J147" s="301">
        <v>1826</v>
      </c>
      <c r="K147" s="301">
        <v>0</v>
      </c>
      <c r="L147" s="301">
        <v>1826</v>
      </c>
      <c r="M147" s="301">
        <v>1145</v>
      </c>
      <c r="N147" s="301">
        <v>21755</v>
      </c>
      <c r="O147" s="292">
        <v>0</v>
      </c>
      <c r="P147" s="301">
        <v>22900</v>
      </c>
      <c r="Q147" s="301">
        <v>1826</v>
      </c>
      <c r="R147" s="292">
        <v>21755</v>
      </c>
      <c r="S147" s="251">
        <v>365</v>
      </c>
      <c r="T147" s="250">
        <v>4349</v>
      </c>
      <c r="U147" s="250">
        <v>16478</v>
      </c>
      <c r="V147" s="250">
        <v>6422</v>
      </c>
    </row>
    <row r="148" spans="2:22" ht="27">
      <c r="B148" s="15">
        <v>22</v>
      </c>
      <c r="C148" s="249" t="s">
        <v>4384</v>
      </c>
      <c r="D148" s="230">
        <v>1</v>
      </c>
      <c r="E148" s="250">
        <v>21999</v>
      </c>
      <c r="F148" s="249" t="s">
        <v>4385</v>
      </c>
      <c r="G148" s="233">
        <v>43860</v>
      </c>
      <c r="H148" s="228" t="s">
        <v>895</v>
      </c>
      <c r="I148" s="300">
        <v>45686</v>
      </c>
      <c r="J148" s="301">
        <v>1827</v>
      </c>
      <c r="K148" s="301">
        <v>0</v>
      </c>
      <c r="L148" s="301">
        <v>1827</v>
      </c>
      <c r="M148" s="301">
        <v>1100</v>
      </c>
      <c r="N148" s="301">
        <v>20899</v>
      </c>
      <c r="O148" s="292">
        <v>0</v>
      </c>
      <c r="P148" s="301">
        <v>21999</v>
      </c>
      <c r="Q148" s="301">
        <v>1827</v>
      </c>
      <c r="R148" s="292">
        <v>20899</v>
      </c>
      <c r="S148" s="251">
        <v>365</v>
      </c>
      <c r="T148" s="250">
        <v>4175</v>
      </c>
      <c r="U148" s="250">
        <v>9059</v>
      </c>
      <c r="V148" s="250">
        <v>12940</v>
      </c>
    </row>
    <row r="149" spans="2:22">
      <c r="B149" s="15">
        <v>24</v>
      </c>
      <c r="C149" s="249" t="s">
        <v>4618</v>
      </c>
      <c r="D149" s="230">
        <v>1</v>
      </c>
      <c r="E149" s="250">
        <f>61999</f>
        <v>61999</v>
      </c>
      <c r="F149" s="249" t="s">
        <v>4619</v>
      </c>
      <c r="G149" s="233">
        <v>44476</v>
      </c>
      <c r="H149" s="228" t="s">
        <v>895</v>
      </c>
      <c r="I149" s="300">
        <v>46301</v>
      </c>
      <c r="J149" s="301">
        <v>1826</v>
      </c>
      <c r="K149" s="301">
        <v>0</v>
      </c>
      <c r="L149" s="301">
        <v>1826</v>
      </c>
      <c r="M149" s="301">
        <v>3100</v>
      </c>
      <c r="N149" s="301">
        <v>58899</v>
      </c>
      <c r="O149" s="292">
        <v>0</v>
      </c>
      <c r="P149" s="301">
        <v>61999</v>
      </c>
      <c r="Q149" s="301">
        <v>1826</v>
      </c>
      <c r="R149" s="292">
        <v>58899</v>
      </c>
      <c r="S149" s="251">
        <v>176</v>
      </c>
      <c r="T149" s="250">
        <v>5976</v>
      </c>
      <c r="U149" s="250">
        <v>5976</v>
      </c>
      <c r="V149" s="250">
        <v>56023</v>
      </c>
    </row>
    <row r="150" spans="2:22">
      <c r="B150" s="15"/>
      <c r="C150" s="249"/>
      <c r="D150" s="254"/>
      <c r="E150" s="250"/>
      <c r="F150" s="278"/>
      <c r="G150" s="342"/>
      <c r="H150" s="228"/>
      <c r="I150" s="300"/>
      <c r="J150" s="301"/>
      <c r="K150" s="301"/>
      <c r="L150" s="301"/>
      <c r="M150" s="301"/>
      <c r="N150" s="301"/>
      <c r="O150" s="292"/>
      <c r="P150" s="301"/>
      <c r="Q150" s="301"/>
      <c r="R150" s="292"/>
      <c r="S150" s="251"/>
      <c r="T150" s="250"/>
      <c r="U150" s="250"/>
      <c r="V150" s="250"/>
    </row>
    <row r="151" spans="2:22" ht="14.25">
      <c r="B151" s="107" t="s">
        <v>1047</v>
      </c>
      <c r="C151" s="228"/>
      <c r="D151" s="230"/>
      <c r="E151" s="252"/>
      <c r="F151" s="254"/>
      <c r="G151" s="230"/>
      <c r="H151" s="228"/>
      <c r="I151" s="301"/>
      <c r="J151" s="301"/>
      <c r="K151" s="301"/>
      <c r="L151" s="301"/>
      <c r="M151" s="301"/>
      <c r="N151" s="301"/>
      <c r="O151" s="292"/>
      <c r="P151" s="301"/>
      <c r="Q151" s="301"/>
      <c r="R151" s="292"/>
      <c r="S151" s="272"/>
      <c r="T151" s="250"/>
      <c r="U151" s="250"/>
      <c r="V151" s="250"/>
    </row>
    <row r="152" spans="2:22">
      <c r="B152" s="15">
        <v>1</v>
      </c>
      <c r="C152" s="249" t="s">
        <v>1048</v>
      </c>
      <c r="D152" s="254">
        <v>1</v>
      </c>
      <c r="E152" s="250">
        <v>15530</v>
      </c>
      <c r="F152" s="254"/>
      <c r="G152" s="233">
        <v>40074</v>
      </c>
      <c r="H152" s="228" t="s">
        <v>282</v>
      </c>
      <c r="I152" s="300">
        <v>41899</v>
      </c>
      <c r="J152" s="301">
        <v>1826</v>
      </c>
      <c r="K152" s="301">
        <v>1656</v>
      </c>
      <c r="L152" s="301">
        <v>170</v>
      </c>
      <c r="M152" s="301">
        <v>777</v>
      </c>
      <c r="N152" s="301">
        <v>11409</v>
      </c>
      <c r="O152" s="292">
        <v>0</v>
      </c>
      <c r="P152" s="301">
        <v>0</v>
      </c>
      <c r="Q152" s="301">
        <v>0</v>
      </c>
      <c r="R152" s="292"/>
      <c r="S152" s="251">
        <v>0</v>
      </c>
      <c r="T152" s="250">
        <v>0</v>
      </c>
      <c r="U152" s="250">
        <v>0</v>
      </c>
      <c r="V152" s="250">
        <v>0</v>
      </c>
    </row>
    <row r="153" spans="2:22" ht="27">
      <c r="B153" s="15">
        <f>+B152+1</f>
        <v>2</v>
      </c>
      <c r="C153" s="249" t="s">
        <v>359</v>
      </c>
      <c r="D153" s="254">
        <v>1</v>
      </c>
      <c r="E153" s="250">
        <f>20290+600</f>
        <v>20890</v>
      </c>
      <c r="F153" s="254" t="s">
        <v>233</v>
      </c>
      <c r="G153" s="233">
        <v>40329</v>
      </c>
      <c r="H153" s="228" t="s">
        <v>4327</v>
      </c>
      <c r="I153" s="300">
        <v>42154</v>
      </c>
      <c r="J153" s="301">
        <v>1826</v>
      </c>
      <c r="K153" s="301">
        <v>1401</v>
      </c>
      <c r="L153" s="301">
        <v>425</v>
      </c>
      <c r="M153" s="301">
        <v>1045</v>
      </c>
      <c r="N153" s="301">
        <v>16040</v>
      </c>
      <c r="O153" s="292">
        <v>0</v>
      </c>
      <c r="P153" s="301">
        <v>3309</v>
      </c>
      <c r="Q153" s="301">
        <v>60</v>
      </c>
      <c r="R153" s="292">
        <v>2265</v>
      </c>
      <c r="S153" s="251">
        <v>0</v>
      </c>
      <c r="T153" s="250">
        <v>0</v>
      </c>
      <c r="U153" s="250">
        <v>3309</v>
      </c>
      <c r="V153" s="250">
        <v>0</v>
      </c>
    </row>
    <row r="154" spans="2:22">
      <c r="B154" s="15">
        <f t="shared" ref="B154:B161" si="5">+B153+1</f>
        <v>3</v>
      </c>
      <c r="C154" s="249" t="s">
        <v>533</v>
      </c>
      <c r="D154" s="254">
        <v>1</v>
      </c>
      <c r="E154" s="250">
        <v>19300</v>
      </c>
      <c r="F154" s="254" t="s">
        <v>235</v>
      </c>
      <c r="G154" s="233">
        <v>40355</v>
      </c>
      <c r="H154" s="239" t="s">
        <v>288</v>
      </c>
      <c r="I154" s="300">
        <v>42180</v>
      </c>
      <c r="J154" s="301">
        <v>1826</v>
      </c>
      <c r="K154" s="301">
        <v>1375</v>
      </c>
      <c r="L154" s="301">
        <v>451</v>
      </c>
      <c r="M154" s="301">
        <v>965</v>
      </c>
      <c r="N154" s="301">
        <v>14884</v>
      </c>
      <c r="O154" s="292">
        <v>0</v>
      </c>
      <c r="P154" s="301">
        <v>3803</v>
      </c>
      <c r="Q154" s="301">
        <v>86</v>
      </c>
      <c r="R154" s="292">
        <v>2838</v>
      </c>
      <c r="S154" s="251">
        <v>0</v>
      </c>
      <c r="T154" s="250">
        <v>0</v>
      </c>
      <c r="U154" s="250">
        <v>3803</v>
      </c>
      <c r="V154" s="250">
        <v>0</v>
      </c>
    </row>
    <row r="155" spans="2:22">
      <c r="B155" s="15">
        <f t="shared" si="5"/>
        <v>4</v>
      </c>
      <c r="C155" s="249" t="s">
        <v>770</v>
      </c>
      <c r="D155" s="254">
        <v>1</v>
      </c>
      <c r="E155" s="250">
        <v>23900</v>
      </c>
      <c r="F155" s="254" t="s">
        <v>234</v>
      </c>
      <c r="G155" s="233">
        <v>40357</v>
      </c>
      <c r="H155" s="228" t="s">
        <v>368</v>
      </c>
      <c r="I155" s="300">
        <v>42182</v>
      </c>
      <c r="J155" s="301">
        <v>1826</v>
      </c>
      <c r="K155" s="301">
        <v>1373</v>
      </c>
      <c r="L155" s="301">
        <v>453</v>
      </c>
      <c r="M155" s="301">
        <v>1195</v>
      </c>
      <c r="N155" s="301">
        <v>18440</v>
      </c>
      <c r="O155" s="292">
        <v>0</v>
      </c>
      <c r="P155" s="301">
        <v>4777</v>
      </c>
      <c r="Q155" s="301">
        <v>88</v>
      </c>
      <c r="R155" s="292">
        <v>3582</v>
      </c>
      <c r="S155" s="251">
        <v>0</v>
      </c>
      <c r="T155" s="250">
        <v>0</v>
      </c>
      <c r="U155" s="250">
        <v>4777</v>
      </c>
      <c r="V155" s="250">
        <v>0</v>
      </c>
    </row>
    <row r="156" spans="2:22">
      <c r="B156" s="15">
        <f t="shared" si="5"/>
        <v>5</v>
      </c>
      <c r="C156" s="249" t="s">
        <v>1130</v>
      </c>
      <c r="D156" s="254">
        <v>1</v>
      </c>
      <c r="E156" s="250">
        <v>14700</v>
      </c>
      <c r="F156" s="254" t="s">
        <v>1131</v>
      </c>
      <c r="G156" s="233">
        <v>40702</v>
      </c>
      <c r="H156" s="228" t="s">
        <v>1132</v>
      </c>
      <c r="I156" s="300">
        <v>42528</v>
      </c>
      <c r="J156" s="301">
        <v>1827</v>
      </c>
      <c r="K156" s="301">
        <v>1028</v>
      </c>
      <c r="L156" s="301">
        <v>799</v>
      </c>
      <c r="M156" s="301">
        <v>735</v>
      </c>
      <c r="N156" s="301">
        <v>11999</v>
      </c>
      <c r="O156" s="292">
        <v>0</v>
      </c>
      <c r="P156" s="301">
        <v>7253</v>
      </c>
      <c r="Q156" s="301">
        <v>434</v>
      </c>
      <c r="R156" s="292">
        <v>6518</v>
      </c>
      <c r="S156" s="251">
        <v>0</v>
      </c>
      <c r="T156" s="250">
        <v>0</v>
      </c>
      <c r="U156" s="250">
        <v>7253</v>
      </c>
      <c r="V156" s="250">
        <v>0</v>
      </c>
    </row>
    <row r="157" spans="2:22">
      <c r="B157" s="15">
        <f t="shared" si="5"/>
        <v>6</v>
      </c>
      <c r="C157" s="249" t="s">
        <v>1414</v>
      </c>
      <c r="D157" s="254">
        <v>1</v>
      </c>
      <c r="E157" s="250">
        <v>18810</v>
      </c>
      <c r="F157" s="254" t="s">
        <v>1413</v>
      </c>
      <c r="G157" s="233">
        <v>40820</v>
      </c>
      <c r="H157" s="228" t="s">
        <v>119</v>
      </c>
      <c r="I157" s="300">
        <v>42646</v>
      </c>
      <c r="J157" s="301">
        <v>1827</v>
      </c>
      <c r="K157" s="301">
        <v>910</v>
      </c>
      <c r="L157" s="301">
        <v>917</v>
      </c>
      <c r="M157" s="301">
        <v>941</v>
      </c>
      <c r="N157" s="301">
        <v>15644</v>
      </c>
      <c r="O157" s="292">
        <v>0</v>
      </c>
      <c r="P157" s="301">
        <v>10358</v>
      </c>
      <c r="Q157" s="301">
        <v>552</v>
      </c>
      <c r="R157" s="292">
        <v>9418</v>
      </c>
      <c r="S157" s="251">
        <v>0</v>
      </c>
      <c r="T157" s="250">
        <v>0</v>
      </c>
      <c r="U157" s="250">
        <v>10358</v>
      </c>
      <c r="V157" s="250">
        <v>0</v>
      </c>
    </row>
    <row r="158" spans="2:22">
      <c r="B158" s="15">
        <f t="shared" si="5"/>
        <v>7</v>
      </c>
      <c r="C158" s="249" t="s">
        <v>1622</v>
      </c>
      <c r="D158" s="254">
        <v>1</v>
      </c>
      <c r="E158" s="250">
        <v>31694</v>
      </c>
      <c r="F158" s="254" t="s">
        <v>1623</v>
      </c>
      <c r="G158" s="233">
        <v>40893</v>
      </c>
      <c r="H158" s="228" t="s">
        <v>368</v>
      </c>
      <c r="I158" s="300">
        <v>42719</v>
      </c>
      <c r="J158" s="301">
        <v>1827</v>
      </c>
      <c r="K158" s="301">
        <v>837</v>
      </c>
      <c r="L158" s="301">
        <v>990</v>
      </c>
      <c r="M158" s="301">
        <v>1585</v>
      </c>
      <c r="N158" s="301">
        <v>26659</v>
      </c>
      <c r="O158" s="292">
        <v>0</v>
      </c>
      <c r="P158" s="301">
        <v>18415</v>
      </c>
      <c r="Q158" s="301">
        <v>625</v>
      </c>
      <c r="R158" s="292">
        <v>16830</v>
      </c>
      <c r="S158" s="251">
        <v>0</v>
      </c>
      <c r="T158" s="250">
        <v>0</v>
      </c>
      <c r="U158" s="250">
        <v>18415</v>
      </c>
      <c r="V158" s="250">
        <v>0</v>
      </c>
    </row>
    <row r="159" spans="2:22" ht="27">
      <c r="B159" s="15">
        <f t="shared" si="5"/>
        <v>8</v>
      </c>
      <c r="C159" s="249" t="s">
        <v>2567</v>
      </c>
      <c r="D159" s="254">
        <v>1</v>
      </c>
      <c r="E159" s="250">
        <v>25619</v>
      </c>
      <c r="F159" s="254" t="s">
        <v>2568</v>
      </c>
      <c r="G159" s="233">
        <v>41852</v>
      </c>
      <c r="H159" s="239" t="s">
        <v>4366</v>
      </c>
      <c r="I159" s="300">
        <v>43677</v>
      </c>
      <c r="J159" s="301">
        <v>1826</v>
      </c>
      <c r="K159" s="301">
        <v>0</v>
      </c>
      <c r="L159" s="301">
        <v>1826</v>
      </c>
      <c r="M159" s="301">
        <v>1281</v>
      </c>
      <c r="N159" s="301">
        <v>24338</v>
      </c>
      <c r="O159" s="292">
        <v>0</v>
      </c>
      <c r="P159" s="301">
        <v>22380</v>
      </c>
      <c r="Q159" s="301">
        <v>1583</v>
      </c>
      <c r="R159" s="292">
        <v>21099</v>
      </c>
      <c r="S159" s="251">
        <v>0</v>
      </c>
      <c r="T159" s="250">
        <v>0</v>
      </c>
      <c r="U159" s="250">
        <v>22380</v>
      </c>
      <c r="V159" s="250">
        <v>0</v>
      </c>
    </row>
    <row r="160" spans="2:22">
      <c r="B160" s="15">
        <f t="shared" si="5"/>
        <v>9</v>
      </c>
      <c r="C160" s="249" t="s">
        <v>2569</v>
      </c>
      <c r="D160" s="254">
        <v>1</v>
      </c>
      <c r="E160" s="250">
        <v>21171</v>
      </c>
      <c r="F160" s="254" t="s">
        <v>2570</v>
      </c>
      <c r="G160" s="233">
        <v>41889</v>
      </c>
      <c r="H160" s="239" t="s">
        <v>4366</v>
      </c>
      <c r="I160" s="300">
        <v>43714</v>
      </c>
      <c r="J160" s="301">
        <v>1826</v>
      </c>
      <c r="K160" s="301">
        <v>0</v>
      </c>
      <c r="L160" s="301">
        <v>1826</v>
      </c>
      <c r="M160" s="301">
        <v>1059</v>
      </c>
      <c r="N160" s="301">
        <v>20112</v>
      </c>
      <c r="O160" s="292">
        <v>0</v>
      </c>
      <c r="P160" s="301">
        <v>18902</v>
      </c>
      <c r="Q160" s="301">
        <v>1620</v>
      </c>
      <c r="R160" s="292">
        <v>17843</v>
      </c>
      <c r="S160" s="251">
        <v>0</v>
      </c>
      <c r="T160" s="250">
        <v>0</v>
      </c>
      <c r="U160" s="250">
        <v>18902</v>
      </c>
      <c r="V160" s="250">
        <v>0</v>
      </c>
    </row>
    <row r="161" spans="1:22">
      <c r="B161" s="15">
        <f t="shared" si="5"/>
        <v>10</v>
      </c>
      <c r="C161" s="249" t="s">
        <v>2689</v>
      </c>
      <c r="D161" s="254">
        <v>1</v>
      </c>
      <c r="E161" s="250">
        <f>10749+82</f>
        <v>10831</v>
      </c>
      <c r="F161" s="278" t="s">
        <v>2679</v>
      </c>
      <c r="G161" s="342">
        <v>42005</v>
      </c>
      <c r="H161" s="228" t="s">
        <v>368</v>
      </c>
      <c r="I161" s="300">
        <v>43830</v>
      </c>
      <c r="J161" s="301">
        <v>1826</v>
      </c>
      <c r="K161" s="301">
        <v>0</v>
      </c>
      <c r="L161" s="301">
        <v>1826</v>
      </c>
      <c r="M161" s="301">
        <v>542</v>
      </c>
      <c r="N161" s="301">
        <v>10289</v>
      </c>
      <c r="O161" s="292">
        <v>0</v>
      </c>
      <c r="P161" s="301">
        <v>10324</v>
      </c>
      <c r="Q161" s="301">
        <v>1736</v>
      </c>
      <c r="R161" s="292">
        <v>9782</v>
      </c>
      <c r="S161" s="251">
        <v>0</v>
      </c>
      <c r="T161" s="250">
        <v>0</v>
      </c>
      <c r="U161" s="250">
        <v>10324</v>
      </c>
      <c r="V161" s="250">
        <v>0</v>
      </c>
    </row>
    <row r="162" spans="1:22">
      <c r="B162" s="15">
        <v>11</v>
      </c>
      <c r="C162" s="249" t="s">
        <v>4290</v>
      </c>
      <c r="D162" s="254">
        <v>1</v>
      </c>
      <c r="E162" s="250">
        <v>24200</v>
      </c>
      <c r="F162" s="278" t="s">
        <v>4291</v>
      </c>
      <c r="G162" s="342">
        <v>43191</v>
      </c>
      <c r="H162" s="228" t="s">
        <v>895</v>
      </c>
      <c r="I162" s="300">
        <v>45016</v>
      </c>
      <c r="J162" s="301">
        <v>1826</v>
      </c>
      <c r="K162" s="301">
        <v>0</v>
      </c>
      <c r="L162" s="301">
        <v>1826</v>
      </c>
      <c r="M162" s="301">
        <v>1210</v>
      </c>
      <c r="N162" s="301">
        <v>22990</v>
      </c>
      <c r="O162" s="292"/>
      <c r="P162" s="301">
        <v>24200</v>
      </c>
      <c r="Q162" s="301">
        <v>1826</v>
      </c>
      <c r="R162" s="292">
        <v>22990</v>
      </c>
      <c r="S162" s="251">
        <v>365</v>
      </c>
      <c r="T162" s="250">
        <v>4595</v>
      </c>
      <c r="U162" s="250">
        <v>18393</v>
      </c>
      <c r="V162" s="250">
        <v>5807</v>
      </c>
    </row>
    <row r="163" spans="1:22" ht="14.25">
      <c r="A163" s="42"/>
      <c r="B163" s="107" t="s">
        <v>938</v>
      </c>
      <c r="C163" s="228"/>
      <c r="D163" s="230"/>
      <c r="E163" s="252"/>
      <c r="F163" s="254"/>
      <c r="G163" s="230"/>
      <c r="H163" s="228"/>
      <c r="I163" s="301"/>
      <c r="J163" s="301"/>
      <c r="K163" s="301"/>
      <c r="L163" s="301"/>
      <c r="M163" s="301"/>
      <c r="N163" s="301"/>
      <c r="O163" s="292"/>
      <c r="P163" s="301"/>
      <c r="Q163" s="301"/>
      <c r="R163" s="292"/>
      <c r="S163" s="272"/>
      <c r="T163" s="250"/>
      <c r="U163" s="250"/>
      <c r="V163" s="250"/>
    </row>
    <row r="164" spans="1:22">
      <c r="B164" s="15">
        <v>1</v>
      </c>
      <c r="C164" s="249" t="s">
        <v>155</v>
      </c>
      <c r="D164" s="254">
        <v>1</v>
      </c>
      <c r="E164" s="250">
        <v>6050</v>
      </c>
      <c r="F164" s="254">
        <v>35</v>
      </c>
      <c r="G164" s="342">
        <v>39918</v>
      </c>
      <c r="H164" s="228" t="s">
        <v>368</v>
      </c>
      <c r="I164" s="300">
        <v>41743</v>
      </c>
      <c r="J164" s="301">
        <v>1826</v>
      </c>
      <c r="K164" s="301">
        <v>1812</v>
      </c>
      <c r="L164" s="301">
        <v>14</v>
      </c>
      <c r="M164" s="301">
        <v>303</v>
      </c>
      <c r="N164" s="301">
        <v>4324</v>
      </c>
      <c r="O164" s="292">
        <v>0</v>
      </c>
      <c r="P164" s="301">
        <v>0</v>
      </c>
      <c r="Q164" s="301">
        <v>0</v>
      </c>
      <c r="R164" s="292"/>
      <c r="S164" s="251">
        <v>0</v>
      </c>
      <c r="T164" s="250">
        <v>0</v>
      </c>
      <c r="U164" s="250">
        <v>0</v>
      </c>
      <c r="V164" s="250">
        <v>0</v>
      </c>
    </row>
    <row r="165" spans="1:22">
      <c r="B165" s="15">
        <f>+B164+1</f>
        <v>2</v>
      </c>
      <c r="C165" s="249" t="s">
        <v>156</v>
      </c>
      <c r="D165" s="254">
        <v>4</v>
      </c>
      <c r="E165" s="250">
        <v>16000</v>
      </c>
      <c r="F165" s="254">
        <v>217</v>
      </c>
      <c r="G165" s="342">
        <v>39945</v>
      </c>
      <c r="H165" s="228" t="s">
        <v>282</v>
      </c>
      <c r="I165" s="301"/>
      <c r="J165" s="301"/>
      <c r="K165" s="301"/>
      <c r="L165" s="301"/>
      <c r="M165" s="301"/>
      <c r="N165" s="301"/>
      <c r="O165" s="292"/>
      <c r="P165" s="301">
        <v>0</v>
      </c>
      <c r="Q165" s="301">
        <v>0</v>
      </c>
      <c r="R165" s="292"/>
      <c r="S165" s="251">
        <v>0</v>
      </c>
      <c r="T165" s="250">
        <v>0</v>
      </c>
      <c r="U165" s="250">
        <v>0</v>
      </c>
      <c r="V165" s="250">
        <v>0</v>
      </c>
    </row>
    <row r="166" spans="1:22">
      <c r="B166" s="15">
        <f t="shared" ref="B166:B190" si="6">+B165+1</f>
        <v>3</v>
      </c>
      <c r="C166" s="249" t="s">
        <v>156</v>
      </c>
      <c r="D166" s="254">
        <v>2</v>
      </c>
      <c r="E166" s="250">
        <f>6300*2</f>
        <v>12600</v>
      </c>
      <c r="F166" s="254">
        <v>1123</v>
      </c>
      <c r="G166" s="342">
        <v>39939</v>
      </c>
      <c r="H166" s="228" t="s">
        <v>282</v>
      </c>
      <c r="I166" s="300">
        <v>41764</v>
      </c>
      <c r="J166" s="301">
        <v>1826</v>
      </c>
      <c r="K166" s="301">
        <v>1791</v>
      </c>
      <c r="L166" s="301">
        <v>35</v>
      </c>
      <c r="M166" s="301">
        <v>630</v>
      </c>
      <c r="N166" s="301">
        <v>9033</v>
      </c>
      <c r="O166" s="292">
        <v>0</v>
      </c>
      <c r="P166" s="301">
        <v>0</v>
      </c>
      <c r="Q166" s="301">
        <v>0</v>
      </c>
      <c r="R166" s="292"/>
      <c r="S166" s="251">
        <v>0</v>
      </c>
      <c r="T166" s="250">
        <v>0</v>
      </c>
      <c r="U166" s="250">
        <v>0</v>
      </c>
      <c r="V166" s="250">
        <v>0</v>
      </c>
    </row>
    <row r="167" spans="1:22">
      <c r="B167" s="15">
        <f t="shared" si="6"/>
        <v>4</v>
      </c>
      <c r="C167" s="249" t="s">
        <v>156</v>
      </c>
      <c r="D167" s="254">
        <v>2</v>
      </c>
      <c r="E167" s="250">
        <f>6300*2</f>
        <v>12600</v>
      </c>
      <c r="F167" s="254">
        <v>1123</v>
      </c>
      <c r="G167" s="342">
        <v>39939</v>
      </c>
      <c r="H167" s="228" t="s">
        <v>282</v>
      </c>
      <c r="I167" s="300">
        <v>41764</v>
      </c>
      <c r="J167" s="301">
        <v>1826</v>
      </c>
      <c r="K167" s="301">
        <v>1791</v>
      </c>
      <c r="L167" s="301">
        <v>35</v>
      </c>
      <c r="M167" s="301">
        <v>630</v>
      </c>
      <c r="N167" s="301">
        <v>9033</v>
      </c>
      <c r="O167" s="292">
        <v>0</v>
      </c>
      <c r="P167" s="301">
        <v>0</v>
      </c>
      <c r="Q167" s="301">
        <v>0</v>
      </c>
      <c r="R167" s="292"/>
      <c r="S167" s="251">
        <v>0</v>
      </c>
      <c r="T167" s="250">
        <v>0</v>
      </c>
      <c r="U167" s="250">
        <v>0</v>
      </c>
      <c r="V167" s="250">
        <v>0</v>
      </c>
    </row>
    <row r="168" spans="1:22">
      <c r="B168" s="15">
        <f t="shared" si="6"/>
        <v>5</v>
      </c>
      <c r="C168" s="249" t="s">
        <v>156</v>
      </c>
      <c r="D168" s="254">
        <v>2</v>
      </c>
      <c r="E168" s="250">
        <v>12600</v>
      </c>
      <c r="F168" s="254">
        <v>264</v>
      </c>
      <c r="G168" s="342">
        <v>39956</v>
      </c>
      <c r="H168" s="228" t="s">
        <v>282</v>
      </c>
      <c r="I168" s="300">
        <v>41781</v>
      </c>
      <c r="J168" s="301">
        <v>1826</v>
      </c>
      <c r="K168" s="301">
        <v>1774</v>
      </c>
      <c r="L168" s="301">
        <v>52</v>
      </c>
      <c r="M168" s="301">
        <v>630</v>
      </c>
      <c r="N168" s="301">
        <v>9061</v>
      </c>
      <c r="O168" s="292">
        <v>0</v>
      </c>
      <c r="P168" s="301">
        <v>0</v>
      </c>
      <c r="Q168" s="301">
        <v>0</v>
      </c>
      <c r="R168" s="292"/>
      <c r="S168" s="251">
        <v>0</v>
      </c>
      <c r="T168" s="250">
        <v>0</v>
      </c>
      <c r="U168" s="250">
        <v>0</v>
      </c>
      <c r="V168" s="250">
        <v>0</v>
      </c>
    </row>
    <row r="169" spans="1:22">
      <c r="B169" s="15">
        <f t="shared" si="6"/>
        <v>6</v>
      </c>
      <c r="C169" s="249" t="s">
        <v>157</v>
      </c>
      <c r="D169" s="254">
        <v>1</v>
      </c>
      <c r="E169" s="250">
        <v>12400</v>
      </c>
      <c r="F169" s="254">
        <v>1584</v>
      </c>
      <c r="G169" s="342">
        <v>39957</v>
      </c>
      <c r="H169" s="228" t="s">
        <v>282</v>
      </c>
      <c r="I169" s="300">
        <v>41782</v>
      </c>
      <c r="J169" s="301">
        <v>1826</v>
      </c>
      <c r="K169" s="301">
        <v>1773</v>
      </c>
      <c r="L169" s="301">
        <v>53</v>
      </c>
      <c r="M169" s="301">
        <v>620</v>
      </c>
      <c r="N169" s="301">
        <v>8924</v>
      </c>
      <c r="O169" s="292">
        <v>0</v>
      </c>
      <c r="P169" s="301">
        <v>0</v>
      </c>
      <c r="Q169" s="301">
        <v>0</v>
      </c>
      <c r="R169" s="292"/>
      <c r="S169" s="251">
        <v>0</v>
      </c>
      <c r="T169" s="250">
        <v>0</v>
      </c>
      <c r="U169" s="250">
        <v>0</v>
      </c>
      <c r="V169" s="250">
        <v>0</v>
      </c>
    </row>
    <row r="170" spans="1:22">
      <c r="B170" s="15">
        <f t="shared" si="6"/>
        <v>7</v>
      </c>
      <c r="C170" s="249" t="s">
        <v>158</v>
      </c>
      <c r="D170" s="254">
        <v>1</v>
      </c>
      <c r="E170" s="250">
        <v>15300</v>
      </c>
      <c r="F170" s="254" t="s">
        <v>42</v>
      </c>
      <c r="G170" s="342">
        <v>39995</v>
      </c>
      <c r="H170" s="228" t="s">
        <v>368</v>
      </c>
      <c r="I170" s="300">
        <v>41820</v>
      </c>
      <c r="J170" s="301">
        <v>1826</v>
      </c>
      <c r="K170" s="301">
        <v>1735</v>
      </c>
      <c r="L170" s="301">
        <v>91</v>
      </c>
      <c r="M170" s="301">
        <v>765</v>
      </c>
      <c r="N170" s="301">
        <v>11082</v>
      </c>
      <c r="O170" s="292">
        <v>0</v>
      </c>
      <c r="P170" s="301">
        <v>0</v>
      </c>
      <c r="Q170" s="301">
        <v>0</v>
      </c>
      <c r="R170" s="292"/>
      <c r="S170" s="251">
        <v>0</v>
      </c>
      <c r="T170" s="250">
        <v>0</v>
      </c>
      <c r="U170" s="250">
        <v>0</v>
      </c>
      <c r="V170" s="250">
        <v>0</v>
      </c>
    </row>
    <row r="171" spans="1:22">
      <c r="B171" s="15">
        <f t="shared" si="6"/>
        <v>8</v>
      </c>
      <c r="C171" s="249" t="s">
        <v>360</v>
      </c>
      <c r="D171" s="254">
        <v>2</v>
      </c>
      <c r="E171" s="250">
        <v>13056</v>
      </c>
      <c r="F171" s="254" t="s">
        <v>236</v>
      </c>
      <c r="G171" s="342">
        <v>40297</v>
      </c>
      <c r="H171" s="228" t="s">
        <v>282</v>
      </c>
      <c r="I171" s="300">
        <v>42122</v>
      </c>
      <c r="J171" s="301">
        <v>1826</v>
      </c>
      <c r="K171" s="301">
        <v>1433</v>
      </c>
      <c r="L171" s="301">
        <v>393</v>
      </c>
      <c r="M171" s="301">
        <v>653</v>
      </c>
      <c r="N171" s="301">
        <v>9971</v>
      </c>
      <c r="O171" s="292">
        <v>0</v>
      </c>
      <c r="P171" s="301">
        <v>1363</v>
      </c>
      <c r="Q171" s="301">
        <v>28</v>
      </c>
      <c r="R171" s="292">
        <v>710</v>
      </c>
      <c r="S171" s="251">
        <v>0</v>
      </c>
      <c r="T171" s="250">
        <v>0</v>
      </c>
      <c r="U171" s="250">
        <v>1363</v>
      </c>
      <c r="V171" s="250">
        <v>0</v>
      </c>
    </row>
    <row r="172" spans="1:22">
      <c r="B172" s="15">
        <f t="shared" si="6"/>
        <v>9</v>
      </c>
      <c r="C172" s="249" t="s">
        <v>361</v>
      </c>
      <c r="D172" s="254">
        <v>2</v>
      </c>
      <c r="E172" s="250">
        <f>23000</f>
        <v>23000</v>
      </c>
      <c r="F172" s="254" t="s">
        <v>786</v>
      </c>
      <c r="G172" s="342">
        <v>40327</v>
      </c>
      <c r="H172" s="228" t="s">
        <v>368</v>
      </c>
      <c r="I172" s="300">
        <v>42152</v>
      </c>
      <c r="J172" s="301">
        <v>1826</v>
      </c>
      <c r="K172" s="301">
        <v>1403</v>
      </c>
      <c r="L172" s="301">
        <v>423</v>
      </c>
      <c r="M172" s="301">
        <v>1150</v>
      </c>
      <c r="N172" s="301">
        <v>17652</v>
      </c>
      <c r="O172" s="292">
        <v>0</v>
      </c>
      <c r="P172" s="301">
        <v>3570</v>
      </c>
      <c r="Q172" s="301">
        <v>58</v>
      </c>
      <c r="R172" s="292">
        <v>2420</v>
      </c>
      <c r="S172" s="251">
        <v>0</v>
      </c>
      <c r="T172" s="250">
        <v>0</v>
      </c>
      <c r="U172" s="250">
        <v>3570</v>
      </c>
      <c r="V172" s="250">
        <v>0</v>
      </c>
    </row>
    <row r="173" spans="1:22">
      <c r="B173" s="15">
        <f t="shared" si="6"/>
        <v>10</v>
      </c>
      <c r="C173" s="249" t="s">
        <v>362</v>
      </c>
      <c r="D173" s="254">
        <v>1</v>
      </c>
      <c r="E173" s="250">
        <v>2300</v>
      </c>
      <c r="F173" s="254" t="s">
        <v>1082</v>
      </c>
      <c r="G173" s="342">
        <v>40331</v>
      </c>
      <c r="H173" s="228" t="s">
        <v>282</v>
      </c>
      <c r="I173" s="301">
        <v>0</v>
      </c>
      <c r="J173" s="301">
        <v>0</v>
      </c>
      <c r="K173" s="301">
        <v>0</v>
      </c>
      <c r="L173" s="301">
        <v>0</v>
      </c>
      <c r="M173" s="301">
        <v>0</v>
      </c>
      <c r="N173" s="301">
        <v>0</v>
      </c>
      <c r="O173" s="292">
        <v>0</v>
      </c>
      <c r="P173" s="301">
        <v>0</v>
      </c>
      <c r="Q173" s="301">
        <v>0</v>
      </c>
      <c r="R173" s="292"/>
      <c r="S173" s="251">
        <v>0</v>
      </c>
      <c r="T173" s="250">
        <v>0</v>
      </c>
      <c r="U173" s="250">
        <v>0</v>
      </c>
      <c r="V173" s="250">
        <v>0</v>
      </c>
    </row>
    <row r="174" spans="1:22">
      <c r="B174" s="15">
        <f t="shared" si="6"/>
        <v>11</v>
      </c>
      <c r="C174" s="249" t="s">
        <v>362</v>
      </c>
      <c r="D174" s="254">
        <v>3</v>
      </c>
      <c r="E174" s="250">
        <v>18810</v>
      </c>
      <c r="F174" s="254" t="s">
        <v>1077</v>
      </c>
      <c r="G174" s="342">
        <v>40478</v>
      </c>
      <c r="H174" s="228" t="s">
        <v>1177</v>
      </c>
      <c r="I174" s="300">
        <v>42303</v>
      </c>
      <c r="J174" s="301">
        <v>1826</v>
      </c>
      <c r="K174" s="301">
        <v>1252</v>
      </c>
      <c r="L174" s="301">
        <v>574</v>
      </c>
      <c r="M174" s="301">
        <v>941</v>
      </c>
      <c r="N174" s="301">
        <v>14807</v>
      </c>
      <c r="O174" s="292">
        <v>0</v>
      </c>
      <c r="P174" s="301">
        <v>6332</v>
      </c>
      <c r="Q174" s="301">
        <v>209</v>
      </c>
      <c r="R174" s="292">
        <v>5392</v>
      </c>
      <c r="S174" s="251">
        <v>0</v>
      </c>
      <c r="T174" s="250">
        <v>0</v>
      </c>
      <c r="U174" s="250">
        <v>6332</v>
      </c>
      <c r="V174" s="250">
        <v>0</v>
      </c>
    </row>
    <row r="175" spans="1:22">
      <c r="B175" s="15">
        <f t="shared" si="6"/>
        <v>12</v>
      </c>
      <c r="C175" s="249" t="s">
        <v>362</v>
      </c>
      <c r="D175" s="254">
        <v>3</v>
      </c>
      <c r="E175" s="250">
        <v>18810</v>
      </c>
      <c r="F175" s="254" t="s">
        <v>640</v>
      </c>
      <c r="G175" s="342">
        <v>40502</v>
      </c>
      <c r="H175" s="228" t="s">
        <v>80</v>
      </c>
      <c r="I175" s="300">
        <v>42327</v>
      </c>
      <c r="J175" s="301">
        <v>1826</v>
      </c>
      <c r="K175" s="301">
        <v>1228</v>
      </c>
      <c r="L175" s="301">
        <v>598</v>
      </c>
      <c r="M175" s="301">
        <v>941</v>
      </c>
      <c r="N175" s="301">
        <v>14866</v>
      </c>
      <c r="O175" s="292">
        <v>0</v>
      </c>
      <c r="P175" s="301">
        <v>6733</v>
      </c>
      <c r="Q175" s="301">
        <v>233</v>
      </c>
      <c r="R175" s="292">
        <v>5793</v>
      </c>
      <c r="S175" s="251">
        <v>0</v>
      </c>
      <c r="T175" s="250">
        <v>0</v>
      </c>
      <c r="U175" s="250">
        <v>6733</v>
      </c>
      <c r="V175" s="250">
        <v>0</v>
      </c>
    </row>
    <row r="176" spans="1:22">
      <c r="B176" s="15">
        <f t="shared" si="6"/>
        <v>13</v>
      </c>
      <c r="C176" s="249" t="s">
        <v>96</v>
      </c>
      <c r="D176" s="254">
        <v>1</v>
      </c>
      <c r="E176" s="250">
        <v>5900</v>
      </c>
      <c r="F176" s="254" t="s">
        <v>97</v>
      </c>
      <c r="G176" s="342">
        <v>40626</v>
      </c>
      <c r="H176" s="228" t="s">
        <v>161</v>
      </c>
      <c r="I176" s="300">
        <v>42452</v>
      </c>
      <c r="J176" s="301">
        <v>1827</v>
      </c>
      <c r="K176" s="301">
        <v>1104</v>
      </c>
      <c r="L176" s="301">
        <v>723</v>
      </c>
      <c r="M176" s="301">
        <v>295</v>
      </c>
      <c r="N176" s="301">
        <v>4759</v>
      </c>
      <c r="O176" s="292">
        <v>0</v>
      </c>
      <c r="P176" s="301">
        <v>2651</v>
      </c>
      <c r="Q176" s="301">
        <v>358</v>
      </c>
      <c r="R176" s="292">
        <v>2356</v>
      </c>
      <c r="S176" s="251">
        <v>0</v>
      </c>
      <c r="T176" s="250">
        <v>0</v>
      </c>
      <c r="U176" s="250">
        <v>2651</v>
      </c>
      <c r="V176" s="250">
        <v>0</v>
      </c>
    </row>
    <row r="177" spans="2:22">
      <c r="B177" s="15">
        <f t="shared" si="6"/>
        <v>14</v>
      </c>
      <c r="C177" s="249" t="s">
        <v>1133</v>
      </c>
      <c r="D177" s="254">
        <v>4</v>
      </c>
      <c r="E177" s="250">
        <v>28400</v>
      </c>
      <c r="F177" s="254" t="s">
        <v>1131</v>
      </c>
      <c r="G177" s="233">
        <v>40702</v>
      </c>
      <c r="H177" s="228" t="s">
        <v>1132</v>
      </c>
      <c r="I177" s="300">
        <v>42528</v>
      </c>
      <c r="J177" s="301">
        <v>1827</v>
      </c>
      <c r="K177" s="301">
        <v>1028</v>
      </c>
      <c r="L177" s="301">
        <v>799</v>
      </c>
      <c r="M177" s="301">
        <v>1420</v>
      </c>
      <c r="N177" s="301">
        <v>23184</v>
      </c>
      <c r="O177" s="292">
        <v>0</v>
      </c>
      <c r="P177" s="301">
        <v>14013</v>
      </c>
      <c r="Q177" s="301">
        <v>434</v>
      </c>
      <c r="R177" s="292">
        <v>12593</v>
      </c>
      <c r="S177" s="251">
        <v>0</v>
      </c>
      <c r="T177" s="250">
        <v>0</v>
      </c>
      <c r="U177" s="250">
        <v>14013</v>
      </c>
      <c r="V177" s="250">
        <v>0</v>
      </c>
    </row>
    <row r="178" spans="2:22" ht="27">
      <c r="B178" s="15">
        <f t="shared" si="6"/>
        <v>15</v>
      </c>
      <c r="C178" s="249" t="s">
        <v>1183</v>
      </c>
      <c r="D178" s="254">
        <f>2+36</f>
        <v>38</v>
      </c>
      <c r="E178" s="250">
        <v>213600</v>
      </c>
      <c r="F178" s="254" t="s">
        <v>1145</v>
      </c>
      <c r="G178" s="233">
        <v>40691</v>
      </c>
      <c r="H178" s="228" t="s">
        <v>368</v>
      </c>
      <c r="I178" s="300">
        <v>42517</v>
      </c>
      <c r="J178" s="301">
        <v>1827</v>
      </c>
      <c r="K178" s="301">
        <v>1039</v>
      </c>
      <c r="L178" s="301">
        <v>788</v>
      </c>
      <c r="M178" s="301">
        <v>10680</v>
      </c>
      <c r="N178" s="301">
        <v>174062</v>
      </c>
      <c r="O178" s="292">
        <v>0</v>
      </c>
      <c r="P178" s="301">
        <v>104117</v>
      </c>
      <c r="Q178" s="301">
        <v>423</v>
      </c>
      <c r="R178" s="292">
        <v>93437</v>
      </c>
      <c r="S178" s="251">
        <v>0</v>
      </c>
      <c r="T178" s="250">
        <v>0</v>
      </c>
      <c r="U178" s="250">
        <v>104117</v>
      </c>
      <c r="V178" s="250">
        <v>0</v>
      </c>
    </row>
    <row r="179" spans="2:22">
      <c r="B179" s="15">
        <f t="shared" si="6"/>
        <v>16</v>
      </c>
      <c r="C179" s="249" t="s">
        <v>1146</v>
      </c>
      <c r="D179" s="254">
        <v>5</v>
      </c>
      <c r="E179" s="250">
        <v>35910</v>
      </c>
      <c r="F179" s="275" t="s">
        <v>1147</v>
      </c>
      <c r="G179" s="233">
        <v>40682</v>
      </c>
      <c r="H179" s="228" t="s">
        <v>368</v>
      </c>
      <c r="I179" s="300">
        <v>42508</v>
      </c>
      <c r="J179" s="301">
        <v>1827</v>
      </c>
      <c r="K179" s="301">
        <v>1048</v>
      </c>
      <c r="L179" s="301">
        <v>779</v>
      </c>
      <c r="M179" s="301">
        <v>1796</v>
      </c>
      <c r="N179" s="301">
        <v>29220</v>
      </c>
      <c r="O179" s="292">
        <v>0</v>
      </c>
      <c r="P179" s="301">
        <v>17325</v>
      </c>
      <c r="Q179" s="301">
        <v>414</v>
      </c>
      <c r="R179" s="292">
        <v>15530</v>
      </c>
      <c r="S179" s="251">
        <v>0</v>
      </c>
      <c r="T179" s="250">
        <v>0</v>
      </c>
      <c r="U179" s="250">
        <v>17325</v>
      </c>
      <c r="V179" s="250">
        <v>0</v>
      </c>
    </row>
    <row r="180" spans="2:22">
      <c r="B180" s="15">
        <f t="shared" si="6"/>
        <v>17</v>
      </c>
      <c r="C180" s="249" t="s">
        <v>1164</v>
      </c>
      <c r="D180" s="254">
        <v>1</v>
      </c>
      <c r="E180" s="250">
        <v>6270</v>
      </c>
      <c r="F180" s="254" t="s">
        <v>1166</v>
      </c>
      <c r="G180" s="233">
        <v>40715</v>
      </c>
      <c r="H180" s="228" t="s">
        <v>368</v>
      </c>
      <c r="I180" s="300">
        <v>42541</v>
      </c>
      <c r="J180" s="301">
        <v>1827</v>
      </c>
      <c r="K180" s="301">
        <v>1015</v>
      </c>
      <c r="L180" s="301">
        <v>812</v>
      </c>
      <c r="M180" s="301">
        <v>314</v>
      </c>
      <c r="N180" s="301">
        <v>5128</v>
      </c>
      <c r="O180" s="292">
        <v>0</v>
      </c>
      <c r="P180" s="301">
        <v>3137</v>
      </c>
      <c r="Q180" s="301">
        <v>447</v>
      </c>
      <c r="R180" s="292">
        <v>2824</v>
      </c>
      <c r="S180" s="251">
        <v>0</v>
      </c>
      <c r="T180" s="250">
        <v>0</v>
      </c>
      <c r="U180" s="250">
        <v>3137</v>
      </c>
      <c r="V180" s="250">
        <v>0</v>
      </c>
    </row>
    <row r="181" spans="2:22" ht="27">
      <c r="B181" s="15">
        <f t="shared" si="6"/>
        <v>18</v>
      </c>
      <c r="C181" s="249" t="s">
        <v>1810</v>
      </c>
      <c r="D181" s="254">
        <v>30</v>
      </c>
      <c r="E181" s="250">
        <v>202500</v>
      </c>
      <c r="F181" s="254" t="s">
        <v>1811</v>
      </c>
      <c r="G181" s="233">
        <v>41011</v>
      </c>
      <c r="H181" s="228" t="s">
        <v>368</v>
      </c>
      <c r="I181" s="300">
        <v>42836</v>
      </c>
      <c r="J181" s="301">
        <v>1826</v>
      </c>
      <c r="K181" s="301">
        <v>719</v>
      </c>
      <c r="L181" s="301">
        <v>1107</v>
      </c>
      <c r="M181" s="301">
        <v>10125</v>
      </c>
      <c r="N181" s="301">
        <v>173427</v>
      </c>
      <c r="O181" s="292">
        <v>0</v>
      </c>
      <c r="P181" s="301">
        <v>126370</v>
      </c>
      <c r="Q181" s="301">
        <v>742</v>
      </c>
      <c r="R181" s="292">
        <v>116245</v>
      </c>
      <c r="S181" s="251">
        <v>0</v>
      </c>
      <c r="T181" s="250">
        <v>0</v>
      </c>
      <c r="U181" s="250">
        <v>126370</v>
      </c>
      <c r="V181" s="250">
        <v>0</v>
      </c>
    </row>
    <row r="182" spans="2:22">
      <c r="B182" s="15">
        <f t="shared" si="6"/>
        <v>19</v>
      </c>
      <c r="C182" s="249" t="s">
        <v>1895</v>
      </c>
      <c r="D182" s="254">
        <v>5</v>
      </c>
      <c r="E182" s="250">
        <v>34200</v>
      </c>
      <c r="F182" s="254" t="s">
        <v>1896</v>
      </c>
      <c r="G182" s="233">
        <v>41067</v>
      </c>
      <c r="H182" s="228" t="s">
        <v>368</v>
      </c>
      <c r="I182" s="300">
        <v>42892</v>
      </c>
      <c r="J182" s="301">
        <v>1826</v>
      </c>
      <c r="K182" s="301">
        <v>663</v>
      </c>
      <c r="L182" s="301">
        <v>1163</v>
      </c>
      <c r="M182" s="301">
        <v>1710</v>
      </c>
      <c r="N182" s="301">
        <v>29539</v>
      </c>
      <c r="O182" s="292">
        <v>0</v>
      </c>
      <c r="P182" s="301">
        <v>21978</v>
      </c>
      <c r="Q182" s="301">
        <v>798</v>
      </c>
      <c r="R182" s="292">
        <v>20268</v>
      </c>
      <c r="S182" s="251">
        <v>0</v>
      </c>
      <c r="T182" s="250">
        <v>0</v>
      </c>
      <c r="U182" s="250">
        <v>21978</v>
      </c>
      <c r="V182" s="250">
        <v>0</v>
      </c>
    </row>
    <row r="183" spans="2:22">
      <c r="B183" s="15">
        <f t="shared" si="6"/>
        <v>20</v>
      </c>
      <c r="C183" s="249" t="s">
        <v>156</v>
      </c>
      <c r="D183" s="254">
        <v>50</v>
      </c>
      <c r="E183" s="250">
        <v>137940</v>
      </c>
      <c r="F183" s="254" t="s">
        <v>2025</v>
      </c>
      <c r="G183" s="233">
        <v>41341</v>
      </c>
      <c r="H183" s="228" t="s">
        <v>368</v>
      </c>
      <c r="I183" s="301">
        <v>0</v>
      </c>
      <c r="J183" s="301">
        <v>0</v>
      </c>
      <c r="K183" s="301">
        <v>0</v>
      </c>
      <c r="L183" s="301">
        <v>0</v>
      </c>
      <c r="M183" s="301">
        <v>0</v>
      </c>
      <c r="N183" s="301">
        <v>0</v>
      </c>
      <c r="O183" s="292">
        <v>0</v>
      </c>
      <c r="P183" s="301">
        <v>0</v>
      </c>
      <c r="Q183" s="301">
        <v>0</v>
      </c>
      <c r="R183" s="292"/>
      <c r="S183" s="251">
        <v>0</v>
      </c>
      <c r="T183" s="250">
        <v>0</v>
      </c>
      <c r="U183" s="250">
        <v>0</v>
      </c>
      <c r="V183" s="250">
        <v>0</v>
      </c>
    </row>
    <row r="184" spans="2:22">
      <c r="B184" s="15">
        <f t="shared" si="6"/>
        <v>21</v>
      </c>
      <c r="C184" s="249" t="s">
        <v>2026</v>
      </c>
      <c r="D184" s="254">
        <v>50</v>
      </c>
      <c r="E184" s="250">
        <v>28500</v>
      </c>
      <c r="F184" s="254" t="s">
        <v>42</v>
      </c>
      <c r="G184" s="233">
        <v>41351</v>
      </c>
      <c r="H184" s="228" t="s">
        <v>368</v>
      </c>
      <c r="I184" s="301">
        <v>0</v>
      </c>
      <c r="J184" s="301">
        <v>0</v>
      </c>
      <c r="K184" s="301">
        <v>0</v>
      </c>
      <c r="L184" s="301">
        <v>0</v>
      </c>
      <c r="M184" s="301">
        <v>0</v>
      </c>
      <c r="N184" s="301">
        <v>0</v>
      </c>
      <c r="O184" s="292">
        <v>0</v>
      </c>
      <c r="P184" s="301">
        <v>0</v>
      </c>
      <c r="Q184" s="301">
        <v>0</v>
      </c>
      <c r="R184" s="292"/>
      <c r="S184" s="251">
        <v>0</v>
      </c>
      <c r="T184" s="250">
        <v>0</v>
      </c>
      <c r="U184" s="250">
        <v>0</v>
      </c>
      <c r="V184" s="250">
        <v>0</v>
      </c>
    </row>
    <row r="185" spans="2:22" ht="27">
      <c r="B185" s="15">
        <f t="shared" si="6"/>
        <v>22</v>
      </c>
      <c r="C185" s="249" t="s">
        <v>2083</v>
      </c>
      <c r="D185" s="254">
        <v>6</v>
      </c>
      <c r="E185" s="250">
        <v>43434</v>
      </c>
      <c r="F185" s="254" t="s">
        <v>2084</v>
      </c>
      <c r="G185" s="233">
        <v>41388</v>
      </c>
      <c r="H185" s="228" t="s">
        <v>368</v>
      </c>
      <c r="I185" s="300">
        <v>43213</v>
      </c>
      <c r="J185" s="301">
        <v>1826</v>
      </c>
      <c r="K185" s="301">
        <v>342</v>
      </c>
      <c r="L185" s="301">
        <v>1484</v>
      </c>
      <c r="M185" s="301">
        <v>2172</v>
      </c>
      <c r="N185" s="301">
        <v>39329</v>
      </c>
      <c r="O185" s="292">
        <v>0</v>
      </c>
      <c r="P185" s="301">
        <v>31828</v>
      </c>
      <c r="Q185" s="301">
        <v>1119</v>
      </c>
      <c r="R185" s="292">
        <v>29656</v>
      </c>
      <c r="S185" s="251">
        <v>0</v>
      </c>
      <c r="T185" s="250">
        <v>0</v>
      </c>
      <c r="U185" s="250">
        <v>31828</v>
      </c>
      <c r="V185" s="250">
        <v>0</v>
      </c>
    </row>
    <row r="186" spans="2:22">
      <c r="B186" s="15">
        <f t="shared" si="6"/>
        <v>23</v>
      </c>
      <c r="C186" s="249" t="s">
        <v>155</v>
      </c>
      <c r="D186" s="254">
        <v>1</v>
      </c>
      <c r="E186" s="250">
        <v>3400</v>
      </c>
      <c r="F186" s="254" t="s">
        <v>2144</v>
      </c>
      <c r="G186" s="233">
        <v>41400</v>
      </c>
      <c r="H186" s="228" t="s">
        <v>161</v>
      </c>
      <c r="I186" s="301">
        <v>0</v>
      </c>
      <c r="J186" s="301">
        <v>0</v>
      </c>
      <c r="K186" s="301">
        <v>0</v>
      </c>
      <c r="L186" s="301">
        <v>0</v>
      </c>
      <c r="M186" s="301">
        <v>0</v>
      </c>
      <c r="N186" s="301">
        <v>0</v>
      </c>
      <c r="O186" s="292">
        <v>0</v>
      </c>
      <c r="P186" s="301">
        <v>0</v>
      </c>
      <c r="Q186" s="301">
        <v>0</v>
      </c>
      <c r="R186" s="292"/>
      <c r="S186" s="251">
        <v>0</v>
      </c>
      <c r="T186" s="250">
        <v>0</v>
      </c>
      <c r="U186" s="250">
        <v>0</v>
      </c>
      <c r="V186" s="250">
        <v>0</v>
      </c>
    </row>
    <row r="187" spans="2:22">
      <c r="B187" s="15">
        <f t="shared" si="6"/>
        <v>24</v>
      </c>
      <c r="C187" s="249" t="s">
        <v>2145</v>
      </c>
      <c r="D187" s="254">
        <v>20</v>
      </c>
      <c r="E187" s="250">
        <v>11682</v>
      </c>
      <c r="F187" s="254" t="s">
        <v>2146</v>
      </c>
      <c r="G187" s="233">
        <v>41414</v>
      </c>
      <c r="H187" s="228" t="s">
        <v>368</v>
      </c>
      <c r="I187" s="301">
        <v>0</v>
      </c>
      <c r="J187" s="301">
        <v>0</v>
      </c>
      <c r="K187" s="301">
        <v>0</v>
      </c>
      <c r="L187" s="301">
        <v>0</v>
      </c>
      <c r="M187" s="301">
        <v>0</v>
      </c>
      <c r="N187" s="301">
        <v>0</v>
      </c>
      <c r="O187" s="292">
        <v>0</v>
      </c>
      <c r="P187" s="301">
        <v>0</v>
      </c>
      <c r="Q187" s="301">
        <v>0</v>
      </c>
      <c r="R187" s="292"/>
      <c r="S187" s="251">
        <v>0</v>
      </c>
      <c r="T187" s="250">
        <v>0</v>
      </c>
      <c r="U187" s="250">
        <v>0</v>
      </c>
      <c r="V187" s="250">
        <v>0</v>
      </c>
    </row>
    <row r="188" spans="2:22" ht="27">
      <c r="B188" s="15">
        <f t="shared" si="6"/>
        <v>25</v>
      </c>
      <c r="C188" s="249" t="s">
        <v>2147</v>
      </c>
      <c r="D188" s="254">
        <v>50</v>
      </c>
      <c r="E188" s="250">
        <v>378480</v>
      </c>
      <c r="F188" s="254" t="s">
        <v>2148</v>
      </c>
      <c r="G188" s="233">
        <v>41387</v>
      </c>
      <c r="H188" s="228" t="s">
        <v>119</v>
      </c>
      <c r="I188" s="300">
        <v>43212</v>
      </c>
      <c r="J188" s="301">
        <v>1826</v>
      </c>
      <c r="K188" s="301">
        <v>343</v>
      </c>
      <c r="L188" s="301">
        <v>1483</v>
      </c>
      <c r="M188" s="301">
        <v>18924</v>
      </c>
      <c r="N188" s="301">
        <v>342662</v>
      </c>
      <c r="O188" s="292">
        <v>0</v>
      </c>
      <c r="P188" s="301">
        <v>277249</v>
      </c>
      <c r="Q188" s="301">
        <v>1118</v>
      </c>
      <c r="R188" s="292">
        <v>258325</v>
      </c>
      <c r="S188" s="251">
        <v>0</v>
      </c>
      <c r="T188" s="250">
        <v>0</v>
      </c>
      <c r="U188" s="250">
        <v>277249</v>
      </c>
      <c r="V188" s="250">
        <v>0</v>
      </c>
    </row>
    <row r="189" spans="2:22" ht="40.5">
      <c r="B189" s="15">
        <f t="shared" si="6"/>
        <v>26</v>
      </c>
      <c r="C189" s="249" t="s">
        <v>156</v>
      </c>
      <c r="D189" s="254">
        <v>2</v>
      </c>
      <c r="E189" s="250">
        <f>11527+1930</f>
        <v>13457</v>
      </c>
      <c r="F189" s="249" t="s">
        <v>2597</v>
      </c>
      <c r="G189" s="233">
        <v>41913</v>
      </c>
      <c r="H189" s="228" t="s">
        <v>368</v>
      </c>
      <c r="I189" s="300">
        <v>42505</v>
      </c>
      <c r="J189" s="301">
        <v>593</v>
      </c>
      <c r="K189" s="301">
        <v>0</v>
      </c>
      <c r="L189" s="301">
        <v>593</v>
      </c>
      <c r="M189" s="301">
        <v>673</v>
      </c>
      <c r="N189" s="301">
        <v>12784</v>
      </c>
      <c r="O189" s="292">
        <v>0</v>
      </c>
      <c r="P189" s="301">
        <v>9533</v>
      </c>
      <c r="Q189" s="301">
        <v>411</v>
      </c>
      <c r="R189" s="292">
        <v>8860</v>
      </c>
      <c r="S189" s="251">
        <v>0</v>
      </c>
      <c r="T189" s="250">
        <v>0</v>
      </c>
      <c r="U189" s="250">
        <v>9533</v>
      </c>
      <c r="V189" s="250">
        <v>0</v>
      </c>
    </row>
    <row r="190" spans="2:22">
      <c r="B190" s="15">
        <f t="shared" si="6"/>
        <v>27</v>
      </c>
      <c r="C190" s="249" t="s">
        <v>1133</v>
      </c>
      <c r="D190" s="254">
        <v>2</v>
      </c>
      <c r="E190" s="250">
        <v>14285</v>
      </c>
      <c r="F190" s="278" t="s">
        <v>2739</v>
      </c>
      <c r="G190" s="342">
        <v>42005</v>
      </c>
      <c r="H190" s="228" t="s">
        <v>368</v>
      </c>
      <c r="I190" s="300">
        <v>43830</v>
      </c>
      <c r="J190" s="301">
        <v>1826</v>
      </c>
      <c r="K190" s="301">
        <v>0</v>
      </c>
      <c r="L190" s="301">
        <v>1826</v>
      </c>
      <c r="M190" s="301">
        <v>714</v>
      </c>
      <c r="N190" s="301">
        <v>13571</v>
      </c>
      <c r="O190" s="292">
        <v>0</v>
      </c>
      <c r="P190" s="301">
        <v>13616</v>
      </c>
      <c r="Q190" s="301">
        <v>1736</v>
      </c>
      <c r="R190" s="292">
        <v>12902</v>
      </c>
      <c r="S190" s="251">
        <v>0</v>
      </c>
      <c r="T190" s="250">
        <v>0</v>
      </c>
      <c r="U190" s="250">
        <v>13616</v>
      </c>
      <c r="V190" s="250">
        <v>0</v>
      </c>
    </row>
    <row r="191" spans="2:22">
      <c r="B191" s="15">
        <v>28</v>
      </c>
      <c r="C191" s="249" t="s">
        <v>4574</v>
      </c>
      <c r="D191" s="254">
        <v>1</v>
      </c>
      <c r="E191" s="250">
        <v>5000</v>
      </c>
      <c r="F191" s="278">
        <v>1287</v>
      </c>
      <c r="G191" s="342">
        <v>44305</v>
      </c>
      <c r="H191" s="228" t="s">
        <v>368</v>
      </c>
      <c r="I191" s="300">
        <v>44377</v>
      </c>
      <c r="J191" s="301">
        <v>73</v>
      </c>
      <c r="K191" s="301">
        <v>0</v>
      </c>
      <c r="L191" s="301">
        <v>73</v>
      </c>
      <c r="M191" s="301">
        <v>250</v>
      </c>
      <c r="N191" s="301">
        <v>4750</v>
      </c>
      <c r="O191" s="292">
        <v>0</v>
      </c>
      <c r="P191" s="292">
        <v>5000</v>
      </c>
      <c r="Q191" s="301">
        <v>73</v>
      </c>
      <c r="R191" s="301">
        <v>4750</v>
      </c>
      <c r="S191" s="292">
        <v>73</v>
      </c>
      <c r="T191" s="251">
        <v>5000</v>
      </c>
      <c r="U191" s="250">
        <v>5000</v>
      </c>
      <c r="V191" s="250">
        <v>0</v>
      </c>
    </row>
    <row r="192" spans="2:22">
      <c r="B192" s="15">
        <v>29</v>
      </c>
      <c r="C192" s="249" t="s">
        <v>4574</v>
      </c>
      <c r="D192" s="254">
        <v>50</v>
      </c>
      <c r="E192" s="250">
        <v>206500</v>
      </c>
      <c r="F192" s="278">
        <v>1388</v>
      </c>
      <c r="G192" s="342">
        <v>44305</v>
      </c>
      <c r="H192" s="228" t="s">
        <v>368</v>
      </c>
      <c r="I192" s="300">
        <v>44377</v>
      </c>
      <c r="J192" s="301">
        <v>73</v>
      </c>
      <c r="K192" s="301">
        <v>0</v>
      </c>
      <c r="L192" s="301">
        <v>73</v>
      </c>
      <c r="M192" s="301">
        <v>10325</v>
      </c>
      <c r="N192" s="301">
        <v>196175</v>
      </c>
      <c r="O192" s="292">
        <v>0</v>
      </c>
      <c r="P192" s="292">
        <v>206500</v>
      </c>
      <c r="Q192" s="301">
        <v>73</v>
      </c>
      <c r="R192" s="301">
        <v>196175</v>
      </c>
      <c r="S192" s="292">
        <v>73</v>
      </c>
      <c r="T192" s="251">
        <v>206500</v>
      </c>
      <c r="U192" s="250">
        <v>206500</v>
      </c>
      <c r="V192" s="250">
        <v>0</v>
      </c>
    </row>
    <row r="193" spans="2:22">
      <c r="B193" s="143"/>
      <c r="C193" s="249"/>
      <c r="D193" s="254"/>
      <c r="E193" s="250"/>
      <c r="F193" s="278"/>
      <c r="G193" s="342"/>
      <c r="H193" s="228"/>
      <c r="I193" s="300"/>
      <c r="J193" s="301"/>
      <c r="K193" s="301"/>
      <c r="L193" s="301"/>
      <c r="M193" s="301"/>
      <c r="N193" s="301"/>
      <c r="O193" s="292"/>
      <c r="P193" s="301"/>
      <c r="Q193" s="301"/>
      <c r="R193" s="292"/>
      <c r="S193" s="251"/>
      <c r="T193" s="250"/>
      <c r="U193" s="250"/>
      <c r="V193" s="250"/>
    </row>
    <row r="194" spans="2:22" ht="14.25">
      <c r="B194" s="107" t="s">
        <v>159</v>
      </c>
      <c r="C194" s="228"/>
      <c r="D194" s="230"/>
      <c r="E194" s="250"/>
      <c r="F194" s="254"/>
      <c r="G194" s="230"/>
      <c r="H194" s="228"/>
      <c r="I194" s="301"/>
      <c r="J194" s="301"/>
      <c r="K194" s="301"/>
      <c r="L194" s="301"/>
      <c r="M194" s="301"/>
      <c r="N194" s="301"/>
      <c r="O194" s="292"/>
      <c r="P194" s="301"/>
      <c r="Q194" s="301"/>
      <c r="R194" s="292"/>
      <c r="S194" s="272"/>
      <c r="T194" s="250"/>
      <c r="U194" s="250"/>
      <c r="V194" s="250"/>
    </row>
    <row r="195" spans="2:22">
      <c r="B195" s="15">
        <v>1</v>
      </c>
      <c r="C195" s="249" t="s">
        <v>1423</v>
      </c>
      <c r="D195" s="254">
        <v>3</v>
      </c>
      <c r="E195" s="250">
        <v>3360</v>
      </c>
      <c r="F195" s="254">
        <v>96</v>
      </c>
      <c r="G195" s="342">
        <v>39664</v>
      </c>
      <c r="H195" s="228" t="s">
        <v>282</v>
      </c>
      <c r="I195" s="301">
        <v>0</v>
      </c>
      <c r="J195" s="301">
        <v>0</v>
      </c>
      <c r="K195" s="301">
        <v>0</v>
      </c>
      <c r="L195" s="301">
        <v>0</v>
      </c>
      <c r="M195" s="301">
        <v>0</v>
      </c>
      <c r="N195" s="301">
        <v>0</v>
      </c>
      <c r="O195" s="292">
        <v>0</v>
      </c>
      <c r="P195" s="301">
        <v>0</v>
      </c>
      <c r="Q195" s="301">
        <v>0</v>
      </c>
      <c r="R195" s="292"/>
      <c r="S195" s="251">
        <v>0</v>
      </c>
      <c r="T195" s="250">
        <v>0</v>
      </c>
      <c r="U195" s="250">
        <v>0</v>
      </c>
      <c r="V195" s="250">
        <v>0</v>
      </c>
    </row>
    <row r="196" spans="2:22">
      <c r="B196" s="15">
        <f>+B195+1</f>
        <v>2</v>
      </c>
      <c r="C196" s="249" t="s">
        <v>1423</v>
      </c>
      <c r="D196" s="254">
        <v>1</v>
      </c>
      <c r="E196" s="250">
        <v>1100</v>
      </c>
      <c r="F196" s="254">
        <v>347</v>
      </c>
      <c r="G196" s="342">
        <v>39735</v>
      </c>
      <c r="H196" s="228" t="s">
        <v>282</v>
      </c>
      <c r="I196" s="301">
        <v>0</v>
      </c>
      <c r="J196" s="301">
        <v>0</v>
      </c>
      <c r="K196" s="301">
        <v>0</v>
      </c>
      <c r="L196" s="301">
        <v>0</v>
      </c>
      <c r="M196" s="301">
        <v>0</v>
      </c>
      <c r="N196" s="301">
        <v>0</v>
      </c>
      <c r="O196" s="292">
        <v>0</v>
      </c>
      <c r="P196" s="301">
        <v>0</v>
      </c>
      <c r="Q196" s="301">
        <v>0</v>
      </c>
      <c r="R196" s="292"/>
      <c r="S196" s="251">
        <v>0</v>
      </c>
      <c r="T196" s="250">
        <v>0</v>
      </c>
      <c r="U196" s="250">
        <v>0</v>
      </c>
      <c r="V196" s="250">
        <v>0</v>
      </c>
    </row>
    <row r="197" spans="2:22">
      <c r="B197" s="15">
        <f t="shared" ref="B197:B238" si="7">+B196+1</f>
        <v>3</v>
      </c>
      <c r="C197" s="249" t="s">
        <v>1423</v>
      </c>
      <c r="D197" s="254">
        <v>1</v>
      </c>
      <c r="E197" s="250">
        <v>1080</v>
      </c>
      <c r="F197" s="254">
        <v>813</v>
      </c>
      <c r="G197" s="342">
        <v>39837</v>
      </c>
      <c r="H197" s="228" t="s">
        <v>282</v>
      </c>
      <c r="I197" s="301">
        <v>0</v>
      </c>
      <c r="J197" s="301">
        <v>0</v>
      </c>
      <c r="K197" s="301">
        <v>0</v>
      </c>
      <c r="L197" s="301">
        <v>0</v>
      </c>
      <c r="M197" s="301">
        <v>0</v>
      </c>
      <c r="N197" s="301">
        <v>0</v>
      </c>
      <c r="O197" s="292">
        <v>0</v>
      </c>
      <c r="P197" s="301">
        <v>0</v>
      </c>
      <c r="Q197" s="301">
        <v>0</v>
      </c>
      <c r="R197" s="292"/>
      <c r="S197" s="251">
        <v>0</v>
      </c>
      <c r="T197" s="250">
        <v>0</v>
      </c>
      <c r="U197" s="250">
        <v>0</v>
      </c>
      <c r="V197" s="250">
        <v>0</v>
      </c>
    </row>
    <row r="198" spans="2:22">
      <c r="B198" s="15">
        <f t="shared" si="7"/>
        <v>4</v>
      </c>
      <c r="C198" s="249" t="s">
        <v>162</v>
      </c>
      <c r="D198" s="254">
        <v>4</v>
      </c>
      <c r="E198" s="250">
        <v>4401</v>
      </c>
      <c r="F198" s="254">
        <v>272</v>
      </c>
      <c r="G198" s="342">
        <v>39856</v>
      </c>
      <c r="H198" s="228" t="s">
        <v>282</v>
      </c>
      <c r="I198" s="301">
        <v>0</v>
      </c>
      <c r="J198" s="301">
        <v>0</v>
      </c>
      <c r="K198" s="301">
        <v>0</v>
      </c>
      <c r="L198" s="301">
        <v>0</v>
      </c>
      <c r="M198" s="301">
        <v>0</v>
      </c>
      <c r="N198" s="301">
        <v>0</v>
      </c>
      <c r="O198" s="292">
        <v>0</v>
      </c>
      <c r="P198" s="301">
        <v>0</v>
      </c>
      <c r="Q198" s="301">
        <v>0</v>
      </c>
      <c r="R198" s="292"/>
      <c r="S198" s="251">
        <v>0</v>
      </c>
      <c r="T198" s="250">
        <v>0</v>
      </c>
      <c r="U198" s="250">
        <v>0</v>
      </c>
      <c r="V198" s="250">
        <v>0</v>
      </c>
    </row>
    <row r="199" spans="2:22">
      <c r="B199" s="15">
        <f t="shared" si="7"/>
        <v>5</v>
      </c>
      <c r="C199" s="249" t="s">
        <v>729</v>
      </c>
      <c r="D199" s="254">
        <v>2</v>
      </c>
      <c r="E199" s="250">
        <v>2900</v>
      </c>
      <c r="F199" s="254">
        <v>272</v>
      </c>
      <c r="G199" s="342">
        <v>39856</v>
      </c>
      <c r="H199" s="228" t="s">
        <v>282</v>
      </c>
      <c r="I199" s="301">
        <v>0</v>
      </c>
      <c r="J199" s="301">
        <v>0</v>
      </c>
      <c r="K199" s="301">
        <v>0</v>
      </c>
      <c r="L199" s="301">
        <v>0</v>
      </c>
      <c r="M199" s="301">
        <v>0</v>
      </c>
      <c r="N199" s="301">
        <v>0</v>
      </c>
      <c r="O199" s="292">
        <v>0</v>
      </c>
      <c r="P199" s="301">
        <v>0</v>
      </c>
      <c r="Q199" s="301">
        <v>0</v>
      </c>
      <c r="R199" s="292"/>
      <c r="S199" s="251">
        <v>0</v>
      </c>
      <c r="T199" s="250">
        <v>0</v>
      </c>
      <c r="U199" s="250">
        <v>0</v>
      </c>
      <c r="V199" s="250">
        <v>0</v>
      </c>
    </row>
    <row r="200" spans="2:22">
      <c r="B200" s="15">
        <f t="shared" si="7"/>
        <v>6</v>
      </c>
      <c r="C200" s="249" t="s">
        <v>730</v>
      </c>
      <c r="D200" s="254">
        <v>1</v>
      </c>
      <c r="E200" s="250">
        <v>1500</v>
      </c>
      <c r="F200" s="254">
        <v>315</v>
      </c>
      <c r="G200" s="342">
        <v>39879</v>
      </c>
      <c r="H200" s="228" t="s">
        <v>282</v>
      </c>
      <c r="I200" s="301">
        <v>0</v>
      </c>
      <c r="J200" s="301">
        <v>0</v>
      </c>
      <c r="K200" s="301">
        <v>0</v>
      </c>
      <c r="L200" s="301">
        <v>0</v>
      </c>
      <c r="M200" s="301">
        <v>0</v>
      </c>
      <c r="N200" s="301">
        <v>0</v>
      </c>
      <c r="O200" s="292">
        <v>0</v>
      </c>
      <c r="P200" s="301">
        <v>0</v>
      </c>
      <c r="Q200" s="301">
        <v>0</v>
      </c>
      <c r="R200" s="292"/>
      <c r="S200" s="251">
        <v>0</v>
      </c>
      <c r="T200" s="250">
        <v>0</v>
      </c>
      <c r="U200" s="250">
        <v>0</v>
      </c>
      <c r="V200" s="250">
        <v>0</v>
      </c>
    </row>
    <row r="201" spans="2:22">
      <c r="B201" s="15">
        <f t="shared" si="7"/>
        <v>7</v>
      </c>
      <c r="C201" s="249" t="s">
        <v>731</v>
      </c>
      <c r="D201" s="254">
        <v>2</v>
      </c>
      <c r="E201" s="250">
        <v>2180</v>
      </c>
      <c r="F201" s="254" t="s">
        <v>732</v>
      </c>
      <c r="G201" s="342">
        <v>39969</v>
      </c>
      <c r="H201" s="228" t="s">
        <v>368</v>
      </c>
      <c r="I201" s="301">
        <v>0</v>
      </c>
      <c r="J201" s="301">
        <v>0</v>
      </c>
      <c r="K201" s="301">
        <v>0</v>
      </c>
      <c r="L201" s="301">
        <v>0</v>
      </c>
      <c r="M201" s="301">
        <v>0</v>
      </c>
      <c r="N201" s="301">
        <v>0</v>
      </c>
      <c r="O201" s="292">
        <v>0</v>
      </c>
      <c r="P201" s="301">
        <v>0</v>
      </c>
      <c r="Q201" s="301">
        <v>0</v>
      </c>
      <c r="R201" s="292"/>
      <c r="S201" s="251">
        <v>0</v>
      </c>
      <c r="T201" s="250">
        <v>0</v>
      </c>
      <c r="U201" s="250">
        <v>0</v>
      </c>
      <c r="V201" s="250">
        <v>0</v>
      </c>
    </row>
    <row r="202" spans="2:22">
      <c r="B202" s="15">
        <f t="shared" si="7"/>
        <v>8</v>
      </c>
      <c r="C202" s="249" t="s">
        <v>733</v>
      </c>
      <c r="D202" s="254">
        <v>1</v>
      </c>
      <c r="E202" s="250">
        <v>1460</v>
      </c>
      <c r="F202" s="254" t="s">
        <v>732</v>
      </c>
      <c r="G202" s="342">
        <v>39969</v>
      </c>
      <c r="H202" s="228" t="s">
        <v>368</v>
      </c>
      <c r="I202" s="301">
        <v>0</v>
      </c>
      <c r="J202" s="301">
        <v>0</v>
      </c>
      <c r="K202" s="301">
        <v>0</v>
      </c>
      <c r="L202" s="301">
        <v>0</v>
      </c>
      <c r="M202" s="301">
        <v>0</v>
      </c>
      <c r="N202" s="301">
        <v>0</v>
      </c>
      <c r="O202" s="292">
        <v>0</v>
      </c>
      <c r="P202" s="301">
        <v>0</v>
      </c>
      <c r="Q202" s="301">
        <v>0</v>
      </c>
      <c r="R202" s="292"/>
      <c r="S202" s="251">
        <v>0</v>
      </c>
      <c r="T202" s="250">
        <v>0</v>
      </c>
      <c r="U202" s="250">
        <v>0</v>
      </c>
      <c r="V202" s="250">
        <v>0</v>
      </c>
    </row>
    <row r="203" spans="2:22">
      <c r="B203" s="15">
        <f t="shared" si="7"/>
        <v>9</v>
      </c>
      <c r="C203" s="249" t="s">
        <v>734</v>
      </c>
      <c r="D203" s="254">
        <v>1</v>
      </c>
      <c r="E203" s="250">
        <v>650</v>
      </c>
      <c r="F203" s="254">
        <v>22</v>
      </c>
      <c r="G203" s="342">
        <v>40007</v>
      </c>
      <c r="H203" s="228" t="s">
        <v>368</v>
      </c>
      <c r="I203" s="301">
        <v>0</v>
      </c>
      <c r="J203" s="301">
        <v>0</v>
      </c>
      <c r="K203" s="301">
        <v>0</v>
      </c>
      <c r="L203" s="301">
        <v>0</v>
      </c>
      <c r="M203" s="301">
        <v>0</v>
      </c>
      <c r="N203" s="301">
        <v>0</v>
      </c>
      <c r="O203" s="292">
        <v>0</v>
      </c>
      <c r="P203" s="301">
        <v>0</v>
      </c>
      <c r="Q203" s="301">
        <v>0</v>
      </c>
      <c r="R203" s="292"/>
      <c r="S203" s="251">
        <v>0</v>
      </c>
      <c r="T203" s="250">
        <v>0</v>
      </c>
      <c r="U203" s="250">
        <v>0</v>
      </c>
      <c r="V203" s="250">
        <v>0</v>
      </c>
    </row>
    <row r="204" spans="2:22">
      <c r="B204" s="15">
        <f t="shared" si="7"/>
        <v>10</v>
      </c>
      <c r="C204" s="249" t="s">
        <v>363</v>
      </c>
      <c r="D204" s="254">
        <v>7</v>
      </c>
      <c r="E204" s="250">
        <v>10780</v>
      </c>
      <c r="F204" s="275" t="s">
        <v>237</v>
      </c>
      <c r="G204" s="342">
        <v>40310</v>
      </c>
      <c r="H204" s="228" t="s">
        <v>368</v>
      </c>
      <c r="I204" s="301">
        <v>0</v>
      </c>
      <c r="J204" s="301">
        <v>0</v>
      </c>
      <c r="K204" s="301">
        <v>0</v>
      </c>
      <c r="L204" s="301">
        <v>0</v>
      </c>
      <c r="M204" s="301">
        <v>0</v>
      </c>
      <c r="N204" s="301">
        <v>0</v>
      </c>
      <c r="O204" s="292">
        <v>0</v>
      </c>
      <c r="P204" s="301">
        <v>0</v>
      </c>
      <c r="Q204" s="301">
        <v>0</v>
      </c>
      <c r="R204" s="292"/>
      <c r="S204" s="251">
        <v>0</v>
      </c>
      <c r="T204" s="250">
        <v>0</v>
      </c>
      <c r="U204" s="250">
        <v>0</v>
      </c>
      <c r="V204" s="250">
        <v>0</v>
      </c>
    </row>
    <row r="205" spans="2:22">
      <c r="B205" s="15">
        <f t="shared" si="7"/>
        <v>11</v>
      </c>
      <c r="C205" s="249" t="s">
        <v>364</v>
      </c>
      <c r="D205" s="254">
        <v>3</v>
      </c>
      <c r="E205" s="250">
        <v>7182</v>
      </c>
      <c r="F205" s="254" t="s">
        <v>238</v>
      </c>
      <c r="G205" s="342">
        <v>40336</v>
      </c>
      <c r="H205" s="228" t="s">
        <v>368</v>
      </c>
      <c r="I205" s="301"/>
      <c r="J205" s="301"/>
      <c r="K205" s="301"/>
      <c r="L205" s="301"/>
      <c r="M205" s="301"/>
      <c r="N205" s="301"/>
      <c r="O205" s="292"/>
      <c r="P205" s="301">
        <v>0</v>
      </c>
      <c r="Q205" s="301">
        <v>0</v>
      </c>
      <c r="R205" s="292"/>
      <c r="S205" s="251">
        <v>0</v>
      </c>
      <c r="T205" s="250">
        <v>0</v>
      </c>
      <c r="U205" s="250">
        <v>0</v>
      </c>
      <c r="V205" s="250">
        <v>0</v>
      </c>
    </row>
    <row r="206" spans="2:22">
      <c r="B206" s="15">
        <f t="shared" si="7"/>
        <v>12</v>
      </c>
      <c r="C206" s="249" t="s">
        <v>824</v>
      </c>
      <c r="D206" s="254">
        <v>1</v>
      </c>
      <c r="E206" s="250">
        <v>5553</v>
      </c>
      <c r="F206" s="254" t="s">
        <v>1083</v>
      </c>
      <c r="G206" s="342">
        <v>40331</v>
      </c>
      <c r="H206" s="228" t="s">
        <v>282</v>
      </c>
      <c r="I206" s="300">
        <v>42156</v>
      </c>
      <c r="J206" s="301">
        <v>1826</v>
      </c>
      <c r="K206" s="301">
        <v>1399</v>
      </c>
      <c r="L206" s="301">
        <v>427</v>
      </c>
      <c r="M206" s="301">
        <v>278</v>
      </c>
      <c r="N206" s="301">
        <v>4265</v>
      </c>
      <c r="O206" s="292">
        <v>0</v>
      </c>
      <c r="P206" s="301">
        <v>897</v>
      </c>
      <c r="Q206" s="301">
        <v>62</v>
      </c>
      <c r="R206" s="292">
        <v>619</v>
      </c>
      <c r="S206" s="251">
        <v>0</v>
      </c>
      <c r="T206" s="250">
        <v>0</v>
      </c>
      <c r="U206" s="250">
        <v>897</v>
      </c>
      <c r="V206" s="250">
        <v>0</v>
      </c>
    </row>
    <row r="207" spans="2:22">
      <c r="B207" s="15">
        <f t="shared" si="7"/>
        <v>13</v>
      </c>
      <c r="C207" s="249" t="s">
        <v>188</v>
      </c>
      <c r="D207" s="254">
        <v>1</v>
      </c>
      <c r="E207" s="250">
        <v>1050</v>
      </c>
      <c r="F207" s="254" t="s">
        <v>189</v>
      </c>
      <c r="G207" s="342">
        <v>40378</v>
      </c>
      <c r="H207" s="228" t="s">
        <v>368</v>
      </c>
      <c r="I207" s="301">
        <v>0</v>
      </c>
      <c r="J207" s="301">
        <v>0</v>
      </c>
      <c r="K207" s="301">
        <v>0</v>
      </c>
      <c r="L207" s="301">
        <v>0</v>
      </c>
      <c r="M207" s="301">
        <v>0</v>
      </c>
      <c r="N207" s="301">
        <v>0</v>
      </c>
      <c r="O207" s="292">
        <v>0</v>
      </c>
      <c r="P207" s="301">
        <v>0</v>
      </c>
      <c r="Q207" s="301">
        <v>0</v>
      </c>
      <c r="R207" s="292"/>
      <c r="S207" s="251">
        <v>0</v>
      </c>
      <c r="T207" s="250">
        <v>0</v>
      </c>
      <c r="U207" s="250">
        <v>0</v>
      </c>
      <c r="V207" s="250">
        <v>0</v>
      </c>
    </row>
    <row r="208" spans="2:22">
      <c r="B208" s="15">
        <f t="shared" si="7"/>
        <v>14</v>
      </c>
      <c r="C208" s="249" t="s">
        <v>116</v>
      </c>
      <c r="D208" s="254"/>
      <c r="E208" s="250">
        <v>1525</v>
      </c>
      <c r="F208" s="254" t="s">
        <v>259</v>
      </c>
      <c r="G208" s="342">
        <v>40449</v>
      </c>
      <c r="H208" s="228" t="s">
        <v>368</v>
      </c>
      <c r="I208" s="301">
        <v>0</v>
      </c>
      <c r="J208" s="301">
        <v>0</v>
      </c>
      <c r="K208" s="301">
        <v>0</v>
      </c>
      <c r="L208" s="301">
        <v>0</v>
      </c>
      <c r="M208" s="301">
        <v>0</v>
      </c>
      <c r="N208" s="301">
        <v>0</v>
      </c>
      <c r="O208" s="292">
        <v>0</v>
      </c>
      <c r="P208" s="301">
        <v>0</v>
      </c>
      <c r="Q208" s="301">
        <v>0</v>
      </c>
      <c r="R208" s="292"/>
      <c r="S208" s="251">
        <v>0</v>
      </c>
      <c r="T208" s="250">
        <v>0</v>
      </c>
      <c r="U208" s="250">
        <v>0</v>
      </c>
      <c r="V208" s="250">
        <v>0</v>
      </c>
    </row>
    <row r="209" spans="2:22">
      <c r="B209" s="15">
        <f t="shared" si="7"/>
        <v>15</v>
      </c>
      <c r="C209" s="249" t="s">
        <v>269</v>
      </c>
      <c r="D209" s="254">
        <v>5</v>
      </c>
      <c r="E209" s="250">
        <v>7695</v>
      </c>
      <c r="F209" s="254" t="s">
        <v>1081</v>
      </c>
      <c r="G209" s="342">
        <v>40478</v>
      </c>
      <c r="H209" s="228" t="s">
        <v>1177</v>
      </c>
      <c r="I209" s="301">
        <v>0</v>
      </c>
      <c r="J209" s="301">
        <v>0</v>
      </c>
      <c r="K209" s="301">
        <v>0</v>
      </c>
      <c r="L209" s="301">
        <v>0</v>
      </c>
      <c r="M209" s="301">
        <v>0</v>
      </c>
      <c r="N209" s="301">
        <v>0</v>
      </c>
      <c r="O209" s="292">
        <v>0</v>
      </c>
      <c r="P209" s="301">
        <v>0</v>
      </c>
      <c r="Q209" s="301">
        <v>0</v>
      </c>
      <c r="R209" s="292"/>
      <c r="S209" s="251">
        <v>0</v>
      </c>
      <c r="T209" s="250">
        <v>0</v>
      </c>
      <c r="U209" s="250">
        <v>0</v>
      </c>
      <c r="V209" s="250">
        <v>0</v>
      </c>
    </row>
    <row r="210" spans="2:22">
      <c r="B210" s="15">
        <f t="shared" si="7"/>
        <v>16</v>
      </c>
      <c r="C210" s="249" t="s">
        <v>270</v>
      </c>
      <c r="D210" s="254">
        <v>6</v>
      </c>
      <c r="E210" s="250">
        <v>12654</v>
      </c>
      <c r="F210" s="254" t="s">
        <v>271</v>
      </c>
      <c r="G210" s="342">
        <v>40478</v>
      </c>
      <c r="H210" s="228" t="s">
        <v>1177</v>
      </c>
      <c r="I210" s="301">
        <v>0</v>
      </c>
      <c r="J210" s="301">
        <v>0</v>
      </c>
      <c r="K210" s="301">
        <v>0</v>
      </c>
      <c r="L210" s="301">
        <v>0</v>
      </c>
      <c r="M210" s="301">
        <v>0</v>
      </c>
      <c r="N210" s="301">
        <v>0</v>
      </c>
      <c r="O210" s="292">
        <v>0</v>
      </c>
      <c r="P210" s="301">
        <v>0</v>
      </c>
      <c r="Q210" s="301">
        <v>0</v>
      </c>
      <c r="R210" s="292"/>
      <c r="S210" s="251">
        <v>0</v>
      </c>
      <c r="T210" s="250">
        <v>0</v>
      </c>
      <c r="U210" s="250">
        <v>0</v>
      </c>
      <c r="V210" s="250">
        <v>0</v>
      </c>
    </row>
    <row r="211" spans="2:22">
      <c r="B211" s="15">
        <f t="shared" si="7"/>
        <v>17</v>
      </c>
      <c r="C211" s="249" t="s">
        <v>912</v>
      </c>
      <c r="D211" s="254">
        <v>1</v>
      </c>
      <c r="E211" s="250">
        <v>1375</v>
      </c>
      <c r="F211" s="254" t="s">
        <v>913</v>
      </c>
      <c r="G211" s="342">
        <v>40509</v>
      </c>
      <c r="H211" s="228" t="s">
        <v>282</v>
      </c>
      <c r="I211" s="301">
        <v>0</v>
      </c>
      <c r="J211" s="301">
        <v>0</v>
      </c>
      <c r="K211" s="301">
        <v>0</v>
      </c>
      <c r="L211" s="301">
        <v>0</v>
      </c>
      <c r="M211" s="301">
        <v>0</v>
      </c>
      <c r="N211" s="301">
        <v>0</v>
      </c>
      <c r="O211" s="292">
        <v>0</v>
      </c>
      <c r="P211" s="301">
        <v>0</v>
      </c>
      <c r="Q211" s="301">
        <v>0</v>
      </c>
      <c r="R211" s="292"/>
      <c r="S211" s="251">
        <v>0</v>
      </c>
      <c r="T211" s="250">
        <v>0</v>
      </c>
      <c r="U211" s="250">
        <v>0</v>
      </c>
      <c r="V211" s="250">
        <v>0</v>
      </c>
    </row>
    <row r="212" spans="2:22" ht="27">
      <c r="B212" s="15">
        <f t="shared" si="7"/>
        <v>18</v>
      </c>
      <c r="C212" s="249" t="s">
        <v>914</v>
      </c>
      <c r="D212" s="254">
        <f>7+8</f>
        <v>15</v>
      </c>
      <c r="E212" s="250">
        <f>16872+10773</f>
        <v>27645</v>
      </c>
      <c r="F212" s="254" t="s">
        <v>640</v>
      </c>
      <c r="G212" s="342">
        <v>40502</v>
      </c>
      <c r="H212" s="228" t="s">
        <v>368</v>
      </c>
      <c r="I212" s="301">
        <v>0</v>
      </c>
      <c r="J212" s="301">
        <v>0</v>
      </c>
      <c r="K212" s="301">
        <v>0</v>
      </c>
      <c r="L212" s="301">
        <v>0</v>
      </c>
      <c r="M212" s="301">
        <v>0</v>
      </c>
      <c r="N212" s="301">
        <v>0</v>
      </c>
      <c r="O212" s="292">
        <v>0</v>
      </c>
      <c r="P212" s="301">
        <v>0</v>
      </c>
      <c r="Q212" s="301">
        <v>0</v>
      </c>
      <c r="R212" s="292"/>
      <c r="S212" s="251">
        <v>0</v>
      </c>
      <c r="T212" s="250">
        <v>0</v>
      </c>
      <c r="U212" s="250">
        <v>0</v>
      </c>
      <c r="V212" s="250">
        <v>0</v>
      </c>
    </row>
    <row r="213" spans="2:22" ht="40.5">
      <c r="B213" s="15">
        <f t="shared" si="7"/>
        <v>19</v>
      </c>
      <c r="C213" s="249" t="s">
        <v>227</v>
      </c>
      <c r="D213" s="254">
        <v>7</v>
      </c>
      <c r="E213" s="250">
        <v>15892</v>
      </c>
      <c r="F213" s="254" t="s">
        <v>809</v>
      </c>
      <c r="G213" s="342">
        <v>40599</v>
      </c>
      <c r="H213" s="239" t="s">
        <v>4366</v>
      </c>
      <c r="I213" s="301">
        <v>0</v>
      </c>
      <c r="J213" s="301">
        <v>0</v>
      </c>
      <c r="K213" s="301">
        <v>0</v>
      </c>
      <c r="L213" s="301">
        <v>0</v>
      </c>
      <c r="M213" s="301">
        <v>0</v>
      </c>
      <c r="N213" s="301">
        <v>0</v>
      </c>
      <c r="O213" s="292">
        <v>0</v>
      </c>
      <c r="P213" s="301">
        <v>0</v>
      </c>
      <c r="Q213" s="301">
        <v>0</v>
      </c>
      <c r="R213" s="292"/>
      <c r="S213" s="251">
        <v>0</v>
      </c>
      <c r="T213" s="250">
        <v>0</v>
      </c>
      <c r="U213" s="250">
        <v>0</v>
      </c>
      <c r="V213" s="250">
        <v>0</v>
      </c>
    </row>
    <row r="214" spans="2:22">
      <c r="B214" s="15">
        <f t="shared" si="7"/>
        <v>20</v>
      </c>
      <c r="C214" s="249" t="s">
        <v>707</v>
      </c>
      <c r="D214" s="254">
        <v>1</v>
      </c>
      <c r="E214" s="250">
        <v>400</v>
      </c>
      <c r="F214" s="254" t="s">
        <v>708</v>
      </c>
      <c r="G214" s="342">
        <v>40600</v>
      </c>
      <c r="H214" s="228" t="s">
        <v>161</v>
      </c>
      <c r="I214" s="301">
        <v>0</v>
      </c>
      <c r="J214" s="301">
        <v>0</v>
      </c>
      <c r="K214" s="301">
        <v>0</v>
      </c>
      <c r="L214" s="301">
        <v>0</v>
      </c>
      <c r="M214" s="301">
        <v>0</v>
      </c>
      <c r="N214" s="301">
        <v>0</v>
      </c>
      <c r="O214" s="292">
        <v>0</v>
      </c>
      <c r="P214" s="301">
        <v>0</v>
      </c>
      <c r="Q214" s="301">
        <v>0</v>
      </c>
      <c r="R214" s="292"/>
      <c r="S214" s="251">
        <v>0</v>
      </c>
      <c r="T214" s="250">
        <v>0</v>
      </c>
      <c r="U214" s="250">
        <v>0</v>
      </c>
      <c r="V214" s="250">
        <v>0</v>
      </c>
    </row>
    <row r="215" spans="2:22">
      <c r="B215" s="15">
        <f t="shared" si="7"/>
        <v>21</v>
      </c>
      <c r="C215" s="249" t="s">
        <v>303</v>
      </c>
      <c r="D215" s="254">
        <v>1</v>
      </c>
      <c r="E215" s="250">
        <v>1900</v>
      </c>
      <c r="F215" s="254" t="s">
        <v>304</v>
      </c>
      <c r="G215" s="342">
        <v>40614</v>
      </c>
      <c r="H215" s="228" t="s">
        <v>282</v>
      </c>
      <c r="I215" s="301">
        <v>0</v>
      </c>
      <c r="J215" s="301">
        <v>0</v>
      </c>
      <c r="K215" s="301">
        <v>0</v>
      </c>
      <c r="L215" s="301">
        <v>0</v>
      </c>
      <c r="M215" s="301">
        <v>0</v>
      </c>
      <c r="N215" s="301">
        <v>0</v>
      </c>
      <c r="O215" s="292">
        <v>0</v>
      </c>
      <c r="P215" s="301">
        <v>0</v>
      </c>
      <c r="Q215" s="301">
        <v>0</v>
      </c>
      <c r="R215" s="292"/>
      <c r="S215" s="251">
        <v>0</v>
      </c>
      <c r="T215" s="250">
        <v>0</v>
      </c>
      <c r="U215" s="250">
        <v>0</v>
      </c>
      <c r="V215" s="250">
        <v>0</v>
      </c>
    </row>
    <row r="216" spans="2:22">
      <c r="B216" s="15">
        <f t="shared" si="7"/>
        <v>22</v>
      </c>
      <c r="C216" s="249" t="s">
        <v>535</v>
      </c>
      <c r="D216" s="254">
        <v>6</v>
      </c>
      <c r="E216" s="250">
        <v>12900</v>
      </c>
      <c r="F216" s="254" t="s">
        <v>536</v>
      </c>
      <c r="G216" s="342">
        <v>40610</v>
      </c>
      <c r="H216" s="228" t="s">
        <v>368</v>
      </c>
      <c r="I216" s="301">
        <v>0</v>
      </c>
      <c r="J216" s="301">
        <v>0</v>
      </c>
      <c r="K216" s="301">
        <v>0</v>
      </c>
      <c r="L216" s="301">
        <v>0</v>
      </c>
      <c r="M216" s="301">
        <v>0</v>
      </c>
      <c r="N216" s="301">
        <v>0</v>
      </c>
      <c r="O216" s="292">
        <v>0</v>
      </c>
      <c r="P216" s="301">
        <v>0</v>
      </c>
      <c r="Q216" s="301">
        <v>0</v>
      </c>
      <c r="R216" s="292"/>
      <c r="S216" s="251">
        <v>0</v>
      </c>
      <c r="T216" s="250">
        <v>0</v>
      </c>
      <c r="U216" s="250">
        <v>0</v>
      </c>
      <c r="V216" s="250">
        <v>0</v>
      </c>
    </row>
    <row r="217" spans="2:22">
      <c r="B217" s="15">
        <f t="shared" si="7"/>
        <v>23</v>
      </c>
      <c r="C217" s="249" t="s">
        <v>760</v>
      </c>
      <c r="D217" s="254">
        <v>1</v>
      </c>
      <c r="E217" s="250">
        <v>1440</v>
      </c>
      <c r="F217" s="275" t="s">
        <v>761</v>
      </c>
      <c r="G217" s="342">
        <v>40666</v>
      </c>
      <c r="H217" s="239" t="s">
        <v>4366</v>
      </c>
      <c r="I217" s="301">
        <v>0</v>
      </c>
      <c r="J217" s="301">
        <v>0</v>
      </c>
      <c r="K217" s="301">
        <v>0</v>
      </c>
      <c r="L217" s="301">
        <v>0</v>
      </c>
      <c r="M217" s="301">
        <v>0</v>
      </c>
      <c r="N217" s="301">
        <v>0</v>
      </c>
      <c r="O217" s="292">
        <v>0</v>
      </c>
      <c r="P217" s="301">
        <v>0</v>
      </c>
      <c r="Q217" s="301">
        <v>0</v>
      </c>
      <c r="R217" s="292"/>
      <c r="S217" s="251">
        <v>0</v>
      </c>
      <c r="T217" s="250">
        <v>0</v>
      </c>
      <c r="U217" s="250">
        <v>0</v>
      </c>
      <c r="V217" s="250">
        <v>0</v>
      </c>
    </row>
    <row r="218" spans="2:22">
      <c r="B218" s="15">
        <f t="shared" si="7"/>
        <v>24</v>
      </c>
      <c r="C218" s="249" t="s">
        <v>411</v>
      </c>
      <c r="D218" s="254">
        <v>1</v>
      </c>
      <c r="E218" s="250">
        <v>1840</v>
      </c>
      <c r="F218" s="254" t="s">
        <v>412</v>
      </c>
      <c r="G218" s="342">
        <v>40682</v>
      </c>
      <c r="H218" s="239" t="s">
        <v>4366</v>
      </c>
      <c r="I218" s="301">
        <v>0</v>
      </c>
      <c r="J218" s="301">
        <v>0</v>
      </c>
      <c r="K218" s="301">
        <v>0</v>
      </c>
      <c r="L218" s="301">
        <v>0</v>
      </c>
      <c r="M218" s="301">
        <v>0</v>
      </c>
      <c r="N218" s="301">
        <v>0</v>
      </c>
      <c r="O218" s="292">
        <v>0</v>
      </c>
      <c r="P218" s="301">
        <v>0</v>
      </c>
      <c r="Q218" s="301">
        <v>0</v>
      </c>
      <c r="R218" s="292"/>
      <c r="S218" s="251">
        <v>0</v>
      </c>
      <c r="T218" s="250">
        <v>0</v>
      </c>
      <c r="U218" s="250">
        <v>0</v>
      </c>
      <c r="V218" s="250">
        <v>0</v>
      </c>
    </row>
    <row r="219" spans="2:22">
      <c r="B219" s="15">
        <f t="shared" si="7"/>
        <v>25</v>
      </c>
      <c r="C219" s="249" t="s">
        <v>1135</v>
      </c>
      <c r="D219" s="254">
        <v>6</v>
      </c>
      <c r="E219" s="250">
        <v>6600</v>
      </c>
      <c r="F219" s="254" t="s">
        <v>1131</v>
      </c>
      <c r="G219" s="233">
        <v>40702</v>
      </c>
      <c r="H219" s="228" t="s">
        <v>1132</v>
      </c>
      <c r="I219" s="301">
        <v>0</v>
      </c>
      <c r="J219" s="301">
        <v>0</v>
      </c>
      <c r="K219" s="301">
        <v>0</v>
      </c>
      <c r="L219" s="301">
        <v>0</v>
      </c>
      <c r="M219" s="301">
        <v>0</v>
      </c>
      <c r="N219" s="301">
        <v>0</v>
      </c>
      <c r="O219" s="292">
        <v>0</v>
      </c>
      <c r="P219" s="301">
        <v>0</v>
      </c>
      <c r="Q219" s="301">
        <v>0</v>
      </c>
      <c r="R219" s="292"/>
      <c r="S219" s="251">
        <v>0</v>
      </c>
      <c r="T219" s="250">
        <v>0</v>
      </c>
      <c r="U219" s="250">
        <v>0</v>
      </c>
      <c r="V219" s="250">
        <v>0</v>
      </c>
    </row>
    <row r="220" spans="2:22">
      <c r="B220" s="15">
        <f t="shared" si="7"/>
        <v>26</v>
      </c>
      <c r="C220" s="249" t="s">
        <v>1148</v>
      </c>
      <c r="D220" s="254">
        <v>20</v>
      </c>
      <c r="E220" s="250">
        <v>19260</v>
      </c>
      <c r="F220" s="254" t="s">
        <v>1184</v>
      </c>
      <c r="G220" s="233">
        <v>40700</v>
      </c>
      <c r="H220" s="228" t="s">
        <v>368</v>
      </c>
      <c r="I220" s="301">
        <v>0</v>
      </c>
      <c r="J220" s="301">
        <v>0</v>
      </c>
      <c r="K220" s="301">
        <v>0</v>
      </c>
      <c r="L220" s="301">
        <v>0</v>
      </c>
      <c r="M220" s="301">
        <v>0</v>
      </c>
      <c r="N220" s="301">
        <v>0</v>
      </c>
      <c r="O220" s="292">
        <v>0</v>
      </c>
      <c r="P220" s="301">
        <v>0</v>
      </c>
      <c r="Q220" s="301">
        <v>0</v>
      </c>
      <c r="R220" s="292"/>
      <c r="S220" s="251">
        <v>0</v>
      </c>
      <c r="T220" s="250">
        <v>0</v>
      </c>
      <c r="U220" s="250">
        <v>0</v>
      </c>
      <c r="V220" s="250">
        <v>0</v>
      </c>
    </row>
    <row r="221" spans="2:22">
      <c r="B221" s="15">
        <f t="shared" si="7"/>
        <v>27</v>
      </c>
      <c r="C221" s="249" t="s">
        <v>1169</v>
      </c>
      <c r="D221" s="254">
        <v>1</v>
      </c>
      <c r="E221" s="250">
        <v>1425</v>
      </c>
      <c r="F221" s="254" t="s">
        <v>1170</v>
      </c>
      <c r="G221" s="233">
        <v>40709</v>
      </c>
      <c r="H221" s="228" t="s">
        <v>368</v>
      </c>
      <c r="I221" s="301">
        <v>0</v>
      </c>
      <c r="J221" s="301">
        <v>0</v>
      </c>
      <c r="K221" s="301">
        <v>0</v>
      </c>
      <c r="L221" s="301">
        <v>0</v>
      </c>
      <c r="M221" s="301">
        <v>0</v>
      </c>
      <c r="N221" s="301">
        <v>0</v>
      </c>
      <c r="O221" s="292">
        <v>0</v>
      </c>
      <c r="P221" s="301">
        <v>0</v>
      </c>
      <c r="Q221" s="301">
        <v>0</v>
      </c>
      <c r="R221" s="292"/>
      <c r="S221" s="251">
        <v>0</v>
      </c>
      <c r="T221" s="250">
        <v>0</v>
      </c>
      <c r="U221" s="250">
        <v>0</v>
      </c>
      <c r="V221" s="250">
        <v>0</v>
      </c>
    </row>
    <row r="222" spans="2:22">
      <c r="B222" s="15">
        <f t="shared" si="7"/>
        <v>28</v>
      </c>
      <c r="C222" s="249" t="s">
        <v>1167</v>
      </c>
      <c r="D222" s="254">
        <v>1</v>
      </c>
      <c r="E222" s="250">
        <v>1459</v>
      </c>
      <c r="F222" s="254" t="s">
        <v>1165</v>
      </c>
      <c r="G222" s="233">
        <v>40696</v>
      </c>
      <c r="H222" s="228" t="s">
        <v>368</v>
      </c>
      <c r="I222" s="301">
        <v>0</v>
      </c>
      <c r="J222" s="301">
        <v>0</v>
      </c>
      <c r="K222" s="301">
        <v>0</v>
      </c>
      <c r="L222" s="301">
        <v>0</v>
      </c>
      <c r="M222" s="301">
        <v>0</v>
      </c>
      <c r="N222" s="301">
        <v>0</v>
      </c>
      <c r="O222" s="292">
        <v>0</v>
      </c>
      <c r="P222" s="301">
        <v>0</v>
      </c>
      <c r="Q222" s="301">
        <v>0</v>
      </c>
      <c r="R222" s="292"/>
      <c r="S222" s="251">
        <v>0</v>
      </c>
      <c r="T222" s="250">
        <v>0</v>
      </c>
      <c r="U222" s="250">
        <v>0</v>
      </c>
      <c r="V222" s="250">
        <v>0</v>
      </c>
    </row>
    <row r="223" spans="2:22">
      <c r="B223" s="15">
        <f t="shared" si="7"/>
        <v>29</v>
      </c>
      <c r="C223" s="249" t="s">
        <v>1254</v>
      </c>
      <c r="D223" s="254">
        <v>7</v>
      </c>
      <c r="E223" s="250">
        <v>10454</v>
      </c>
      <c r="F223" s="254" t="s">
        <v>1255</v>
      </c>
      <c r="G223" s="233">
        <v>40712</v>
      </c>
      <c r="H223" s="228" t="s">
        <v>161</v>
      </c>
      <c r="I223" s="301">
        <v>0</v>
      </c>
      <c r="J223" s="301">
        <v>0</v>
      </c>
      <c r="K223" s="301">
        <v>0</v>
      </c>
      <c r="L223" s="301">
        <v>0</v>
      </c>
      <c r="M223" s="301">
        <v>0</v>
      </c>
      <c r="N223" s="301">
        <v>0</v>
      </c>
      <c r="O223" s="292">
        <v>0</v>
      </c>
      <c r="P223" s="301">
        <v>0</v>
      </c>
      <c r="Q223" s="301">
        <v>0</v>
      </c>
      <c r="R223" s="292"/>
      <c r="S223" s="251">
        <v>0</v>
      </c>
      <c r="T223" s="250">
        <v>0</v>
      </c>
      <c r="U223" s="250">
        <v>0</v>
      </c>
      <c r="V223" s="250">
        <v>0</v>
      </c>
    </row>
    <row r="224" spans="2:22">
      <c r="B224" s="15">
        <f t="shared" si="7"/>
        <v>30</v>
      </c>
      <c r="C224" s="249" t="s">
        <v>1293</v>
      </c>
      <c r="D224" s="254">
        <v>1</v>
      </c>
      <c r="E224" s="250">
        <v>1135</v>
      </c>
      <c r="F224" s="254" t="s">
        <v>1294</v>
      </c>
      <c r="G224" s="233">
        <v>40743</v>
      </c>
      <c r="H224" s="228" t="s">
        <v>161</v>
      </c>
      <c r="I224" s="301">
        <v>0</v>
      </c>
      <c r="J224" s="301">
        <v>0</v>
      </c>
      <c r="K224" s="301">
        <v>0</v>
      </c>
      <c r="L224" s="301">
        <v>0</v>
      </c>
      <c r="M224" s="301">
        <v>0</v>
      </c>
      <c r="N224" s="301">
        <v>0</v>
      </c>
      <c r="O224" s="292">
        <v>0</v>
      </c>
      <c r="P224" s="301">
        <v>0</v>
      </c>
      <c r="Q224" s="301">
        <v>0</v>
      </c>
      <c r="R224" s="292"/>
      <c r="S224" s="251">
        <v>0</v>
      </c>
      <c r="T224" s="250">
        <v>0</v>
      </c>
      <c r="U224" s="250">
        <v>0</v>
      </c>
      <c r="V224" s="250">
        <v>0</v>
      </c>
    </row>
    <row r="225" spans="2:22">
      <c r="B225" s="15">
        <f t="shared" si="7"/>
        <v>31</v>
      </c>
      <c r="C225" s="249" t="s">
        <v>1295</v>
      </c>
      <c r="D225" s="254">
        <v>1</v>
      </c>
      <c r="E225" s="250">
        <v>2081</v>
      </c>
      <c r="F225" s="254" t="s">
        <v>1296</v>
      </c>
      <c r="G225" s="233">
        <v>40809</v>
      </c>
      <c r="H225" s="228" t="s">
        <v>368</v>
      </c>
      <c r="I225" s="301">
        <v>0</v>
      </c>
      <c r="J225" s="301">
        <v>0</v>
      </c>
      <c r="K225" s="301">
        <v>0</v>
      </c>
      <c r="L225" s="301">
        <v>0</v>
      </c>
      <c r="M225" s="301">
        <v>0</v>
      </c>
      <c r="N225" s="301">
        <v>0</v>
      </c>
      <c r="O225" s="292">
        <v>0</v>
      </c>
      <c r="P225" s="301">
        <v>0</v>
      </c>
      <c r="Q225" s="301">
        <v>0</v>
      </c>
      <c r="R225" s="292"/>
      <c r="S225" s="251">
        <v>0</v>
      </c>
      <c r="T225" s="250">
        <v>0</v>
      </c>
      <c r="U225" s="250">
        <v>0</v>
      </c>
      <c r="V225" s="250">
        <v>0</v>
      </c>
    </row>
    <row r="226" spans="2:22">
      <c r="B226" s="15">
        <f t="shared" si="7"/>
        <v>32</v>
      </c>
      <c r="C226" s="249" t="s">
        <v>1355</v>
      </c>
      <c r="D226" s="254">
        <v>2</v>
      </c>
      <c r="E226" s="250">
        <v>4583</v>
      </c>
      <c r="F226" s="254" t="s">
        <v>1356</v>
      </c>
      <c r="G226" s="233">
        <v>40808</v>
      </c>
      <c r="H226" s="228" t="s">
        <v>368</v>
      </c>
      <c r="I226" s="301">
        <v>0</v>
      </c>
      <c r="J226" s="301">
        <v>0</v>
      </c>
      <c r="K226" s="301">
        <v>0</v>
      </c>
      <c r="L226" s="301">
        <v>0</v>
      </c>
      <c r="M226" s="301">
        <v>0</v>
      </c>
      <c r="N226" s="301">
        <v>0</v>
      </c>
      <c r="O226" s="292">
        <v>0</v>
      </c>
      <c r="P226" s="301">
        <v>0</v>
      </c>
      <c r="Q226" s="301">
        <v>0</v>
      </c>
      <c r="R226" s="292"/>
      <c r="S226" s="251">
        <v>0</v>
      </c>
      <c r="T226" s="250">
        <v>0</v>
      </c>
      <c r="U226" s="250">
        <v>0</v>
      </c>
      <c r="V226" s="250">
        <v>0</v>
      </c>
    </row>
    <row r="227" spans="2:22">
      <c r="B227" s="15">
        <f t="shared" si="7"/>
        <v>33</v>
      </c>
      <c r="C227" s="249" t="s">
        <v>1423</v>
      </c>
      <c r="D227" s="254">
        <v>3</v>
      </c>
      <c r="E227" s="250">
        <v>15019</v>
      </c>
      <c r="F227" s="254" t="s">
        <v>1424</v>
      </c>
      <c r="G227" s="233">
        <v>40856</v>
      </c>
      <c r="H227" s="228" t="s">
        <v>368</v>
      </c>
      <c r="I227" s="300">
        <v>42682</v>
      </c>
      <c r="J227" s="301">
        <v>1827</v>
      </c>
      <c r="K227" s="301">
        <v>874</v>
      </c>
      <c r="L227" s="301">
        <v>953</v>
      </c>
      <c r="M227" s="301">
        <v>751</v>
      </c>
      <c r="N227" s="301">
        <v>12562</v>
      </c>
      <c r="O227" s="292">
        <v>0</v>
      </c>
      <c r="P227" s="301">
        <v>8502</v>
      </c>
      <c r="Q227" s="301">
        <v>588</v>
      </c>
      <c r="R227" s="292">
        <v>7751</v>
      </c>
      <c r="S227" s="251">
        <v>0</v>
      </c>
      <c r="T227" s="250">
        <v>0</v>
      </c>
      <c r="U227" s="250">
        <v>8502</v>
      </c>
      <c r="V227" s="250">
        <v>0</v>
      </c>
    </row>
    <row r="228" spans="2:22" ht="27">
      <c r="B228" s="15">
        <f t="shared" si="7"/>
        <v>34</v>
      </c>
      <c r="C228" s="249" t="s">
        <v>1628</v>
      </c>
      <c r="D228" s="254">
        <v>1</v>
      </c>
      <c r="E228" s="250">
        <v>1000</v>
      </c>
      <c r="F228" s="254" t="s">
        <v>1629</v>
      </c>
      <c r="G228" s="233">
        <v>40863</v>
      </c>
      <c r="H228" s="228" t="s">
        <v>161</v>
      </c>
      <c r="I228" s="301">
        <v>0</v>
      </c>
      <c r="J228" s="301">
        <v>0</v>
      </c>
      <c r="K228" s="301">
        <v>0</v>
      </c>
      <c r="L228" s="301">
        <v>0</v>
      </c>
      <c r="M228" s="301">
        <v>0</v>
      </c>
      <c r="N228" s="301">
        <v>0</v>
      </c>
      <c r="O228" s="292">
        <v>0</v>
      </c>
      <c r="P228" s="301">
        <v>0</v>
      </c>
      <c r="Q228" s="301">
        <v>0</v>
      </c>
      <c r="R228" s="292"/>
      <c r="S228" s="251">
        <v>0</v>
      </c>
      <c r="T228" s="250">
        <v>0</v>
      </c>
      <c r="U228" s="250">
        <v>0</v>
      </c>
      <c r="V228" s="250">
        <v>0</v>
      </c>
    </row>
    <row r="229" spans="2:22">
      <c r="B229" s="15">
        <f t="shared" si="7"/>
        <v>35</v>
      </c>
      <c r="C229" s="249" t="s">
        <v>1701</v>
      </c>
      <c r="D229" s="254">
        <v>1</v>
      </c>
      <c r="E229" s="250">
        <v>1120</v>
      </c>
      <c r="F229" s="254" t="s">
        <v>1702</v>
      </c>
      <c r="G229" s="233">
        <v>40950</v>
      </c>
      <c r="H229" s="228" t="s">
        <v>161</v>
      </c>
      <c r="I229" s="301">
        <v>0</v>
      </c>
      <c r="J229" s="301">
        <v>0</v>
      </c>
      <c r="K229" s="301">
        <v>0</v>
      </c>
      <c r="L229" s="301">
        <v>0</v>
      </c>
      <c r="M229" s="301">
        <v>0</v>
      </c>
      <c r="N229" s="301">
        <v>0</v>
      </c>
      <c r="O229" s="292">
        <v>0</v>
      </c>
      <c r="P229" s="301">
        <v>0</v>
      </c>
      <c r="Q229" s="301">
        <v>0</v>
      </c>
      <c r="R229" s="292"/>
      <c r="S229" s="251">
        <v>0</v>
      </c>
      <c r="T229" s="250">
        <v>0</v>
      </c>
      <c r="U229" s="250">
        <v>0</v>
      </c>
      <c r="V229" s="250">
        <v>0</v>
      </c>
    </row>
    <row r="230" spans="2:22">
      <c r="B230" s="15">
        <f t="shared" si="7"/>
        <v>36</v>
      </c>
      <c r="C230" s="249" t="s">
        <v>1774</v>
      </c>
      <c r="D230" s="254">
        <v>6</v>
      </c>
      <c r="E230" s="250">
        <v>7757</v>
      </c>
      <c r="F230" s="254" t="s">
        <v>1775</v>
      </c>
      <c r="G230" s="233">
        <v>40959</v>
      </c>
      <c r="H230" s="228" t="s">
        <v>368</v>
      </c>
      <c r="I230" s="301">
        <v>0</v>
      </c>
      <c r="J230" s="301">
        <v>0</v>
      </c>
      <c r="K230" s="301">
        <v>0</v>
      </c>
      <c r="L230" s="301">
        <v>0</v>
      </c>
      <c r="M230" s="301">
        <v>0</v>
      </c>
      <c r="N230" s="301">
        <v>0</v>
      </c>
      <c r="O230" s="292">
        <v>0</v>
      </c>
      <c r="P230" s="301">
        <v>0</v>
      </c>
      <c r="Q230" s="301">
        <v>0</v>
      </c>
      <c r="R230" s="292"/>
      <c r="S230" s="251">
        <v>0</v>
      </c>
      <c r="T230" s="250">
        <v>0</v>
      </c>
      <c r="U230" s="250">
        <v>0</v>
      </c>
      <c r="V230" s="250">
        <v>0</v>
      </c>
    </row>
    <row r="231" spans="2:22" ht="27">
      <c r="B231" s="15">
        <f t="shared" si="7"/>
        <v>37</v>
      </c>
      <c r="C231" s="249" t="s">
        <v>1812</v>
      </c>
      <c r="D231" s="254">
        <f>1+4+1</f>
        <v>6</v>
      </c>
      <c r="E231" s="250">
        <v>10606</v>
      </c>
      <c r="F231" s="254" t="s">
        <v>1813</v>
      </c>
      <c r="G231" s="233">
        <v>41018</v>
      </c>
      <c r="H231" s="239" t="s">
        <v>4366</v>
      </c>
      <c r="I231" s="301">
        <v>0</v>
      </c>
      <c r="J231" s="301">
        <v>0</v>
      </c>
      <c r="K231" s="301">
        <v>0</v>
      </c>
      <c r="L231" s="301">
        <v>0</v>
      </c>
      <c r="M231" s="301">
        <v>0</v>
      </c>
      <c r="N231" s="301">
        <v>0</v>
      </c>
      <c r="O231" s="292">
        <v>0</v>
      </c>
      <c r="P231" s="301">
        <v>0</v>
      </c>
      <c r="Q231" s="301">
        <v>0</v>
      </c>
      <c r="R231" s="292"/>
      <c r="S231" s="251">
        <v>0</v>
      </c>
      <c r="T231" s="250">
        <v>0</v>
      </c>
      <c r="U231" s="250">
        <v>0</v>
      </c>
      <c r="V231" s="250">
        <v>0</v>
      </c>
    </row>
    <row r="232" spans="2:22">
      <c r="B232" s="15">
        <f t="shared" si="7"/>
        <v>38</v>
      </c>
      <c r="C232" s="249" t="s">
        <v>1833</v>
      </c>
      <c r="D232" s="254">
        <v>2</v>
      </c>
      <c r="E232" s="250">
        <v>2615</v>
      </c>
      <c r="F232" s="254" t="s">
        <v>1834</v>
      </c>
      <c r="G232" s="233">
        <v>41050</v>
      </c>
      <c r="H232" s="228" t="s">
        <v>161</v>
      </c>
      <c r="I232" s="301">
        <v>0</v>
      </c>
      <c r="J232" s="301">
        <v>0</v>
      </c>
      <c r="K232" s="301">
        <v>0</v>
      </c>
      <c r="L232" s="301">
        <v>0</v>
      </c>
      <c r="M232" s="301">
        <v>0</v>
      </c>
      <c r="N232" s="301">
        <v>0</v>
      </c>
      <c r="O232" s="292">
        <v>0</v>
      </c>
      <c r="P232" s="301">
        <v>0</v>
      </c>
      <c r="Q232" s="301">
        <v>0</v>
      </c>
      <c r="R232" s="292"/>
      <c r="S232" s="251">
        <v>0</v>
      </c>
      <c r="T232" s="250">
        <v>0</v>
      </c>
      <c r="U232" s="250">
        <v>0</v>
      </c>
      <c r="V232" s="250">
        <v>0</v>
      </c>
    </row>
    <row r="233" spans="2:22">
      <c r="B233" s="15">
        <f t="shared" si="7"/>
        <v>39</v>
      </c>
      <c r="C233" s="249" t="s">
        <v>1835</v>
      </c>
      <c r="D233" s="254">
        <v>1</v>
      </c>
      <c r="E233" s="250">
        <v>1405</v>
      </c>
      <c r="F233" s="254" t="s">
        <v>1834</v>
      </c>
      <c r="G233" s="233">
        <v>41050</v>
      </c>
      <c r="H233" s="228" t="s">
        <v>161</v>
      </c>
      <c r="I233" s="301">
        <v>0</v>
      </c>
      <c r="J233" s="301">
        <v>0</v>
      </c>
      <c r="K233" s="301">
        <v>0</v>
      </c>
      <c r="L233" s="301">
        <v>0</v>
      </c>
      <c r="M233" s="301">
        <v>0</v>
      </c>
      <c r="N233" s="301">
        <v>0</v>
      </c>
      <c r="O233" s="292">
        <v>0</v>
      </c>
      <c r="P233" s="301">
        <v>0</v>
      </c>
      <c r="Q233" s="301">
        <v>0</v>
      </c>
      <c r="R233" s="292"/>
      <c r="S233" s="251">
        <v>0</v>
      </c>
      <c r="T233" s="250">
        <v>0</v>
      </c>
      <c r="U233" s="250">
        <v>0</v>
      </c>
      <c r="V233" s="250">
        <v>0</v>
      </c>
    </row>
    <row r="234" spans="2:22">
      <c r="B234" s="15">
        <f t="shared" si="7"/>
        <v>40</v>
      </c>
      <c r="C234" s="249" t="s">
        <v>1836</v>
      </c>
      <c r="D234" s="254">
        <v>2</v>
      </c>
      <c r="E234" s="250">
        <v>3500</v>
      </c>
      <c r="F234" s="254" t="s">
        <v>1834</v>
      </c>
      <c r="G234" s="233">
        <v>41050</v>
      </c>
      <c r="H234" s="228" t="s">
        <v>161</v>
      </c>
      <c r="I234" s="301">
        <v>0</v>
      </c>
      <c r="J234" s="301">
        <v>0</v>
      </c>
      <c r="K234" s="301">
        <v>0</v>
      </c>
      <c r="L234" s="301">
        <v>0</v>
      </c>
      <c r="M234" s="301">
        <v>0</v>
      </c>
      <c r="N234" s="301">
        <v>0</v>
      </c>
      <c r="O234" s="292">
        <v>0</v>
      </c>
      <c r="P234" s="301">
        <v>0</v>
      </c>
      <c r="Q234" s="301">
        <v>0</v>
      </c>
      <c r="R234" s="292"/>
      <c r="S234" s="251">
        <v>0</v>
      </c>
      <c r="T234" s="250">
        <v>0</v>
      </c>
      <c r="U234" s="250">
        <v>0</v>
      </c>
      <c r="V234" s="250">
        <v>0</v>
      </c>
    </row>
    <row r="235" spans="2:22">
      <c r="B235" s="15">
        <f t="shared" si="7"/>
        <v>41</v>
      </c>
      <c r="C235" s="249" t="s">
        <v>1135</v>
      </c>
      <c r="D235" s="254">
        <v>6</v>
      </c>
      <c r="E235" s="250">
        <v>9918</v>
      </c>
      <c r="F235" s="254" t="s">
        <v>1910</v>
      </c>
      <c r="G235" s="233">
        <v>41115</v>
      </c>
      <c r="H235" s="228" t="s">
        <v>368</v>
      </c>
      <c r="I235" s="301">
        <v>0</v>
      </c>
      <c r="J235" s="301">
        <v>0</v>
      </c>
      <c r="K235" s="301">
        <v>0</v>
      </c>
      <c r="L235" s="301">
        <v>0</v>
      </c>
      <c r="M235" s="301">
        <v>0</v>
      </c>
      <c r="N235" s="301">
        <v>0</v>
      </c>
      <c r="O235" s="292">
        <v>0</v>
      </c>
      <c r="P235" s="301">
        <v>0</v>
      </c>
      <c r="Q235" s="301">
        <v>0</v>
      </c>
      <c r="R235" s="292"/>
      <c r="S235" s="251">
        <v>0</v>
      </c>
      <c r="T235" s="250">
        <v>0</v>
      </c>
      <c r="U235" s="250">
        <v>0</v>
      </c>
      <c r="V235" s="250">
        <v>0</v>
      </c>
    </row>
    <row r="236" spans="2:22">
      <c r="B236" s="15">
        <f t="shared" si="7"/>
        <v>42</v>
      </c>
      <c r="C236" s="249" t="s">
        <v>1930</v>
      </c>
      <c r="D236" s="254">
        <v>24</v>
      </c>
      <c r="E236" s="250">
        <v>39900</v>
      </c>
      <c r="F236" s="254" t="s">
        <v>1931</v>
      </c>
      <c r="G236" s="233">
        <v>41172</v>
      </c>
      <c r="H236" s="228" t="s">
        <v>368</v>
      </c>
      <c r="I236" s="301">
        <v>0</v>
      </c>
      <c r="J236" s="301">
        <v>0</v>
      </c>
      <c r="K236" s="301">
        <v>0</v>
      </c>
      <c r="L236" s="301">
        <v>0</v>
      </c>
      <c r="M236" s="301">
        <v>0</v>
      </c>
      <c r="N236" s="301">
        <v>0</v>
      </c>
      <c r="O236" s="292">
        <v>0</v>
      </c>
      <c r="P236" s="301">
        <v>0</v>
      </c>
      <c r="Q236" s="301">
        <v>0</v>
      </c>
      <c r="R236" s="292"/>
      <c r="S236" s="251">
        <v>0</v>
      </c>
      <c r="T236" s="250">
        <v>0</v>
      </c>
      <c r="U236" s="250">
        <v>0</v>
      </c>
      <c r="V236" s="250">
        <v>0</v>
      </c>
    </row>
    <row r="237" spans="2:22">
      <c r="B237" s="15">
        <f t="shared" si="7"/>
        <v>43</v>
      </c>
      <c r="C237" s="249" t="s">
        <v>1988</v>
      </c>
      <c r="D237" s="254">
        <v>14</v>
      </c>
      <c r="E237" s="250">
        <v>19950</v>
      </c>
      <c r="F237" s="254" t="s">
        <v>1989</v>
      </c>
      <c r="G237" s="233">
        <v>41233</v>
      </c>
      <c r="H237" s="228" t="s">
        <v>368</v>
      </c>
      <c r="I237" s="301">
        <v>0</v>
      </c>
      <c r="J237" s="301">
        <v>0</v>
      </c>
      <c r="K237" s="301">
        <v>0</v>
      </c>
      <c r="L237" s="301">
        <v>0</v>
      </c>
      <c r="M237" s="301">
        <v>0</v>
      </c>
      <c r="N237" s="301">
        <v>0</v>
      </c>
      <c r="O237" s="292">
        <v>0</v>
      </c>
      <c r="P237" s="301">
        <v>0</v>
      </c>
      <c r="Q237" s="301">
        <v>0</v>
      </c>
      <c r="R237" s="292"/>
      <c r="S237" s="251">
        <v>0</v>
      </c>
      <c r="T237" s="250">
        <v>0</v>
      </c>
      <c r="U237" s="250">
        <v>0</v>
      </c>
      <c r="V237" s="250">
        <v>0</v>
      </c>
    </row>
    <row r="238" spans="2:22" ht="27">
      <c r="B238" s="15">
        <f t="shared" si="7"/>
        <v>44</v>
      </c>
      <c r="C238" s="249" t="s">
        <v>2006</v>
      </c>
      <c r="D238" s="254">
        <v>2</v>
      </c>
      <c r="E238" s="250">
        <v>70082</v>
      </c>
      <c r="F238" s="254" t="s">
        <v>2007</v>
      </c>
      <c r="G238" s="233">
        <v>41269</v>
      </c>
      <c r="H238" s="228" t="s">
        <v>368</v>
      </c>
      <c r="I238" s="300">
        <v>43094</v>
      </c>
      <c r="J238" s="301">
        <v>1826</v>
      </c>
      <c r="K238" s="301">
        <v>461</v>
      </c>
      <c r="L238" s="301">
        <v>1365</v>
      </c>
      <c r="M238" s="301">
        <v>3504</v>
      </c>
      <c r="N238" s="301">
        <v>62373</v>
      </c>
      <c r="O238" s="292">
        <v>0</v>
      </c>
      <c r="P238" s="301">
        <v>49199</v>
      </c>
      <c r="Q238" s="301">
        <v>1000</v>
      </c>
      <c r="R238" s="292">
        <v>45695</v>
      </c>
      <c r="S238" s="251">
        <v>0</v>
      </c>
      <c r="T238" s="250">
        <v>0</v>
      </c>
      <c r="U238" s="250">
        <v>49199</v>
      </c>
      <c r="V238" s="250">
        <v>0</v>
      </c>
    </row>
    <row r="239" spans="2:22" ht="27">
      <c r="B239" s="15">
        <f>+B238+1</f>
        <v>45</v>
      </c>
      <c r="C239" s="249" t="s">
        <v>2028</v>
      </c>
      <c r="D239" s="254">
        <v>2</v>
      </c>
      <c r="E239" s="250">
        <v>8778</v>
      </c>
      <c r="F239" s="254" t="s">
        <v>2029</v>
      </c>
      <c r="G239" s="233">
        <v>41338</v>
      </c>
      <c r="H239" s="228" t="s">
        <v>368</v>
      </c>
      <c r="I239" s="301">
        <v>0</v>
      </c>
      <c r="J239" s="301">
        <v>0</v>
      </c>
      <c r="K239" s="301">
        <v>0</v>
      </c>
      <c r="L239" s="301">
        <v>0</v>
      </c>
      <c r="M239" s="301">
        <v>0</v>
      </c>
      <c r="N239" s="301">
        <v>0</v>
      </c>
      <c r="O239" s="292">
        <v>0</v>
      </c>
      <c r="P239" s="301">
        <v>0</v>
      </c>
      <c r="Q239" s="301">
        <v>0</v>
      </c>
      <c r="R239" s="292"/>
      <c r="S239" s="251">
        <v>0</v>
      </c>
      <c r="T239" s="250">
        <v>0</v>
      </c>
      <c r="U239" s="250">
        <v>0</v>
      </c>
      <c r="V239" s="250">
        <v>0</v>
      </c>
    </row>
    <row r="240" spans="2:22" ht="27">
      <c r="B240" s="15">
        <f t="shared" ref="B240:B249" si="8">+B239+1</f>
        <v>46</v>
      </c>
      <c r="C240" s="249" t="s">
        <v>2157</v>
      </c>
      <c r="D240" s="275">
        <v>37</v>
      </c>
      <c r="E240" s="250">
        <v>57650</v>
      </c>
      <c r="F240" s="367" t="s">
        <v>2158</v>
      </c>
      <c r="G240" s="342">
        <v>41383</v>
      </c>
      <c r="H240" s="239" t="s">
        <v>4366</v>
      </c>
      <c r="I240" s="301">
        <v>0</v>
      </c>
      <c r="J240" s="301">
        <v>0</v>
      </c>
      <c r="K240" s="301">
        <v>0</v>
      </c>
      <c r="L240" s="301">
        <v>0</v>
      </c>
      <c r="M240" s="301">
        <v>0</v>
      </c>
      <c r="N240" s="301">
        <v>0</v>
      </c>
      <c r="O240" s="292">
        <v>0</v>
      </c>
      <c r="P240" s="301">
        <v>0</v>
      </c>
      <c r="Q240" s="301">
        <v>0</v>
      </c>
      <c r="R240" s="292"/>
      <c r="S240" s="251">
        <v>0</v>
      </c>
      <c r="T240" s="250">
        <v>0</v>
      </c>
      <c r="U240" s="250">
        <v>0</v>
      </c>
      <c r="V240" s="250">
        <v>0</v>
      </c>
    </row>
    <row r="241" spans="2:22" ht="40.5">
      <c r="B241" s="15">
        <f t="shared" si="8"/>
        <v>47</v>
      </c>
      <c r="C241" s="249" t="s">
        <v>2159</v>
      </c>
      <c r="D241" s="275">
        <f>8+10+1</f>
        <v>19</v>
      </c>
      <c r="E241" s="250">
        <f>36024+13862</f>
        <v>49886</v>
      </c>
      <c r="F241" s="367" t="s">
        <v>2126</v>
      </c>
      <c r="G241" s="342">
        <v>41389</v>
      </c>
      <c r="H241" s="239" t="s">
        <v>4366</v>
      </c>
      <c r="I241" s="301">
        <v>0</v>
      </c>
      <c r="J241" s="301">
        <v>0</v>
      </c>
      <c r="K241" s="301">
        <v>0</v>
      </c>
      <c r="L241" s="301">
        <v>0</v>
      </c>
      <c r="M241" s="301">
        <v>0</v>
      </c>
      <c r="N241" s="301">
        <v>0</v>
      </c>
      <c r="O241" s="292">
        <v>0</v>
      </c>
      <c r="P241" s="301">
        <v>0</v>
      </c>
      <c r="Q241" s="301">
        <v>0</v>
      </c>
      <c r="R241" s="292"/>
      <c r="S241" s="251">
        <v>0</v>
      </c>
      <c r="T241" s="250">
        <v>0</v>
      </c>
      <c r="U241" s="250">
        <v>0</v>
      </c>
      <c r="V241" s="250">
        <v>0</v>
      </c>
    </row>
    <row r="242" spans="2:22">
      <c r="B242" s="15">
        <f t="shared" si="8"/>
        <v>48</v>
      </c>
      <c r="C242" s="249" t="s">
        <v>2160</v>
      </c>
      <c r="D242" s="275">
        <v>10</v>
      </c>
      <c r="E242" s="250">
        <v>22173</v>
      </c>
      <c r="F242" s="367" t="s">
        <v>2161</v>
      </c>
      <c r="G242" s="342">
        <v>41381</v>
      </c>
      <c r="H242" s="239" t="s">
        <v>4366</v>
      </c>
      <c r="I242" s="301">
        <v>0</v>
      </c>
      <c r="J242" s="301">
        <v>0</v>
      </c>
      <c r="K242" s="301">
        <v>0</v>
      </c>
      <c r="L242" s="301">
        <v>0</v>
      </c>
      <c r="M242" s="301">
        <v>0</v>
      </c>
      <c r="N242" s="301">
        <v>0</v>
      </c>
      <c r="O242" s="292">
        <v>0</v>
      </c>
      <c r="P242" s="301">
        <v>0</v>
      </c>
      <c r="Q242" s="301">
        <v>0</v>
      </c>
      <c r="R242" s="292"/>
      <c r="S242" s="251">
        <v>0</v>
      </c>
      <c r="T242" s="250">
        <v>0</v>
      </c>
      <c r="U242" s="250">
        <v>0</v>
      </c>
      <c r="V242" s="250">
        <v>0</v>
      </c>
    </row>
    <row r="243" spans="2:22" ht="27">
      <c r="B243" s="15">
        <f t="shared" si="8"/>
        <v>49</v>
      </c>
      <c r="C243" s="249" t="s">
        <v>2693</v>
      </c>
      <c r="D243" s="275">
        <v>2</v>
      </c>
      <c r="E243" s="250">
        <f>3049+23</f>
        <v>3072</v>
      </c>
      <c r="F243" s="367" t="s">
        <v>2679</v>
      </c>
      <c r="G243" s="342">
        <v>42005</v>
      </c>
      <c r="H243" s="239" t="s">
        <v>4366</v>
      </c>
      <c r="I243" s="300">
        <v>43830</v>
      </c>
      <c r="J243" s="301">
        <v>1826</v>
      </c>
      <c r="K243" s="301">
        <v>0</v>
      </c>
      <c r="L243" s="301">
        <v>1826</v>
      </c>
      <c r="M243" s="301">
        <v>154</v>
      </c>
      <c r="N243" s="301">
        <v>2918</v>
      </c>
      <c r="O243" s="292">
        <v>0</v>
      </c>
      <c r="P243" s="301">
        <v>2928</v>
      </c>
      <c r="Q243" s="301">
        <v>1736</v>
      </c>
      <c r="R243" s="292">
        <v>2774</v>
      </c>
      <c r="S243" s="251">
        <v>0</v>
      </c>
      <c r="T243" s="250">
        <v>0</v>
      </c>
      <c r="U243" s="250">
        <v>2928</v>
      </c>
      <c r="V243" s="250">
        <v>0</v>
      </c>
    </row>
    <row r="244" spans="2:22">
      <c r="B244" s="15">
        <f t="shared" si="8"/>
        <v>50</v>
      </c>
      <c r="C244" s="249" t="s">
        <v>2791</v>
      </c>
      <c r="D244" s="275">
        <v>4</v>
      </c>
      <c r="E244" s="250">
        <v>7801</v>
      </c>
      <c r="F244" s="367" t="s">
        <v>2792</v>
      </c>
      <c r="G244" s="342">
        <v>42077</v>
      </c>
      <c r="H244" s="239" t="s">
        <v>4366</v>
      </c>
      <c r="I244" s="300">
        <v>43903</v>
      </c>
      <c r="J244" s="301">
        <v>1827</v>
      </c>
      <c r="K244" s="301">
        <v>0</v>
      </c>
      <c r="L244" s="301">
        <v>1827</v>
      </c>
      <c r="M244" s="301">
        <v>390</v>
      </c>
      <c r="N244" s="301">
        <v>7411</v>
      </c>
      <c r="O244" s="292">
        <v>0</v>
      </c>
      <c r="P244" s="301">
        <v>7728</v>
      </c>
      <c r="Q244" s="301">
        <v>1809</v>
      </c>
      <c r="R244" s="292">
        <v>7338</v>
      </c>
      <c r="S244" s="251">
        <v>0</v>
      </c>
      <c r="T244" s="250">
        <v>0</v>
      </c>
      <c r="U244" s="250">
        <v>7728</v>
      </c>
      <c r="V244" s="250">
        <v>0</v>
      </c>
    </row>
    <row r="245" spans="2:22">
      <c r="B245" s="15">
        <f t="shared" si="8"/>
        <v>51</v>
      </c>
      <c r="C245" s="249" t="s">
        <v>2793</v>
      </c>
      <c r="D245" s="275">
        <v>2</v>
      </c>
      <c r="E245" s="250">
        <v>6966</v>
      </c>
      <c r="F245" s="367" t="s">
        <v>2792</v>
      </c>
      <c r="G245" s="342">
        <v>42077</v>
      </c>
      <c r="H245" s="239" t="s">
        <v>4366</v>
      </c>
      <c r="I245" s="300">
        <v>43903</v>
      </c>
      <c r="J245" s="301">
        <v>1827</v>
      </c>
      <c r="K245" s="301">
        <v>0</v>
      </c>
      <c r="L245" s="301">
        <v>1827</v>
      </c>
      <c r="M245" s="301">
        <v>348</v>
      </c>
      <c r="N245" s="301">
        <v>6618</v>
      </c>
      <c r="O245" s="292">
        <v>0</v>
      </c>
      <c r="P245" s="301">
        <v>6901</v>
      </c>
      <c r="Q245" s="301">
        <v>1809</v>
      </c>
      <c r="R245" s="292">
        <v>6553</v>
      </c>
      <c r="S245" s="251">
        <v>0</v>
      </c>
      <c r="T245" s="250">
        <v>0</v>
      </c>
      <c r="U245" s="250">
        <v>6901</v>
      </c>
      <c r="V245" s="250">
        <v>0</v>
      </c>
    </row>
    <row r="246" spans="2:22">
      <c r="B246" s="15">
        <f t="shared" si="8"/>
        <v>52</v>
      </c>
      <c r="C246" s="249" t="s">
        <v>2794</v>
      </c>
      <c r="D246" s="275">
        <v>7</v>
      </c>
      <c r="E246" s="250">
        <v>30262</v>
      </c>
      <c r="F246" s="367" t="s">
        <v>2792</v>
      </c>
      <c r="G246" s="342">
        <v>42077</v>
      </c>
      <c r="H246" s="239" t="s">
        <v>4366</v>
      </c>
      <c r="I246" s="300">
        <v>43903</v>
      </c>
      <c r="J246" s="301">
        <v>1827</v>
      </c>
      <c r="K246" s="301">
        <v>0</v>
      </c>
      <c r="L246" s="301">
        <v>1827</v>
      </c>
      <c r="M246" s="301">
        <v>1513</v>
      </c>
      <c r="N246" s="301">
        <v>28749</v>
      </c>
      <c r="O246" s="292">
        <v>0</v>
      </c>
      <c r="P246" s="301">
        <v>29979</v>
      </c>
      <c r="Q246" s="301">
        <v>1809</v>
      </c>
      <c r="R246" s="292">
        <v>28466</v>
      </c>
      <c r="S246" s="251">
        <v>0</v>
      </c>
      <c r="T246" s="250">
        <v>0</v>
      </c>
      <c r="U246" s="250">
        <v>29979</v>
      </c>
      <c r="V246" s="250">
        <v>0</v>
      </c>
    </row>
    <row r="247" spans="2:22">
      <c r="B247" s="15">
        <f t="shared" si="8"/>
        <v>53</v>
      </c>
      <c r="C247" s="249" t="s">
        <v>824</v>
      </c>
      <c r="D247" s="275">
        <v>1</v>
      </c>
      <c r="E247" s="250">
        <v>14364</v>
      </c>
      <c r="F247" s="367" t="s">
        <v>2994</v>
      </c>
      <c r="G247" s="342">
        <v>42297</v>
      </c>
      <c r="H247" s="228" t="s">
        <v>368</v>
      </c>
      <c r="I247" s="300">
        <v>44123</v>
      </c>
      <c r="J247" s="301">
        <v>1827</v>
      </c>
      <c r="K247" s="301">
        <v>0</v>
      </c>
      <c r="L247" s="301">
        <v>1827</v>
      </c>
      <c r="M247" s="301">
        <v>718</v>
      </c>
      <c r="N247" s="301">
        <v>13646</v>
      </c>
      <c r="O247" s="292">
        <v>0</v>
      </c>
      <c r="P247" s="301">
        <v>14364</v>
      </c>
      <c r="Q247" s="301">
        <v>1827</v>
      </c>
      <c r="R247" s="292">
        <v>13646</v>
      </c>
      <c r="S247" s="251">
        <v>0</v>
      </c>
      <c r="T247" s="250">
        <v>718</v>
      </c>
      <c r="U247" s="250">
        <v>14364</v>
      </c>
      <c r="V247" s="250">
        <v>0</v>
      </c>
    </row>
    <row r="248" spans="2:22">
      <c r="B248" s="15">
        <f t="shared" si="8"/>
        <v>54</v>
      </c>
      <c r="C248" s="249" t="s">
        <v>3890</v>
      </c>
      <c r="D248" s="275">
        <v>1</v>
      </c>
      <c r="E248" s="266">
        <v>4200</v>
      </c>
      <c r="F248" s="368" t="s">
        <v>3888</v>
      </c>
      <c r="G248" s="342">
        <v>42531</v>
      </c>
      <c r="H248" s="239" t="s">
        <v>4366</v>
      </c>
      <c r="I248" s="300">
        <v>44356</v>
      </c>
      <c r="J248" s="301">
        <v>1826</v>
      </c>
      <c r="K248" s="301">
        <v>0</v>
      </c>
      <c r="L248" s="301">
        <v>1826</v>
      </c>
      <c r="M248" s="301">
        <v>210</v>
      </c>
      <c r="N248" s="301">
        <v>3990</v>
      </c>
      <c r="O248" s="292">
        <v>0</v>
      </c>
      <c r="P248" s="301">
        <v>4200</v>
      </c>
      <c r="Q248" s="301">
        <v>1826</v>
      </c>
      <c r="R248" s="292">
        <v>3990</v>
      </c>
      <c r="S248" s="251">
        <v>0</v>
      </c>
      <c r="T248" s="250">
        <v>0</v>
      </c>
      <c r="U248" s="250">
        <v>4200</v>
      </c>
      <c r="V248" s="250">
        <v>0</v>
      </c>
    </row>
    <row r="249" spans="2:22">
      <c r="B249" s="15">
        <f t="shared" si="8"/>
        <v>55</v>
      </c>
      <c r="C249" s="249" t="s">
        <v>3891</v>
      </c>
      <c r="D249" s="275">
        <v>1</v>
      </c>
      <c r="E249" s="266">
        <v>2460</v>
      </c>
      <c r="F249" s="368" t="s">
        <v>3888</v>
      </c>
      <c r="G249" s="342">
        <v>42531</v>
      </c>
      <c r="H249" s="239" t="s">
        <v>4366</v>
      </c>
      <c r="I249" s="300">
        <v>44356</v>
      </c>
      <c r="J249" s="301">
        <v>1826</v>
      </c>
      <c r="K249" s="301">
        <v>0</v>
      </c>
      <c r="L249" s="301">
        <v>1826</v>
      </c>
      <c r="M249" s="301">
        <v>123</v>
      </c>
      <c r="N249" s="301">
        <v>2337</v>
      </c>
      <c r="O249" s="292">
        <v>0</v>
      </c>
      <c r="P249" s="301">
        <v>2460</v>
      </c>
      <c r="Q249" s="301">
        <v>1826</v>
      </c>
      <c r="R249" s="292">
        <v>2337</v>
      </c>
      <c r="S249" s="251">
        <v>0</v>
      </c>
      <c r="T249" s="250">
        <v>0</v>
      </c>
      <c r="U249" s="250">
        <v>2460</v>
      </c>
      <c r="V249" s="250">
        <v>0</v>
      </c>
    </row>
    <row r="250" spans="2:22">
      <c r="B250" s="15">
        <v>56</v>
      </c>
      <c r="C250" s="249" t="s">
        <v>3895</v>
      </c>
      <c r="D250" s="275">
        <v>2</v>
      </c>
      <c r="E250" s="266">
        <v>7214</v>
      </c>
      <c r="F250" s="368" t="s">
        <v>3896</v>
      </c>
      <c r="G250" s="342">
        <v>42502</v>
      </c>
      <c r="H250" s="239" t="s">
        <v>368</v>
      </c>
      <c r="I250" s="300">
        <v>44327</v>
      </c>
      <c r="J250" s="301">
        <v>1826</v>
      </c>
      <c r="K250" s="301">
        <v>0</v>
      </c>
      <c r="L250" s="301">
        <v>1826</v>
      </c>
      <c r="M250" s="301">
        <v>361</v>
      </c>
      <c r="N250" s="301">
        <v>6853</v>
      </c>
      <c r="O250" s="292"/>
      <c r="P250" s="292">
        <v>7214</v>
      </c>
      <c r="Q250" s="301">
        <v>1826</v>
      </c>
      <c r="R250" s="301">
        <v>6853</v>
      </c>
      <c r="S250" s="292">
        <v>0</v>
      </c>
      <c r="T250" s="251">
        <v>0</v>
      </c>
      <c r="U250" s="250">
        <v>7214</v>
      </c>
      <c r="V250" s="250">
        <v>0</v>
      </c>
    </row>
    <row r="251" spans="2:22">
      <c r="B251" s="15">
        <v>57</v>
      </c>
      <c r="C251" s="249" t="s">
        <v>4560</v>
      </c>
      <c r="D251" s="275">
        <v>2</v>
      </c>
      <c r="E251" s="266">
        <f>5500</f>
        <v>5500</v>
      </c>
      <c r="F251" s="368" t="s">
        <v>4561</v>
      </c>
      <c r="G251" s="342">
        <v>44282</v>
      </c>
      <c r="H251" s="239" t="s">
        <v>368</v>
      </c>
      <c r="I251" s="300">
        <v>44286</v>
      </c>
      <c r="J251" s="301">
        <v>5</v>
      </c>
      <c r="K251" s="301">
        <v>0</v>
      </c>
      <c r="L251" s="301">
        <v>5</v>
      </c>
      <c r="M251" s="301">
        <v>275</v>
      </c>
      <c r="N251" s="301">
        <v>5225</v>
      </c>
      <c r="O251" s="292"/>
      <c r="P251" s="292">
        <v>5500</v>
      </c>
      <c r="Q251" s="301">
        <v>5</v>
      </c>
      <c r="R251" s="301">
        <v>5225</v>
      </c>
      <c r="S251" s="292">
        <v>0</v>
      </c>
      <c r="T251" s="251">
        <v>0</v>
      </c>
      <c r="U251" s="250">
        <v>5500</v>
      </c>
      <c r="V251" s="250">
        <v>0</v>
      </c>
    </row>
    <row r="252" spans="2:22">
      <c r="B252" s="15">
        <v>58</v>
      </c>
      <c r="C252" s="249" t="s">
        <v>4600</v>
      </c>
      <c r="D252" s="275">
        <v>2</v>
      </c>
      <c r="E252" s="266">
        <v>3200</v>
      </c>
      <c r="F252" s="368" t="s">
        <v>4601</v>
      </c>
      <c r="G252" s="342">
        <v>44420</v>
      </c>
      <c r="H252" s="239" t="s">
        <v>368</v>
      </c>
      <c r="I252" s="300">
        <v>44419</v>
      </c>
      <c r="J252" s="301">
        <v>0</v>
      </c>
      <c r="K252" s="301">
        <v>0</v>
      </c>
      <c r="L252" s="301">
        <v>0</v>
      </c>
      <c r="M252" s="301">
        <v>160</v>
      </c>
      <c r="N252" s="301">
        <v>3040</v>
      </c>
      <c r="O252" s="292"/>
      <c r="P252" s="292">
        <v>3200</v>
      </c>
      <c r="Q252" s="301">
        <v>0</v>
      </c>
      <c r="R252" s="301">
        <v>3040</v>
      </c>
      <c r="S252" s="292">
        <v>1</v>
      </c>
      <c r="T252" s="251">
        <v>3200</v>
      </c>
      <c r="U252" s="250">
        <v>3200</v>
      </c>
      <c r="V252" s="250">
        <v>0</v>
      </c>
    </row>
    <row r="253" spans="2:22">
      <c r="B253" s="15"/>
      <c r="C253" s="249"/>
      <c r="D253" s="275"/>
      <c r="E253" s="250"/>
      <c r="F253" s="367"/>
      <c r="G253" s="342"/>
      <c r="H253" s="228"/>
      <c r="I253" s="300"/>
      <c r="J253" s="301"/>
      <c r="K253" s="301"/>
      <c r="L253" s="301"/>
      <c r="M253" s="301"/>
      <c r="N253" s="301"/>
      <c r="O253" s="292"/>
      <c r="P253" s="301">
        <v>0</v>
      </c>
      <c r="Q253" s="301"/>
      <c r="R253" s="292"/>
      <c r="S253" s="251"/>
      <c r="T253" s="250"/>
      <c r="U253" s="250"/>
      <c r="V253" s="250"/>
    </row>
    <row r="254" spans="2:22" ht="14.25">
      <c r="B254" s="107" t="s">
        <v>735</v>
      </c>
      <c r="C254" s="229"/>
      <c r="D254" s="230"/>
      <c r="E254" s="252"/>
      <c r="F254" s="254"/>
      <c r="G254" s="230"/>
      <c r="H254" s="228"/>
      <c r="I254" s="301"/>
      <c r="J254" s="301"/>
      <c r="K254" s="301"/>
      <c r="L254" s="301"/>
      <c r="M254" s="301"/>
      <c r="N254" s="301"/>
      <c r="O254" s="292"/>
      <c r="P254" s="301">
        <v>0</v>
      </c>
      <c r="Q254" s="301"/>
      <c r="R254" s="292"/>
      <c r="S254" s="272"/>
      <c r="T254" s="250"/>
      <c r="U254" s="250"/>
      <c r="V254" s="250"/>
    </row>
    <row r="255" spans="2:22">
      <c r="B255" s="15">
        <v>1</v>
      </c>
      <c r="C255" s="249" t="s">
        <v>736</v>
      </c>
      <c r="D255" s="254">
        <v>1</v>
      </c>
      <c r="E255" s="250">
        <v>4090</v>
      </c>
      <c r="F255" s="254" t="s">
        <v>42</v>
      </c>
      <c r="G255" s="342">
        <v>40074</v>
      </c>
      <c r="H255" s="228" t="s">
        <v>282</v>
      </c>
      <c r="I255" s="301">
        <v>0</v>
      </c>
      <c r="J255" s="301">
        <v>0</v>
      </c>
      <c r="K255" s="301">
        <v>0</v>
      </c>
      <c r="L255" s="301">
        <v>0</v>
      </c>
      <c r="M255" s="301">
        <v>0</v>
      </c>
      <c r="N255" s="301">
        <v>0</v>
      </c>
      <c r="O255" s="292">
        <v>0</v>
      </c>
      <c r="P255" s="301">
        <v>0</v>
      </c>
      <c r="Q255" s="301">
        <v>0</v>
      </c>
      <c r="R255" s="292"/>
      <c r="S255" s="251">
        <v>0</v>
      </c>
      <c r="T255" s="250">
        <v>0</v>
      </c>
      <c r="U255" s="250">
        <v>0</v>
      </c>
      <c r="V255" s="250">
        <v>0</v>
      </c>
    </row>
    <row r="256" spans="2:22">
      <c r="B256" s="15">
        <f>+B255+1</f>
        <v>2</v>
      </c>
      <c r="C256" s="249" t="s">
        <v>365</v>
      </c>
      <c r="D256" s="254">
        <v>1</v>
      </c>
      <c r="E256" s="250">
        <v>3450</v>
      </c>
      <c r="F256" s="254">
        <v>67</v>
      </c>
      <c r="G256" s="342">
        <v>40098</v>
      </c>
      <c r="H256" s="239" t="s">
        <v>4366</v>
      </c>
      <c r="I256" s="301">
        <v>0</v>
      </c>
      <c r="J256" s="301">
        <v>0</v>
      </c>
      <c r="K256" s="301">
        <v>0</v>
      </c>
      <c r="L256" s="301">
        <v>0</v>
      </c>
      <c r="M256" s="301">
        <v>0</v>
      </c>
      <c r="N256" s="301">
        <v>0</v>
      </c>
      <c r="O256" s="292">
        <v>0</v>
      </c>
      <c r="P256" s="301">
        <v>0</v>
      </c>
      <c r="Q256" s="301">
        <v>0</v>
      </c>
      <c r="R256" s="292"/>
      <c r="S256" s="251">
        <v>0</v>
      </c>
      <c r="T256" s="250">
        <v>0</v>
      </c>
      <c r="U256" s="250">
        <v>0</v>
      </c>
      <c r="V256" s="250">
        <v>0</v>
      </c>
    </row>
    <row r="257" spans="2:22">
      <c r="B257" s="15">
        <f t="shared" ref="B257:B259" si="9">+B256+1</f>
        <v>3</v>
      </c>
      <c r="C257" s="249" t="s">
        <v>951</v>
      </c>
      <c r="D257" s="254">
        <v>1</v>
      </c>
      <c r="E257" s="250">
        <v>4250</v>
      </c>
      <c r="F257" s="254" t="s">
        <v>225</v>
      </c>
      <c r="G257" s="342">
        <v>40443</v>
      </c>
      <c r="H257" s="228" t="s">
        <v>368</v>
      </c>
      <c r="I257" s="301">
        <v>0</v>
      </c>
      <c r="J257" s="301">
        <v>0</v>
      </c>
      <c r="K257" s="301">
        <v>0</v>
      </c>
      <c r="L257" s="301">
        <v>0</v>
      </c>
      <c r="M257" s="301">
        <v>0</v>
      </c>
      <c r="N257" s="301">
        <v>0</v>
      </c>
      <c r="O257" s="292">
        <v>0</v>
      </c>
      <c r="P257" s="301">
        <v>0</v>
      </c>
      <c r="Q257" s="301">
        <v>0</v>
      </c>
      <c r="R257" s="292"/>
      <c r="S257" s="251">
        <v>0</v>
      </c>
      <c r="T257" s="250">
        <v>0</v>
      </c>
      <c r="U257" s="250">
        <v>0</v>
      </c>
      <c r="V257" s="250">
        <v>0</v>
      </c>
    </row>
    <row r="258" spans="2:22" ht="27">
      <c r="B258" s="15">
        <f t="shared" si="9"/>
        <v>4</v>
      </c>
      <c r="C258" s="249" t="s">
        <v>345</v>
      </c>
      <c r="D258" s="254">
        <v>1</v>
      </c>
      <c r="E258" s="250">
        <v>10500</v>
      </c>
      <c r="F258" s="254" t="s">
        <v>250</v>
      </c>
      <c r="G258" s="342">
        <v>40460</v>
      </c>
      <c r="H258" s="228" t="s">
        <v>368</v>
      </c>
      <c r="I258" s="300">
        <v>42285</v>
      </c>
      <c r="J258" s="301">
        <v>1826</v>
      </c>
      <c r="K258" s="301">
        <v>1270</v>
      </c>
      <c r="L258" s="301">
        <v>556</v>
      </c>
      <c r="M258" s="301">
        <v>525</v>
      </c>
      <c r="N258" s="301">
        <v>8241</v>
      </c>
      <c r="O258" s="292">
        <v>0</v>
      </c>
      <c r="P258" s="301">
        <v>3356</v>
      </c>
      <c r="Q258" s="301">
        <v>191</v>
      </c>
      <c r="R258" s="292">
        <v>2831</v>
      </c>
      <c r="S258" s="251">
        <v>0</v>
      </c>
      <c r="T258" s="250">
        <v>0</v>
      </c>
      <c r="U258" s="250">
        <v>3356</v>
      </c>
      <c r="V258" s="250">
        <v>0</v>
      </c>
    </row>
    <row r="259" spans="2:22">
      <c r="B259" s="15">
        <f t="shared" si="9"/>
        <v>5</v>
      </c>
      <c r="C259" s="249" t="s">
        <v>763</v>
      </c>
      <c r="D259" s="254">
        <v>1</v>
      </c>
      <c r="E259" s="250">
        <v>11400</v>
      </c>
      <c r="F259" s="254" t="s">
        <v>407</v>
      </c>
      <c r="G259" s="342">
        <v>40642</v>
      </c>
      <c r="H259" s="239" t="s">
        <v>4366</v>
      </c>
      <c r="I259" s="300">
        <v>42468</v>
      </c>
      <c r="J259" s="301">
        <v>1827</v>
      </c>
      <c r="K259" s="301">
        <v>1088</v>
      </c>
      <c r="L259" s="301">
        <v>739</v>
      </c>
      <c r="M259" s="301">
        <v>570</v>
      </c>
      <c r="N259" s="301">
        <v>9216</v>
      </c>
      <c r="O259" s="292">
        <v>0</v>
      </c>
      <c r="P259" s="301">
        <v>5234</v>
      </c>
      <c r="Q259" s="301">
        <v>374</v>
      </c>
      <c r="R259" s="292">
        <v>4664</v>
      </c>
      <c r="S259" s="251">
        <v>0</v>
      </c>
      <c r="T259" s="250">
        <v>0</v>
      </c>
      <c r="U259" s="250">
        <v>5234</v>
      </c>
      <c r="V259" s="250">
        <v>0</v>
      </c>
    </row>
    <row r="260" spans="2:22" ht="14.25">
      <c r="B260" s="107" t="s">
        <v>737</v>
      </c>
      <c r="C260" s="229"/>
      <c r="D260" s="230"/>
      <c r="E260" s="250"/>
      <c r="F260" s="254"/>
      <c r="G260" s="228"/>
      <c r="H260" s="228"/>
      <c r="I260" s="301"/>
      <c r="J260" s="301"/>
      <c r="K260" s="301"/>
      <c r="L260" s="301"/>
      <c r="M260" s="301"/>
      <c r="N260" s="301"/>
      <c r="O260" s="292"/>
      <c r="P260" s="301">
        <v>0</v>
      </c>
      <c r="Q260" s="301"/>
      <c r="R260" s="292"/>
      <c r="S260" s="272"/>
      <c r="T260" s="250"/>
      <c r="U260" s="250"/>
      <c r="V260" s="250"/>
    </row>
    <row r="261" spans="2:22">
      <c r="B261" s="58" t="s">
        <v>2615</v>
      </c>
      <c r="C261" s="249" t="s">
        <v>738</v>
      </c>
      <c r="D261" s="254">
        <v>10</v>
      </c>
      <c r="E261" s="250">
        <v>1890</v>
      </c>
      <c r="F261" s="254" t="s">
        <v>739</v>
      </c>
      <c r="G261" s="342">
        <v>39797</v>
      </c>
      <c r="H261" s="228" t="s">
        <v>282</v>
      </c>
      <c r="I261" s="301">
        <v>0</v>
      </c>
      <c r="J261" s="301">
        <v>0</v>
      </c>
      <c r="K261" s="301">
        <v>0</v>
      </c>
      <c r="L261" s="301">
        <v>0</v>
      </c>
      <c r="M261" s="301">
        <v>0</v>
      </c>
      <c r="N261" s="301">
        <v>0</v>
      </c>
      <c r="O261" s="292">
        <v>0</v>
      </c>
      <c r="P261" s="301">
        <v>0</v>
      </c>
      <c r="Q261" s="301">
        <v>0</v>
      </c>
      <c r="R261" s="292"/>
      <c r="S261" s="251">
        <v>0</v>
      </c>
      <c r="T261" s="250">
        <v>0</v>
      </c>
      <c r="U261" s="250">
        <v>0</v>
      </c>
      <c r="V261" s="250">
        <v>0</v>
      </c>
    </row>
    <row r="262" spans="2:22">
      <c r="B262" s="79" t="s">
        <v>2616</v>
      </c>
      <c r="C262" s="249" t="s">
        <v>740</v>
      </c>
      <c r="D262" s="254">
        <v>1</v>
      </c>
      <c r="E262" s="250">
        <v>2600</v>
      </c>
      <c r="F262" s="254" t="s">
        <v>739</v>
      </c>
      <c r="G262" s="342">
        <v>39797</v>
      </c>
      <c r="H262" s="228" t="s">
        <v>282</v>
      </c>
      <c r="I262" s="301">
        <v>0</v>
      </c>
      <c r="J262" s="301">
        <v>0</v>
      </c>
      <c r="K262" s="301">
        <v>0</v>
      </c>
      <c r="L262" s="301">
        <v>0</v>
      </c>
      <c r="M262" s="301">
        <v>0</v>
      </c>
      <c r="N262" s="301">
        <v>0</v>
      </c>
      <c r="O262" s="292">
        <v>0</v>
      </c>
      <c r="P262" s="301">
        <v>0</v>
      </c>
      <c r="Q262" s="301">
        <v>0</v>
      </c>
      <c r="R262" s="292"/>
      <c r="S262" s="251">
        <v>0</v>
      </c>
      <c r="T262" s="250">
        <v>0</v>
      </c>
      <c r="U262" s="250">
        <v>0</v>
      </c>
      <c r="V262" s="250">
        <v>0</v>
      </c>
    </row>
    <row r="263" spans="2:22">
      <c r="B263" s="79" t="s">
        <v>2617</v>
      </c>
      <c r="C263" s="249" t="s">
        <v>741</v>
      </c>
      <c r="D263" s="254">
        <v>6</v>
      </c>
      <c r="E263" s="250">
        <v>1440</v>
      </c>
      <c r="F263" s="254" t="s">
        <v>739</v>
      </c>
      <c r="G263" s="342">
        <v>39797</v>
      </c>
      <c r="H263" s="228" t="s">
        <v>282</v>
      </c>
      <c r="I263" s="301">
        <v>0</v>
      </c>
      <c r="J263" s="301">
        <v>0</v>
      </c>
      <c r="K263" s="301">
        <v>0</v>
      </c>
      <c r="L263" s="301">
        <v>0</v>
      </c>
      <c r="M263" s="301">
        <v>0</v>
      </c>
      <c r="N263" s="301">
        <v>0</v>
      </c>
      <c r="O263" s="292">
        <v>0</v>
      </c>
      <c r="P263" s="301">
        <v>0</v>
      </c>
      <c r="Q263" s="301">
        <v>0</v>
      </c>
      <c r="R263" s="292"/>
      <c r="S263" s="251">
        <v>0</v>
      </c>
      <c r="T263" s="250">
        <v>0</v>
      </c>
      <c r="U263" s="250">
        <v>0</v>
      </c>
      <c r="V263" s="250">
        <v>0</v>
      </c>
    </row>
    <row r="264" spans="2:22">
      <c r="B264" s="79" t="s">
        <v>2618</v>
      </c>
      <c r="C264" s="249" t="s">
        <v>742</v>
      </c>
      <c r="D264" s="254">
        <v>30</v>
      </c>
      <c r="E264" s="250">
        <v>330</v>
      </c>
      <c r="F264" s="254" t="s">
        <v>739</v>
      </c>
      <c r="G264" s="342">
        <v>39797</v>
      </c>
      <c r="H264" s="228" t="s">
        <v>282</v>
      </c>
      <c r="I264" s="301">
        <v>0</v>
      </c>
      <c r="J264" s="301">
        <v>0</v>
      </c>
      <c r="K264" s="301">
        <v>0</v>
      </c>
      <c r="L264" s="301">
        <v>0</v>
      </c>
      <c r="M264" s="301">
        <v>0</v>
      </c>
      <c r="N264" s="301">
        <v>0</v>
      </c>
      <c r="O264" s="292">
        <v>0</v>
      </c>
      <c r="P264" s="301">
        <v>0</v>
      </c>
      <c r="Q264" s="301">
        <v>0</v>
      </c>
      <c r="R264" s="292"/>
      <c r="S264" s="251">
        <v>0</v>
      </c>
      <c r="T264" s="250">
        <v>0</v>
      </c>
      <c r="U264" s="250">
        <v>0</v>
      </c>
      <c r="V264" s="250">
        <v>0</v>
      </c>
    </row>
    <row r="265" spans="2:22">
      <c r="B265" s="79" t="s">
        <v>2619</v>
      </c>
      <c r="C265" s="249" t="s">
        <v>575</v>
      </c>
      <c r="D265" s="254">
        <v>1</v>
      </c>
      <c r="E265" s="250">
        <v>250</v>
      </c>
      <c r="F265" s="254" t="s">
        <v>739</v>
      </c>
      <c r="G265" s="342">
        <v>39797</v>
      </c>
      <c r="H265" s="228" t="s">
        <v>282</v>
      </c>
      <c r="I265" s="301">
        <v>0</v>
      </c>
      <c r="J265" s="301">
        <v>0</v>
      </c>
      <c r="K265" s="301">
        <v>0</v>
      </c>
      <c r="L265" s="301">
        <v>0</v>
      </c>
      <c r="M265" s="301">
        <v>0</v>
      </c>
      <c r="N265" s="301">
        <v>0</v>
      </c>
      <c r="O265" s="292">
        <v>0</v>
      </c>
      <c r="P265" s="301">
        <v>0</v>
      </c>
      <c r="Q265" s="301">
        <v>0</v>
      </c>
      <c r="R265" s="292"/>
      <c r="S265" s="251">
        <v>0</v>
      </c>
      <c r="T265" s="250">
        <v>0</v>
      </c>
      <c r="U265" s="250">
        <v>0</v>
      </c>
      <c r="V265" s="250">
        <v>0</v>
      </c>
    </row>
    <row r="266" spans="2:22">
      <c r="B266" s="79" t="s">
        <v>2620</v>
      </c>
      <c r="C266" s="249" t="s">
        <v>1085</v>
      </c>
      <c r="D266" s="254">
        <v>139</v>
      </c>
      <c r="E266" s="250">
        <v>2780</v>
      </c>
      <c r="F266" s="254" t="s">
        <v>739</v>
      </c>
      <c r="G266" s="342">
        <v>39797</v>
      </c>
      <c r="H266" s="228" t="s">
        <v>282</v>
      </c>
      <c r="I266" s="301">
        <v>0</v>
      </c>
      <c r="J266" s="301">
        <v>0</v>
      </c>
      <c r="K266" s="301">
        <v>0</v>
      </c>
      <c r="L266" s="301">
        <v>0</v>
      </c>
      <c r="M266" s="301">
        <v>0</v>
      </c>
      <c r="N266" s="301">
        <v>0</v>
      </c>
      <c r="O266" s="292">
        <v>0</v>
      </c>
      <c r="P266" s="301">
        <v>0</v>
      </c>
      <c r="Q266" s="301">
        <v>0</v>
      </c>
      <c r="R266" s="292"/>
      <c r="S266" s="251">
        <v>0</v>
      </c>
      <c r="T266" s="250">
        <v>0</v>
      </c>
      <c r="U266" s="250">
        <v>0</v>
      </c>
      <c r="V266" s="250">
        <v>0</v>
      </c>
    </row>
    <row r="267" spans="2:22">
      <c r="B267" s="79" t="s">
        <v>2621</v>
      </c>
      <c r="C267" s="249" t="s">
        <v>1086</v>
      </c>
      <c r="D267" s="254">
        <v>1</v>
      </c>
      <c r="E267" s="250">
        <v>364</v>
      </c>
      <c r="F267" s="254" t="s">
        <v>739</v>
      </c>
      <c r="G267" s="342">
        <v>39797</v>
      </c>
      <c r="H267" s="228" t="s">
        <v>282</v>
      </c>
      <c r="I267" s="301">
        <v>0</v>
      </c>
      <c r="J267" s="301">
        <v>0</v>
      </c>
      <c r="K267" s="301">
        <v>0</v>
      </c>
      <c r="L267" s="301">
        <v>0</v>
      </c>
      <c r="M267" s="301">
        <v>0</v>
      </c>
      <c r="N267" s="301">
        <v>0</v>
      </c>
      <c r="O267" s="292">
        <v>0</v>
      </c>
      <c r="P267" s="301">
        <v>0</v>
      </c>
      <c r="Q267" s="301">
        <v>0</v>
      </c>
      <c r="R267" s="292"/>
      <c r="S267" s="251">
        <v>0</v>
      </c>
      <c r="T267" s="250">
        <v>0</v>
      </c>
      <c r="U267" s="250">
        <v>0</v>
      </c>
      <c r="V267" s="250">
        <v>0</v>
      </c>
    </row>
    <row r="268" spans="2:22">
      <c r="B268" s="79" t="s">
        <v>2622</v>
      </c>
      <c r="C268" s="249" t="s">
        <v>1087</v>
      </c>
      <c r="D268" s="254">
        <v>6</v>
      </c>
      <c r="E268" s="250">
        <v>718</v>
      </c>
      <c r="F268" s="254" t="s">
        <v>739</v>
      </c>
      <c r="G268" s="342">
        <v>39797</v>
      </c>
      <c r="H268" s="228" t="s">
        <v>282</v>
      </c>
      <c r="I268" s="301">
        <v>0</v>
      </c>
      <c r="J268" s="301">
        <v>0</v>
      </c>
      <c r="K268" s="301">
        <v>0</v>
      </c>
      <c r="L268" s="301">
        <v>0</v>
      </c>
      <c r="M268" s="301">
        <v>0</v>
      </c>
      <c r="N268" s="301">
        <v>0</v>
      </c>
      <c r="O268" s="292">
        <v>0</v>
      </c>
      <c r="P268" s="301">
        <v>0</v>
      </c>
      <c r="Q268" s="301">
        <v>0</v>
      </c>
      <c r="R268" s="292"/>
      <c r="S268" s="251">
        <v>0</v>
      </c>
      <c r="T268" s="250">
        <v>0</v>
      </c>
      <c r="U268" s="250">
        <v>0</v>
      </c>
      <c r="V268" s="250">
        <v>0</v>
      </c>
    </row>
    <row r="269" spans="2:22" ht="27">
      <c r="B269" s="15">
        <v>2</v>
      </c>
      <c r="C269" s="249" t="s">
        <v>939</v>
      </c>
      <c r="D269" s="254">
        <v>1</v>
      </c>
      <c r="E269" s="250">
        <v>748329</v>
      </c>
      <c r="F269" s="254">
        <v>74</v>
      </c>
      <c r="G269" s="342">
        <v>40052</v>
      </c>
      <c r="H269" s="228" t="s">
        <v>282</v>
      </c>
      <c r="I269" s="300">
        <v>41877</v>
      </c>
      <c r="J269" s="301">
        <v>1826</v>
      </c>
      <c r="K269" s="301">
        <v>1678</v>
      </c>
      <c r="L269" s="301">
        <v>148</v>
      </c>
      <c r="M269" s="301">
        <v>37416</v>
      </c>
      <c r="N269" s="301">
        <v>547597.23287671234</v>
      </c>
      <c r="O269" s="292">
        <v>0</v>
      </c>
      <c r="P269" s="301">
        <v>0.23287671233993024</v>
      </c>
      <c r="Q269" s="301">
        <v>0</v>
      </c>
      <c r="R269" s="292"/>
      <c r="S269" s="251">
        <v>0</v>
      </c>
      <c r="T269" s="250">
        <v>0</v>
      </c>
      <c r="U269" s="250">
        <v>0</v>
      </c>
      <c r="V269" s="250">
        <v>0.23287671233993024</v>
      </c>
    </row>
    <row r="270" spans="2:22">
      <c r="B270" s="15">
        <f t="shared" ref="B270:B319" si="10">+B269+1</f>
        <v>3</v>
      </c>
      <c r="C270" s="249" t="s">
        <v>615</v>
      </c>
      <c r="D270" s="254">
        <v>1</v>
      </c>
      <c r="E270" s="250">
        <v>71971</v>
      </c>
      <c r="F270" s="254">
        <v>112</v>
      </c>
      <c r="G270" s="342">
        <v>40094</v>
      </c>
      <c r="H270" s="228" t="s">
        <v>282</v>
      </c>
      <c r="I270" s="300">
        <v>41919</v>
      </c>
      <c r="J270" s="301">
        <v>1826</v>
      </c>
      <c r="K270" s="301">
        <v>1636</v>
      </c>
      <c r="L270" s="301">
        <v>190</v>
      </c>
      <c r="M270" s="301">
        <v>3599</v>
      </c>
      <c r="N270" s="301">
        <v>53058</v>
      </c>
      <c r="O270" s="292">
        <v>0</v>
      </c>
      <c r="P270" s="301">
        <v>0</v>
      </c>
      <c r="Q270" s="301">
        <v>0</v>
      </c>
      <c r="R270" s="292"/>
      <c r="S270" s="251">
        <v>0</v>
      </c>
      <c r="T270" s="250">
        <v>0</v>
      </c>
      <c r="U270" s="250">
        <v>0</v>
      </c>
      <c r="V270" s="250">
        <v>0</v>
      </c>
    </row>
    <row r="271" spans="2:22" ht="27">
      <c r="B271" s="15">
        <f t="shared" si="10"/>
        <v>4</v>
      </c>
      <c r="C271" s="249" t="s">
        <v>616</v>
      </c>
      <c r="D271" s="254">
        <v>1</v>
      </c>
      <c r="E271" s="250">
        <v>1200675</v>
      </c>
      <c r="F271" s="254" t="s">
        <v>617</v>
      </c>
      <c r="G271" s="342">
        <v>40133</v>
      </c>
      <c r="H271" s="239" t="s">
        <v>4366</v>
      </c>
      <c r="I271" s="300">
        <v>41958</v>
      </c>
      <c r="J271" s="301">
        <v>1826</v>
      </c>
      <c r="K271" s="301">
        <v>1597</v>
      </c>
      <c r="L271" s="301">
        <v>229</v>
      </c>
      <c r="M271" s="301">
        <v>60034</v>
      </c>
      <c r="N271" s="301">
        <v>891262</v>
      </c>
      <c r="O271" s="292">
        <v>0</v>
      </c>
      <c r="P271" s="301">
        <v>0</v>
      </c>
      <c r="Q271" s="301">
        <v>0</v>
      </c>
      <c r="R271" s="292"/>
      <c r="S271" s="251">
        <v>0</v>
      </c>
      <c r="T271" s="250">
        <v>0</v>
      </c>
      <c r="U271" s="250">
        <v>0</v>
      </c>
      <c r="V271" s="250">
        <v>0</v>
      </c>
    </row>
    <row r="272" spans="2:22" ht="27">
      <c r="B272" s="15">
        <f t="shared" si="10"/>
        <v>5</v>
      </c>
      <c r="C272" s="249" t="s">
        <v>1075</v>
      </c>
      <c r="D272" s="254">
        <v>1</v>
      </c>
      <c r="E272" s="250">
        <f>74043+185021</f>
        <v>259064</v>
      </c>
      <c r="F272" s="369">
        <v>191194146</v>
      </c>
      <c r="G272" s="342">
        <v>40179</v>
      </c>
      <c r="H272" s="239" t="s">
        <v>4366</v>
      </c>
      <c r="I272" s="300">
        <v>42004</v>
      </c>
      <c r="J272" s="301">
        <v>1826</v>
      </c>
      <c r="K272" s="301">
        <v>1551</v>
      </c>
      <c r="L272" s="301">
        <v>275</v>
      </c>
      <c r="M272" s="301">
        <v>12953</v>
      </c>
      <c r="N272" s="301">
        <v>193853</v>
      </c>
      <c r="O272" s="292">
        <v>0</v>
      </c>
      <c r="P272" s="301">
        <v>0</v>
      </c>
      <c r="Q272" s="301">
        <v>0</v>
      </c>
      <c r="R272" s="292"/>
      <c r="S272" s="251">
        <v>0</v>
      </c>
      <c r="T272" s="250">
        <v>0</v>
      </c>
      <c r="U272" s="250">
        <v>0</v>
      </c>
      <c r="V272" s="250">
        <v>0</v>
      </c>
    </row>
    <row r="273" spans="2:22">
      <c r="B273" s="15">
        <f t="shared" si="10"/>
        <v>6</v>
      </c>
      <c r="C273" s="249" t="s">
        <v>366</v>
      </c>
      <c r="D273" s="254">
        <v>1</v>
      </c>
      <c r="E273" s="250">
        <v>46349</v>
      </c>
      <c r="F273" s="254" t="s">
        <v>176</v>
      </c>
      <c r="G273" s="342">
        <v>40329</v>
      </c>
      <c r="H273" s="228" t="s">
        <v>368</v>
      </c>
      <c r="I273" s="300">
        <v>42154</v>
      </c>
      <c r="J273" s="301">
        <v>1826</v>
      </c>
      <c r="K273" s="301">
        <v>1401</v>
      </c>
      <c r="L273" s="301">
        <v>425</v>
      </c>
      <c r="M273" s="301">
        <v>2317</v>
      </c>
      <c r="N273" s="301">
        <v>35588</v>
      </c>
      <c r="O273" s="292">
        <v>0</v>
      </c>
      <c r="P273" s="301">
        <v>7341</v>
      </c>
      <c r="Q273" s="301">
        <v>60</v>
      </c>
      <c r="R273" s="292">
        <v>5024</v>
      </c>
      <c r="S273" s="251">
        <v>0</v>
      </c>
      <c r="T273" s="250">
        <v>0</v>
      </c>
      <c r="U273" s="250">
        <v>7341</v>
      </c>
      <c r="V273" s="250">
        <v>0</v>
      </c>
    </row>
    <row r="274" spans="2:22" ht="27">
      <c r="B274" s="15">
        <f t="shared" si="10"/>
        <v>7</v>
      </c>
      <c r="C274" s="249" t="s">
        <v>632</v>
      </c>
      <c r="D274" s="254">
        <v>1</v>
      </c>
      <c r="E274" s="250">
        <v>4412</v>
      </c>
      <c r="F274" s="254" t="s">
        <v>178</v>
      </c>
      <c r="G274" s="342">
        <v>40400</v>
      </c>
      <c r="H274" s="228" t="s">
        <v>368</v>
      </c>
      <c r="I274" s="301">
        <v>0</v>
      </c>
      <c r="J274" s="301">
        <v>0</v>
      </c>
      <c r="K274" s="301">
        <v>0</v>
      </c>
      <c r="L274" s="301">
        <v>0</v>
      </c>
      <c r="M274" s="301">
        <v>0</v>
      </c>
      <c r="N274" s="301">
        <v>0</v>
      </c>
      <c r="O274" s="292">
        <v>0</v>
      </c>
      <c r="P274" s="301">
        <v>0</v>
      </c>
      <c r="Q274" s="301">
        <v>0</v>
      </c>
      <c r="R274" s="292">
        <v>-221</v>
      </c>
      <c r="S274" s="251">
        <v>0</v>
      </c>
      <c r="T274" s="250">
        <v>0</v>
      </c>
      <c r="U274" s="250">
        <v>0</v>
      </c>
      <c r="V274" s="250">
        <v>0</v>
      </c>
    </row>
    <row r="275" spans="2:22" ht="27">
      <c r="B275" s="15">
        <f t="shared" si="10"/>
        <v>8</v>
      </c>
      <c r="C275" s="249" t="s">
        <v>1022</v>
      </c>
      <c r="D275" s="254">
        <v>1</v>
      </c>
      <c r="E275" s="250">
        <v>16545</v>
      </c>
      <c r="F275" s="254" t="s">
        <v>177</v>
      </c>
      <c r="G275" s="342">
        <v>40388</v>
      </c>
      <c r="H275" s="228" t="s">
        <v>368</v>
      </c>
      <c r="I275" s="300">
        <v>42213</v>
      </c>
      <c r="J275" s="301">
        <v>1826</v>
      </c>
      <c r="K275" s="301">
        <v>1342</v>
      </c>
      <c r="L275" s="301">
        <v>484</v>
      </c>
      <c r="M275" s="301">
        <v>827</v>
      </c>
      <c r="N275" s="301">
        <v>12830</v>
      </c>
      <c r="O275" s="292">
        <v>0</v>
      </c>
      <c r="P275" s="301">
        <v>3981</v>
      </c>
      <c r="Q275" s="301">
        <v>119</v>
      </c>
      <c r="R275" s="292">
        <v>3154</v>
      </c>
      <c r="S275" s="251">
        <v>0</v>
      </c>
      <c r="T275" s="250">
        <v>0</v>
      </c>
      <c r="U275" s="250">
        <v>3981</v>
      </c>
      <c r="V275" s="250">
        <v>0</v>
      </c>
    </row>
    <row r="276" spans="2:22" ht="27">
      <c r="B276" s="15">
        <f t="shared" si="10"/>
        <v>9</v>
      </c>
      <c r="C276" s="249" t="s">
        <v>324</v>
      </c>
      <c r="D276" s="254">
        <v>1</v>
      </c>
      <c r="E276" s="250">
        <v>79676</v>
      </c>
      <c r="F276" s="254" t="s">
        <v>540</v>
      </c>
      <c r="G276" s="342">
        <v>40388</v>
      </c>
      <c r="H276" s="228" t="s">
        <v>368</v>
      </c>
      <c r="I276" s="300">
        <v>42213</v>
      </c>
      <c r="J276" s="301">
        <v>1826</v>
      </c>
      <c r="K276" s="301">
        <v>1342</v>
      </c>
      <c r="L276" s="301">
        <v>484</v>
      </c>
      <c r="M276" s="301">
        <v>3984</v>
      </c>
      <c r="N276" s="301">
        <v>61787</v>
      </c>
      <c r="O276" s="292">
        <v>0</v>
      </c>
      <c r="P276" s="301">
        <v>19175</v>
      </c>
      <c r="Q276" s="301">
        <v>119</v>
      </c>
      <c r="R276" s="292">
        <v>15191</v>
      </c>
      <c r="S276" s="251">
        <v>0</v>
      </c>
      <c r="T276" s="250">
        <v>0</v>
      </c>
      <c r="U276" s="250">
        <v>19175</v>
      </c>
      <c r="V276" s="250">
        <v>0</v>
      </c>
    </row>
    <row r="277" spans="2:22" ht="27">
      <c r="B277" s="15">
        <f t="shared" si="10"/>
        <v>10</v>
      </c>
      <c r="C277" s="249" t="s">
        <v>1088</v>
      </c>
      <c r="D277" s="254">
        <v>1</v>
      </c>
      <c r="E277" s="250">
        <v>83046</v>
      </c>
      <c r="F277" s="254" t="s">
        <v>1089</v>
      </c>
      <c r="G277" s="342">
        <v>40448</v>
      </c>
      <c r="H277" s="228" t="s">
        <v>161</v>
      </c>
      <c r="I277" s="300">
        <v>42273</v>
      </c>
      <c r="J277" s="301">
        <v>1826</v>
      </c>
      <c r="K277" s="301">
        <v>1282</v>
      </c>
      <c r="L277" s="301">
        <v>544</v>
      </c>
      <c r="M277" s="301">
        <v>4152</v>
      </c>
      <c r="N277" s="301">
        <v>65047</v>
      </c>
      <c r="O277" s="292">
        <v>0</v>
      </c>
      <c r="P277" s="301">
        <v>25555</v>
      </c>
      <c r="Q277" s="301">
        <v>179</v>
      </c>
      <c r="R277" s="292">
        <v>21403</v>
      </c>
      <c r="S277" s="251">
        <v>0</v>
      </c>
      <c r="T277" s="250">
        <v>0</v>
      </c>
      <c r="U277" s="250">
        <v>25555</v>
      </c>
      <c r="V277" s="250">
        <v>0</v>
      </c>
    </row>
    <row r="278" spans="2:22" ht="121.5">
      <c r="B278" s="15">
        <f t="shared" si="10"/>
        <v>11</v>
      </c>
      <c r="C278" s="249" t="s">
        <v>380</v>
      </c>
      <c r="D278" s="254">
        <v>1</v>
      </c>
      <c r="E278" s="250">
        <v>143368</v>
      </c>
      <c r="F278" s="254" t="s">
        <v>381</v>
      </c>
      <c r="G278" s="342">
        <v>40540</v>
      </c>
      <c r="H278" s="249" t="s">
        <v>368</v>
      </c>
      <c r="I278" s="300">
        <v>42365</v>
      </c>
      <c r="J278" s="301">
        <v>1826</v>
      </c>
      <c r="K278" s="301">
        <v>1190</v>
      </c>
      <c r="L278" s="301">
        <v>636</v>
      </c>
      <c r="M278" s="301">
        <v>7168</v>
      </c>
      <c r="N278" s="301">
        <v>114016</v>
      </c>
      <c r="O278" s="292">
        <v>0</v>
      </c>
      <c r="P278" s="301">
        <v>55750</v>
      </c>
      <c r="Q278" s="301">
        <v>271</v>
      </c>
      <c r="R278" s="292">
        <v>48582</v>
      </c>
      <c r="S278" s="251">
        <v>0</v>
      </c>
      <c r="T278" s="250">
        <v>0</v>
      </c>
      <c r="U278" s="250">
        <v>55750</v>
      </c>
      <c r="V278" s="250">
        <v>0</v>
      </c>
    </row>
    <row r="279" spans="2:22" ht="40.5">
      <c r="B279" s="15">
        <f t="shared" si="10"/>
        <v>12</v>
      </c>
      <c r="C279" s="249" t="s">
        <v>382</v>
      </c>
      <c r="D279" s="254">
        <f>1+1</f>
        <v>2</v>
      </c>
      <c r="E279" s="250">
        <v>44190</v>
      </c>
      <c r="F279" s="254" t="s">
        <v>383</v>
      </c>
      <c r="G279" s="342">
        <v>40540</v>
      </c>
      <c r="H279" s="249" t="s">
        <v>368</v>
      </c>
      <c r="I279" s="300">
        <v>42365</v>
      </c>
      <c r="J279" s="301">
        <v>1826</v>
      </c>
      <c r="K279" s="301">
        <v>1190</v>
      </c>
      <c r="L279" s="301">
        <v>636</v>
      </c>
      <c r="M279" s="301">
        <v>2210</v>
      </c>
      <c r="N279" s="301">
        <v>35141</v>
      </c>
      <c r="O279" s="292">
        <v>0</v>
      </c>
      <c r="P279" s="301">
        <v>17184</v>
      </c>
      <c r="Q279" s="301">
        <v>271</v>
      </c>
      <c r="R279" s="292">
        <v>14975</v>
      </c>
      <c r="S279" s="251">
        <v>0</v>
      </c>
      <c r="T279" s="250">
        <v>0</v>
      </c>
      <c r="U279" s="250">
        <v>17184</v>
      </c>
      <c r="V279" s="250">
        <v>0</v>
      </c>
    </row>
    <row r="280" spans="2:22" ht="54">
      <c r="B280" s="15">
        <f t="shared" si="10"/>
        <v>13</v>
      </c>
      <c r="C280" s="249" t="s">
        <v>313</v>
      </c>
      <c r="D280" s="254" t="s">
        <v>314</v>
      </c>
      <c r="E280" s="250">
        <v>155178</v>
      </c>
      <c r="F280" s="254" t="s">
        <v>315</v>
      </c>
      <c r="G280" s="342">
        <v>40591</v>
      </c>
      <c r="H280" s="228" t="s">
        <v>368</v>
      </c>
      <c r="I280" s="300">
        <v>42416</v>
      </c>
      <c r="J280" s="301">
        <v>1826</v>
      </c>
      <c r="K280" s="301">
        <v>1139</v>
      </c>
      <c r="L280" s="301">
        <v>687</v>
      </c>
      <c r="M280" s="301">
        <v>7759</v>
      </c>
      <c r="N280" s="301">
        <v>124437</v>
      </c>
      <c r="O280" s="292">
        <v>0</v>
      </c>
      <c r="P280" s="301">
        <v>66083</v>
      </c>
      <c r="Q280" s="301">
        <v>322</v>
      </c>
      <c r="R280" s="292">
        <v>58324</v>
      </c>
      <c r="S280" s="251">
        <v>0</v>
      </c>
      <c r="T280" s="250">
        <v>0</v>
      </c>
      <c r="U280" s="250">
        <v>66083</v>
      </c>
      <c r="V280" s="250">
        <v>0</v>
      </c>
    </row>
    <row r="281" spans="2:22" ht="27">
      <c r="B281" s="15">
        <f t="shared" si="10"/>
        <v>14</v>
      </c>
      <c r="C281" s="249" t="s">
        <v>125</v>
      </c>
      <c r="D281" s="254" t="s">
        <v>314</v>
      </c>
      <c r="E281" s="250">
        <v>602564</v>
      </c>
      <c r="F281" s="254" t="s">
        <v>126</v>
      </c>
      <c r="G281" s="342">
        <v>40553</v>
      </c>
      <c r="H281" s="228" t="s">
        <v>368</v>
      </c>
      <c r="I281" s="300">
        <v>42378</v>
      </c>
      <c r="J281" s="301">
        <v>1826</v>
      </c>
      <c r="K281" s="301">
        <v>1177</v>
      </c>
      <c r="L281" s="301">
        <v>649</v>
      </c>
      <c r="M281" s="301">
        <v>30128</v>
      </c>
      <c r="N281" s="301">
        <v>480218</v>
      </c>
      <c r="O281" s="292">
        <v>0</v>
      </c>
      <c r="P281" s="301">
        <v>240270</v>
      </c>
      <c r="Q281" s="301">
        <v>284</v>
      </c>
      <c r="R281" s="292">
        <v>210142</v>
      </c>
      <c r="S281" s="251">
        <v>0</v>
      </c>
      <c r="T281" s="250">
        <v>0</v>
      </c>
      <c r="U281" s="250">
        <v>240270</v>
      </c>
      <c r="V281" s="250">
        <v>0</v>
      </c>
    </row>
    <row r="282" spans="2:22" ht="27">
      <c r="B282" s="15">
        <f t="shared" si="10"/>
        <v>15</v>
      </c>
      <c r="C282" s="249" t="s">
        <v>393</v>
      </c>
      <c r="D282" s="364">
        <v>0</v>
      </c>
      <c r="E282" s="250">
        <v>24648</v>
      </c>
      <c r="F282" s="254" t="s">
        <v>394</v>
      </c>
      <c r="G282" s="342">
        <v>40526</v>
      </c>
      <c r="H282" s="228" t="s">
        <v>368</v>
      </c>
      <c r="I282" s="300">
        <v>42351</v>
      </c>
      <c r="J282" s="301">
        <v>1826</v>
      </c>
      <c r="K282" s="301">
        <v>1204</v>
      </c>
      <c r="L282" s="301">
        <v>622</v>
      </c>
      <c r="M282" s="301">
        <v>1232</v>
      </c>
      <c r="N282" s="301">
        <v>19558</v>
      </c>
      <c r="O282" s="292">
        <v>0</v>
      </c>
      <c r="P282" s="301">
        <v>9313</v>
      </c>
      <c r="Q282" s="301">
        <v>257</v>
      </c>
      <c r="R282" s="292">
        <v>8081</v>
      </c>
      <c r="S282" s="251">
        <v>0</v>
      </c>
      <c r="T282" s="250">
        <v>0</v>
      </c>
      <c r="U282" s="250">
        <v>9313</v>
      </c>
      <c r="V282" s="250">
        <v>0</v>
      </c>
    </row>
    <row r="283" spans="2:22" ht="27">
      <c r="B283" s="15">
        <f t="shared" si="10"/>
        <v>16</v>
      </c>
      <c r="C283" s="249" t="s">
        <v>1013</v>
      </c>
      <c r="D283" s="364">
        <v>0</v>
      </c>
      <c r="E283" s="250">
        <v>972000</v>
      </c>
      <c r="F283" s="254" t="s">
        <v>1014</v>
      </c>
      <c r="G283" s="342">
        <v>40560</v>
      </c>
      <c r="H283" s="228" t="s">
        <v>368</v>
      </c>
      <c r="I283" s="300">
        <v>42385</v>
      </c>
      <c r="J283" s="301">
        <v>1826</v>
      </c>
      <c r="K283" s="301">
        <v>1170</v>
      </c>
      <c r="L283" s="301">
        <v>656</v>
      </c>
      <c r="M283" s="301">
        <v>48600</v>
      </c>
      <c r="N283" s="301">
        <v>775530</v>
      </c>
      <c r="O283" s="292">
        <v>0</v>
      </c>
      <c r="P283" s="301">
        <v>392623</v>
      </c>
      <c r="Q283" s="301">
        <v>291</v>
      </c>
      <c r="R283" s="292">
        <v>344023</v>
      </c>
      <c r="S283" s="251">
        <v>0</v>
      </c>
      <c r="T283" s="250">
        <v>0</v>
      </c>
      <c r="U283" s="250">
        <v>392623</v>
      </c>
      <c r="V283" s="250">
        <v>0</v>
      </c>
    </row>
    <row r="284" spans="2:22">
      <c r="B284" s="15">
        <f t="shared" si="10"/>
        <v>17</v>
      </c>
      <c r="C284" s="249" t="s">
        <v>357</v>
      </c>
      <c r="D284" s="254">
        <v>1</v>
      </c>
      <c r="E284" s="250">
        <v>657752</v>
      </c>
      <c r="F284" s="254" t="s">
        <v>42</v>
      </c>
      <c r="G284" s="342">
        <v>40644</v>
      </c>
      <c r="H284" s="228" t="s">
        <v>368</v>
      </c>
      <c r="I284" s="300">
        <v>42470</v>
      </c>
      <c r="J284" s="301">
        <v>1827</v>
      </c>
      <c r="K284" s="301">
        <v>1086</v>
      </c>
      <c r="L284" s="301">
        <v>741</v>
      </c>
      <c r="M284" s="301">
        <v>32888</v>
      </c>
      <c r="N284" s="301">
        <v>531990</v>
      </c>
      <c r="O284" s="292">
        <v>0</v>
      </c>
      <c r="P284" s="301">
        <v>302832</v>
      </c>
      <c r="Q284" s="301">
        <v>376</v>
      </c>
      <c r="R284" s="292">
        <v>269944</v>
      </c>
      <c r="S284" s="251">
        <v>0</v>
      </c>
      <c r="T284" s="250">
        <v>0</v>
      </c>
      <c r="U284" s="250">
        <v>302832</v>
      </c>
      <c r="V284" s="250">
        <v>0</v>
      </c>
    </row>
    <row r="285" spans="2:22">
      <c r="B285" s="15">
        <f t="shared" si="10"/>
        <v>18</v>
      </c>
      <c r="C285" s="249" t="s">
        <v>1214</v>
      </c>
      <c r="D285" s="254">
        <v>3</v>
      </c>
      <c r="E285" s="250">
        <v>93281</v>
      </c>
      <c r="F285" s="254" t="s">
        <v>1215</v>
      </c>
      <c r="G285" s="342">
        <v>40634</v>
      </c>
      <c r="H285" s="228" t="s">
        <v>368</v>
      </c>
      <c r="I285" s="300">
        <v>42460</v>
      </c>
      <c r="J285" s="301">
        <v>1827</v>
      </c>
      <c r="K285" s="301">
        <v>1096</v>
      </c>
      <c r="L285" s="301">
        <v>731</v>
      </c>
      <c r="M285" s="301">
        <v>4664</v>
      </c>
      <c r="N285" s="301">
        <v>75323</v>
      </c>
      <c r="O285" s="292">
        <v>0</v>
      </c>
      <c r="P285" s="301">
        <v>42377</v>
      </c>
      <c r="Q285" s="301">
        <v>366</v>
      </c>
      <c r="R285" s="292">
        <v>37713</v>
      </c>
      <c r="S285" s="251">
        <v>0</v>
      </c>
      <c r="T285" s="250">
        <v>0</v>
      </c>
      <c r="U285" s="250">
        <v>42377</v>
      </c>
      <c r="V285" s="250">
        <v>0</v>
      </c>
    </row>
    <row r="286" spans="2:22" ht="27">
      <c r="B286" s="15">
        <f t="shared" si="10"/>
        <v>19</v>
      </c>
      <c r="C286" s="249" t="s">
        <v>1216</v>
      </c>
      <c r="D286" s="254" t="s">
        <v>314</v>
      </c>
      <c r="E286" s="250">
        <v>10869</v>
      </c>
      <c r="F286" s="254" t="s">
        <v>1217</v>
      </c>
      <c r="G286" s="342">
        <v>40634</v>
      </c>
      <c r="H286" s="228" t="s">
        <v>368</v>
      </c>
      <c r="I286" s="300">
        <v>42460</v>
      </c>
      <c r="J286" s="301">
        <v>1827</v>
      </c>
      <c r="K286" s="301">
        <v>1096</v>
      </c>
      <c r="L286" s="301">
        <v>731</v>
      </c>
      <c r="M286" s="301">
        <v>543</v>
      </c>
      <c r="N286" s="301">
        <v>8778</v>
      </c>
      <c r="O286" s="292">
        <v>0</v>
      </c>
      <c r="P286" s="301">
        <v>4938</v>
      </c>
      <c r="Q286" s="301">
        <v>366</v>
      </c>
      <c r="R286" s="292">
        <v>4395</v>
      </c>
      <c r="S286" s="251">
        <v>0</v>
      </c>
      <c r="T286" s="250">
        <v>0</v>
      </c>
      <c r="U286" s="250">
        <v>4938</v>
      </c>
      <c r="V286" s="250">
        <v>0</v>
      </c>
    </row>
    <row r="287" spans="2:22" ht="27">
      <c r="B287" s="15">
        <f t="shared" si="10"/>
        <v>20</v>
      </c>
      <c r="C287" s="249" t="s">
        <v>1218</v>
      </c>
      <c r="D287" s="254" t="s">
        <v>314</v>
      </c>
      <c r="E287" s="250">
        <v>32539</v>
      </c>
      <c r="F287" s="254" t="s">
        <v>1219</v>
      </c>
      <c r="G287" s="342">
        <v>40634</v>
      </c>
      <c r="H287" s="228" t="s">
        <v>368</v>
      </c>
      <c r="I287" s="300">
        <v>42460</v>
      </c>
      <c r="J287" s="301">
        <v>1827</v>
      </c>
      <c r="K287" s="301">
        <v>1096</v>
      </c>
      <c r="L287" s="301">
        <v>731</v>
      </c>
      <c r="M287" s="301">
        <v>1627</v>
      </c>
      <c r="N287" s="301">
        <v>26275</v>
      </c>
      <c r="O287" s="292">
        <v>0</v>
      </c>
      <c r="P287" s="301">
        <v>14782</v>
      </c>
      <c r="Q287" s="301">
        <v>366</v>
      </c>
      <c r="R287" s="292">
        <v>13155</v>
      </c>
      <c r="S287" s="251">
        <v>0</v>
      </c>
      <c r="T287" s="250">
        <v>0</v>
      </c>
      <c r="U287" s="250">
        <v>14782</v>
      </c>
      <c r="V287" s="250">
        <v>0</v>
      </c>
    </row>
    <row r="288" spans="2:22" ht="27">
      <c r="B288" s="15">
        <f t="shared" si="10"/>
        <v>21</v>
      </c>
      <c r="C288" s="249" t="s">
        <v>1462</v>
      </c>
      <c r="D288" s="254" t="s">
        <v>314</v>
      </c>
      <c r="E288" s="250">
        <v>372916</v>
      </c>
      <c r="F288" s="254" t="s">
        <v>1463</v>
      </c>
      <c r="G288" s="342">
        <v>40887</v>
      </c>
      <c r="H288" s="228" t="s">
        <v>368</v>
      </c>
      <c r="I288" s="300">
        <v>42713</v>
      </c>
      <c r="J288" s="301">
        <v>1827</v>
      </c>
      <c r="K288" s="301">
        <v>843</v>
      </c>
      <c r="L288" s="301">
        <v>984</v>
      </c>
      <c r="M288" s="301">
        <v>18646</v>
      </c>
      <c r="N288" s="301">
        <v>313373</v>
      </c>
      <c r="O288" s="292">
        <v>0</v>
      </c>
      <c r="P288" s="301">
        <v>215778</v>
      </c>
      <c r="Q288" s="301">
        <v>619</v>
      </c>
      <c r="R288" s="292">
        <v>197132</v>
      </c>
      <c r="S288" s="251">
        <v>0</v>
      </c>
      <c r="T288" s="250">
        <v>0</v>
      </c>
      <c r="U288" s="250">
        <v>215778</v>
      </c>
      <c r="V288" s="250">
        <v>0</v>
      </c>
    </row>
    <row r="289" spans="2:22" ht="27">
      <c r="B289" s="15">
        <f t="shared" si="10"/>
        <v>22</v>
      </c>
      <c r="C289" s="249" t="s">
        <v>1464</v>
      </c>
      <c r="D289" s="254" t="s">
        <v>314</v>
      </c>
      <c r="E289" s="250">
        <v>65077</v>
      </c>
      <c r="F289" s="254" t="s">
        <v>1465</v>
      </c>
      <c r="G289" s="342">
        <v>40887</v>
      </c>
      <c r="H289" s="228" t="s">
        <v>368</v>
      </c>
      <c r="I289" s="300">
        <v>42713</v>
      </c>
      <c r="J289" s="301">
        <v>1827</v>
      </c>
      <c r="K289" s="301">
        <v>843</v>
      </c>
      <c r="L289" s="301">
        <v>984</v>
      </c>
      <c r="M289" s="301">
        <v>3254</v>
      </c>
      <c r="N289" s="301">
        <v>54686</v>
      </c>
      <c r="O289" s="292">
        <v>0</v>
      </c>
      <c r="P289" s="301">
        <v>37655</v>
      </c>
      <c r="Q289" s="301">
        <v>619</v>
      </c>
      <c r="R289" s="292">
        <v>34401</v>
      </c>
      <c r="S289" s="251">
        <v>0</v>
      </c>
      <c r="T289" s="250">
        <v>0</v>
      </c>
      <c r="U289" s="250">
        <v>37655</v>
      </c>
      <c r="V289" s="250">
        <v>0</v>
      </c>
    </row>
    <row r="290" spans="2:22" ht="27">
      <c r="B290" s="15">
        <f t="shared" si="10"/>
        <v>23</v>
      </c>
      <c r="C290" s="249" t="s">
        <v>1555</v>
      </c>
      <c r="D290" s="254" t="s">
        <v>314</v>
      </c>
      <c r="E290" s="250">
        <v>6521</v>
      </c>
      <c r="F290" s="254" t="s">
        <v>1556</v>
      </c>
      <c r="G290" s="342">
        <v>40711</v>
      </c>
      <c r="H290" s="228" t="s">
        <v>368</v>
      </c>
      <c r="I290" s="300">
        <v>42537</v>
      </c>
      <c r="J290" s="301">
        <v>1827</v>
      </c>
      <c r="K290" s="301">
        <v>1019</v>
      </c>
      <c r="L290" s="301">
        <v>808</v>
      </c>
      <c r="M290" s="301">
        <v>326</v>
      </c>
      <c r="N290" s="301">
        <v>5330</v>
      </c>
      <c r="O290" s="292">
        <v>0</v>
      </c>
      <c r="P290" s="301">
        <v>3248</v>
      </c>
      <c r="Q290" s="301">
        <v>443</v>
      </c>
      <c r="R290" s="292">
        <v>2922</v>
      </c>
      <c r="S290" s="251">
        <v>0</v>
      </c>
      <c r="T290" s="250">
        <v>0</v>
      </c>
      <c r="U290" s="250">
        <v>3248</v>
      </c>
      <c r="V290" s="250">
        <v>0</v>
      </c>
    </row>
    <row r="291" spans="2:22" ht="27">
      <c r="B291" s="15">
        <f t="shared" si="10"/>
        <v>24</v>
      </c>
      <c r="C291" s="249" t="s">
        <v>1557</v>
      </c>
      <c r="D291" s="254" t="s">
        <v>314</v>
      </c>
      <c r="E291" s="250">
        <v>13837</v>
      </c>
      <c r="F291" s="254" t="s">
        <v>1558</v>
      </c>
      <c r="G291" s="342">
        <v>40856</v>
      </c>
      <c r="H291" s="228" t="s">
        <v>368</v>
      </c>
      <c r="I291" s="300">
        <v>42682</v>
      </c>
      <c r="J291" s="301">
        <v>1827</v>
      </c>
      <c r="K291" s="301">
        <v>874</v>
      </c>
      <c r="L291" s="301">
        <v>953</v>
      </c>
      <c r="M291" s="301">
        <v>692</v>
      </c>
      <c r="N291" s="301">
        <v>11573</v>
      </c>
      <c r="O291" s="292">
        <v>0</v>
      </c>
      <c r="P291" s="301">
        <v>7833</v>
      </c>
      <c r="Q291" s="301">
        <v>588</v>
      </c>
      <c r="R291" s="292">
        <v>7141</v>
      </c>
      <c r="S291" s="251">
        <v>0</v>
      </c>
      <c r="T291" s="250">
        <v>0</v>
      </c>
      <c r="U291" s="250">
        <v>7833</v>
      </c>
      <c r="V291" s="250">
        <v>0</v>
      </c>
    </row>
    <row r="292" spans="2:22" ht="27">
      <c r="B292" s="15">
        <f t="shared" si="10"/>
        <v>25</v>
      </c>
      <c r="C292" s="249" t="s">
        <v>1559</v>
      </c>
      <c r="D292" s="254" t="s">
        <v>314</v>
      </c>
      <c r="E292" s="250">
        <v>35181</v>
      </c>
      <c r="F292" s="254" t="s">
        <v>1560</v>
      </c>
      <c r="G292" s="342">
        <v>40721</v>
      </c>
      <c r="H292" s="228" t="s">
        <v>161</v>
      </c>
      <c r="I292" s="300">
        <v>42547</v>
      </c>
      <c r="J292" s="301">
        <v>1827</v>
      </c>
      <c r="K292" s="301">
        <v>1009</v>
      </c>
      <c r="L292" s="301">
        <v>818</v>
      </c>
      <c r="M292" s="301">
        <v>1759</v>
      </c>
      <c r="N292" s="301">
        <v>28807</v>
      </c>
      <c r="O292" s="292">
        <v>0</v>
      </c>
      <c r="P292" s="301">
        <v>17712</v>
      </c>
      <c r="Q292" s="301">
        <v>453</v>
      </c>
      <c r="R292" s="292">
        <v>15953</v>
      </c>
      <c r="S292" s="251">
        <v>0</v>
      </c>
      <c r="T292" s="250">
        <v>0</v>
      </c>
      <c r="U292" s="250">
        <v>17712</v>
      </c>
      <c r="V292" s="250">
        <v>0</v>
      </c>
    </row>
    <row r="293" spans="2:22" ht="27">
      <c r="B293" s="15">
        <f t="shared" si="10"/>
        <v>26</v>
      </c>
      <c r="C293" s="249" t="s">
        <v>1618</v>
      </c>
      <c r="D293" s="254" t="s">
        <v>314</v>
      </c>
      <c r="E293" s="250">
        <v>15442</v>
      </c>
      <c r="F293" s="254" t="s">
        <v>1619</v>
      </c>
      <c r="G293" s="342">
        <v>40859</v>
      </c>
      <c r="H293" s="228" t="s">
        <v>161</v>
      </c>
      <c r="I293" s="300">
        <v>42685</v>
      </c>
      <c r="J293" s="301">
        <v>1827</v>
      </c>
      <c r="K293" s="301">
        <v>871</v>
      </c>
      <c r="L293" s="301">
        <v>956</v>
      </c>
      <c r="M293" s="301">
        <v>772</v>
      </c>
      <c r="N293" s="301">
        <v>12921</v>
      </c>
      <c r="O293" s="292">
        <v>0</v>
      </c>
      <c r="P293" s="301">
        <v>8760</v>
      </c>
      <c r="Q293" s="301">
        <v>591</v>
      </c>
      <c r="R293" s="292">
        <v>7988</v>
      </c>
      <c r="S293" s="251">
        <v>0</v>
      </c>
      <c r="T293" s="250">
        <v>0</v>
      </c>
      <c r="U293" s="250">
        <v>8760</v>
      </c>
      <c r="V293" s="250">
        <v>0</v>
      </c>
    </row>
    <row r="294" spans="2:22">
      <c r="B294" s="15">
        <f t="shared" si="10"/>
        <v>27</v>
      </c>
      <c r="C294" s="249" t="s">
        <v>1620</v>
      </c>
      <c r="D294" s="254" t="s">
        <v>314</v>
      </c>
      <c r="E294" s="250">
        <v>26618</v>
      </c>
      <c r="F294" s="254" t="s">
        <v>1621</v>
      </c>
      <c r="G294" s="342">
        <v>40859</v>
      </c>
      <c r="H294" s="228" t="s">
        <v>161</v>
      </c>
      <c r="I294" s="300">
        <v>42685</v>
      </c>
      <c r="J294" s="301">
        <v>1827</v>
      </c>
      <c r="K294" s="301">
        <v>871</v>
      </c>
      <c r="L294" s="301">
        <v>956</v>
      </c>
      <c r="M294" s="301">
        <v>1331</v>
      </c>
      <c r="N294" s="301">
        <v>22272</v>
      </c>
      <c r="O294" s="292">
        <v>0</v>
      </c>
      <c r="P294" s="301">
        <v>15100</v>
      </c>
      <c r="Q294" s="301">
        <v>591</v>
      </c>
      <c r="R294" s="292">
        <v>13769</v>
      </c>
      <c r="S294" s="251">
        <v>0</v>
      </c>
      <c r="T294" s="250">
        <v>0</v>
      </c>
      <c r="U294" s="250">
        <v>15100</v>
      </c>
      <c r="V294" s="250">
        <v>0</v>
      </c>
    </row>
    <row r="295" spans="2:22" ht="27">
      <c r="B295" s="15">
        <f t="shared" si="10"/>
        <v>28</v>
      </c>
      <c r="C295" s="249" t="s">
        <v>1661</v>
      </c>
      <c r="D295" s="254" t="s">
        <v>314</v>
      </c>
      <c r="E295" s="250">
        <v>34283</v>
      </c>
      <c r="F295" s="254" t="s">
        <v>1662</v>
      </c>
      <c r="G295" s="342">
        <v>40931</v>
      </c>
      <c r="H295" s="228" t="s">
        <v>1268</v>
      </c>
      <c r="I295" s="300">
        <v>42757</v>
      </c>
      <c r="J295" s="301">
        <v>1827</v>
      </c>
      <c r="K295" s="301">
        <v>799</v>
      </c>
      <c r="L295" s="301">
        <v>1028</v>
      </c>
      <c r="M295" s="301">
        <v>1714</v>
      </c>
      <c r="N295" s="301">
        <v>29006</v>
      </c>
      <c r="O295" s="292">
        <v>0</v>
      </c>
      <c r="P295" s="301">
        <v>20421</v>
      </c>
      <c r="Q295" s="301">
        <v>663</v>
      </c>
      <c r="R295" s="292">
        <v>18707</v>
      </c>
      <c r="S295" s="251">
        <v>0</v>
      </c>
      <c r="T295" s="250">
        <v>0</v>
      </c>
      <c r="U295" s="250">
        <v>20421</v>
      </c>
      <c r="V295" s="250">
        <v>0</v>
      </c>
    </row>
    <row r="296" spans="2:22" ht="27">
      <c r="B296" s="15">
        <f t="shared" si="10"/>
        <v>29</v>
      </c>
      <c r="C296" s="249" t="s">
        <v>1753</v>
      </c>
      <c r="D296" s="254" t="s">
        <v>314</v>
      </c>
      <c r="E296" s="250">
        <v>651036</v>
      </c>
      <c r="F296" s="249" t="s">
        <v>1752</v>
      </c>
      <c r="G296" s="342">
        <v>40928</v>
      </c>
      <c r="H296" s="228" t="s">
        <v>368</v>
      </c>
      <c r="I296" s="300">
        <v>42754</v>
      </c>
      <c r="J296" s="301">
        <v>1827</v>
      </c>
      <c r="K296" s="301">
        <v>802</v>
      </c>
      <c r="L296" s="301">
        <v>1025</v>
      </c>
      <c r="M296" s="301">
        <v>32552</v>
      </c>
      <c r="N296" s="301">
        <v>550553</v>
      </c>
      <c r="O296" s="292">
        <v>0</v>
      </c>
      <c r="P296" s="301">
        <v>387054</v>
      </c>
      <c r="Q296" s="301">
        <v>660</v>
      </c>
      <c r="R296" s="292">
        <v>354502</v>
      </c>
      <c r="S296" s="251">
        <v>0</v>
      </c>
      <c r="T296" s="250">
        <v>0</v>
      </c>
      <c r="U296" s="250">
        <v>387054</v>
      </c>
      <c r="V296" s="250">
        <v>0</v>
      </c>
    </row>
    <row r="297" spans="2:22">
      <c r="B297" s="15">
        <f t="shared" si="10"/>
        <v>30</v>
      </c>
      <c r="C297" s="249" t="s">
        <v>1894</v>
      </c>
      <c r="D297" s="254" t="s">
        <v>314</v>
      </c>
      <c r="E297" s="250">
        <v>7238</v>
      </c>
      <c r="F297" s="254" t="s">
        <v>1893</v>
      </c>
      <c r="G297" s="342">
        <v>41089</v>
      </c>
      <c r="H297" s="239" t="s">
        <v>4366</v>
      </c>
      <c r="I297" s="300">
        <v>42914</v>
      </c>
      <c r="J297" s="301">
        <v>1826</v>
      </c>
      <c r="K297" s="301">
        <v>641</v>
      </c>
      <c r="L297" s="301">
        <v>1185</v>
      </c>
      <c r="M297" s="301">
        <v>362</v>
      </c>
      <c r="N297" s="301">
        <v>6272</v>
      </c>
      <c r="O297" s="292">
        <v>0</v>
      </c>
      <c r="P297" s="301">
        <v>4702</v>
      </c>
      <c r="Q297" s="301">
        <v>820</v>
      </c>
      <c r="R297" s="292">
        <v>4340</v>
      </c>
      <c r="S297" s="251">
        <v>0</v>
      </c>
      <c r="T297" s="250">
        <v>0</v>
      </c>
      <c r="U297" s="250">
        <v>4702</v>
      </c>
      <c r="V297" s="250">
        <v>0</v>
      </c>
    </row>
    <row r="298" spans="2:22" ht="27">
      <c r="B298" s="15">
        <f t="shared" si="10"/>
        <v>31</v>
      </c>
      <c r="C298" s="249" t="s">
        <v>2040</v>
      </c>
      <c r="D298" s="254" t="s">
        <v>314</v>
      </c>
      <c r="E298" s="250">
        <v>240503</v>
      </c>
      <c r="F298" s="254" t="s">
        <v>2042</v>
      </c>
      <c r="G298" s="342">
        <v>41358</v>
      </c>
      <c r="H298" s="228" t="s">
        <v>368</v>
      </c>
      <c r="I298" s="300">
        <v>43183</v>
      </c>
      <c r="J298" s="301">
        <v>1826</v>
      </c>
      <c r="K298" s="301">
        <v>372</v>
      </c>
      <c r="L298" s="301">
        <v>1454</v>
      </c>
      <c r="M298" s="301">
        <v>12025</v>
      </c>
      <c r="N298" s="301">
        <v>216835</v>
      </c>
      <c r="O298" s="292">
        <v>0</v>
      </c>
      <c r="P298" s="301">
        <v>174428</v>
      </c>
      <c r="Q298" s="301">
        <v>1089</v>
      </c>
      <c r="R298" s="292">
        <v>162403</v>
      </c>
      <c r="S298" s="251">
        <v>0</v>
      </c>
      <c r="T298" s="250">
        <v>0</v>
      </c>
      <c r="U298" s="250">
        <v>174428</v>
      </c>
      <c r="V298" s="250">
        <v>0</v>
      </c>
    </row>
    <row r="299" spans="2:22" ht="27">
      <c r="B299" s="15">
        <f t="shared" si="10"/>
        <v>32</v>
      </c>
      <c r="C299" s="249" t="s">
        <v>2041</v>
      </c>
      <c r="D299" s="254" t="s">
        <v>314</v>
      </c>
      <c r="E299" s="250">
        <v>78652</v>
      </c>
      <c r="F299" s="254" t="s">
        <v>2043</v>
      </c>
      <c r="G299" s="342">
        <v>41358</v>
      </c>
      <c r="H299" s="228" t="s">
        <v>368</v>
      </c>
      <c r="I299" s="300">
        <v>43183</v>
      </c>
      <c r="J299" s="301">
        <v>1826</v>
      </c>
      <c r="K299" s="301">
        <v>372</v>
      </c>
      <c r="L299" s="301">
        <v>1454</v>
      </c>
      <c r="M299" s="301">
        <v>3933</v>
      </c>
      <c r="N299" s="301">
        <v>70911</v>
      </c>
      <c r="O299" s="292">
        <v>0</v>
      </c>
      <c r="P299" s="301">
        <v>57043</v>
      </c>
      <c r="Q299" s="301">
        <v>1089</v>
      </c>
      <c r="R299" s="292">
        <v>53110</v>
      </c>
      <c r="S299" s="251">
        <v>0</v>
      </c>
      <c r="T299" s="250">
        <v>0</v>
      </c>
      <c r="U299" s="250">
        <v>57043</v>
      </c>
      <c r="V299" s="250">
        <v>0</v>
      </c>
    </row>
    <row r="300" spans="2:22" ht="27">
      <c r="B300" s="15">
        <f t="shared" si="10"/>
        <v>33</v>
      </c>
      <c r="C300" s="249" t="s">
        <v>2188</v>
      </c>
      <c r="D300" s="254" t="s">
        <v>2186</v>
      </c>
      <c r="E300" s="250">
        <f>276629</f>
        <v>276629</v>
      </c>
      <c r="F300" s="254" t="s">
        <v>2187</v>
      </c>
      <c r="G300" s="342">
        <v>41438</v>
      </c>
      <c r="H300" s="228" t="s">
        <v>368</v>
      </c>
      <c r="I300" s="300">
        <v>43263</v>
      </c>
      <c r="J300" s="301">
        <v>1826</v>
      </c>
      <c r="K300" s="301">
        <v>292</v>
      </c>
      <c r="L300" s="301">
        <v>1534</v>
      </c>
      <c r="M300" s="301">
        <v>13831</v>
      </c>
      <c r="N300" s="301">
        <v>252286</v>
      </c>
      <c r="O300" s="292">
        <v>0</v>
      </c>
      <c r="P300" s="301">
        <v>206088</v>
      </c>
      <c r="Q300" s="301">
        <v>1169</v>
      </c>
      <c r="R300" s="292">
        <v>192257</v>
      </c>
      <c r="S300" s="251">
        <v>0</v>
      </c>
      <c r="T300" s="250">
        <v>0</v>
      </c>
      <c r="U300" s="250">
        <v>206088</v>
      </c>
      <c r="V300" s="250">
        <v>0</v>
      </c>
    </row>
    <row r="301" spans="2:22" ht="27">
      <c r="B301" s="15">
        <f t="shared" si="10"/>
        <v>34</v>
      </c>
      <c r="C301" s="249" t="s">
        <v>2214</v>
      </c>
      <c r="D301" s="254" t="s">
        <v>314</v>
      </c>
      <c r="E301" s="250">
        <v>132070</v>
      </c>
      <c r="F301" s="254" t="s">
        <v>2215</v>
      </c>
      <c r="G301" s="342">
        <v>41473</v>
      </c>
      <c r="H301" s="228" t="s">
        <v>368</v>
      </c>
      <c r="I301" s="300">
        <v>43298</v>
      </c>
      <c r="J301" s="301">
        <v>1826</v>
      </c>
      <c r="K301" s="301">
        <v>257</v>
      </c>
      <c r="L301" s="301">
        <v>1569</v>
      </c>
      <c r="M301" s="301">
        <v>6604</v>
      </c>
      <c r="N301" s="301">
        <v>121049</v>
      </c>
      <c r="O301" s="292">
        <v>0</v>
      </c>
      <c r="P301" s="301">
        <v>99493</v>
      </c>
      <c r="Q301" s="301">
        <v>1204</v>
      </c>
      <c r="R301" s="292">
        <v>92890</v>
      </c>
      <c r="S301" s="251">
        <v>0</v>
      </c>
      <c r="T301" s="250">
        <v>0</v>
      </c>
      <c r="U301" s="250">
        <v>99493</v>
      </c>
      <c r="V301" s="250">
        <v>0</v>
      </c>
    </row>
    <row r="302" spans="2:22">
      <c r="B302" s="15">
        <f t="shared" si="10"/>
        <v>35</v>
      </c>
      <c r="C302" s="249" t="s">
        <v>2234</v>
      </c>
      <c r="D302" s="254" t="s">
        <v>314</v>
      </c>
      <c r="E302" s="250">
        <v>10395</v>
      </c>
      <c r="F302" s="254" t="s">
        <v>2235</v>
      </c>
      <c r="G302" s="342">
        <v>41543</v>
      </c>
      <c r="H302" s="228" t="s">
        <v>161</v>
      </c>
      <c r="I302" s="300">
        <v>43368</v>
      </c>
      <c r="J302" s="301">
        <v>1826</v>
      </c>
      <c r="K302" s="301">
        <v>187</v>
      </c>
      <c r="L302" s="301">
        <v>1639</v>
      </c>
      <c r="M302" s="301">
        <v>520</v>
      </c>
      <c r="N302" s="301">
        <v>9622</v>
      </c>
      <c r="O302" s="292">
        <v>0</v>
      </c>
      <c r="P302" s="301">
        <v>7999</v>
      </c>
      <c r="Q302" s="301">
        <v>1274</v>
      </c>
      <c r="R302" s="292">
        <v>7479</v>
      </c>
      <c r="S302" s="251">
        <v>0</v>
      </c>
      <c r="T302" s="250">
        <v>0</v>
      </c>
      <c r="U302" s="250">
        <v>7999</v>
      </c>
      <c r="V302" s="250">
        <v>0</v>
      </c>
    </row>
    <row r="303" spans="2:22">
      <c r="B303" s="15">
        <f t="shared" si="10"/>
        <v>36</v>
      </c>
      <c r="C303" s="249" t="s">
        <v>2273</v>
      </c>
      <c r="D303" s="254" t="s">
        <v>314</v>
      </c>
      <c r="E303" s="250">
        <v>63825</v>
      </c>
      <c r="F303" s="254" t="s">
        <v>2274</v>
      </c>
      <c r="G303" s="342">
        <v>41543</v>
      </c>
      <c r="H303" s="228" t="s">
        <v>368</v>
      </c>
      <c r="I303" s="300">
        <v>43368</v>
      </c>
      <c r="J303" s="301">
        <v>1826</v>
      </c>
      <c r="K303" s="301">
        <v>187</v>
      </c>
      <c r="L303" s="301">
        <v>1639</v>
      </c>
      <c r="M303" s="301">
        <v>3191</v>
      </c>
      <c r="N303" s="301">
        <v>59081</v>
      </c>
      <c r="O303" s="292">
        <v>0</v>
      </c>
      <c r="P303" s="301">
        <v>49115</v>
      </c>
      <c r="Q303" s="301">
        <v>1274</v>
      </c>
      <c r="R303" s="292">
        <v>45924</v>
      </c>
      <c r="S303" s="251">
        <v>0</v>
      </c>
      <c r="T303" s="250">
        <v>0</v>
      </c>
      <c r="U303" s="250">
        <v>49115</v>
      </c>
      <c r="V303" s="250">
        <v>0</v>
      </c>
    </row>
    <row r="304" spans="2:22">
      <c r="B304" s="15">
        <f t="shared" si="10"/>
        <v>37</v>
      </c>
      <c r="C304" s="249" t="s">
        <v>2277</v>
      </c>
      <c r="D304" s="254" t="s">
        <v>314</v>
      </c>
      <c r="E304" s="250">
        <v>8716</v>
      </c>
      <c r="F304" s="254" t="s">
        <v>2278</v>
      </c>
      <c r="G304" s="342">
        <v>41619</v>
      </c>
      <c r="H304" s="228" t="s">
        <v>368</v>
      </c>
      <c r="I304" s="300">
        <v>43444</v>
      </c>
      <c r="J304" s="301">
        <v>1826</v>
      </c>
      <c r="K304" s="301">
        <v>111</v>
      </c>
      <c r="L304" s="301">
        <v>1715</v>
      </c>
      <c r="M304" s="301">
        <v>436</v>
      </c>
      <c r="N304" s="301">
        <v>8154</v>
      </c>
      <c r="O304" s="292">
        <v>0</v>
      </c>
      <c r="P304" s="301">
        <v>6855</v>
      </c>
      <c r="Q304" s="301">
        <v>1350</v>
      </c>
      <c r="R304" s="292">
        <v>6419</v>
      </c>
      <c r="S304" s="251">
        <v>0</v>
      </c>
      <c r="T304" s="250">
        <v>0</v>
      </c>
      <c r="U304" s="250">
        <v>6855</v>
      </c>
      <c r="V304" s="250">
        <v>0</v>
      </c>
    </row>
    <row r="305" spans="2:22">
      <c r="B305" s="15">
        <f t="shared" si="10"/>
        <v>38</v>
      </c>
      <c r="C305" s="249" t="s">
        <v>2277</v>
      </c>
      <c r="D305" s="254" t="s">
        <v>314</v>
      </c>
      <c r="E305" s="250">
        <v>15370</v>
      </c>
      <c r="F305" s="254" t="s">
        <v>2283</v>
      </c>
      <c r="G305" s="342">
        <v>41625</v>
      </c>
      <c r="H305" s="228" t="s">
        <v>282</v>
      </c>
      <c r="I305" s="300">
        <v>43450</v>
      </c>
      <c r="J305" s="301">
        <v>1826</v>
      </c>
      <c r="K305" s="301">
        <v>105</v>
      </c>
      <c r="L305" s="301">
        <v>1721</v>
      </c>
      <c r="M305" s="301">
        <v>769</v>
      </c>
      <c r="N305" s="301">
        <v>14391</v>
      </c>
      <c r="O305" s="292">
        <v>0</v>
      </c>
      <c r="P305" s="301">
        <v>12108</v>
      </c>
      <c r="Q305" s="301">
        <v>1356</v>
      </c>
      <c r="R305" s="292">
        <v>11340</v>
      </c>
      <c r="S305" s="251">
        <v>0</v>
      </c>
      <c r="T305" s="250">
        <v>0</v>
      </c>
      <c r="U305" s="250">
        <v>12108</v>
      </c>
      <c r="V305" s="250">
        <v>0</v>
      </c>
    </row>
    <row r="306" spans="2:22">
      <c r="B306" s="15">
        <f t="shared" si="10"/>
        <v>39</v>
      </c>
      <c r="C306" s="249" t="s">
        <v>2277</v>
      </c>
      <c r="D306" s="254" t="s">
        <v>314</v>
      </c>
      <c r="E306" s="250">
        <v>38950</v>
      </c>
      <c r="F306" s="254" t="s">
        <v>2314</v>
      </c>
      <c r="G306" s="342">
        <v>41695</v>
      </c>
      <c r="H306" s="228" t="s">
        <v>368</v>
      </c>
      <c r="I306" s="300">
        <v>43520</v>
      </c>
      <c r="J306" s="301">
        <v>1826</v>
      </c>
      <c r="K306" s="301">
        <v>35</v>
      </c>
      <c r="L306" s="301">
        <v>1791</v>
      </c>
      <c r="M306" s="301">
        <v>1948</v>
      </c>
      <c r="N306" s="301">
        <v>36825</v>
      </c>
      <c r="O306" s="292">
        <v>0</v>
      </c>
      <c r="P306" s="301">
        <v>31268</v>
      </c>
      <c r="Q306" s="301">
        <v>1426</v>
      </c>
      <c r="R306" s="292">
        <v>29321</v>
      </c>
      <c r="S306" s="251">
        <v>0</v>
      </c>
      <c r="T306" s="250">
        <v>0</v>
      </c>
      <c r="U306" s="250">
        <v>31268</v>
      </c>
      <c r="V306" s="250">
        <v>0</v>
      </c>
    </row>
    <row r="307" spans="2:22">
      <c r="B307" s="15">
        <f t="shared" si="10"/>
        <v>40</v>
      </c>
      <c r="C307" s="249" t="s">
        <v>2421</v>
      </c>
      <c r="D307" s="254" t="s">
        <v>314</v>
      </c>
      <c r="E307" s="250">
        <v>521940</v>
      </c>
      <c r="F307" s="254" t="s">
        <v>2422</v>
      </c>
      <c r="G307" s="342">
        <v>41771</v>
      </c>
      <c r="H307" s="228" t="s">
        <v>368</v>
      </c>
      <c r="I307" s="300">
        <v>43596</v>
      </c>
      <c r="J307" s="301">
        <v>1826</v>
      </c>
      <c r="K307" s="301">
        <v>0</v>
      </c>
      <c r="L307" s="301">
        <v>1826</v>
      </c>
      <c r="M307" s="301">
        <v>26097</v>
      </c>
      <c r="N307" s="301">
        <v>495843</v>
      </c>
      <c r="O307" s="292">
        <v>0</v>
      </c>
      <c r="P307" s="301">
        <v>433959</v>
      </c>
      <c r="Q307" s="301">
        <v>1502</v>
      </c>
      <c r="R307" s="292">
        <v>407862</v>
      </c>
      <c r="S307" s="251">
        <v>0</v>
      </c>
      <c r="T307" s="250">
        <v>0</v>
      </c>
      <c r="U307" s="250">
        <v>433959</v>
      </c>
      <c r="V307" s="250">
        <v>0</v>
      </c>
    </row>
    <row r="308" spans="2:22">
      <c r="B308" s="15">
        <f t="shared" si="10"/>
        <v>41</v>
      </c>
      <c r="C308" s="249" t="s">
        <v>2423</v>
      </c>
      <c r="D308" s="254" t="s">
        <v>314</v>
      </c>
      <c r="E308" s="250">
        <v>210600</v>
      </c>
      <c r="F308" s="254" t="s">
        <v>2424</v>
      </c>
      <c r="G308" s="342">
        <v>41771</v>
      </c>
      <c r="H308" s="228" t="s">
        <v>368</v>
      </c>
      <c r="I308" s="300">
        <v>43596</v>
      </c>
      <c r="J308" s="301">
        <v>1826</v>
      </c>
      <c r="K308" s="301">
        <v>0</v>
      </c>
      <c r="L308" s="301">
        <v>1826</v>
      </c>
      <c r="M308" s="301">
        <v>10530</v>
      </c>
      <c r="N308" s="301">
        <v>200070</v>
      </c>
      <c r="O308" s="292">
        <v>0</v>
      </c>
      <c r="P308" s="301">
        <v>175100</v>
      </c>
      <c r="Q308" s="301">
        <v>1502</v>
      </c>
      <c r="R308" s="292">
        <v>164570</v>
      </c>
      <c r="S308" s="251">
        <v>0</v>
      </c>
      <c r="T308" s="250">
        <v>0</v>
      </c>
      <c r="U308" s="250">
        <v>175100</v>
      </c>
      <c r="V308" s="250">
        <v>0</v>
      </c>
    </row>
    <row r="309" spans="2:22">
      <c r="B309" s="15">
        <f t="shared" si="10"/>
        <v>42</v>
      </c>
      <c r="C309" s="249" t="s">
        <v>2423</v>
      </c>
      <c r="D309" s="254" t="s">
        <v>314</v>
      </c>
      <c r="E309" s="250">
        <v>76900</v>
      </c>
      <c r="F309" s="254" t="s">
        <v>2427</v>
      </c>
      <c r="G309" s="342">
        <v>41755</v>
      </c>
      <c r="H309" s="228" t="s">
        <v>368</v>
      </c>
      <c r="I309" s="300">
        <v>43580</v>
      </c>
      <c r="J309" s="301">
        <v>1826</v>
      </c>
      <c r="K309" s="301">
        <v>0</v>
      </c>
      <c r="L309" s="301">
        <v>1826</v>
      </c>
      <c r="M309" s="301">
        <v>3845</v>
      </c>
      <c r="N309" s="301">
        <v>73055</v>
      </c>
      <c r="O309" s="292">
        <v>0</v>
      </c>
      <c r="P309" s="301">
        <v>63297</v>
      </c>
      <c r="Q309" s="301">
        <v>1486</v>
      </c>
      <c r="R309" s="292">
        <v>59452</v>
      </c>
      <c r="S309" s="251">
        <v>0</v>
      </c>
      <c r="T309" s="250">
        <v>0</v>
      </c>
      <c r="U309" s="250">
        <v>63297</v>
      </c>
      <c r="V309" s="250">
        <v>0</v>
      </c>
    </row>
    <row r="310" spans="2:22">
      <c r="B310" s="15">
        <f t="shared" si="10"/>
        <v>43</v>
      </c>
      <c r="C310" s="249" t="s">
        <v>2425</v>
      </c>
      <c r="D310" s="254" t="s">
        <v>314</v>
      </c>
      <c r="E310" s="250">
        <v>211840</v>
      </c>
      <c r="F310" s="254" t="s">
        <v>2426</v>
      </c>
      <c r="G310" s="342">
        <v>41800</v>
      </c>
      <c r="H310" s="228" t="s">
        <v>368</v>
      </c>
      <c r="I310" s="300">
        <v>43625</v>
      </c>
      <c r="J310" s="301">
        <v>1826</v>
      </c>
      <c r="K310" s="301">
        <v>0</v>
      </c>
      <c r="L310" s="301">
        <v>1826</v>
      </c>
      <c r="M310" s="301">
        <v>10592</v>
      </c>
      <c r="N310" s="301">
        <v>201248</v>
      </c>
      <c r="O310" s="292">
        <v>0</v>
      </c>
      <c r="P310" s="301">
        <v>179327</v>
      </c>
      <c r="Q310" s="301">
        <v>1531</v>
      </c>
      <c r="R310" s="292">
        <v>168735</v>
      </c>
      <c r="S310" s="251">
        <v>0</v>
      </c>
      <c r="T310" s="250">
        <v>0</v>
      </c>
      <c r="U310" s="250">
        <v>179327</v>
      </c>
      <c r="V310" s="250">
        <v>0</v>
      </c>
    </row>
    <row r="311" spans="2:22" ht="27">
      <c r="B311" s="15">
        <f t="shared" si="10"/>
        <v>44</v>
      </c>
      <c r="C311" s="249" t="s">
        <v>2504</v>
      </c>
      <c r="D311" s="254" t="s">
        <v>314</v>
      </c>
      <c r="E311" s="250">
        <v>50880</v>
      </c>
      <c r="F311" s="254" t="s">
        <v>2505</v>
      </c>
      <c r="G311" s="342">
        <v>41870</v>
      </c>
      <c r="H311" s="228" t="s">
        <v>206</v>
      </c>
      <c r="I311" s="300">
        <v>43695</v>
      </c>
      <c r="J311" s="301">
        <v>1826</v>
      </c>
      <c r="K311" s="301">
        <v>0</v>
      </c>
      <c r="L311" s="301">
        <v>1826</v>
      </c>
      <c r="M311" s="301">
        <v>2544</v>
      </c>
      <c r="N311" s="301">
        <v>48336</v>
      </c>
      <c r="O311" s="292">
        <v>0</v>
      </c>
      <c r="P311" s="301">
        <v>44924</v>
      </c>
      <c r="Q311" s="301">
        <v>1601</v>
      </c>
      <c r="R311" s="292">
        <v>42380</v>
      </c>
      <c r="S311" s="251">
        <v>0</v>
      </c>
      <c r="T311" s="250">
        <v>0</v>
      </c>
      <c r="U311" s="250">
        <v>44924</v>
      </c>
      <c r="V311" s="250">
        <v>0</v>
      </c>
    </row>
    <row r="312" spans="2:22">
      <c r="B312" s="15">
        <f t="shared" si="10"/>
        <v>45</v>
      </c>
      <c r="C312" s="249" t="s">
        <v>2508</v>
      </c>
      <c r="D312" s="254" t="s">
        <v>314</v>
      </c>
      <c r="E312" s="250">
        <v>15830</v>
      </c>
      <c r="F312" s="254" t="s">
        <v>2509</v>
      </c>
      <c r="G312" s="342">
        <v>41895</v>
      </c>
      <c r="H312" s="228" t="s">
        <v>368</v>
      </c>
      <c r="I312" s="300">
        <v>43720</v>
      </c>
      <c r="J312" s="301">
        <v>1826</v>
      </c>
      <c r="K312" s="301">
        <v>0</v>
      </c>
      <c r="L312" s="301">
        <v>1826</v>
      </c>
      <c r="M312" s="301">
        <v>792</v>
      </c>
      <c r="N312" s="301">
        <v>15038</v>
      </c>
      <c r="O312" s="292">
        <v>0</v>
      </c>
      <c r="P312" s="301">
        <v>14183</v>
      </c>
      <c r="Q312" s="301">
        <v>1626</v>
      </c>
      <c r="R312" s="292">
        <v>13392</v>
      </c>
      <c r="S312" s="251">
        <v>0</v>
      </c>
      <c r="T312" s="250">
        <v>0</v>
      </c>
      <c r="U312" s="250">
        <v>14183</v>
      </c>
      <c r="V312" s="250">
        <v>0</v>
      </c>
    </row>
    <row r="313" spans="2:22">
      <c r="B313" s="15">
        <f t="shared" si="10"/>
        <v>46</v>
      </c>
      <c r="C313" s="249" t="s">
        <v>2565</v>
      </c>
      <c r="D313" s="254" t="s">
        <v>314</v>
      </c>
      <c r="E313" s="250">
        <v>95600</v>
      </c>
      <c r="F313" s="254" t="s">
        <v>2566</v>
      </c>
      <c r="G313" s="342">
        <v>41984</v>
      </c>
      <c r="H313" s="228" t="s">
        <v>368</v>
      </c>
      <c r="I313" s="300">
        <v>43809</v>
      </c>
      <c r="J313" s="301">
        <v>1826</v>
      </c>
      <c r="K313" s="301">
        <v>0</v>
      </c>
      <c r="L313" s="301">
        <v>1826</v>
      </c>
      <c r="M313" s="301">
        <v>4780</v>
      </c>
      <c r="N313" s="301">
        <v>90820</v>
      </c>
      <c r="O313" s="292">
        <v>0</v>
      </c>
      <c r="P313" s="301">
        <v>90079</v>
      </c>
      <c r="Q313" s="301">
        <v>1715</v>
      </c>
      <c r="R313" s="292">
        <v>85299</v>
      </c>
      <c r="S313" s="251">
        <v>0</v>
      </c>
      <c r="T313" s="250">
        <v>0</v>
      </c>
      <c r="U313" s="250">
        <v>90079</v>
      </c>
      <c r="V313" s="250">
        <v>0</v>
      </c>
    </row>
    <row r="314" spans="2:22">
      <c r="B314" s="15">
        <f t="shared" si="10"/>
        <v>47</v>
      </c>
      <c r="C314" s="249" t="s">
        <v>2783</v>
      </c>
      <c r="D314" s="254" t="s">
        <v>314</v>
      </c>
      <c r="E314" s="250">
        <v>92960</v>
      </c>
      <c r="F314" s="254">
        <v>3939</v>
      </c>
      <c r="G314" s="342">
        <v>42005</v>
      </c>
      <c r="H314" s="228" t="s">
        <v>368</v>
      </c>
      <c r="I314" s="300">
        <v>43830</v>
      </c>
      <c r="J314" s="301">
        <v>1826</v>
      </c>
      <c r="K314" s="301">
        <v>0</v>
      </c>
      <c r="L314" s="301">
        <v>1826</v>
      </c>
      <c r="M314" s="301">
        <v>4648</v>
      </c>
      <c r="N314" s="301">
        <v>88312</v>
      </c>
      <c r="O314" s="292">
        <v>0</v>
      </c>
      <c r="P314" s="301">
        <v>88607</v>
      </c>
      <c r="Q314" s="301">
        <v>1736</v>
      </c>
      <c r="R314" s="292">
        <v>83959</v>
      </c>
      <c r="S314" s="251">
        <v>0</v>
      </c>
      <c r="T314" s="250">
        <v>0</v>
      </c>
      <c r="U314" s="250">
        <v>88607</v>
      </c>
      <c r="V314" s="250">
        <v>0</v>
      </c>
    </row>
    <row r="315" spans="2:22" ht="27">
      <c r="B315" s="15">
        <f t="shared" si="10"/>
        <v>48</v>
      </c>
      <c r="C315" s="249" t="s">
        <v>2787</v>
      </c>
      <c r="D315" s="254" t="s">
        <v>314</v>
      </c>
      <c r="E315" s="250">
        <v>122837</v>
      </c>
      <c r="F315" s="254" t="s">
        <v>2784</v>
      </c>
      <c r="G315" s="342">
        <v>42005</v>
      </c>
      <c r="H315" s="228" t="s">
        <v>368</v>
      </c>
      <c r="I315" s="300">
        <v>43830</v>
      </c>
      <c r="J315" s="301">
        <v>1826</v>
      </c>
      <c r="K315" s="301">
        <v>0</v>
      </c>
      <c r="L315" s="301">
        <v>1826</v>
      </c>
      <c r="M315" s="301">
        <v>6142</v>
      </c>
      <c r="N315" s="301">
        <v>116695</v>
      </c>
      <c r="O315" s="292">
        <v>0</v>
      </c>
      <c r="P315" s="301">
        <v>117085</v>
      </c>
      <c r="Q315" s="301">
        <v>1736</v>
      </c>
      <c r="R315" s="292">
        <v>110943</v>
      </c>
      <c r="S315" s="251">
        <v>0</v>
      </c>
      <c r="T315" s="250">
        <v>0</v>
      </c>
      <c r="U315" s="250">
        <v>117085</v>
      </c>
      <c r="V315" s="250">
        <v>0</v>
      </c>
    </row>
    <row r="316" spans="2:22" ht="27">
      <c r="B316" s="15">
        <f t="shared" si="10"/>
        <v>49</v>
      </c>
      <c r="C316" s="249" t="s">
        <v>2787</v>
      </c>
      <c r="D316" s="254" t="s">
        <v>314</v>
      </c>
      <c r="E316" s="250">
        <v>16750</v>
      </c>
      <c r="F316" s="254">
        <v>3968</v>
      </c>
      <c r="G316" s="342">
        <v>42005</v>
      </c>
      <c r="H316" s="228" t="s">
        <v>368</v>
      </c>
      <c r="I316" s="300">
        <v>43830</v>
      </c>
      <c r="J316" s="301">
        <v>1826</v>
      </c>
      <c r="K316" s="301">
        <v>0</v>
      </c>
      <c r="L316" s="301">
        <v>1826</v>
      </c>
      <c r="M316" s="301">
        <v>838</v>
      </c>
      <c r="N316" s="301">
        <v>15912</v>
      </c>
      <c r="O316" s="292">
        <v>0</v>
      </c>
      <c r="P316" s="301">
        <v>15966</v>
      </c>
      <c r="Q316" s="301">
        <v>1736</v>
      </c>
      <c r="R316" s="292">
        <v>15129</v>
      </c>
      <c r="S316" s="251">
        <v>0</v>
      </c>
      <c r="T316" s="250">
        <v>0</v>
      </c>
      <c r="U316" s="250">
        <v>15966</v>
      </c>
      <c r="V316" s="250">
        <v>0</v>
      </c>
    </row>
    <row r="317" spans="2:22" ht="40.5">
      <c r="B317" s="15">
        <f t="shared" si="10"/>
        <v>50</v>
      </c>
      <c r="C317" s="249" t="s">
        <v>2786</v>
      </c>
      <c r="D317" s="254" t="s">
        <v>314</v>
      </c>
      <c r="E317" s="250">
        <v>25100</v>
      </c>
      <c r="F317" s="254" t="s">
        <v>2785</v>
      </c>
      <c r="G317" s="342">
        <v>42005</v>
      </c>
      <c r="H317" s="228" t="s">
        <v>368</v>
      </c>
      <c r="I317" s="300">
        <v>43830</v>
      </c>
      <c r="J317" s="301">
        <v>1826</v>
      </c>
      <c r="K317" s="301">
        <v>0</v>
      </c>
      <c r="L317" s="301">
        <v>1826</v>
      </c>
      <c r="M317" s="301">
        <v>1255</v>
      </c>
      <c r="N317" s="301">
        <v>23845</v>
      </c>
      <c r="O317" s="292">
        <v>0</v>
      </c>
      <c r="P317" s="301">
        <v>23925</v>
      </c>
      <c r="Q317" s="301">
        <v>1736</v>
      </c>
      <c r="R317" s="292">
        <v>22670</v>
      </c>
      <c r="S317" s="251">
        <v>0</v>
      </c>
      <c r="T317" s="250">
        <v>0</v>
      </c>
      <c r="U317" s="250">
        <v>23925</v>
      </c>
      <c r="V317" s="250">
        <v>0</v>
      </c>
    </row>
    <row r="318" spans="2:22" ht="40.5">
      <c r="B318" s="15">
        <f t="shared" si="10"/>
        <v>51</v>
      </c>
      <c r="C318" s="249" t="s">
        <v>2789</v>
      </c>
      <c r="D318" s="254" t="s">
        <v>314</v>
      </c>
      <c r="E318" s="250">
        <v>50375</v>
      </c>
      <c r="F318" s="254">
        <v>749</v>
      </c>
      <c r="G318" s="342">
        <v>42005</v>
      </c>
      <c r="H318" s="228" t="s">
        <v>368</v>
      </c>
      <c r="I318" s="300">
        <v>43830</v>
      </c>
      <c r="J318" s="301">
        <v>1826</v>
      </c>
      <c r="K318" s="301">
        <v>0</v>
      </c>
      <c r="L318" s="301">
        <v>1826</v>
      </c>
      <c r="M318" s="301">
        <v>2519</v>
      </c>
      <c r="N318" s="301">
        <v>47856</v>
      </c>
      <c r="O318" s="292">
        <v>0</v>
      </c>
      <c r="P318" s="301">
        <v>48016</v>
      </c>
      <c r="Q318" s="301">
        <v>1736</v>
      </c>
      <c r="R318" s="292">
        <v>45497</v>
      </c>
      <c r="S318" s="251">
        <v>0</v>
      </c>
      <c r="T318" s="250">
        <v>0</v>
      </c>
      <c r="U318" s="250">
        <v>48016</v>
      </c>
      <c r="V318" s="250">
        <v>0</v>
      </c>
    </row>
    <row r="319" spans="2:22" ht="54">
      <c r="B319" s="15">
        <f t="shared" si="10"/>
        <v>52</v>
      </c>
      <c r="C319" s="249" t="s">
        <v>2790</v>
      </c>
      <c r="D319" s="254" t="s">
        <v>314</v>
      </c>
      <c r="E319" s="250">
        <v>260480</v>
      </c>
      <c r="F319" s="254" t="s">
        <v>2788</v>
      </c>
      <c r="G319" s="342">
        <v>42005</v>
      </c>
      <c r="H319" s="228" t="s">
        <v>368</v>
      </c>
      <c r="I319" s="300">
        <v>43830</v>
      </c>
      <c r="J319" s="301">
        <v>1826</v>
      </c>
      <c r="K319" s="301">
        <v>0</v>
      </c>
      <c r="L319" s="301">
        <v>1826</v>
      </c>
      <c r="M319" s="301">
        <v>13024</v>
      </c>
      <c r="N319" s="301">
        <v>247456</v>
      </c>
      <c r="O319" s="292">
        <v>0</v>
      </c>
      <c r="P319" s="301">
        <v>248283</v>
      </c>
      <c r="Q319" s="301">
        <v>1736</v>
      </c>
      <c r="R319" s="292">
        <v>235259</v>
      </c>
      <c r="S319" s="251">
        <v>0</v>
      </c>
      <c r="T319" s="250">
        <v>0</v>
      </c>
      <c r="U319" s="250">
        <v>248283</v>
      </c>
      <c r="V319" s="250">
        <v>0</v>
      </c>
    </row>
    <row r="320" spans="2:22" ht="27">
      <c r="B320" s="15">
        <v>53</v>
      </c>
      <c r="C320" s="388" t="s">
        <v>2952</v>
      </c>
      <c r="D320" s="388" t="s">
        <v>314</v>
      </c>
      <c r="E320" s="389">
        <v>228260</v>
      </c>
      <c r="F320" s="388" t="s">
        <v>2953</v>
      </c>
      <c r="G320" s="390">
        <v>42226</v>
      </c>
      <c r="H320" s="388" t="s">
        <v>368</v>
      </c>
      <c r="I320" s="270">
        <v>44052</v>
      </c>
      <c r="J320" s="242">
        <v>1827</v>
      </c>
      <c r="K320" s="242">
        <v>0</v>
      </c>
      <c r="L320" s="242">
        <v>1827</v>
      </c>
      <c r="M320" s="242">
        <v>11413</v>
      </c>
      <c r="N320" s="242">
        <v>216847</v>
      </c>
      <c r="O320" s="292"/>
      <c r="P320" s="242">
        <v>228260</v>
      </c>
      <c r="Q320" s="242">
        <v>1827</v>
      </c>
      <c r="R320" s="242">
        <v>216847</v>
      </c>
      <c r="S320" s="393">
        <v>0</v>
      </c>
      <c r="T320" s="389">
        <v>0</v>
      </c>
      <c r="U320" s="389">
        <v>228260</v>
      </c>
      <c r="V320" s="392">
        <v>0</v>
      </c>
    </row>
    <row r="321" spans="2:22" ht="27">
      <c r="B321" s="15">
        <v>54</v>
      </c>
      <c r="C321" s="388" t="s">
        <v>4259</v>
      </c>
      <c r="D321" s="388" t="s">
        <v>314</v>
      </c>
      <c r="E321" s="389">
        <v>51655</v>
      </c>
      <c r="F321" s="388" t="s">
        <v>4260</v>
      </c>
      <c r="G321" s="390">
        <v>43146</v>
      </c>
      <c r="H321" s="388" t="s">
        <v>895</v>
      </c>
      <c r="I321" s="270">
        <v>44971</v>
      </c>
      <c r="J321" s="242">
        <v>1826</v>
      </c>
      <c r="K321" s="242">
        <v>0</v>
      </c>
      <c r="L321" s="242">
        <v>1826</v>
      </c>
      <c r="M321" s="242">
        <v>2583</v>
      </c>
      <c r="N321" s="242">
        <v>49072</v>
      </c>
      <c r="O321" s="292"/>
      <c r="P321" s="242">
        <v>51655</v>
      </c>
      <c r="Q321" s="242">
        <v>1826</v>
      </c>
      <c r="R321" s="242">
        <v>49072</v>
      </c>
      <c r="S321" s="391">
        <v>183</v>
      </c>
      <c r="T321" s="389">
        <v>4918</v>
      </c>
      <c r="U321" s="389">
        <v>35581</v>
      </c>
      <c r="V321" s="392">
        <v>16074</v>
      </c>
    </row>
    <row r="322" spans="2:22">
      <c r="B322" s="15">
        <v>55</v>
      </c>
      <c r="C322" s="388" t="s">
        <v>4623</v>
      </c>
      <c r="D322" s="388"/>
      <c r="E322" s="389">
        <v>-51655</v>
      </c>
      <c r="F322" s="388"/>
      <c r="G322" s="390">
        <v>43146</v>
      </c>
      <c r="H322" s="388" t="s">
        <v>895</v>
      </c>
      <c r="I322" s="270">
        <v>44971</v>
      </c>
      <c r="J322" s="242">
        <v>1826</v>
      </c>
      <c r="K322" s="242">
        <v>0</v>
      </c>
      <c r="L322" s="242">
        <v>1826</v>
      </c>
      <c r="M322" s="242">
        <v>-2583</v>
      </c>
      <c r="N322" s="242">
        <v>-49072</v>
      </c>
      <c r="O322" s="292"/>
      <c r="P322" s="242">
        <v>-51655</v>
      </c>
      <c r="Q322" s="242"/>
      <c r="R322" s="242"/>
      <c r="S322" s="393">
        <v>0</v>
      </c>
      <c r="T322" s="389">
        <v>0</v>
      </c>
      <c r="U322" s="389">
        <v>-35581</v>
      </c>
      <c r="V322" s="392">
        <v>-16074</v>
      </c>
    </row>
    <row r="323" spans="2:22" ht="27">
      <c r="B323" s="15">
        <v>56</v>
      </c>
      <c r="C323" s="388" t="s">
        <v>4261</v>
      </c>
      <c r="D323" s="388" t="s">
        <v>314</v>
      </c>
      <c r="E323" s="389">
        <v>44757</v>
      </c>
      <c r="F323" s="388" t="s">
        <v>4262</v>
      </c>
      <c r="G323" s="390">
        <v>43146</v>
      </c>
      <c r="H323" s="388" t="s">
        <v>895</v>
      </c>
      <c r="I323" s="270">
        <v>44971</v>
      </c>
      <c r="J323" s="242">
        <v>1826</v>
      </c>
      <c r="K323" s="242">
        <v>0</v>
      </c>
      <c r="L323" s="242">
        <v>1826</v>
      </c>
      <c r="M323" s="242">
        <v>2238</v>
      </c>
      <c r="N323" s="242">
        <v>42519</v>
      </c>
      <c r="O323" s="292"/>
      <c r="P323" s="242">
        <v>44757</v>
      </c>
      <c r="Q323" s="242">
        <v>1826</v>
      </c>
      <c r="R323" s="242">
        <v>42519</v>
      </c>
      <c r="S323" s="391">
        <v>183</v>
      </c>
      <c r="T323" s="389">
        <v>4261</v>
      </c>
      <c r="U323" s="389">
        <v>30829</v>
      </c>
      <c r="V323" s="392">
        <v>13928</v>
      </c>
    </row>
    <row r="324" spans="2:22">
      <c r="B324" s="15">
        <v>57</v>
      </c>
      <c r="C324" s="388" t="s">
        <v>4623</v>
      </c>
      <c r="D324" s="388"/>
      <c r="E324" s="389">
        <v>-44757</v>
      </c>
      <c r="F324" s="388"/>
      <c r="G324" s="390">
        <v>43146</v>
      </c>
      <c r="H324" s="388" t="s">
        <v>895</v>
      </c>
      <c r="I324" s="270">
        <v>44971</v>
      </c>
      <c r="J324" s="242">
        <v>1826</v>
      </c>
      <c r="K324" s="242">
        <v>0</v>
      </c>
      <c r="L324" s="242">
        <v>1826</v>
      </c>
      <c r="M324" s="242">
        <v>-2238</v>
      </c>
      <c r="N324" s="242">
        <v>-42519</v>
      </c>
      <c r="O324" s="292"/>
      <c r="P324" s="242">
        <v>-44757</v>
      </c>
      <c r="Q324" s="242"/>
      <c r="R324" s="242"/>
      <c r="S324" s="393">
        <v>0</v>
      </c>
      <c r="T324" s="389">
        <v>0</v>
      </c>
      <c r="U324" s="389">
        <v>-30829</v>
      </c>
      <c r="V324" s="392">
        <v>-13928</v>
      </c>
    </row>
    <row r="325" spans="2:22" ht="27">
      <c r="B325" s="15">
        <v>58</v>
      </c>
      <c r="C325" s="388" t="s">
        <v>4367</v>
      </c>
      <c r="D325" s="388"/>
      <c r="E325" s="389">
        <f>31200+2808+2808</f>
        <v>36816</v>
      </c>
      <c r="F325" s="388" t="s">
        <v>4368</v>
      </c>
      <c r="G325" s="390">
        <v>43731</v>
      </c>
      <c r="H325" s="388" t="s">
        <v>368</v>
      </c>
      <c r="I325" s="270">
        <v>45557</v>
      </c>
      <c r="J325" s="242">
        <v>1827</v>
      </c>
      <c r="K325" s="242">
        <v>0</v>
      </c>
      <c r="L325" s="242">
        <v>1827</v>
      </c>
      <c r="M325" s="242">
        <v>1841</v>
      </c>
      <c r="N325" s="242">
        <v>34975</v>
      </c>
      <c r="O325" s="292"/>
      <c r="P325" s="242">
        <v>36816</v>
      </c>
      <c r="Q325" s="242">
        <v>1827</v>
      </c>
      <c r="R325" s="242">
        <v>34975</v>
      </c>
      <c r="S325" s="391">
        <v>365</v>
      </c>
      <c r="T325" s="389">
        <v>6987</v>
      </c>
      <c r="U325" s="389">
        <v>17630</v>
      </c>
      <c r="V325" s="392">
        <v>19186</v>
      </c>
    </row>
    <row r="326" spans="2:22">
      <c r="B326" s="15"/>
      <c r="C326" s="388"/>
      <c r="D326" s="388"/>
      <c r="E326" s="389"/>
      <c r="F326" s="388"/>
      <c r="G326" s="390"/>
      <c r="H326" s="388"/>
      <c r="I326" s="270"/>
      <c r="J326" s="242"/>
      <c r="K326" s="242"/>
      <c r="L326" s="242"/>
      <c r="M326" s="242"/>
      <c r="N326" s="242"/>
      <c r="O326" s="292"/>
      <c r="P326" s="301"/>
      <c r="Q326" s="301"/>
      <c r="R326" s="292"/>
      <c r="S326" s="251"/>
      <c r="T326" s="250"/>
      <c r="U326" s="250"/>
      <c r="V326" s="250"/>
    </row>
    <row r="327" spans="2:22" ht="14.25">
      <c r="B327" s="107" t="s">
        <v>72</v>
      </c>
      <c r="C327" s="228"/>
      <c r="D327" s="230"/>
      <c r="E327" s="250"/>
      <c r="F327" s="369"/>
      <c r="G327" s="230"/>
      <c r="H327" s="228"/>
      <c r="I327" s="288"/>
      <c r="J327" s="288"/>
      <c r="K327" s="288"/>
      <c r="L327" s="288"/>
      <c r="M327" s="288"/>
      <c r="N327" s="288"/>
      <c r="O327" s="292"/>
      <c r="P327" s="301"/>
      <c r="Q327" s="301"/>
      <c r="R327" s="292"/>
      <c r="S327" s="272"/>
      <c r="T327" s="250"/>
      <c r="U327" s="250"/>
      <c r="V327" s="250"/>
    </row>
    <row r="328" spans="2:22">
      <c r="B328" s="15">
        <v>1</v>
      </c>
      <c r="C328" s="249" t="s">
        <v>73</v>
      </c>
      <c r="D328" s="254">
        <v>1</v>
      </c>
      <c r="E328" s="319">
        <v>137280</v>
      </c>
      <c r="F328" s="369">
        <v>1729</v>
      </c>
      <c r="G328" s="342">
        <v>40113</v>
      </c>
      <c r="H328" s="228" t="s">
        <v>282</v>
      </c>
      <c r="I328" s="300">
        <v>41938</v>
      </c>
      <c r="J328" s="301">
        <v>1826</v>
      </c>
      <c r="K328" s="301">
        <v>1617</v>
      </c>
      <c r="L328" s="301">
        <v>209</v>
      </c>
      <c r="M328" s="301">
        <v>6864</v>
      </c>
      <c r="N328" s="301">
        <v>101545</v>
      </c>
      <c r="O328" s="292">
        <v>0</v>
      </c>
      <c r="P328" s="301">
        <v>0</v>
      </c>
      <c r="Q328" s="301">
        <v>0</v>
      </c>
      <c r="R328" s="292"/>
      <c r="S328" s="251">
        <v>0</v>
      </c>
      <c r="T328" s="250">
        <v>0</v>
      </c>
      <c r="U328" s="250">
        <v>0</v>
      </c>
      <c r="V328" s="250">
        <v>0</v>
      </c>
    </row>
    <row r="329" spans="2:22" ht="14.25">
      <c r="B329" s="107" t="s">
        <v>618</v>
      </c>
      <c r="C329" s="228"/>
      <c r="D329" s="230"/>
      <c r="E329" s="250"/>
      <c r="F329" s="366"/>
      <c r="G329" s="228"/>
      <c r="H329" s="228"/>
      <c r="I329" s="301"/>
      <c r="J329" s="301"/>
      <c r="K329" s="301"/>
      <c r="L329" s="301"/>
      <c r="M329" s="301"/>
      <c r="N329" s="301"/>
      <c r="O329" s="292"/>
      <c r="P329" s="301"/>
      <c r="Q329" s="301"/>
      <c r="R329" s="292"/>
      <c r="S329" s="272"/>
      <c r="T329" s="250"/>
      <c r="U329" s="250"/>
      <c r="V329" s="250"/>
    </row>
    <row r="330" spans="2:22">
      <c r="B330" s="15">
        <v>1</v>
      </c>
      <c r="C330" s="249" t="s">
        <v>619</v>
      </c>
      <c r="D330" s="254">
        <v>1</v>
      </c>
      <c r="E330" s="320">
        <v>5200</v>
      </c>
      <c r="F330" s="369"/>
      <c r="G330" s="342">
        <v>40047</v>
      </c>
      <c r="H330" s="228" t="s">
        <v>161</v>
      </c>
      <c r="I330" s="300">
        <v>41872</v>
      </c>
      <c r="J330" s="301">
        <v>1826</v>
      </c>
      <c r="K330" s="301">
        <v>1683</v>
      </c>
      <c r="L330" s="301">
        <v>143</v>
      </c>
      <c r="M330" s="301">
        <v>260</v>
      </c>
      <c r="N330" s="301">
        <v>3803</v>
      </c>
      <c r="O330" s="292">
        <v>0</v>
      </c>
      <c r="P330" s="301">
        <v>0</v>
      </c>
      <c r="Q330" s="301">
        <v>0</v>
      </c>
      <c r="R330" s="292"/>
      <c r="S330" s="251">
        <v>0</v>
      </c>
      <c r="T330" s="250">
        <v>0</v>
      </c>
      <c r="U330" s="250">
        <v>0</v>
      </c>
      <c r="V330" s="250">
        <v>0</v>
      </c>
    </row>
    <row r="331" spans="2:22">
      <c r="B331" s="15">
        <f t="shared" ref="B331:B348" si="11">+B330+1</f>
        <v>2</v>
      </c>
      <c r="C331" s="249" t="s">
        <v>278</v>
      </c>
      <c r="D331" s="254">
        <v>1</v>
      </c>
      <c r="E331" s="320">
        <v>821600</v>
      </c>
      <c r="F331" s="369">
        <v>219</v>
      </c>
      <c r="G331" s="342">
        <v>40092</v>
      </c>
      <c r="H331" s="228" t="s">
        <v>895</v>
      </c>
      <c r="I331" s="300">
        <v>41917</v>
      </c>
      <c r="J331" s="301">
        <v>1826</v>
      </c>
      <c r="K331" s="301">
        <v>1638</v>
      </c>
      <c r="L331" s="301">
        <v>188</v>
      </c>
      <c r="M331" s="301">
        <v>41080</v>
      </c>
      <c r="N331" s="301">
        <v>605490</v>
      </c>
      <c r="O331" s="292">
        <v>0</v>
      </c>
      <c r="P331" s="301">
        <v>0</v>
      </c>
      <c r="Q331" s="301">
        <v>0</v>
      </c>
      <c r="R331" s="292"/>
      <c r="S331" s="251">
        <v>0</v>
      </c>
      <c r="T331" s="250">
        <v>0</v>
      </c>
      <c r="U331" s="250">
        <v>0</v>
      </c>
      <c r="V331" s="250">
        <v>0</v>
      </c>
    </row>
    <row r="332" spans="2:22">
      <c r="B332" s="15">
        <f t="shared" si="11"/>
        <v>3</v>
      </c>
      <c r="C332" s="249" t="s">
        <v>46</v>
      </c>
      <c r="D332" s="254">
        <v>38</v>
      </c>
      <c r="E332" s="320">
        <v>14440</v>
      </c>
      <c r="F332" s="369">
        <v>91105</v>
      </c>
      <c r="G332" s="342">
        <v>40096</v>
      </c>
      <c r="H332" s="228" t="s">
        <v>282</v>
      </c>
      <c r="I332" s="301">
        <v>0</v>
      </c>
      <c r="J332" s="301">
        <v>0</v>
      </c>
      <c r="K332" s="301">
        <v>0</v>
      </c>
      <c r="L332" s="301">
        <v>0</v>
      </c>
      <c r="M332" s="301">
        <v>0</v>
      </c>
      <c r="N332" s="301">
        <v>0</v>
      </c>
      <c r="O332" s="292">
        <v>0</v>
      </c>
      <c r="P332" s="301">
        <v>0</v>
      </c>
      <c r="Q332" s="301">
        <v>0</v>
      </c>
      <c r="R332" s="292"/>
      <c r="S332" s="251">
        <v>0</v>
      </c>
      <c r="T332" s="250">
        <v>0</v>
      </c>
      <c r="U332" s="250">
        <v>0</v>
      </c>
      <c r="V332" s="250">
        <v>0</v>
      </c>
    </row>
    <row r="333" spans="2:22">
      <c r="B333" s="15">
        <f t="shared" si="11"/>
        <v>4</v>
      </c>
      <c r="C333" s="249" t="s">
        <v>47</v>
      </c>
      <c r="D333" s="254">
        <v>32</v>
      </c>
      <c r="E333" s="320">
        <v>40768</v>
      </c>
      <c r="F333" s="369">
        <v>1646</v>
      </c>
      <c r="G333" s="342">
        <v>40096</v>
      </c>
      <c r="H333" s="228" t="s">
        <v>282</v>
      </c>
      <c r="I333" s="301">
        <v>0</v>
      </c>
      <c r="J333" s="301">
        <v>0</v>
      </c>
      <c r="K333" s="301">
        <v>0</v>
      </c>
      <c r="L333" s="301">
        <v>0</v>
      </c>
      <c r="M333" s="301">
        <v>0</v>
      </c>
      <c r="N333" s="301">
        <v>0</v>
      </c>
      <c r="O333" s="292">
        <v>0</v>
      </c>
      <c r="P333" s="301">
        <v>0</v>
      </c>
      <c r="Q333" s="301">
        <v>0</v>
      </c>
      <c r="R333" s="292"/>
      <c r="S333" s="251">
        <v>0</v>
      </c>
      <c r="T333" s="250">
        <v>0</v>
      </c>
      <c r="U333" s="250">
        <v>0</v>
      </c>
      <c r="V333" s="250">
        <v>0</v>
      </c>
    </row>
    <row r="334" spans="2:22" ht="40.5">
      <c r="B334" s="15">
        <f t="shared" si="11"/>
        <v>5</v>
      </c>
      <c r="C334" s="249" t="s">
        <v>577</v>
      </c>
      <c r="D334" s="254" t="s">
        <v>1100</v>
      </c>
      <c r="E334" s="250">
        <v>291200</v>
      </c>
      <c r="F334" s="254" t="s">
        <v>578</v>
      </c>
      <c r="G334" s="342">
        <v>40529</v>
      </c>
      <c r="H334" s="228" t="s">
        <v>368</v>
      </c>
      <c r="I334" s="300">
        <v>42354</v>
      </c>
      <c r="J334" s="301">
        <v>1826</v>
      </c>
      <c r="K334" s="301">
        <v>1201</v>
      </c>
      <c r="L334" s="301">
        <v>625</v>
      </c>
      <c r="M334" s="301">
        <v>14560</v>
      </c>
      <c r="N334" s="301">
        <v>231165</v>
      </c>
      <c r="O334" s="292">
        <v>0</v>
      </c>
      <c r="P334" s="301">
        <v>110725</v>
      </c>
      <c r="Q334" s="301">
        <v>260</v>
      </c>
      <c r="R334" s="292">
        <v>96165</v>
      </c>
      <c r="S334" s="251">
        <v>0</v>
      </c>
      <c r="T334" s="250">
        <v>0</v>
      </c>
      <c r="U334" s="250">
        <v>110725</v>
      </c>
      <c r="V334" s="250">
        <v>0</v>
      </c>
    </row>
    <row r="335" spans="2:22">
      <c r="B335" s="15">
        <f t="shared" si="11"/>
        <v>6</v>
      </c>
      <c r="C335" s="249" t="s">
        <v>692</v>
      </c>
      <c r="D335" s="254">
        <v>15</v>
      </c>
      <c r="E335" s="250">
        <v>9360</v>
      </c>
      <c r="F335" s="254" t="s">
        <v>503</v>
      </c>
      <c r="G335" s="342">
        <v>40534</v>
      </c>
      <c r="H335" s="228" t="s">
        <v>368</v>
      </c>
      <c r="I335" s="301">
        <v>0</v>
      </c>
      <c r="J335" s="301">
        <v>0</v>
      </c>
      <c r="K335" s="301">
        <v>0</v>
      </c>
      <c r="L335" s="301">
        <v>0</v>
      </c>
      <c r="M335" s="301">
        <v>0</v>
      </c>
      <c r="N335" s="301">
        <v>0</v>
      </c>
      <c r="O335" s="292">
        <v>0</v>
      </c>
      <c r="P335" s="301">
        <v>0</v>
      </c>
      <c r="Q335" s="301">
        <v>0</v>
      </c>
      <c r="R335" s="292"/>
      <c r="S335" s="251">
        <v>0</v>
      </c>
      <c r="T335" s="250">
        <v>0</v>
      </c>
      <c r="U335" s="250">
        <v>0</v>
      </c>
      <c r="V335" s="250">
        <v>0</v>
      </c>
    </row>
    <row r="336" spans="2:22" ht="27">
      <c r="B336" s="15">
        <f t="shared" si="11"/>
        <v>7</v>
      </c>
      <c r="C336" s="249" t="s">
        <v>930</v>
      </c>
      <c r="D336" s="254">
        <v>5</v>
      </c>
      <c r="E336" s="250">
        <v>46800</v>
      </c>
      <c r="F336" s="254" t="s">
        <v>931</v>
      </c>
      <c r="G336" s="342">
        <v>40570</v>
      </c>
      <c r="H336" s="228" t="s">
        <v>895</v>
      </c>
      <c r="I336" s="300">
        <v>42395</v>
      </c>
      <c r="J336" s="301">
        <v>1826</v>
      </c>
      <c r="K336" s="301">
        <v>1160</v>
      </c>
      <c r="L336" s="301">
        <v>666</v>
      </c>
      <c r="M336" s="301">
        <v>2340</v>
      </c>
      <c r="N336" s="301">
        <v>37400</v>
      </c>
      <c r="O336" s="292">
        <v>0</v>
      </c>
      <c r="P336" s="301">
        <v>19243</v>
      </c>
      <c r="Q336" s="301">
        <v>301</v>
      </c>
      <c r="R336" s="292">
        <v>16903</v>
      </c>
      <c r="S336" s="251">
        <v>0</v>
      </c>
      <c r="T336" s="250">
        <v>0</v>
      </c>
      <c r="U336" s="250">
        <v>19243</v>
      </c>
      <c r="V336" s="250">
        <v>0</v>
      </c>
    </row>
    <row r="337" spans="2:22" ht="40.5">
      <c r="B337" s="15">
        <f t="shared" si="11"/>
        <v>8</v>
      </c>
      <c r="C337" s="249" t="s">
        <v>260</v>
      </c>
      <c r="D337" s="254" t="s">
        <v>261</v>
      </c>
      <c r="E337" s="250">
        <v>828060</v>
      </c>
      <c r="F337" s="254" t="s">
        <v>262</v>
      </c>
      <c r="G337" s="342">
        <v>40634</v>
      </c>
      <c r="H337" s="228" t="s">
        <v>368</v>
      </c>
      <c r="I337" s="300">
        <v>42460</v>
      </c>
      <c r="J337" s="301">
        <v>1827</v>
      </c>
      <c r="K337" s="301">
        <v>1096</v>
      </c>
      <c r="L337" s="301">
        <v>731</v>
      </c>
      <c r="M337" s="301">
        <v>41403</v>
      </c>
      <c r="N337" s="301">
        <v>668659</v>
      </c>
      <c r="O337" s="292">
        <v>0</v>
      </c>
      <c r="P337" s="301">
        <v>376190</v>
      </c>
      <c r="Q337" s="301">
        <v>366</v>
      </c>
      <c r="R337" s="292">
        <v>334787</v>
      </c>
      <c r="S337" s="251">
        <v>0</v>
      </c>
      <c r="T337" s="250">
        <v>0</v>
      </c>
      <c r="U337" s="250">
        <v>376190</v>
      </c>
      <c r="V337" s="250">
        <v>0</v>
      </c>
    </row>
    <row r="338" spans="2:22" ht="27">
      <c r="B338" s="15">
        <f t="shared" si="11"/>
        <v>9</v>
      </c>
      <c r="C338" s="249" t="s">
        <v>1138</v>
      </c>
      <c r="D338" s="254" t="s">
        <v>261</v>
      </c>
      <c r="E338" s="250">
        <v>59280</v>
      </c>
      <c r="F338" s="254" t="s">
        <v>1139</v>
      </c>
      <c r="G338" s="342">
        <v>40700</v>
      </c>
      <c r="H338" s="228" t="s">
        <v>368</v>
      </c>
      <c r="I338" s="300">
        <v>42526</v>
      </c>
      <c r="J338" s="301">
        <v>1827</v>
      </c>
      <c r="K338" s="301">
        <v>1030</v>
      </c>
      <c r="L338" s="301">
        <v>797</v>
      </c>
      <c r="M338" s="301">
        <v>2964</v>
      </c>
      <c r="N338" s="301">
        <v>48376</v>
      </c>
      <c r="O338" s="292">
        <v>0</v>
      </c>
      <c r="P338" s="301">
        <v>29185</v>
      </c>
      <c r="Q338" s="301">
        <v>432</v>
      </c>
      <c r="R338" s="292">
        <v>26221</v>
      </c>
      <c r="S338" s="251">
        <v>0</v>
      </c>
      <c r="T338" s="250">
        <v>0</v>
      </c>
      <c r="U338" s="250">
        <v>29185</v>
      </c>
      <c r="V338" s="250">
        <v>0</v>
      </c>
    </row>
    <row r="339" spans="2:22" ht="40.5">
      <c r="B339" s="15">
        <f t="shared" si="11"/>
        <v>10</v>
      </c>
      <c r="C339" s="249" t="s">
        <v>1199</v>
      </c>
      <c r="D339" s="254" t="s">
        <v>261</v>
      </c>
      <c r="E339" s="250">
        <v>111072</v>
      </c>
      <c r="F339" s="254" t="s">
        <v>1200</v>
      </c>
      <c r="G339" s="342">
        <v>40693</v>
      </c>
      <c r="H339" s="228" t="s">
        <v>895</v>
      </c>
      <c r="I339" s="300">
        <v>42519</v>
      </c>
      <c r="J339" s="301">
        <v>1827</v>
      </c>
      <c r="K339" s="301">
        <v>1037</v>
      </c>
      <c r="L339" s="301">
        <v>790</v>
      </c>
      <c r="M339" s="301">
        <v>5554</v>
      </c>
      <c r="N339" s="301">
        <v>90540</v>
      </c>
      <c r="O339" s="292">
        <v>0</v>
      </c>
      <c r="P339" s="301">
        <v>54262</v>
      </c>
      <c r="Q339" s="301">
        <v>425</v>
      </c>
      <c r="R339" s="292">
        <v>48708</v>
      </c>
      <c r="S339" s="251">
        <v>0</v>
      </c>
      <c r="T339" s="250">
        <v>0</v>
      </c>
      <c r="U339" s="250">
        <v>54262</v>
      </c>
      <c r="V339" s="250">
        <v>0</v>
      </c>
    </row>
    <row r="340" spans="2:22">
      <c r="B340" s="15">
        <f t="shared" si="11"/>
        <v>11</v>
      </c>
      <c r="C340" s="249" t="s">
        <v>1252</v>
      </c>
      <c r="D340" s="254">
        <v>2</v>
      </c>
      <c r="E340" s="250">
        <v>145600</v>
      </c>
      <c r="F340" s="254" t="s">
        <v>1253</v>
      </c>
      <c r="G340" s="342">
        <v>40733</v>
      </c>
      <c r="H340" s="228" t="s">
        <v>895</v>
      </c>
      <c r="I340" s="300">
        <v>42559</v>
      </c>
      <c r="J340" s="301">
        <v>1827</v>
      </c>
      <c r="K340" s="301">
        <v>997</v>
      </c>
      <c r="L340" s="301">
        <v>830</v>
      </c>
      <c r="M340" s="301">
        <v>7280</v>
      </c>
      <c r="N340" s="301">
        <v>119443</v>
      </c>
      <c r="O340" s="292">
        <v>0</v>
      </c>
      <c r="P340" s="301">
        <v>74197</v>
      </c>
      <c r="Q340" s="301">
        <v>465</v>
      </c>
      <c r="R340" s="292">
        <v>66917</v>
      </c>
      <c r="S340" s="251">
        <v>0</v>
      </c>
      <c r="T340" s="250">
        <v>0</v>
      </c>
      <c r="U340" s="250">
        <v>74197</v>
      </c>
      <c r="V340" s="250">
        <v>0</v>
      </c>
    </row>
    <row r="341" spans="2:22" ht="27">
      <c r="B341" s="15">
        <f t="shared" si="11"/>
        <v>12</v>
      </c>
      <c r="C341" s="249" t="s">
        <v>1624</v>
      </c>
      <c r="D341" s="254">
        <v>1</v>
      </c>
      <c r="E341" s="250">
        <v>50258</v>
      </c>
      <c r="F341" s="254" t="s">
        <v>1625</v>
      </c>
      <c r="G341" s="342">
        <v>40870</v>
      </c>
      <c r="H341" s="228" t="s">
        <v>161</v>
      </c>
      <c r="I341" s="300">
        <v>42696</v>
      </c>
      <c r="J341" s="301">
        <v>1827</v>
      </c>
      <c r="K341" s="301">
        <v>860</v>
      </c>
      <c r="L341" s="301">
        <v>967</v>
      </c>
      <c r="M341" s="301">
        <v>2513</v>
      </c>
      <c r="N341" s="301">
        <v>42123</v>
      </c>
      <c r="O341" s="292">
        <v>0</v>
      </c>
      <c r="P341" s="301">
        <v>28736</v>
      </c>
      <c r="Q341" s="301">
        <v>602</v>
      </c>
      <c r="R341" s="292">
        <v>26223</v>
      </c>
      <c r="S341" s="251">
        <v>0</v>
      </c>
      <c r="T341" s="250">
        <v>0</v>
      </c>
      <c r="U341" s="250">
        <v>28736</v>
      </c>
      <c r="V341" s="250">
        <v>0</v>
      </c>
    </row>
    <row r="342" spans="2:22" ht="54">
      <c r="B342" s="15">
        <f t="shared" si="11"/>
        <v>13</v>
      </c>
      <c r="C342" s="249" t="s">
        <v>1663</v>
      </c>
      <c r="D342" s="254" t="s">
        <v>261</v>
      </c>
      <c r="E342" s="250">
        <f>199500+11030</f>
        <v>210530</v>
      </c>
      <c r="F342" s="254" t="s">
        <v>1664</v>
      </c>
      <c r="G342" s="342">
        <v>40957</v>
      </c>
      <c r="H342" s="228" t="s">
        <v>368</v>
      </c>
      <c r="I342" s="300">
        <v>42783</v>
      </c>
      <c r="J342" s="301">
        <v>1827</v>
      </c>
      <c r="K342" s="301">
        <v>773</v>
      </c>
      <c r="L342" s="301">
        <v>1054</v>
      </c>
      <c r="M342" s="301">
        <v>10527</v>
      </c>
      <c r="N342" s="301">
        <v>178828</v>
      </c>
      <c r="O342" s="292">
        <v>0</v>
      </c>
      <c r="P342" s="301">
        <v>127427</v>
      </c>
      <c r="Q342" s="301">
        <v>689</v>
      </c>
      <c r="R342" s="292">
        <v>116901</v>
      </c>
      <c r="S342" s="251">
        <v>0</v>
      </c>
      <c r="T342" s="250">
        <v>0</v>
      </c>
      <c r="U342" s="250">
        <v>127427</v>
      </c>
      <c r="V342" s="250">
        <v>0</v>
      </c>
    </row>
    <row r="343" spans="2:22">
      <c r="B343" s="15">
        <f t="shared" si="11"/>
        <v>14</v>
      </c>
      <c r="C343" s="249" t="s">
        <v>1985</v>
      </c>
      <c r="D343" s="254" t="s">
        <v>1986</v>
      </c>
      <c r="E343" s="250">
        <v>23625</v>
      </c>
      <c r="F343" s="254" t="s">
        <v>1987</v>
      </c>
      <c r="G343" s="342">
        <v>41244</v>
      </c>
      <c r="H343" s="228" t="s">
        <v>368</v>
      </c>
      <c r="I343" s="300">
        <v>43069</v>
      </c>
      <c r="J343" s="301">
        <v>1826</v>
      </c>
      <c r="K343" s="301">
        <v>486</v>
      </c>
      <c r="L343" s="301">
        <v>1340</v>
      </c>
      <c r="M343" s="301">
        <v>1181</v>
      </c>
      <c r="N343" s="301">
        <v>20950</v>
      </c>
      <c r="O343" s="292">
        <v>0</v>
      </c>
      <c r="P343" s="301">
        <v>16424</v>
      </c>
      <c r="Q343" s="301">
        <v>975</v>
      </c>
      <c r="R343" s="292">
        <v>15243</v>
      </c>
      <c r="S343" s="251">
        <v>0</v>
      </c>
      <c r="T343" s="250">
        <v>0</v>
      </c>
      <c r="U343" s="250">
        <v>16424</v>
      </c>
      <c r="V343" s="250">
        <v>0</v>
      </c>
    </row>
    <row r="344" spans="2:22">
      <c r="B344" s="15">
        <f t="shared" si="11"/>
        <v>15</v>
      </c>
      <c r="C344" s="249" t="s">
        <v>2155</v>
      </c>
      <c r="D344" s="254">
        <v>7</v>
      </c>
      <c r="E344" s="250">
        <v>55125</v>
      </c>
      <c r="F344" s="254" t="s">
        <v>2156</v>
      </c>
      <c r="G344" s="342">
        <v>41398</v>
      </c>
      <c r="H344" s="228" t="s">
        <v>368</v>
      </c>
      <c r="I344" s="300">
        <v>43223</v>
      </c>
      <c r="J344" s="301">
        <v>1826</v>
      </c>
      <c r="K344" s="301">
        <v>332</v>
      </c>
      <c r="L344" s="301">
        <v>1494</v>
      </c>
      <c r="M344" s="301">
        <v>2756</v>
      </c>
      <c r="N344" s="301">
        <v>49987</v>
      </c>
      <c r="O344" s="292">
        <v>0</v>
      </c>
      <c r="P344" s="301">
        <v>40531</v>
      </c>
      <c r="Q344" s="301">
        <v>1129</v>
      </c>
      <c r="R344" s="292">
        <v>37775</v>
      </c>
      <c r="S344" s="251">
        <v>0</v>
      </c>
      <c r="T344" s="250">
        <v>0</v>
      </c>
      <c r="U344" s="250">
        <v>40531</v>
      </c>
      <c r="V344" s="250">
        <v>0</v>
      </c>
    </row>
    <row r="345" spans="2:22" ht="27">
      <c r="B345" s="15">
        <f t="shared" si="11"/>
        <v>16</v>
      </c>
      <c r="C345" s="249" t="s">
        <v>2184</v>
      </c>
      <c r="D345" s="254">
        <v>1</v>
      </c>
      <c r="E345" s="250">
        <f>68250</f>
        <v>68250</v>
      </c>
      <c r="F345" s="254" t="s">
        <v>2185</v>
      </c>
      <c r="G345" s="342">
        <v>41445</v>
      </c>
      <c r="H345" s="228" t="s">
        <v>368</v>
      </c>
      <c r="I345" s="300">
        <v>43270</v>
      </c>
      <c r="J345" s="301">
        <v>1826</v>
      </c>
      <c r="K345" s="301">
        <v>285</v>
      </c>
      <c r="L345" s="301">
        <v>1541</v>
      </c>
      <c r="M345" s="301">
        <v>3413</v>
      </c>
      <c r="N345" s="301">
        <v>62306</v>
      </c>
      <c r="O345" s="292">
        <v>0</v>
      </c>
      <c r="P345" s="301">
        <v>50961</v>
      </c>
      <c r="Q345" s="301">
        <v>1176</v>
      </c>
      <c r="R345" s="292">
        <v>47549</v>
      </c>
      <c r="S345" s="251">
        <v>0</v>
      </c>
      <c r="T345" s="250">
        <v>0</v>
      </c>
      <c r="U345" s="250">
        <v>50961</v>
      </c>
      <c r="V345" s="250">
        <v>0</v>
      </c>
    </row>
    <row r="346" spans="2:22" ht="27">
      <c r="B346" s="15">
        <f t="shared" si="11"/>
        <v>17</v>
      </c>
      <c r="C346" s="249" t="s">
        <v>2298</v>
      </c>
      <c r="D346" s="254">
        <v>1</v>
      </c>
      <c r="E346" s="250">
        <v>40950</v>
      </c>
      <c r="F346" s="254" t="s">
        <v>2299</v>
      </c>
      <c r="G346" s="342">
        <v>41676</v>
      </c>
      <c r="H346" s="228" t="s">
        <v>895</v>
      </c>
      <c r="I346" s="300">
        <v>43501</v>
      </c>
      <c r="J346" s="301">
        <v>1826</v>
      </c>
      <c r="K346" s="301">
        <v>54</v>
      </c>
      <c r="L346" s="301">
        <v>1772</v>
      </c>
      <c r="M346" s="301">
        <v>2048</v>
      </c>
      <c r="N346" s="301">
        <v>38614</v>
      </c>
      <c r="O346" s="292">
        <v>0</v>
      </c>
      <c r="P346" s="301">
        <v>32708</v>
      </c>
      <c r="Q346" s="301">
        <v>1407</v>
      </c>
      <c r="R346" s="292">
        <v>30661</v>
      </c>
      <c r="S346" s="251">
        <v>0</v>
      </c>
      <c r="T346" s="250">
        <v>0</v>
      </c>
      <c r="U346" s="250">
        <v>32708</v>
      </c>
      <c r="V346" s="250">
        <v>0</v>
      </c>
    </row>
    <row r="347" spans="2:22" ht="27">
      <c r="B347" s="15">
        <f t="shared" si="11"/>
        <v>18</v>
      </c>
      <c r="C347" s="249" t="s">
        <v>2512</v>
      </c>
      <c r="D347" s="254">
        <v>1</v>
      </c>
      <c r="E347" s="250">
        <v>47250</v>
      </c>
      <c r="F347" s="254" t="s">
        <v>2513</v>
      </c>
      <c r="G347" s="342">
        <v>41858</v>
      </c>
      <c r="H347" s="228" t="s">
        <v>368</v>
      </c>
      <c r="I347" s="300">
        <v>43683</v>
      </c>
      <c r="J347" s="301">
        <v>1826</v>
      </c>
      <c r="K347" s="301">
        <v>0</v>
      </c>
      <c r="L347" s="301">
        <v>1826</v>
      </c>
      <c r="M347" s="301">
        <v>2363</v>
      </c>
      <c r="N347" s="301">
        <v>44887</v>
      </c>
      <c r="O347" s="292">
        <v>0</v>
      </c>
      <c r="P347" s="301">
        <v>41424</v>
      </c>
      <c r="Q347" s="301">
        <v>1589</v>
      </c>
      <c r="R347" s="292">
        <v>39062</v>
      </c>
      <c r="S347" s="251">
        <v>0</v>
      </c>
      <c r="T347" s="250">
        <v>0</v>
      </c>
      <c r="U347" s="250">
        <v>41424</v>
      </c>
      <c r="V347" s="250">
        <v>0</v>
      </c>
    </row>
    <row r="348" spans="2:22" ht="27">
      <c r="B348" s="15">
        <f t="shared" si="11"/>
        <v>19</v>
      </c>
      <c r="C348" s="249" t="s">
        <v>2692</v>
      </c>
      <c r="D348" s="254">
        <v>2</v>
      </c>
      <c r="E348" s="250">
        <f>5081+39</f>
        <v>5120</v>
      </c>
      <c r="F348" s="254" t="s">
        <v>2679</v>
      </c>
      <c r="G348" s="342">
        <v>42005</v>
      </c>
      <c r="H348" s="228" t="s">
        <v>368</v>
      </c>
      <c r="I348" s="300">
        <v>43830</v>
      </c>
      <c r="J348" s="301">
        <v>1826</v>
      </c>
      <c r="K348" s="301"/>
      <c r="L348" s="301">
        <v>1826</v>
      </c>
      <c r="M348" s="301">
        <v>256</v>
      </c>
      <c r="N348" s="301">
        <v>4864</v>
      </c>
      <c r="O348" s="292">
        <v>0</v>
      </c>
      <c r="P348" s="301">
        <v>4880</v>
      </c>
      <c r="Q348" s="301">
        <v>1736</v>
      </c>
      <c r="R348" s="292">
        <v>4624</v>
      </c>
      <c r="S348" s="251">
        <v>0</v>
      </c>
      <c r="T348" s="250">
        <v>0</v>
      </c>
      <c r="U348" s="250">
        <v>4880</v>
      </c>
      <c r="V348" s="250">
        <v>0</v>
      </c>
    </row>
    <row r="349" spans="2:22">
      <c r="B349" s="15">
        <v>20</v>
      </c>
      <c r="C349" s="249" t="s">
        <v>3009</v>
      </c>
      <c r="D349" s="254">
        <v>2</v>
      </c>
      <c r="E349" s="250">
        <f>12000*2</f>
        <v>24000</v>
      </c>
      <c r="F349" s="254" t="s">
        <v>3010</v>
      </c>
      <c r="G349" s="342">
        <v>42413</v>
      </c>
      <c r="H349" s="228" t="s">
        <v>161</v>
      </c>
      <c r="I349" s="300">
        <v>44239</v>
      </c>
      <c r="J349" s="301">
        <v>1827</v>
      </c>
      <c r="K349" s="301">
        <v>0</v>
      </c>
      <c r="L349" s="301">
        <v>1827</v>
      </c>
      <c r="M349" s="301">
        <v>1200</v>
      </c>
      <c r="N349" s="301">
        <v>22800</v>
      </c>
      <c r="O349" s="292">
        <v>0</v>
      </c>
      <c r="P349" s="301">
        <v>24000</v>
      </c>
      <c r="Q349" s="301">
        <v>1827</v>
      </c>
      <c r="R349" s="292">
        <v>22800</v>
      </c>
      <c r="S349" s="251">
        <v>0</v>
      </c>
      <c r="T349" s="250">
        <v>0</v>
      </c>
      <c r="U349" s="250">
        <v>24000</v>
      </c>
      <c r="V349" s="250">
        <v>0</v>
      </c>
    </row>
    <row r="350" spans="2:22" ht="27">
      <c r="B350" s="15">
        <v>21</v>
      </c>
      <c r="C350" s="249" t="s">
        <v>3923</v>
      </c>
      <c r="D350" s="254">
        <v>1</v>
      </c>
      <c r="E350" s="250">
        <v>47250</v>
      </c>
      <c r="F350" s="254" t="s">
        <v>3924</v>
      </c>
      <c r="G350" s="342">
        <v>42753</v>
      </c>
      <c r="H350" s="228" t="s">
        <v>368</v>
      </c>
      <c r="I350" s="300">
        <v>44578</v>
      </c>
      <c r="J350" s="301">
        <v>1826</v>
      </c>
      <c r="K350" s="301">
        <v>0</v>
      </c>
      <c r="L350" s="301">
        <v>1826</v>
      </c>
      <c r="M350" s="301">
        <v>2363</v>
      </c>
      <c r="N350" s="301">
        <v>44887</v>
      </c>
      <c r="O350" s="292">
        <v>0</v>
      </c>
      <c r="P350" s="301">
        <v>47250</v>
      </c>
      <c r="Q350" s="301">
        <v>1826</v>
      </c>
      <c r="R350" s="292">
        <v>44888</v>
      </c>
      <c r="S350" s="251">
        <v>292</v>
      </c>
      <c r="T350" s="250">
        <v>9539</v>
      </c>
      <c r="U350" s="250">
        <v>47250</v>
      </c>
      <c r="V350" s="250">
        <v>0</v>
      </c>
    </row>
    <row r="351" spans="2:22">
      <c r="B351" s="15">
        <v>22</v>
      </c>
      <c r="C351" s="249" t="s">
        <v>4598</v>
      </c>
      <c r="D351" s="254">
        <v>5</v>
      </c>
      <c r="E351" s="250">
        <f>38350</f>
        <v>38350</v>
      </c>
      <c r="F351" s="254" t="s">
        <v>4599</v>
      </c>
      <c r="G351" s="342">
        <v>44422</v>
      </c>
      <c r="H351" s="228" t="s">
        <v>895</v>
      </c>
      <c r="I351" s="300">
        <v>46247</v>
      </c>
      <c r="J351" s="301">
        <v>1826</v>
      </c>
      <c r="K351" s="301">
        <v>0</v>
      </c>
      <c r="L351" s="301">
        <v>1826</v>
      </c>
      <c r="M351" s="301">
        <v>1918</v>
      </c>
      <c r="N351" s="301">
        <v>36432</v>
      </c>
      <c r="O351" s="292">
        <v>0</v>
      </c>
      <c r="P351" s="301">
        <v>38350</v>
      </c>
      <c r="Q351" s="301">
        <v>1826</v>
      </c>
      <c r="R351" s="292">
        <v>36433</v>
      </c>
      <c r="S351" s="251">
        <v>230</v>
      </c>
      <c r="T351" s="250">
        <v>4831</v>
      </c>
      <c r="U351" s="250">
        <v>4831</v>
      </c>
      <c r="V351" s="250">
        <v>33519</v>
      </c>
    </row>
    <row r="352" spans="2:22">
      <c r="B352" s="143"/>
      <c r="C352" s="249"/>
      <c r="D352" s="254"/>
      <c r="E352" s="250"/>
      <c r="F352" s="254"/>
      <c r="G352" s="342"/>
      <c r="H352" s="228"/>
      <c r="I352" s="300"/>
      <c r="J352" s="301"/>
      <c r="K352" s="301"/>
      <c r="L352" s="301"/>
      <c r="M352" s="301"/>
      <c r="N352" s="301"/>
      <c r="O352" s="292"/>
      <c r="P352" s="301"/>
      <c r="Q352" s="301"/>
      <c r="R352" s="292"/>
      <c r="S352" s="251"/>
      <c r="T352" s="250"/>
      <c r="U352" s="250"/>
      <c r="V352" s="250"/>
    </row>
    <row r="353" spans="2:22" ht="14.25">
      <c r="B353" s="107" t="s">
        <v>509</v>
      </c>
      <c r="C353" s="228"/>
      <c r="D353" s="230"/>
      <c r="E353" s="250"/>
      <c r="F353" s="366"/>
      <c r="G353" s="228"/>
      <c r="H353" s="228"/>
      <c r="I353" s="288"/>
      <c r="J353" s="288"/>
      <c r="K353" s="288"/>
      <c r="L353" s="288"/>
      <c r="M353" s="288"/>
      <c r="N353" s="288"/>
      <c r="O353" s="292"/>
      <c r="P353" s="301"/>
      <c r="Q353" s="301"/>
      <c r="R353" s="292"/>
      <c r="S353" s="272"/>
      <c r="T353" s="250"/>
      <c r="U353" s="250"/>
      <c r="V353" s="250"/>
    </row>
    <row r="354" spans="2:22">
      <c r="B354" s="15">
        <v>1</v>
      </c>
      <c r="C354" s="249" t="s">
        <v>701</v>
      </c>
      <c r="D354" s="254">
        <v>1</v>
      </c>
      <c r="E354" s="250">
        <v>6700</v>
      </c>
      <c r="F354" s="275" t="s">
        <v>987</v>
      </c>
      <c r="G354" s="342">
        <v>40284</v>
      </c>
      <c r="H354" s="228" t="s">
        <v>282</v>
      </c>
      <c r="I354" s="300">
        <v>42109</v>
      </c>
      <c r="J354" s="301">
        <v>1826</v>
      </c>
      <c r="K354" s="301">
        <v>1446</v>
      </c>
      <c r="L354" s="301">
        <v>380</v>
      </c>
      <c r="M354" s="301">
        <v>335</v>
      </c>
      <c r="N354" s="301">
        <v>5107</v>
      </c>
      <c r="O354" s="292">
        <v>0</v>
      </c>
      <c r="P354" s="301">
        <v>537</v>
      </c>
      <c r="Q354" s="301">
        <v>15</v>
      </c>
      <c r="R354" s="292">
        <v>202</v>
      </c>
      <c r="S354" s="251">
        <v>0</v>
      </c>
      <c r="T354" s="250">
        <v>0</v>
      </c>
      <c r="U354" s="250">
        <v>537</v>
      </c>
      <c r="V354" s="250">
        <v>0</v>
      </c>
    </row>
    <row r="355" spans="2:22" ht="27">
      <c r="B355" s="15">
        <v>2</v>
      </c>
      <c r="C355" s="249" t="s">
        <v>510</v>
      </c>
      <c r="D355" s="254">
        <v>1</v>
      </c>
      <c r="E355" s="250">
        <v>31521</v>
      </c>
      <c r="F355" s="254" t="s">
        <v>179</v>
      </c>
      <c r="G355" s="342">
        <v>40330</v>
      </c>
      <c r="H355" s="228" t="s">
        <v>368</v>
      </c>
      <c r="I355" s="300">
        <v>42155</v>
      </c>
      <c r="J355" s="301">
        <v>1826</v>
      </c>
      <c r="K355" s="301">
        <v>1400</v>
      </c>
      <c r="L355" s="301">
        <v>426</v>
      </c>
      <c r="M355" s="301">
        <v>1576</v>
      </c>
      <c r="N355" s="301">
        <v>24209</v>
      </c>
      <c r="O355" s="292">
        <v>0</v>
      </c>
      <c r="P355" s="301">
        <v>5043</v>
      </c>
      <c r="Q355" s="301">
        <v>61</v>
      </c>
      <c r="R355" s="292">
        <v>3467</v>
      </c>
      <c r="S355" s="251">
        <v>0</v>
      </c>
      <c r="T355" s="250">
        <v>0</v>
      </c>
      <c r="U355" s="250">
        <v>5043</v>
      </c>
      <c r="V355" s="250">
        <v>0</v>
      </c>
    </row>
    <row r="356" spans="2:22" ht="27">
      <c r="B356" s="15">
        <v>3</v>
      </c>
      <c r="C356" s="249" t="s">
        <v>192</v>
      </c>
      <c r="D356" s="254">
        <v>1</v>
      </c>
      <c r="E356" s="250">
        <v>7150</v>
      </c>
      <c r="F356" s="254" t="s">
        <v>788</v>
      </c>
      <c r="G356" s="342">
        <v>40508</v>
      </c>
      <c r="H356" s="228" t="s">
        <v>368</v>
      </c>
      <c r="I356" s="300">
        <v>42333</v>
      </c>
      <c r="J356" s="301">
        <v>1826</v>
      </c>
      <c r="K356" s="301">
        <v>1222</v>
      </c>
      <c r="L356" s="301">
        <v>604</v>
      </c>
      <c r="M356" s="301">
        <v>358</v>
      </c>
      <c r="N356" s="301">
        <v>5657</v>
      </c>
      <c r="O356" s="292">
        <v>0</v>
      </c>
      <c r="P356" s="301">
        <v>2596</v>
      </c>
      <c r="Q356" s="301">
        <v>239</v>
      </c>
      <c r="R356" s="292">
        <v>2239</v>
      </c>
      <c r="S356" s="251">
        <v>0</v>
      </c>
      <c r="T356" s="250">
        <v>0</v>
      </c>
      <c r="U356" s="250">
        <v>2596</v>
      </c>
      <c r="V356" s="250">
        <v>0</v>
      </c>
    </row>
    <row r="357" spans="2:22">
      <c r="B357" s="15">
        <v>4</v>
      </c>
      <c r="C357" s="249" t="s">
        <v>291</v>
      </c>
      <c r="D357" s="254">
        <v>2</v>
      </c>
      <c r="E357" s="250">
        <v>13400</v>
      </c>
      <c r="F357" s="254" t="s">
        <v>117</v>
      </c>
      <c r="G357" s="342">
        <v>40550</v>
      </c>
      <c r="H357" s="228" t="s">
        <v>368</v>
      </c>
      <c r="I357" s="300">
        <v>42375</v>
      </c>
      <c r="J357" s="301">
        <v>1826</v>
      </c>
      <c r="K357" s="301">
        <v>1180</v>
      </c>
      <c r="L357" s="301">
        <v>646</v>
      </c>
      <c r="M357" s="301">
        <v>670</v>
      </c>
      <c r="N357" s="301">
        <v>10674</v>
      </c>
      <c r="O357" s="292">
        <v>0</v>
      </c>
      <c r="P357" s="301">
        <v>5313</v>
      </c>
      <c r="Q357" s="301">
        <v>281</v>
      </c>
      <c r="R357" s="292">
        <v>4643</v>
      </c>
      <c r="S357" s="251">
        <v>0</v>
      </c>
      <c r="T357" s="250">
        <v>0</v>
      </c>
      <c r="U357" s="250">
        <v>5313</v>
      </c>
      <c r="V357" s="250">
        <v>0</v>
      </c>
    </row>
    <row r="358" spans="2:22" ht="27">
      <c r="B358" s="15">
        <v>5</v>
      </c>
      <c r="C358" s="249" t="s">
        <v>309</v>
      </c>
      <c r="D358" s="254">
        <v>2</v>
      </c>
      <c r="E358" s="250">
        <v>13400</v>
      </c>
      <c r="F358" s="254" t="s">
        <v>310</v>
      </c>
      <c r="G358" s="342">
        <v>40602</v>
      </c>
      <c r="H358" s="228" t="s">
        <v>368</v>
      </c>
      <c r="I358" s="300">
        <v>42427</v>
      </c>
      <c r="J358" s="301">
        <v>1826</v>
      </c>
      <c r="K358" s="301">
        <v>1128</v>
      </c>
      <c r="L358" s="301">
        <v>698</v>
      </c>
      <c r="M358" s="301">
        <v>670</v>
      </c>
      <c r="N358" s="301">
        <v>10764</v>
      </c>
      <c r="O358" s="292">
        <v>0</v>
      </c>
      <c r="P358" s="301">
        <v>5805</v>
      </c>
      <c r="Q358" s="301">
        <v>333</v>
      </c>
      <c r="R358" s="292">
        <v>5135</v>
      </c>
      <c r="S358" s="251">
        <v>0</v>
      </c>
      <c r="T358" s="250">
        <v>0</v>
      </c>
      <c r="U358" s="250">
        <v>5805</v>
      </c>
      <c r="V358" s="250">
        <v>0</v>
      </c>
    </row>
    <row r="359" spans="2:22" ht="27">
      <c r="B359" s="15">
        <v>6</v>
      </c>
      <c r="C359" s="249" t="s">
        <v>311</v>
      </c>
      <c r="D359" s="254">
        <v>1</v>
      </c>
      <c r="E359" s="250">
        <v>6700</v>
      </c>
      <c r="F359" s="254" t="s">
        <v>312</v>
      </c>
      <c r="G359" s="342">
        <v>40602</v>
      </c>
      <c r="H359" s="228" t="s">
        <v>368</v>
      </c>
      <c r="I359" s="300">
        <v>42427</v>
      </c>
      <c r="J359" s="301">
        <v>1826</v>
      </c>
      <c r="K359" s="301">
        <v>1128</v>
      </c>
      <c r="L359" s="301">
        <v>698</v>
      </c>
      <c r="M359" s="301">
        <v>335</v>
      </c>
      <c r="N359" s="301">
        <v>5383</v>
      </c>
      <c r="O359" s="292">
        <v>0</v>
      </c>
      <c r="P359" s="301">
        <v>2903</v>
      </c>
      <c r="Q359" s="301">
        <v>333</v>
      </c>
      <c r="R359" s="292">
        <v>2568</v>
      </c>
      <c r="S359" s="251">
        <v>0</v>
      </c>
      <c r="T359" s="250">
        <v>0</v>
      </c>
      <c r="U359" s="250">
        <v>2903</v>
      </c>
      <c r="V359" s="250">
        <v>0</v>
      </c>
    </row>
    <row r="360" spans="2:22">
      <c r="B360" s="15">
        <v>7</v>
      </c>
      <c r="C360" s="249" t="s">
        <v>1162</v>
      </c>
      <c r="D360" s="254">
        <v>4</v>
      </c>
      <c r="E360" s="250">
        <v>30000</v>
      </c>
      <c r="F360" s="254" t="s">
        <v>1163</v>
      </c>
      <c r="G360" s="342">
        <v>40712</v>
      </c>
      <c r="H360" s="228" t="s">
        <v>368</v>
      </c>
      <c r="I360" s="300">
        <v>42538</v>
      </c>
      <c r="J360" s="301">
        <v>1827</v>
      </c>
      <c r="K360" s="301">
        <v>1018</v>
      </c>
      <c r="L360" s="301">
        <v>809</v>
      </c>
      <c r="M360" s="301">
        <v>1500</v>
      </c>
      <c r="N360" s="301">
        <v>24529</v>
      </c>
      <c r="O360" s="292">
        <v>0</v>
      </c>
      <c r="P360" s="301">
        <v>14962</v>
      </c>
      <c r="Q360" s="301">
        <v>444</v>
      </c>
      <c r="R360" s="292">
        <v>13462</v>
      </c>
      <c r="S360" s="251">
        <v>0</v>
      </c>
      <c r="T360" s="250">
        <v>0</v>
      </c>
      <c r="U360" s="250">
        <v>14962</v>
      </c>
      <c r="V360" s="250">
        <v>0</v>
      </c>
    </row>
    <row r="361" spans="2:22">
      <c r="B361" s="15">
        <v>8</v>
      </c>
      <c r="C361" s="249" t="s">
        <v>1412</v>
      </c>
      <c r="D361" s="254">
        <v>2</v>
      </c>
      <c r="E361" s="250">
        <v>31692</v>
      </c>
      <c r="F361" s="254" t="s">
        <v>1413</v>
      </c>
      <c r="G361" s="342">
        <v>40820</v>
      </c>
      <c r="H361" s="228" t="s">
        <v>368</v>
      </c>
      <c r="I361" s="300">
        <v>42646</v>
      </c>
      <c r="J361" s="301">
        <v>1827</v>
      </c>
      <c r="K361" s="301">
        <v>910</v>
      </c>
      <c r="L361" s="301">
        <v>917</v>
      </c>
      <c r="M361" s="301">
        <v>1585</v>
      </c>
      <c r="N361" s="301">
        <v>26357</v>
      </c>
      <c r="O361" s="292">
        <v>0</v>
      </c>
      <c r="P361" s="301">
        <v>17451</v>
      </c>
      <c r="Q361" s="301">
        <v>552</v>
      </c>
      <c r="R361" s="292">
        <v>15866</v>
      </c>
      <c r="S361" s="251">
        <v>0</v>
      </c>
      <c r="T361" s="250">
        <v>0</v>
      </c>
      <c r="U361" s="250">
        <v>17451</v>
      </c>
      <c r="V361" s="250">
        <v>0</v>
      </c>
    </row>
    <row r="362" spans="2:22">
      <c r="B362" s="15">
        <v>9</v>
      </c>
      <c r="C362" s="249" t="s">
        <v>1626</v>
      </c>
      <c r="D362" s="254">
        <v>1</v>
      </c>
      <c r="E362" s="250">
        <v>8250</v>
      </c>
      <c r="F362" s="254" t="s">
        <v>1627</v>
      </c>
      <c r="G362" s="342">
        <v>40868</v>
      </c>
      <c r="H362" s="228" t="s">
        <v>161</v>
      </c>
      <c r="I362" s="300">
        <v>42694</v>
      </c>
      <c r="J362" s="301">
        <v>1827</v>
      </c>
      <c r="K362" s="301">
        <v>862</v>
      </c>
      <c r="L362" s="301">
        <v>965</v>
      </c>
      <c r="M362" s="301">
        <v>413</v>
      </c>
      <c r="N362" s="301">
        <v>6912</v>
      </c>
      <c r="O362" s="292">
        <v>0</v>
      </c>
      <c r="P362" s="301">
        <v>4711</v>
      </c>
      <c r="Q362" s="301">
        <v>600</v>
      </c>
      <c r="R362" s="292">
        <v>4299</v>
      </c>
      <c r="S362" s="251">
        <v>0</v>
      </c>
      <c r="T362" s="250">
        <v>0</v>
      </c>
      <c r="U362" s="250">
        <v>4711</v>
      </c>
      <c r="V362" s="250">
        <v>0</v>
      </c>
    </row>
    <row r="363" spans="2:22">
      <c r="B363" s="15">
        <v>10</v>
      </c>
      <c r="C363" s="249" t="s">
        <v>2129</v>
      </c>
      <c r="D363" s="254">
        <v>1</v>
      </c>
      <c r="E363" s="250">
        <v>20178</v>
      </c>
      <c r="F363" s="254" t="s">
        <v>2130</v>
      </c>
      <c r="G363" s="342">
        <v>41410</v>
      </c>
      <c r="H363" s="228" t="s">
        <v>368</v>
      </c>
      <c r="I363" s="300">
        <v>43235</v>
      </c>
      <c r="J363" s="301">
        <v>1826</v>
      </c>
      <c r="K363" s="301">
        <v>320</v>
      </c>
      <c r="L363" s="301">
        <v>1506</v>
      </c>
      <c r="M363" s="301">
        <v>1009</v>
      </c>
      <c r="N363" s="301">
        <v>18329</v>
      </c>
      <c r="O363" s="292">
        <v>0</v>
      </c>
      <c r="P363" s="301">
        <v>14896</v>
      </c>
      <c r="Q363" s="301">
        <v>1141</v>
      </c>
      <c r="R363" s="292">
        <v>13887</v>
      </c>
      <c r="S363" s="251">
        <v>0</v>
      </c>
      <c r="T363" s="250">
        <v>0</v>
      </c>
      <c r="U363" s="250">
        <v>14896</v>
      </c>
      <c r="V363" s="250">
        <v>0</v>
      </c>
    </row>
    <row r="364" spans="2:22">
      <c r="B364" s="15">
        <v>11</v>
      </c>
      <c r="C364" s="249" t="s">
        <v>4298</v>
      </c>
      <c r="D364" s="254">
        <v>2</v>
      </c>
      <c r="E364" s="250">
        <v>80240</v>
      </c>
      <c r="F364" s="254" t="s">
        <v>4299</v>
      </c>
      <c r="G364" s="342">
        <v>43305</v>
      </c>
      <c r="H364" s="228" t="s">
        <v>368</v>
      </c>
      <c r="I364" s="300">
        <v>45130</v>
      </c>
      <c r="J364" s="301">
        <v>1826</v>
      </c>
      <c r="K364" s="301">
        <v>0</v>
      </c>
      <c r="L364" s="301">
        <v>1826</v>
      </c>
      <c r="M364" s="301">
        <v>4012</v>
      </c>
      <c r="N364" s="301">
        <v>76228</v>
      </c>
      <c r="O364" s="292">
        <v>0</v>
      </c>
      <c r="P364" s="292">
        <v>80240</v>
      </c>
      <c r="Q364" s="301">
        <v>1826</v>
      </c>
      <c r="R364" s="301">
        <v>76228</v>
      </c>
      <c r="S364" s="292">
        <v>365</v>
      </c>
      <c r="T364" s="251">
        <v>15237</v>
      </c>
      <c r="U364" s="250">
        <v>56231</v>
      </c>
      <c r="V364" s="250">
        <v>24009</v>
      </c>
    </row>
    <row r="365" spans="2:22">
      <c r="B365" s="15">
        <v>12</v>
      </c>
      <c r="C365" s="249" t="s">
        <v>4342</v>
      </c>
      <c r="D365" s="254">
        <v>1</v>
      </c>
      <c r="E365" s="250">
        <v>40120</v>
      </c>
      <c r="F365" s="254" t="s">
        <v>4343</v>
      </c>
      <c r="G365" s="342">
        <v>43571</v>
      </c>
      <c r="H365" s="228" t="s">
        <v>368</v>
      </c>
      <c r="I365" s="300">
        <v>45397</v>
      </c>
      <c r="J365" s="301">
        <v>1827</v>
      </c>
      <c r="K365" s="301">
        <v>0</v>
      </c>
      <c r="L365" s="301">
        <v>1827</v>
      </c>
      <c r="M365" s="301">
        <v>2006</v>
      </c>
      <c r="N365" s="301">
        <v>38114</v>
      </c>
      <c r="O365" s="292">
        <v>0</v>
      </c>
      <c r="P365" s="292">
        <v>40120</v>
      </c>
      <c r="Q365" s="301">
        <v>1827</v>
      </c>
      <c r="R365" s="301">
        <v>38114</v>
      </c>
      <c r="S365" s="292">
        <v>365</v>
      </c>
      <c r="T365" s="251">
        <v>7614</v>
      </c>
      <c r="U365" s="250">
        <v>22550</v>
      </c>
      <c r="V365" s="250">
        <v>17570</v>
      </c>
    </row>
    <row r="366" spans="2:22">
      <c r="B366" s="15">
        <v>13</v>
      </c>
      <c r="C366" s="249" t="s">
        <v>4395</v>
      </c>
      <c r="D366" s="254"/>
      <c r="E366" s="250">
        <v>41772</v>
      </c>
      <c r="F366" s="254" t="s">
        <v>4396</v>
      </c>
      <c r="G366" s="342">
        <v>43645</v>
      </c>
      <c r="H366" s="228" t="s">
        <v>368</v>
      </c>
      <c r="I366" s="300">
        <v>45471</v>
      </c>
      <c r="J366" s="301">
        <v>1827</v>
      </c>
      <c r="K366" s="301">
        <v>0</v>
      </c>
      <c r="L366" s="301">
        <v>1827</v>
      </c>
      <c r="M366" s="301">
        <v>2089</v>
      </c>
      <c r="N366" s="301">
        <v>39683</v>
      </c>
      <c r="O366" s="292">
        <v>0</v>
      </c>
      <c r="P366" s="292">
        <v>41772</v>
      </c>
      <c r="Q366" s="301">
        <v>1827</v>
      </c>
      <c r="R366" s="301">
        <v>39683</v>
      </c>
      <c r="S366" s="292">
        <v>365</v>
      </c>
      <c r="T366" s="251">
        <v>7928</v>
      </c>
      <c r="U366" s="250">
        <v>21873</v>
      </c>
      <c r="V366" s="250">
        <v>19899</v>
      </c>
    </row>
    <row r="367" spans="2:22">
      <c r="B367" s="143"/>
      <c r="C367" s="249"/>
      <c r="D367" s="254"/>
      <c r="E367" s="250"/>
      <c r="F367" s="254"/>
      <c r="G367" s="342"/>
      <c r="H367" s="228"/>
      <c r="I367" s="300"/>
      <c r="J367" s="301"/>
      <c r="K367" s="301"/>
      <c r="L367" s="301"/>
      <c r="M367" s="301"/>
      <c r="N367" s="301"/>
      <c r="O367" s="292"/>
      <c r="P367" s="301">
        <v>0</v>
      </c>
      <c r="Q367" s="301"/>
      <c r="R367" s="292"/>
      <c r="S367" s="251"/>
      <c r="T367" s="250"/>
      <c r="U367" s="250"/>
      <c r="V367" s="250"/>
    </row>
    <row r="368" spans="2:22" ht="14.25">
      <c r="B368" s="107" t="s">
        <v>48</v>
      </c>
      <c r="C368" s="228"/>
      <c r="D368" s="230"/>
      <c r="E368" s="250"/>
      <c r="F368" s="369"/>
      <c r="G368" s="230"/>
      <c r="H368" s="228"/>
      <c r="I368" s="288"/>
      <c r="J368" s="288"/>
      <c r="K368" s="288"/>
      <c r="L368" s="288"/>
      <c r="M368" s="288"/>
      <c r="N368" s="288"/>
      <c r="O368" s="292"/>
      <c r="P368" s="301"/>
      <c r="Q368" s="301"/>
      <c r="R368" s="292"/>
      <c r="S368" s="272"/>
      <c r="T368" s="250"/>
      <c r="U368" s="250"/>
      <c r="V368" s="250"/>
    </row>
    <row r="369" spans="2:22">
      <c r="B369" s="15">
        <v>1</v>
      </c>
      <c r="C369" s="249" t="s">
        <v>57</v>
      </c>
      <c r="D369" s="254">
        <v>1</v>
      </c>
      <c r="E369" s="319">
        <v>367538</v>
      </c>
      <c r="F369" s="369">
        <v>14045</v>
      </c>
      <c r="G369" s="342">
        <v>40045</v>
      </c>
      <c r="H369" s="228" t="s">
        <v>282</v>
      </c>
      <c r="I369" s="300">
        <v>41870</v>
      </c>
      <c r="J369" s="301">
        <v>1826</v>
      </c>
      <c r="K369" s="301">
        <v>1685</v>
      </c>
      <c r="L369" s="301">
        <v>141</v>
      </c>
      <c r="M369" s="301">
        <v>18377</v>
      </c>
      <c r="N369" s="301">
        <v>268615</v>
      </c>
      <c r="O369" s="292">
        <v>0</v>
      </c>
      <c r="P369" s="301">
        <v>0</v>
      </c>
      <c r="Q369" s="301">
        <v>0</v>
      </c>
      <c r="R369" s="292">
        <v>-18377</v>
      </c>
      <c r="S369" s="251">
        <v>0</v>
      </c>
      <c r="T369" s="250">
        <v>0</v>
      </c>
      <c r="U369" s="250">
        <v>0</v>
      </c>
      <c r="V369" s="250">
        <v>0</v>
      </c>
    </row>
    <row r="370" spans="2:22">
      <c r="B370" s="15">
        <f>+B369+1</f>
        <v>2</v>
      </c>
      <c r="C370" s="249" t="s">
        <v>58</v>
      </c>
      <c r="D370" s="254">
        <v>1</v>
      </c>
      <c r="E370" s="320">
        <v>84990</v>
      </c>
      <c r="F370" s="369">
        <v>14046</v>
      </c>
      <c r="G370" s="342">
        <v>40045</v>
      </c>
      <c r="H370" s="228" t="s">
        <v>282</v>
      </c>
      <c r="I370" s="300">
        <v>41870</v>
      </c>
      <c r="J370" s="301">
        <v>1826</v>
      </c>
      <c r="K370" s="301">
        <v>1685</v>
      </c>
      <c r="L370" s="301">
        <v>141</v>
      </c>
      <c r="M370" s="301">
        <v>4250</v>
      </c>
      <c r="N370" s="301">
        <v>62113</v>
      </c>
      <c r="O370" s="292">
        <v>0</v>
      </c>
      <c r="P370" s="301">
        <v>0</v>
      </c>
      <c r="Q370" s="301">
        <v>0</v>
      </c>
      <c r="R370" s="292">
        <v>-4250</v>
      </c>
      <c r="S370" s="251">
        <v>0</v>
      </c>
      <c r="T370" s="250">
        <v>0</v>
      </c>
      <c r="U370" s="250">
        <v>0</v>
      </c>
      <c r="V370" s="250">
        <v>0</v>
      </c>
    </row>
    <row r="371" spans="2:22">
      <c r="B371" s="15">
        <f>+B370+1</f>
        <v>3</v>
      </c>
      <c r="C371" s="249" t="s">
        <v>59</v>
      </c>
      <c r="D371" s="254">
        <v>1</v>
      </c>
      <c r="E371" s="320">
        <v>12472</v>
      </c>
      <c r="F371" s="369">
        <v>10</v>
      </c>
      <c r="G371" s="342">
        <v>40045</v>
      </c>
      <c r="H371" s="228" t="s">
        <v>282</v>
      </c>
      <c r="I371" s="300">
        <v>41870</v>
      </c>
      <c r="J371" s="301">
        <v>1826</v>
      </c>
      <c r="K371" s="301">
        <v>1685</v>
      </c>
      <c r="L371" s="301">
        <v>141</v>
      </c>
      <c r="M371" s="301">
        <v>624</v>
      </c>
      <c r="N371" s="301">
        <v>9117</v>
      </c>
      <c r="O371" s="292">
        <v>0</v>
      </c>
      <c r="P371" s="301">
        <v>0</v>
      </c>
      <c r="Q371" s="301">
        <v>0</v>
      </c>
      <c r="R371" s="292">
        <v>-624</v>
      </c>
      <c r="S371" s="251">
        <v>0</v>
      </c>
      <c r="T371" s="250">
        <v>0</v>
      </c>
      <c r="U371" s="250">
        <v>0</v>
      </c>
      <c r="V371" s="250">
        <v>0</v>
      </c>
    </row>
    <row r="372" spans="2:22" ht="27">
      <c r="B372" s="15">
        <f>+B371+1</f>
        <v>4</v>
      </c>
      <c r="C372" s="249" t="s">
        <v>516</v>
      </c>
      <c r="D372" s="254">
        <v>2</v>
      </c>
      <c r="E372" s="320">
        <f>905056+24944</f>
        <v>930000</v>
      </c>
      <c r="F372" s="369" t="s">
        <v>1000</v>
      </c>
      <c r="G372" s="342">
        <v>40170</v>
      </c>
      <c r="H372" s="228" t="s">
        <v>895</v>
      </c>
      <c r="I372" s="300">
        <v>41995</v>
      </c>
      <c r="J372" s="301">
        <v>1826</v>
      </c>
      <c r="K372" s="301">
        <v>1560</v>
      </c>
      <c r="L372" s="301">
        <v>266</v>
      </c>
      <c r="M372" s="301">
        <v>46500</v>
      </c>
      <c r="N372" s="301">
        <v>694819</v>
      </c>
      <c r="O372" s="292">
        <v>0</v>
      </c>
      <c r="P372" s="301">
        <v>0</v>
      </c>
      <c r="Q372" s="301">
        <v>0</v>
      </c>
      <c r="R372" s="292">
        <v>-46500</v>
      </c>
      <c r="S372" s="251">
        <v>0</v>
      </c>
      <c r="T372" s="250">
        <v>0</v>
      </c>
      <c r="U372" s="250">
        <v>0</v>
      </c>
      <c r="V372" s="250">
        <v>0</v>
      </c>
    </row>
    <row r="373" spans="2:22" ht="81">
      <c r="B373" s="15">
        <f t="shared" ref="B373:B385" si="12">+B372+1</f>
        <v>5</v>
      </c>
      <c r="C373" s="249" t="s">
        <v>14</v>
      </c>
      <c r="D373" s="254">
        <v>1</v>
      </c>
      <c r="E373" s="250">
        <f>452528+22472</f>
        <v>475000</v>
      </c>
      <c r="F373" s="254" t="s">
        <v>15</v>
      </c>
      <c r="G373" s="342">
        <v>40274</v>
      </c>
      <c r="H373" s="228" t="s">
        <v>368</v>
      </c>
      <c r="I373" s="300">
        <v>42099</v>
      </c>
      <c r="J373" s="301">
        <v>1826</v>
      </c>
      <c r="K373" s="301">
        <v>1456</v>
      </c>
      <c r="L373" s="301">
        <v>370</v>
      </c>
      <c r="M373" s="301">
        <v>23750</v>
      </c>
      <c r="N373" s="301">
        <v>361309</v>
      </c>
      <c r="O373" s="292">
        <v>0</v>
      </c>
      <c r="P373" s="301">
        <v>28633</v>
      </c>
      <c r="Q373" s="301">
        <v>5</v>
      </c>
      <c r="R373" s="292">
        <v>4883</v>
      </c>
      <c r="S373" s="251">
        <v>0</v>
      </c>
      <c r="T373" s="250">
        <v>0</v>
      </c>
      <c r="U373" s="250">
        <v>28633</v>
      </c>
      <c r="V373" s="250">
        <v>0</v>
      </c>
    </row>
    <row r="374" spans="2:22" ht="40.5">
      <c r="B374" s="15">
        <f t="shared" si="12"/>
        <v>6</v>
      </c>
      <c r="C374" s="249" t="s">
        <v>579</v>
      </c>
      <c r="D374" s="254">
        <v>1</v>
      </c>
      <c r="E374" s="250">
        <v>22472</v>
      </c>
      <c r="F374" s="254" t="s">
        <v>580</v>
      </c>
      <c r="G374" s="342">
        <v>40408</v>
      </c>
      <c r="H374" s="228" t="s">
        <v>368</v>
      </c>
      <c r="I374" s="300">
        <v>42233</v>
      </c>
      <c r="J374" s="301">
        <v>1826</v>
      </c>
      <c r="K374" s="301">
        <v>1322</v>
      </c>
      <c r="L374" s="301">
        <v>504</v>
      </c>
      <c r="M374" s="301">
        <v>1124</v>
      </c>
      <c r="N374" s="301">
        <v>17487</v>
      </c>
      <c r="O374" s="292">
        <v>0</v>
      </c>
      <c r="P374" s="301">
        <v>5947</v>
      </c>
      <c r="Q374" s="301">
        <v>139</v>
      </c>
      <c r="R374" s="292">
        <v>4823</v>
      </c>
      <c r="S374" s="251">
        <v>0</v>
      </c>
      <c r="T374" s="250">
        <v>0</v>
      </c>
      <c r="U374" s="250">
        <v>5947</v>
      </c>
      <c r="V374" s="250">
        <v>0</v>
      </c>
    </row>
    <row r="375" spans="2:22" ht="54">
      <c r="B375" s="15">
        <f t="shared" si="12"/>
        <v>7</v>
      </c>
      <c r="C375" s="249" t="s">
        <v>585</v>
      </c>
      <c r="D375" s="254">
        <v>1</v>
      </c>
      <c r="E375" s="250">
        <v>540000</v>
      </c>
      <c r="F375" s="254" t="s">
        <v>1055</v>
      </c>
      <c r="G375" s="342">
        <v>40596</v>
      </c>
      <c r="H375" s="228" t="s">
        <v>288</v>
      </c>
      <c r="I375" s="300">
        <v>42421</v>
      </c>
      <c r="J375" s="301">
        <v>1826</v>
      </c>
      <c r="K375" s="301">
        <v>1134</v>
      </c>
      <c r="L375" s="301">
        <v>692</v>
      </c>
      <c r="M375" s="301">
        <v>27000</v>
      </c>
      <c r="N375" s="301">
        <v>433380</v>
      </c>
      <c r="O375" s="292">
        <v>0</v>
      </c>
      <c r="P375" s="301">
        <v>231791</v>
      </c>
      <c r="Q375" s="301">
        <v>327</v>
      </c>
      <c r="R375" s="292">
        <v>204791</v>
      </c>
      <c r="S375" s="251">
        <v>0</v>
      </c>
      <c r="T375" s="250">
        <v>0</v>
      </c>
      <c r="U375" s="250">
        <v>231791</v>
      </c>
      <c r="V375" s="250">
        <v>0</v>
      </c>
    </row>
    <row r="376" spans="2:22" ht="40.5">
      <c r="B376" s="15">
        <f t="shared" si="12"/>
        <v>8</v>
      </c>
      <c r="C376" s="249" t="s">
        <v>70</v>
      </c>
      <c r="D376" s="254">
        <v>1</v>
      </c>
      <c r="E376" s="250">
        <v>301600</v>
      </c>
      <c r="F376" s="254" t="s">
        <v>71</v>
      </c>
      <c r="G376" s="342">
        <v>40688</v>
      </c>
      <c r="H376" s="228" t="s">
        <v>895</v>
      </c>
      <c r="I376" s="300">
        <v>42514</v>
      </c>
      <c r="J376" s="301">
        <v>1827</v>
      </c>
      <c r="K376" s="301">
        <v>1042</v>
      </c>
      <c r="L376" s="301">
        <v>785</v>
      </c>
      <c r="M376" s="301">
        <v>15080</v>
      </c>
      <c r="N376" s="301">
        <v>245656</v>
      </c>
      <c r="O376" s="292">
        <v>0</v>
      </c>
      <c r="P376" s="301">
        <v>146514</v>
      </c>
      <c r="Q376" s="301">
        <v>420</v>
      </c>
      <c r="R376" s="292">
        <v>131434</v>
      </c>
      <c r="S376" s="251">
        <v>0</v>
      </c>
      <c r="T376" s="250">
        <v>0</v>
      </c>
      <c r="U376" s="250">
        <v>146514</v>
      </c>
      <c r="V376" s="250">
        <v>0</v>
      </c>
    </row>
    <row r="377" spans="2:22" ht="40.5">
      <c r="B377" s="15">
        <f t="shared" si="12"/>
        <v>9</v>
      </c>
      <c r="C377" s="249" t="s">
        <v>1264</v>
      </c>
      <c r="D377" s="254">
        <v>1</v>
      </c>
      <c r="E377" s="250">
        <v>293741</v>
      </c>
      <c r="F377" s="254" t="s">
        <v>42</v>
      </c>
      <c r="G377" s="342">
        <v>40755</v>
      </c>
      <c r="H377" s="228" t="s">
        <v>187</v>
      </c>
      <c r="I377" s="300">
        <v>42581</v>
      </c>
      <c r="J377" s="301">
        <v>1827</v>
      </c>
      <c r="K377" s="301">
        <v>975</v>
      </c>
      <c r="L377" s="301">
        <v>852</v>
      </c>
      <c r="M377" s="301">
        <v>14687</v>
      </c>
      <c r="N377" s="301">
        <v>241808</v>
      </c>
      <c r="O377" s="292">
        <v>0</v>
      </c>
      <c r="P377" s="301">
        <v>152904</v>
      </c>
      <c r="Q377" s="301">
        <v>487</v>
      </c>
      <c r="R377" s="292">
        <v>138217</v>
      </c>
      <c r="S377" s="251">
        <v>0</v>
      </c>
      <c r="T377" s="250">
        <v>0</v>
      </c>
      <c r="U377" s="250">
        <v>152904</v>
      </c>
      <c r="V377" s="250">
        <v>0</v>
      </c>
    </row>
    <row r="378" spans="2:22" ht="27">
      <c r="B378" s="15">
        <f t="shared" si="12"/>
        <v>10</v>
      </c>
      <c r="C378" s="249" t="s">
        <v>1266</v>
      </c>
      <c r="D378" s="254">
        <v>3</v>
      </c>
      <c r="E378" s="250">
        <v>352800</v>
      </c>
      <c r="F378" s="254" t="s">
        <v>1267</v>
      </c>
      <c r="G378" s="342">
        <v>40751</v>
      </c>
      <c r="H378" s="228" t="s">
        <v>1268</v>
      </c>
      <c r="I378" s="300">
        <v>42577</v>
      </c>
      <c r="J378" s="301">
        <v>1827</v>
      </c>
      <c r="K378" s="301">
        <v>979</v>
      </c>
      <c r="L378" s="301">
        <v>848</v>
      </c>
      <c r="M378" s="301">
        <v>17640</v>
      </c>
      <c r="N378" s="301">
        <v>290243</v>
      </c>
      <c r="O378" s="292">
        <v>0</v>
      </c>
      <c r="P378" s="301">
        <v>182955</v>
      </c>
      <c r="Q378" s="301">
        <v>483</v>
      </c>
      <c r="R378" s="292">
        <v>165315</v>
      </c>
      <c r="S378" s="251">
        <v>0</v>
      </c>
      <c r="T378" s="250">
        <v>0</v>
      </c>
      <c r="U378" s="250">
        <v>182955</v>
      </c>
      <c r="V378" s="250">
        <v>0</v>
      </c>
    </row>
    <row r="379" spans="2:22" ht="27">
      <c r="B379" s="15">
        <f t="shared" si="12"/>
        <v>11</v>
      </c>
      <c r="C379" s="249" t="s">
        <v>2165</v>
      </c>
      <c r="D379" s="254">
        <v>1</v>
      </c>
      <c r="E379" s="250">
        <f>325500+67416</f>
        <v>392916</v>
      </c>
      <c r="F379" s="254" t="s">
        <v>2166</v>
      </c>
      <c r="G379" s="342">
        <v>41394</v>
      </c>
      <c r="H379" s="228" t="s">
        <v>368</v>
      </c>
      <c r="I379" s="300">
        <v>43219</v>
      </c>
      <c r="J379" s="301">
        <v>1826</v>
      </c>
      <c r="K379" s="301">
        <v>336</v>
      </c>
      <c r="L379" s="301">
        <v>1490</v>
      </c>
      <c r="M379" s="301">
        <v>19646</v>
      </c>
      <c r="N379" s="301">
        <v>356089</v>
      </c>
      <c r="O379" s="292">
        <v>0</v>
      </c>
      <c r="P379" s="301">
        <v>288505</v>
      </c>
      <c r="Q379" s="301">
        <v>1125</v>
      </c>
      <c r="R379" s="292">
        <v>268859</v>
      </c>
      <c r="S379" s="251">
        <v>0</v>
      </c>
      <c r="T379" s="250">
        <v>0</v>
      </c>
      <c r="U379" s="250">
        <v>288505</v>
      </c>
      <c r="V379" s="250">
        <v>0</v>
      </c>
    </row>
    <row r="380" spans="2:22" ht="27">
      <c r="B380" s="15">
        <f t="shared" si="12"/>
        <v>12</v>
      </c>
      <c r="C380" s="249" t="s">
        <v>2243</v>
      </c>
      <c r="D380" s="254">
        <v>1</v>
      </c>
      <c r="E380" s="250">
        <f>28281+20225</f>
        <v>48506</v>
      </c>
      <c r="F380" s="254" t="s">
        <v>2244</v>
      </c>
      <c r="G380" s="342">
        <v>41536</v>
      </c>
      <c r="H380" s="228" t="s">
        <v>895</v>
      </c>
      <c r="I380" s="300">
        <v>43361</v>
      </c>
      <c r="J380" s="301">
        <v>1826</v>
      </c>
      <c r="K380" s="301">
        <v>194</v>
      </c>
      <c r="L380" s="301">
        <v>1632</v>
      </c>
      <c r="M380" s="301">
        <v>2425</v>
      </c>
      <c r="N380" s="301">
        <v>44856</v>
      </c>
      <c r="O380" s="292">
        <v>0</v>
      </c>
      <c r="P380" s="301">
        <v>37249</v>
      </c>
      <c r="Q380" s="301">
        <v>1267</v>
      </c>
      <c r="R380" s="292">
        <v>34824</v>
      </c>
      <c r="S380" s="251">
        <v>0</v>
      </c>
      <c r="T380" s="250">
        <v>0</v>
      </c>
      <c r="U380" s="250">
        <v>37249</v>
      </c>
      <c r="V380" s="250">
        <v>0</v>
      </c>
    </row>
    <row r="381" spans="2:22" ht="27">
      <c r="B381" s="15">
        <f t="shared" si="12"/>
        <v>13</v>
      </c>
      <c r="C381" s="249" t="s">
        <v>2246</v>
      </c>
      <c r="D381" s="254">
        <v>8</v>
      </c>
      <c r="E381" s="250">
        <v>40958</v>
      </c>
      <c r="F381" s="254" t="s">
        <v>2245</v>
      </c>
      <c r="G381" s="342">
        <v>41546</v>
      </c>
      <c r="H381" s="228" t="s">
        <v>368</v>
      </c>
      <c r="I381" s="300">
        <v>43371</v>
      </c>
      <c r="J381" s="301">
        <v>1826</v>
      </c>
      <c r="K381" s="301">
        <v>184</v>
      </c>
      <c r="L381" s="301">
        <v>1642</v>
      </c>
      <c r="M381" s="301">
        <v>2048</v>
      </c>
      <c r="N381" s="301">
        <v>37929</v>
      </c>
      <c r="O381" s="292">
        <v>0</v>
      </c>
      <c r="P381" s="301">
        <v>31546</v>
      </c>
      <c r="Q381" s="301">
        <v>1277</v>
      </c>
      <c r="R381" s="292">
        <v>29498</v>
      </c>
      <c r="S381" s="251">
        <v>0</v>
      </c>
      <c r="T381" s="250">
        <v>0</v>
      </c>
      <c r="U381" s="250">
        <v>31546</v>
      </c>
      <c r="V381" s="250">
        <v>0</v>
      </c>
    </row>
    <row r="382" spans="2:22" ht="27">
      <c r="B382" s="15">
        <f t="shared" si="12"/>
        <v>14</v>
      </c>
      <c r="C382" s="249" t="s">
        <v>2305</v>
      </c>
      <c r="D382" s="254">
        <v>1</v>
      </c>
      <c r="E382" s="250">
        <v>27300</v>
      </c>
      <c r="F382" s="254" t="s">
        <v>2306</v>
      </c>
      <c r="G382" s="342">
        <v>41674</v>
      </c>
      <c r="H382" s="228" t="s">
        <v>368</v>
      </c>
      <c r="I382" s="300">
        <v>43499</v>
      </c>
      <c r="J382" s="301">
        <v>1826</v>
      </c>
      <c r="K382" s="301">
        <v>56</v>
      </c>
      <c r="L382" s="301">
        <v>1770</v>
      </c>
      <c r="M382" s="301">
        <v>1365</v>
      </c>
      <c r="N382" s="301">
        <v>25736</v>
      </c>
      <c r="O382" s="292">
        <v>0</v>
      </c>
      <c r="P382" s="301">
        <v>21794</v>
      </c>
      <c r="Q382" s="301">
        <v>1405</v>
      </c>
      <c r="R382" s="292">
        <v>20429</v>
      </c>
      <c r="S382" s="251">
        <v>0</v>
      </c>
      <c r="T382" s="250">
        <v>0</v>
      </c>
      <c r="U382" s="250">
        <v>21794</v>
      </c>
      <c r="V382" s="250">
        <v>0</v>
      </c>
    </row>
    <row r="383" spans="2:22">
      <c r="B383" s="15">
        <f t="shared" si="12"/>
        <v>15</v>
      </c>
      <c r="C383" s="249" t="s">
        <v>2317</v>
      </c>
      <c r="D383" s="254">
        <v>1</v>
      </c>
      <c r="E383" s="250">
        <v>26335</v>
      </c>
      <c r="F383" s="254" t="s">
        <v>2318</v>
      </c>
      <c r="G383" s="342">
        <v>41710</v>
      </c>
      <c r="H383" s="228" t="s">
        <v>895</v>
      </c>
      <c r="I383" s="300">
        <v>43535</v>
      </c>
      <c r="J383" s="301">
        <v>1826</v>
      </c>
      <c r="K383" s="301">
        <v>20</v>
      </c>
      <c r="L383" s="301">
        <v>1806</v>
      </c>
      <c r="M383" s="301">
        <v>1317</v>
      </c>
      <c r="N383" s="301">
        <v>24949</v>
      </c>
      <c r="O383" s="292">
        <v>0</v>
      </c>
      <c r="P383" s="301">
        <v>21224</v>
      </c>
      <c r="Q383" s="301">
        <v>1441</v>
      </c>
      <c r="R383" s="292">
        <v>19907</v>
      </c>
      <c r="S383" s="251">
        <v>0</v>
      </c>
      <c r="T383" s="250">
        <v>0</v>
      </c>
      <c r="U383" s="250">
        <v>21224</v>
      </c>
      <c r="V383" s="250">
        <v>0</v>
      </c>
    </row>
    <row r="384" spans="2:22" ht="27">
      <c r="B384" s="15">
        <f t="shared" si="12"/>
        <v>16</v>
      </c>
      <c r="C384" s="249" t="s">
        <v>2430</v>
      </c>
      <c r="D384" s="254">
        <v>1</v>
      </c>
      <c r="E384" s="250">
        <f>6573+103825</f>
        <v>110398</v>
      </c>
      <c r="F384" s="254" t="s">
        <v>2431</v>
      </c>
      <c r="G384" s="342">
        <v>41747</v>
      </c>
      <c r="H384" s="228" t="s">
        <v>895</v>
      </c>
      <c r="I384" s="300">
        <v>43572</v>
      </c>
      <c r="J384" s="301">
        <v>1826</v>
      </c>
      <c r="K384" s="301">
        <v>0</v>
      </c>
      <c r="L384" s="301">
        <v>1826</v>
      </c>
      <c r="M384" s="301">
        <v>5520</v>
      </c>
      <c r="N384" s="301">
        <v>104878</v>
      </c>
      <c r="O384" s="292">
        <v>0</v>
      </c>
      <c r="P384" s="301">
        <v>90410</v>
      </c>
      <c r="Q384" s="301">
        <v>1478</v>
      </c>
      <c r="R384" s="292">
        <v>84890</v>
      </c>
      <c r="S384" s="251">
        <v>0</v>
      </c>
      <c r="T384" s="250">
        <v>0</v>
      </c>
      <c r="U384" s="250">
        <v>90410</v>
      </c>
      <c r="V384" s="250">
        <v>0</v>
      </c>
    </row>
    <row r="385" spans="2:22" ht="27">
      <c r="B385" s="15">
        <f t="shared" si="12"/>
        <v>17</v>
      </c>
      <c r="C385" s="249" t="s">
        <v>2677</v>
      </c>
      <c r="D385" s="254">
        <v>1</v>
      </c>
      <c r="E385" s="250">
        <f>386148+2943</f>
        <v>389091</v>
      </c>
      <c r="F385" s="254" t="s">
        <v>2679</v>
      </c>
      <c r="G385" s="342">
        <v>42005</v>
      </c>
      <c r="H385" s="228" t="s">
        <v>368</v>
      </c>
      <c r="I385" s="300">
        <v>43830</v>
      </c>
      <c r="J385" s="301">
        <v>1826</v>
      </c>
      <c r="K385" s="301">
        <v>0</v>
      </c>
      <c r="L385" s="301">
        <v>1826</v>
      </c>
      <c r="M385" s="301">
        <v>19455</v>
      </c>
      <c r="N385" s="301">
        <v>369636</v>
      </c>
      <c r="O385" s="292">
        <v>0</v>
      </c>
      <c r="P385" s="301">
        <v>370872</v>
      </c>
      <c r="Q385" s="301">
        <v>1736</v>
      </c>
      <c r="R385" s="292">
        <v>351417</v>
      </c>
      <c r="S385" s="251">
        <v>0</v>
      </c>
      <c r="T385" s="250">
        <v>0</v>
      </c>
      <c r="U385" s="250">
        <v>370872</v>
      </c>
      <c r="V385" s="250">
        <v>0</v>
      </c>
    </row>
    <row r="386" spans="2:22" ht="27">
      <c r="B386" s="15">
        <v>18</v>
      </c>
      <c r="C386" s="249" t="s">
        <v>2999</v>
      </c>
      <c r="D386" s="254">
        <v>1</v>
      </c>
      <c r="E386" s="250">
        <v>619500</v>
      </c>
      <c r="F386" s="254" t="s">
        <v>3000</v>
      </c>
      <c r="G386" s="342">
        <v>42290</v>
      </c>
      <c r="H386" s="228" t="s">
        <v>895</v>
      </c>
      <c r="I386" s="300">
        <v>44116</v>
      </c>
      <c r="J386" s="301">
        <v>1827</v>
      </c>
      <c r="K386" s="301">
        <v>0</v>
      </c>
      <c r="L386" s="301">
        <v>1827</v>
      </c>
      <c r="M386" s="301">
        <v>30975</v>
      </c>
      <c r="N386" s="301">
        <v>588525</v>
      </c>
      <c r="O386" s="292"/>
      <c r="P386" s="292">
        <v>619500</v>
      </c>
      <c r="Q386" s="301">
        <v>1827</v>
      </c>
      <c r="R386" s="301">
        <v>588525</v>
      </c>
      <c r="S386" s="292">
        <v>0</v>
      </c>
      <c r="T386" s="251">
        <v>0</v>
      </c>
      <c r="U386" s="250">
        <v>619500</v>
      </c>
      <c r="V386" s="250">
        <v>0</v>
      </c>
    </row>
    <row r="387" spans="2:22" ht="27">
      <c r="B387" s="15">
        <v>19</v>
      </c>
      <c r="C387" s="249" t="s">
        <v>2999</v>
      </c>
      <c r="D387" s="254">
        <v>1</v>
      </c>
      <c r="E387" s="250">
        <v>142500</v>
      </c>
      <c r="F387" s="254" t="s">
        <v>3001</v>
      </c>
      <c r="G387" s="342">
        <v>42290</v>
      </c>
      <c r="H387" s="228" t="s">
        <v>895</v>
      </c>
      <c r="I387" s="300">
        <v>44116</v>
      </c>
      <c r="J387" s="301">
        <v>1827</v>
      </c>
      <c r="K387" s="301">
        <v>0</v>
      </c>
      <c r="L387" s="301">
        <v>1827</v>
      </c>
      <c r="M387" s="301">
        <v>7125</v>
      </c>
      <c r="N387" s="301">
        <v>135375</v>
      </c>
      <c r="O387" s="292"/>
      <c r="P387" s="292">
        <v>142500</v>
      </c>
      <c r="Q387" s="301">
        <v>1827</v>
      </c>
      <c r="R387" s="301">
        <v>135375</v>
      </c>
      <c r="S387" s="292">
        <v>0</v>
      </c>
      <c r="T387" s="251">
        <v>0</v>
      </c>
      <c r="U387" s="250">
        <v>142500</v>
      </c>
      <c r="V387" s="250">
        <v>0</v>
      </c>
    </row>
    <row r="388" spans="2:22" ht="27">
      <c r="B388" s="15">
        <v>20</v>
      </c>
      <c r="C388" s="249" t="s">
        <v>4465</v>
      </c>
      <c r="D388" s="254">
        <v>2</v>
      </c>
      <c r="E388" s="250">
        <f>14940+166000+14940</f>
        <v>195880</v>
      </c>
      <c r="F388" s="254" t="s">
        <v>4466</v>
      </c>
      <c r="G388" s="342">
        <v>44130</v>
      </c>
      <c r="H388" s="228" t="s">
        <v>368</v>
      </c>
      <c r="I388" s="300">
        <v>45955</v>
      </c>
      <c r="J388" s="301">
        <v>1826</v>
      </c>
      <c r="K388" s="301">
        <v>0</v>
      </c>
      <c r="L388" s="301">
        <v>1826</v>
      </c>
      <c r="M388" s="301">
        <v>9794</v>
      </c>
      <c r="N388" s="301">
        <v>186086</v>
      </c>
      <c r="O388" s="292"/>
      <c r="P388" s="292">
        <v>195880</v>
      </c>
      <c r="Q388" s="301">
        <v>1826</v>
      </c>
      <c r="R388" s="301">
        <v>186086</v>
      </c>
      <c r="S388" s="292">
        <v>365</v>
      </c>
      <c r="T388" s="251">
        <v>37197</v>
      </c>
      <c r="U388" s="250">
        <v>53197</v>
      </c>
      <c r="V388" s="250">
        <v>142683</v>
      </c>
    </row>
    <row r="389" spans="2:22">
      <c r="B389" s="15"/>
      <c r="C389" s="249"/>
      <c r="D389" s="254"/>
      <c r="E389" s="250"/>
      <c r="F389" s="278"/>
      <c r="G389" s="342"/>
      <c r="H389" s="228"/>
      <c r="I389" s="300"/>
      <c r="J389" s="301"/>
      <c r="K389" s="301"/>
      <c r="L389" s="301"/>
      <c r="M389" s="301"/>
      <c r="N389" s="301"/>
      <c r="O389" s="292"/>
      <c r="P389" s="301">
        <v>0</v>
      </c>
      <c r="Q389" s="301"/>
      <c r="R389" s="292"/>
      <c r="S389" s="251"/>
      <c r="T389" s="250"/>
      <c r="U389" s="250"/>
      <c r="V389" s="250"/>
    </row>
    <row r="390" spans="2:22" ht="14.25">
      <c r="B390" s="107" t="s">
        <v>60</v>
      </c>
      <c r="C390" s="228"/>
      <c r="D390" s="230"/>
      <c r="E390" s="250"/>
      <c r="F390" s="254"/>
      <c r="G390" s="228"/>
      <c r="H390" s="228"/>
      <c r="I390" s="288"/>
      <c r="J390" s="288"/>
      <c r="K390" s="288"/>
      <c r="L390" s="288"/>
      <c r="M390" s="288"/>
      <c r="N390" s="288"/>
      <c r="O390" s="292"/>
      <c r="P390" s="301"/>
      <c r="Q390" s="301"/>
      <c r="R390" s="292"/>
      <c r="S390" s="272"/>
      <c r="T390" s="250"/>
      <c r="U390" s="250"/>
      <c r="V390" s="250"/>
    </row>
    <row r="391" spans="2:22">
      <c r="B391" s="15">
        <v>1</v>
      </c>
      <c r="C391" s="249" t="s">
        <v>61</v>
      </c>
      <c r="D391" s="254">
        <v>1</v>
      </c>
      <c r="E391" s="250">
        <v>2550</v>
      </c>
      <c r="F391" s="254" t="s">
        <v>62</v>
      </c>
      <c r="G391" s="233">
        <v>39695</v>
      </c>
      <c r="H391" s="228" t="s">
        <v>282</v>
      </c>
      <c r="I391" s="301">
        <v>0</v>
      </c>
      <c r="J391" s="301">
        <v>0</v>
      </c>
      <c r="K391" s="301">
        <v>0</v>
      </c>
      <c r="L391" s="301">
        <v>0</v>
      </c>
      <c r="M391" s="301">
        <v>0</v>
      </c>
      <c r="N391" s="301">
        <v>0</v>
      </c>
      <c r="O391" s="292">
        <v>0</v>
      </c>
      <c r="P391" s="301">
        <v>0</v>
      </c>
      <c r="Q391" s="301">
        <v>0</v>
      </c>
      <c r="R391" s="292">
        <v>-128</v>
      </c>
      <c r="S391" s="251">
        <v>0</v>
      </c>
      <c r="T391" s="250">
        <v>0</v>
      </c>
      <c r="U391" s="250">
        <v>0</v>
      </c>
      <c r="V391" s="250">
        <v>0</v>
      </c>
    </row>
    <row r="392" spans="2:22">
      <c r="B392" s="15">
        <f>+B391+1</f>
        <v>2</v>
      </c>
      <c r="C392" s="249" t="s">
        <v>63</v>
      </c>
      <c r="D392" s="254">
        <v>1</v>
      </c>
      <c r="E392" s="250">
        <v>175000</v>
      </c>
      <c r="F392" s="254">
        <v>505</v>
      </c>
      <c r="G392" s="233">
        <v>39852</v>
      </c>
      <c r="H392" s="228" t="s">
        <v>282</v>
      </c>
      <c r="I392" s="300">
        <v>41677</v>
      </c>
      <c r="J392" s="301">
        <v>1826</v>
      </c>
      <c r="K392" s="301">
        <v>1878</v>
      </c>
      <c r="L392" s="301">
        <v>-52</v>
      </c>
      <c r="M392" s="301">
        <v>8750</v>
      </c>
      <c r="N392" s="301">
        <v>0</v>
      </c>
      <c r="O392" s="292">
        <v>132254</v>
      </c>
      <c r="P392" s="301">
        <v>-0.24657534246216528</v>
      </c>
      <c r="Q392" s="301">
        <v>-52</v>
      </c>
      <c r="R392" s="292">
        <v>-8750</v>
      </c>
      <c r="S392" s="251">
        <v>0</v>
      </c>
      <c r="T392" s="250">
        <v>0</v>
      </c>
      <c r="U392" s="250">
        <v>0</v>
      </c>
      <c r="V392" s="250">
        <v>-0.24657534246216528</v>
      </c>
    </row>
    <row r="393" spans="2:22">
      <c r="B393" s="15">
        <f t="shared" ref="B393:B436" si="13">+B392+1</f>
        <v>3</v>
      </c>
      <c r="C393" s="249" t="s">
        <v>64</v>
      </c>
      <c r="D393" s="254">
        <v>30</v>
      </c>
      <c r="E393" s="250">
        <v>205500</v>
      </c>
      <c r="F393" s="254">
        <v>505</v>
      </c>
      <c r="G393" s="233">
        <v>39852</v>
      </c>
      <c r="H393" s="228" t="s">
        <v>282</v>
      </c>
      <c r="I393" s="300">
        <v>41677</v>
      </c>
      <c r="J393" s="301">
        <v>1826</v>
      </c>
      <c r="K393" s="301">
        <v>1878</v>
      </c>
      <c r="L393" s="301">
        <v>-52</v>
      </c>
      <c r="M393" s="301">
        <v>10275</v>
      </c>
      <c r="N393" s="301">
        <v>0</v>
      </c>
      <c r="O393" s="292">
        <v>155303</v>
      </c>
      <c r="P393" s="301">
        <v>0.35616438356373692</v>
      </c>
      <c r="Q393" s="301">
        <v>-52</v>
      </c>
      <c r="R393" s="292">
        <v>-10275</v>
      </c>
      <c r="S393" s="251">
        <v>0</v>
      </c>
      <c r="T393" s="250">
        <v>0</v>
      </c>
      <c r="U393" s="250">
        <v>0</v>
      </c>
      <c r="V393" s="250">
        <v>0.35616438355646096</v>
      </c>
    </row>
    <row r="394" spans="2:22">
      <c r="B394" s="15">
        <f t="shared" si="13"/>
        <v>4</v>
      </c>
      <c r="C394" s="249" t="s">
        <v>65</v>
      </c>
      <c r="D394" s="254">
        <v>1</v>
      </c>
      <c r="E394" s="250">
        <v>9500</v>
      </c>
      <c r="F394" s="254">
        <v>505</v>
      </c>
      <c r="G394" s="233">
        <v>39852</v>
      </c>
      <c r="H394" s="228" t="s">
        <v>282</v>
      </c>
      <c r="I394" s="300">
        <v>41677</v>
      </c>
      <c r="J394" s="301">
        <v>1826</v>
      </c>
      <c r="K394" s="301">
        <v>1878</v>
      </c>
      <c r="L394" s="301">
        <v>-52</v>
      </c>
      <c r="M394" s="301">
        <v>475</v>
      </c>
      <c r="N394" s="301">
        <v>0</v>
      </c>
      <c r="O394" s="292">
        <v>7180</v>
      </c>
      <c r="P394" s="301">
        <v>-0.28767123287661889</v>
      </c>
      <c r="Q394" s="301">
        <v>-52</v>
      </c>
      <c r="R394" s="292">
        <v>-475</v>
      </c>
      <c r="S394" s="251">
        <v>0</v>
      </c>
      <c r="T394" s="250">
        <v>0</v>
      </c>
      <c r="U394" s="250">
        <v>0</v>
      </c>
      <c r="V394" s="250">
        <v>-0.28767123287616414</v>
      </c>
    </row>
    <row r="395" spans="2:22" ht="40.5">
      <c r="B395" s="15">
        <f t="shared" si="13"/>
        <v>5</v>
      </c>
      <c r="C395" s="249" t="s">
        <v>607</v>
      </c>
      <c r="D395" s="254">
        <v>1</v>
      </c>
      <c r="E395" s="250">
        <v>1000</v>
      </c>
      <c r="F395" s="254">
        <v>506</v>
      </c>
      <c r="G395" s="233">
        <v>39852</v>
      </c>
      <c r="H395" s="228" t="s">
        <v>282</v>
      </c>
      <c r="I395" s="300">
        <v>41677</v>
      </c>
      <c r="J395" s="301">
        <v>1826</v>
      </c>
      <c r="K395" s="301">
        <v>1878</v>
      </c>
      <c r="L395" s="301">
        <v>-52</v>
      </c>
      <c r="M395" s="301">
        <v>50</v>
      </c>
      <c r="N395" s="301">
        <v>0</v>
      </c>
      <c r="O395" s="292">
        <v>753</v>
      </c>
      <c r="P395" s="301">
        <v>0.2328767123287605</v>
      </c>
      <c r="Q395" s="301">
        <v>-52</v>
      </c>
      <c r="R395" s="292">
        <v>-50</v>
      </c>
      <c r="S395" s="251">
        <v>0</v>
      </c>
      <c r="T395" s="250">
        <v>0</v>
      </c>
      <c r="U395" s="250">
        <v>0</v>
      </c>
      <c r="V395" s="250">
        <v>0.23287671232878893</v>
      </c>
    </row>
    <row r="396" spans="2:22" ht="27">
      <c r="B396" s="15">
        <f t="shared" si="13"/>
        <v>6</v>
      </c>
      <c r="C396" s="249" t="s">
        <v>608</v>
      </c>
      <c r="D396" s="254">
        <v>1</v>
      </c>
      <c r="E396" s="250">
        <v>800</v>
      </c>
      <c r="F396" s="254">
        <v>506</v>
      </c>
      <c r="G396" s="233">
        <v>39852</v>
      </c>
      <c r="H396" s="228" t="s">
        <v>282</v>
      </c>
      <c r="I396" s="300">
        <v>41677</v>
      </c>
      <c r="J396" s="301">
        <v>1826</v>
      </c>
      <c r="K396" s="301">
        <v>1878</v>
      </c>
      <c r="L396" s="301">
        <v>-52</v>
      </c>
      <c r="M396" s="301">
        <v>40</v>
      </c>
      <c r="N396" s="301">
        <v>0</v>
      </c>
      <c r="O396" s="292">
        <v>605</v>
      </c>
      <c r="P396" s="301">
        <v>-0.4136986301369916</v>
      </c>
      <c r="Q396" s="301">
        <v>-52</v>
      </c>
      <c r="R396" s="292">
        <v>-40</v>
      </c>
      <c r="S396" s="251">
        <v>0</v>
      </c>
      <c r="T396" s="250">
        <v>0</v>
      </c>
      <c r="U396" s="250">
        <v>0</v>
      </c>
      <c r="V396" s="250">
        <v>-0.4136986301369916</v>
      </c>
    </row>
    <row r="397" spans="2:22" ht="27">
      <c r="B397" s="15">
        <f t="shared" si="13"/>
        <v>7</v>
      </c>
      <c r="C397" s="249" t="s">
        <v>609</v>
      </c>
      <c r="D397" s="254">
        <v>12</v>
      </c>
      <c r="E397" s="250">
        <v>5000</v>
      </c>
      <c r="F397" s="254">
        <v>506</v>
      </c>
      <c r="G397" s="233">
        <v>39852</v>
      </c>
      <c r="H397" s="228" t="s">
        <v>282</v>
      </c>
      <c r="I397" s="300">
        <v>41677</v>
      </c>
      <c r="J397" s="301">
        <v>1826</v>
      </c>
      <c r="K397" s="301">
        <v>1878</v>
      </c>
      <c r="L397" s="301">
        <v>-52</v>
      </c>
      <c r="M397" s="301">
        <v>250</v>
      </c>
      <c r="N397" s="301">
        <v>0</v>
      </c>
      <c r="O397" s="292">
        <v>3776</v>
      </c>
      <c r="P397" s="301">
        <v>0.16438356164371726</v>
      </c>
      <c r="Q397" s="301">
        <v>-52</v>
      </c>
      <c r="R397" s="292">
        <v>-250</v>
      </c>
      <c r="S397" s="251">
        <v>0</v>
      </c>
      <c r="T397" s="250">
        <v>0</v>
      </c>
      <c r="U397" s="250">
        <v>0</v>
      </c>
      <c r="V397" s="250">
        <v>0.16438356164371726</v>
      </c>
    </row>
    <row r="398" spans="2:22" ht="27">
      <c r="B398" s="15">
        <f t="shared" si="13"/>
        <v>8</v>
      </c>
      <c r="C398" s="249" t="s">
        <v>340</v>
      </c>
      <c r="D398" s="254" t="s">
        <v>341</v>
      </c>
      <c r="E398" s="250">
        <v>2200</v>
      </c>
      <c r="F398" s="254">
        <v>507</v>
      </c>
      <c r="G398" s="233">
        <v>39852</v>
      </c>
      <c r="H398" s="228" t="s">
        <v>282</v>
      </c>
      <c r="I398" s="300">
        <v>41677</v>
      </c>
      <c r="J398" s="301">
        <v>1826</v>
      </c>
      <c r="K398" s="301">
        <v>1878</v>
      </c>
      <c r="L398" s="301">
        <v>-52</v>
      </c>
      <c r="M398" s="301">
        <v>110</v>
      </c>
      <c r="N398" s="301">
        <v>0</v>
      </c>
      <c r="O398" s="292">
        <v>1663</v>
      </c>
      <c r="P398" s="301">
        <v>0.11232876712324469</v>
      </c>
      <c r="Q398" s="301">
        <v>-52</v>
      </c>
      <c r="R398" s="292">
        <v>-110</v>
      </c>
      <c r="S398" s="251">
        <v>0</v>
      </c>
      <c r="T398" s="250">
        <v>0</v>
      </c>
      <c r="U398" s="250">
        <v>0</v>
      </c>
      <c r="V398" s="250">
        <v>0.11232876712324469</v>
      </c>
    </row>
    <row r="399" spans="2:22">
      <c r="B399" s="15">
        <f t="shared" si="13"/>
        <v>9</v>
      </c>
      <c r="C399" s="249" t="s">
        <v>546</v>
      </c>
      <c r="D399" s="254">
        <v>1</v>
      </c>
      <c r="E399" s="250">
        <v>2350</v>
      </c>
      <c r="F399" s="249" t="s">
        <v>42</v>
      </c>
      <c r="G399" s="233">
        <v>39938</v>
      </c>
      <c r="H399" s="228" t="s">
        <v>282</v>
      </c>
      <c r="I399" s="301">
        <v>0</v>
      </c>
      <c r="J399" s="301">
        <v>0</v>
      </c>
      <c r="K399" s="301">
        <v>0</v>
      </c>
      <c r="L399" s="301">
        <v>0</v>
      </c>
      <c r="M399" s="301">
        <v>0</v>
      </c>
      <c r="N399" s="301">
        <v>0</v>
      </c>
      <c r="O399" s="292">
        <v>0</v>
      </c>
      <c r="P399" s="301">
        <v>0</v>
      </c>
      <c r="Q399" s="301">
        <v>0</v>
      </c>
      <c r="R399" s="292">
        <v>-118</v>
      </c>
      <c r="S399" s="251">
        <v>0</v>
      </c>
      <c r="T399" s="250">
        <v>0</v>
      </c>
      <c r="U399" s="250">
        <v>0</v>
      </c>
      <c r="V399" s="250">
        <v>0</v>
      </c>
    </row>
    <row r="400" spans="2:22">
      <c r="B400" s="15">
        <f t="shared" si="13"/>
        <v>10</v>
      </c>
      <c r="C400" s="249" t="s">
        <v>371</v>
      </c>
      <c r="D400" s="254">
        <v>1</v>
      </c>
      <c r="E400" s="250">
        <v>4368</v>
      </c>
      <c r="F400" s="249" t="s">
        <v>42</v>
      </c>
      <c r="G400" s="233">
        <v>40062</v>
      </c>
      <c r="H400" s="228" t="s">
        <v>282</v>
      </c>
      <c r="I400" s="301">
        <v>0</v>
      </c>
      <c r="J400" s="301">
        <v>0</v>
      </c>
      <c r="K400" s="301">
        <v>0</v>
      </c>
      <c r="L400" s="301">
        <v>0</v>
      </c>
      <c r="M400" s="301">
        <v>0</v>
      </c>
      <c r="N400" s="301">
        <v>0</v>
      </c>
      <c r="O400" s="292">
        <v>0</v>
      </c>
      <c r="P400" s="301">
        <v>0</v>
      </c>
      <c r="Q400" s="301">
        <v>0</v>
      </c>
      <c r="R400" s="292">
        <v>-218</v>
      </c>
      <c r="S400" s="251">
        <v>0</v>
      </c>
      <c r="T400" s="250">
        <v>0</v>
      </c>
      <c r="U400" s="250">
        <v>0</v>
      </c>
      <c r="V400" s="250">
        <v>0</v>
      </c>
    </row>
    <row r="401" spans="2:22">
      <c r="B401" s="15">
        <f t="shared" si="13"/>
        <v>11</v>
      </c>
      <c r="C401" s="249" t="s">
        <v>372</v>
      </c>
      <c r="D401" s="254">
        <v>30</v>
      </c>
      <c r="E401" s="250">
        <v>53000</v>
      </c>
      <c r="F401" s="249" t="s">
        <v>42</v>
      </c>
      <c r="G401" s="233">
        <v>40068</v>
      </c>
      <c r="H401" s="228" t="s">
        <v>282</v>
      </c>
      <c r="I401" s="301">
        <v>0</v>
      </c>
      <c r="J401" s="301">
        <v>0</v>
      </c>
      <c r="K401" s="301">
        <v>0</v>
      </c>
      <c r="L401" s="301">
        <v>0</v>
      </c>
      <c r="M401" s="301">
        <v>0</v>
      </c>
      <c r="N401" s="301">
        <v>0</v>
      </c>
      <c r="O401" s="292">
        <v>0</v>
      </c>
      <c r="P401" s="301">
        <v>0</v>
      </c>
      <c r="Q401" s="301">
        <v>0</v>
      </c>
      <c r="R401" s="292">
        <v>-2650</v>
      </c>
      <c r="S401" s="251">
        <v>0</v>
      </c>
      <c r="T401" s="250">
        <v>0</v>
      </c>
      <c r="U401" s="250">
        <v>0</v>
      </c>
      <c r="V401" s="250">
        <v>0</v>
      </c>
    </row>
    <row r="402" spans="2:22">
      <c r="B402" s="15">
        <f t="shared" si="13"/>
        <v>12</v>
      </c>
      <c r="C402" s="249" t="s">
        <v>251</v>
      </c>
      <c r="D402" s="254">
        <v>1</v>
      </c>
      <c r="E402" s="250">
        <f>ROUND(318000*1.01874,0)+1</f>
        <v>323960</v>
      </c>
      <c r="F402" s="249">
        <v>17</v>
      </c>
      <c r="G402" s="233">
        <v>40106</v>
      </c>
      <c r="H402" s="228" t="s">
        <v>282</v>
      </c>
      <c r="I402" s="300">
        <v>41931</v>
      </c>
      <c r="J402" s="301">
        <v>1826</v>
      </c>
      <c r="K402" s="301">
        <v>1624</v>
      </c>
      <c r="L402" s="301">
        <v>202</v>
      </c>
      <c r="M402" s="301">
        <v>16198</v>
      </c>
      <c r="N402" s="301">
        <v>239338</v>
      </c>
      <c r="O402" s="292">
        <v>0</v>
      </c>
      <c r="P402" s="301">
        <v>0</v>
      </c>
      <c r="Q402" s="301">
        <v>0</v>
      </c>
      <c r="R402" s="292">
        <v>-16198</v>
      </c>
      <c r="S402" s="251">
        <v>0</v>
      </c>
      <c r="T402" s="250">
        <v>0</v>
      </c>
      <c r="U402" s="250">
        <v>0</v>
      </c>
      <c r="V402" s="250">
        <v>0</v>
      </c>
    </row>
    <row r="403" spans="2:22">
      <c r="B403" s="15">
        <f t="shared" si="13"/>
        <v>13</v>
      </c>
      <c r="C403" s="249" t="s">
        <v>252</v>
      </c>
      <c r="D403" s="254">
        <v>1</v>
      </c>
      <c r="E403" s="250">
        <f>ROUND(95000*1.01874,0)</f>
        <v>96780</v>
      </c>
      <c r="F403" s="249">
        <v>17</v>
      </c>
      <c r="G403" s="233">
        <v>40106</v>
      </c>
      <c r="H403" s="228" t="s">
        <v>282</v>
      </c>
      <c r="I403" s="300">
        <v>41931</v>
      </c>
      <c r="J403" s="301">
        <v>1826</v>
      </c>
      <c r="K403" s="301">
        <v>1624</v>
      </c>
      <c r="L403" s="301">
        <v>202</v>
      </c>
      <c r="M403" s="301">
        <v>4839</v>
      </c>
      <c r="N403" s="301">
        <v>71498</v>
      </c>
      <c r="O403" s="292">
        <v>0</v>
      </c>
      <c r="P403" s="301">
        <v>0</v>
      </c>
      <c r="Q403" s="301">
        <v>0</v>
      </c>
      <c r="R403" s="292">
        <v>-4839</v>
      </c>
      <c r="S403" s="251">
        <v>0</v>
      </c>
      <c r="T403" s="250">
        <v>0</v>
      </c>
      <c r="U403" s="250">
        <v>0</v>
      </c>
      <c r="V403" s="250">
        <v>0</v>
      </c>
    </row>
    <row r="404" spans="2:22">
      <c r="B404" s="15">
        <f t="shared" si="13"/>
        <v>14</v>
      </c>
      <c r="C404" s="249" t="s">
        <v>1107</v>
      </c>
      <c r="D404" s="254">
        <v>2</v>
      </c>
      <c r="E404" s="250">
        <v>620000</v>
      </c>
      <c r="F404" s="249"/>
      <c r="G404" s="233">
        <v>40171</v>
      </c>
      <c r="H404" s="239" t="s">
        <v>4366</v>
      </c>
      <c r="I404" s="300">
        <v>41996</v>
      </c>
      <c r="J404" s="301">
        <v>1826</v>
      </c>
      <c r="K404" s="301">
        <v>1559</v>
      </c>
      <c r="L404" s="301">
        <v>267</v>
      </c>
      <c r="M404" s="301">
        <v>31000</v>
      </c>
      <c r="N404" s="301">
        <v>463293</v>
      </c>
      <c r="O404" s="292">
        <v>0</v>
      </c>
      <c r="P404" s="301">
        <v>0</v>
      </c>
      <c r="Q404" s="301">
        <v>0</v>
      </c>
      <c r="R404" s="292">
        <v>-31000</v>
      </c>
      <c r="S404" s="251">
        <v>0</v>
      </c>
      <c r="T404" s="250">
        <v>0</v>
      </c>
      <c r="U404" s="250">
        <v>0</v>
      </c>
      <c r="V404" s="250">
        <v>0</v>
      </c>
    </row>
    <row r="405" spans="2:22">
      <c r="B405" s="15">
        <f t="shared" si="13"/>
        <v>15</v>
      </c>
      <c r="C405" s="249" t="s">
        <v>214</v>
      </c>
      <c r="D405" s="254">
        <v>1</v>
      </c>
      <c r="E405" s="250">
        <v>10504</v>
      </c>
      <c r="F405" s="254">
        <v>49</v>
      </c>
      <c r="G405" s="233">
        <v>40106</v>
      </c>
      <c r="H405" s="114" t="s">
        <v>368</v>
      </c>
      <c r="I405" s="300">
        <v>41931</v>
      </c>
      <c r="J405" s="301">
        <v>1826</v>
      </c>
      <c r="K405" s="301">
        <v>1624</v>
      </c>
      <c r="L405" s="301">
        <v>202</v>
      </c>
      <c r="M405" s="301">
        <v>525</v>
      </c>
      <c r="N405" s="301">
        <v>7761</v>
      </c>
      <c r="O405" s="292">
        <v>0</v>
      </c>
      <c r="P405" s="301">
        <v>0</v>
      </c>
      <c r="Q405" s="301">
        <v>0</v>
      </c>
      <c r="R405" s="292">
        <v>-525</v>
      </c>
      <c r="S405" s="251">
        <v>0</v>
      </c>
      <c r="T405" s="250">
        <v>0</v>
      </c>
      <c r="U405" s="250">
        <v>0</v>
      </c>
      <c r="V405" s="250">
        <v>0</v>
      </c>
    </row>
    <row r="406" spans="2:22">
      <c r="B406" s="15">
        <f t="shared" si="13"/>
        <v>16</v>
      </c>
      <c r="C406" s="249" t="s">
        <v>1302</v>
      </c>
      <c r="D406" s="254">
        <v>1</v>
      </c>
      <c r="E406" s="250">
        <f>6850+2000</f>
        <v>8850</v>
      </c>
      <c r="F406" s="254">
        <v>71</v>
      </c>
      <c r="G406" s="233">
        <v>40263</v>
      </c>
      <c r="H406" s="228" t="s">
        <v>282</v>
      </c>
      <c r="I406" s="300">
        <v>42088</v>
      </c>
      <c r="J406" s="301">
        <v>1826</v>
      </c>
      <c r="K406" s="301">
        <v>1467</v>
      </c>
      <c r="L406" s="301">
        <v>359</v>
      </c>
      <c r="M406" s="301">
        <v>443</v>
      </c>
      <c r="N406" s="301">
        <v>6717</v>
      </c>
      <c r="O406" s="292">
        <v>0</v>
      </c>
      <c r="P406" s="301">
        <v>0</v>
      </c>
      <c r="Q406" s="301">
        <v>0</v>
      </c>
      <c r="R406" s="292">
        <v>-443</v>
      </c>
      <c r="S406" s="251">
        <v>0</v>
      </c>
      <c r="T406" s="250">
        <v>0</v>
      </c>
      <c r="U406" s="250">
        <v>0</v>
      </c>
      <c r="V406" s="250">
        <v>0</v>
      </c>
    </row>
    <row r="407" spans="2:22">
      <c r="B407" s="15">
        <f t="shared" si="13"/>
        <v>17</v>
      </c>
      <c r="C407" s="249" t="s">
        <v>1303</v>
      </c>
      <c r="D407" s="254">
        <v>2</v>
      </c>
      <c r="E407" s="250">
        <v>16800</v>
      </c>
      <c r="F407" s="254">
        <v>71</v>
      </c>
      <c r="G407" s="233">
        <v>40263</v>
      </c>
      <c r="H407" s="228" t="s">
        <v>282</v>
      </c>
      <c r="I407" s="300">
        <v>42088</v>
      </c>
      <c r="J407" s="301">
        <v>1826</v>
      </c>
      <c r="K407" s="301">
        <v>1467</v>
      </c>
      <c r="L407" s="301">
        <v>359</v>
      </c>
      <c r="M407" s="301">
        <v>840</v>
      </c>
      <c r="N407" s="301">
        <v>12755</v>
      </c>
      <c r="O407" s="292">
        <v>0</v>
      </c>
      <c r="P407" s="301">
        <v>0</v>
      </c>
      <c r="Q407" s="301">
        <v>0</v>
      </c>
      <c r="R407" s="292">
        <v>-840</v>
      </c>
      <c r="S407" s="251">
        <v>0</v>
      </c>
      <c r="T407" s="250">
        <v>0</v>
      </c>
      <c r="U407" s="250">
        <v>0</v>
      </c>
      <c r="V407" s="250">
        <v>0</v>
      </c>
    </row>
    <row r="408" spans="2:22">
      <c r="B408" s="15">
        <f t="shared" si="13"/>
        <v>18</v>
      </c>
      <c r="C408" s="249" t="s">
        <v>1304</v>
      </c>
      <c r="D408" s="254">
        <v>1</v>
      </c>
      <c r="E408" s="250">
        <v>1500</v>
      </c>
      <c r="F408" s="254">
        <v>71</v>
      </c>
      <c r="G408" s="233">
        <v>40263</v>
      </c>
      <c r="H408" s="228" t="s">
        <v>282</v>
      </c>
      <c r="I408" s="301">
        <v>0</v>
      </c>
      <c r="J408" s="301">
        <v>0</v>
      </c>
      <c r="K408" s="301">
        <v>0</v>
      </c>
      <c r="L408" s="301">
        <v>0</v>
      </c>
      <c r="M408" s="301">
        <v>0</v>
      </c>
      <c r="N408" s="301">
        <v>0</v>
      </c>
      <c r="O408" s="292">
        <v>0</v>
      </c>
      <c r="P408" s="301">
        <v>0</v>
      </c>
      <c r="Q408" s="301">
        <v>0</v>
      </c>
      <c r="R408" s="292">
        <v>-75</v>
      </c>
      <c r="S408" s="251">
        <v>0</v>
      </c>
      <c r="T408" s="250">
        <v>0</v>
      </c>
      <c r="U408" s="250">
        <v>0</v>
      </c>
      <c r="V408" s="250">
        <v>0</v>
      </c>
    </row>
    <row r="409" spans="2:22">
      <c r="B409" s="15">
        <f t="shared" si="13"/>
        <v>19</v>
      </c>
      <c r="C409" s="249" t="s">
        <v>1305</v>
      </c>
      <c r="D409" s="254">
        <v>1</v>
      </c>
      <c r="E409" s="250">
        <f>ROUND(65000*1.076413,0)</f>
        <v>69967</v>
      </c>
      <c r="F409" s="254">
        <v>55</v>
      </c>
      <c r="G409" s="233">
        <v>40262</v>
      </c>
      <c r="H409" s="228" t="s">
        <v>368</v>
      </c>
      <c r="I409" s="300">
        <v>42087</v>
      </c>
      <c r="J409" s="301">
        <v>1826</v>
      </c>
      <c r="K409" s="301">
        <v>1468</v>
      </c>
      <c r="L409" s="301">
        <v>358</v>
      </c>
      <c r="M409" s="301">
        <v>3498</v>
      </c>
      <c r="N409" s="301">
        <v>53113</v>
      </c>
      <c r="O409" s="292">
        <v>0</v>
      </c>
      <c r="P409" s="301">
        <v>0</v>
      </c>
      <c r="Q409" s="301">
        <v>0</v>
      </c>
      <c r="R409" s="292">
        <v>-3498</v>
      </c>
      <c r="S409" s="251">
        <v>0</v>
      </c>
      <c r="T409" s="250">
        <v>0</v>
      </c>
      <c r="U409" s="250">
        <v>0</v>
      </c>
      <c r="V409" s="250">
        <v>0</v>
      </c>
    </row>
    <row r="410" spans="2:22">
      <c r="B410" s="15">
        <f t="shared" si="13"/>
        <v>20</v>
      </c>
      <c r="C410" s="249" t="s">
        <v>1306</v>
      </c>
      <c r="D410" s="254">
        <v>1</v>
      </c>
      <c r="E410" s="250">
        <f>ROUND(27000*1.076413,0)</f>
        <v>29063</v>
      </c>
      <c r="F410" s="254">
        <v>55</v>
      </c>
      <c r="G410" s="233">
        <v>40262</v>
      </c>
      <c r="H410" s="228" t="s">
        <v>368</v>
      </c>
      <c r="I410" s="300">
        <v>42087</v>
      </c>
      <c r="J410" s="301">
        <v>1826</v>
      </c>
      <c r="K410" s="301">
        <v>1468</v>
      </c>
      <c r="L410" s="301">
        <v>358</v>
      </c>
      <c r="M410" s="301">
        <v>1453</v>
      </c>
      <c r="N410" s="301">
        <v>22064</v>
      </c>
      <c r="O410" s="292">
        <v>0</v>
      </c>
      <c r="P410" s="301">
        <v>0</v>
      </c>
      <c r="Q410" s="301">
        <v>0</v>
      </c>
      <c r="R410" s="292">
        <v>-1453</v>
      </c>
      <c r="S410" s="251">
        <v>0</v>
      </c>
      <c r="T410" s="250">
        <v>0</v>
      </c>
      <c r="U410" s="250">
        <v>0</v>
      </c>
      <c r="V410" s="250">
        <v>0</v>
      </c>
    </row>
    <row r="411" spans="2:22" ht="27">
      <c r="B411" s="15">
        <f t="shared" si="13"/>
        <v>21</v>
      </c>
      <c r="C411" s="249" t="s">
        <v>196</v>
      </c>
      <c r="D411" s="254">
        <v>1</v>
      </c>
      <c r="E411" s="250">
        <v>27150</v>
      </c>
      <c r="F411" s="254" t="s">
        <v>472</v>
      </c>
      <c r="G411" s="233">
        <v>40274</v>
      </c>
      <c r="H411" s="228" t="s">
        <v>161</v>
      </c>
      <c r="I411" s="300">
        <v>42099</v>
      </c>
      <c r="J411" s="301">
        <v>1826</v>
      </c>
      <c r="K411" s="301">
        <v>1456</v>
      </c>
      <c r="L411" s="301">
        <v>370</v>
      </c>
      <c r="M411" s="301">
        <v>1358</v>
      </c>
      <c r="N411" s="301">
        <v>20650</v>
      </c>
      <c r="O411" s="292">
        <v>0</v>
      </c>
      <c r="P411" s="301">
        <v>1637</v>
      </c>
      <c r="Q411" s="301">
        <v>5</v>
      </c>
      <c r="R411" s="292">
        <v>280</v>
      </c>
      <c r="S411" s="251">
        <v>0</v>
      </c>
      <c r="T411" s="250">
        <v>0</v>
      </c>
      <c r="U411" s="250">
        <v>1637</v>
      </c>
      <c r="V411" s="250">
        <v>0</v>
      </c>
    </row>
    <row r="412" spans="2:22" ht="27">
      <c r="B412" s="15">
        <f t="shared" si="13"/>
        <v>22</v>
      </c>
      <c r="C412" s="249" t="s">
        <v>1071</v>
      </c>
      <c r="D412" s="254">
        <v>26</v>
      </c>
      <c r="E412" s="250">
        <v>245440</v>
      </c>
      <c r="F412" s="254" t="s">
        <v>1072</v>
      </c>
      <c r="G412" s="233">
        <v>40376</v>
      </c>
      <c r="H412" s="228" t="s">
        <v>895</v>
      </c>
      <c r="I412" s="300">
        <v>42201</v>
      </c>
      <c r="J412" s="301">
        <v>1826</v>
      </c>
      <c r="K412" s="301">
        <v>1354</v>
      </c>
      <c r="L412" s="301">
        <v>472</v>
      </c>
      <c r="M412" s="301">
        <v>12272</v>
      </c>
      <c r="N412" s="301">
        <v>189950</v>
      </c>
      <c r="O412" s="292">
        <v>0</v>
      </c>
      <c r="P412" s="301">
        <v>55333</v>
      </c>
      <c r="Q412" s="301">
        <v>107</v>
      </c>
      <c r="R412" s="292">
        <v>43061</v>
      </c>
      <c r="S412" s="251">
        <v>0</v>
      </c>
      <c r="T412" s="250">
        <v>0</v>
      </c>
      <c r="U412" s="250">
        <v>55333</v>
      </c>
      <c r="V412" s="250">
        <v>0</v>
      </c>
    </row>
    <row r="413" spans="2:22" ht="94.5">
      <c r="B413" s="15">
        <f t="shared" si="13"/>
        <v>23</v>
      </c>
      <c r="C413" s="249" t="s">
        <v>216</v>
      </c>
      <c r="D413" s="254" t="s">
        <v>943</v>
      </c>
      <c r="E413" s="250">
        <v>99030</v>
      </c>
      <c r="F413" s="254" t="s">
        <v>944</v>
      </c>
      <c r="G413" s="233">
        <v>40443</v>
      </c>
      <c r="H413" s="228" t="s">
        <v>161</v>
      </c>
      <c r="I413" s="300">
        <v>42268</v>
      </c>
      <c r="J413" s="301">
        <v>1826</v>
      </c>
      <c r="K413" s="301">
        <v>1287</v>
      </c>
      <c r="L413" s="301">
        <v>539</v>
      </c>
      <c r="M413" s="301">
        <v>4952</v>
      </c>
      <c r="N413" s="301">
        <v>77504</v>
      </c>
      <c r="O413" s="292">
        <v>0</v>
      </c>
      <c r="P413" s="301">
        <v>29972</v>
      </c>
      <c r="Q413" s="301">
        <v>174</v>
      </c>
      <c r="R413" s="292">
        <v>25021</v>
      </c>
      <c r="S413" s="251">
        <v>0</v>
      </c>
      <c r="T413" s="250">
        <v>0</v>
      </c>
      <c r="U413" s="250">
        <v>29972</v>
      </c>
      <c r="V413" s="250">
        <v>0</v>
      </c>
    </row>
    <row r="414" spans="2:22" ht="27">
      <c r="B414" s="15">
        <f t="shared" si="13"/>
        <v>24</v>
      </c>
      <c r="C414" s="249" t="s">
        <v>945</v>
      </c>
      <c r="D414" s="254" t="s">
        <v>943</v>
      </c>
      <c r="E414" s="250">
        <v>10008</v>
      </c>
      <c r="F414" s="254" t="s">
        <v>1031</v>
      </c>
      <c r="G414" s="233">
        <v>40443</v>
      </c>
      <c r="H414" s="228" t="s">
        <v>161</v>
      </c>
      <c r="I414" s="300">
        <v>42268</v>
      </c>
      <c r="J414" s="301">
        <v>1826</v>
      </c>
      <c r="K414" s="301">
        <v>1287</v>
      </c>
      <c r="L414" s="301">
        <v>539</v>
      </c>
      <c r="M414" s="301">
        <v>500</v>
      </c>
      <c r="N414" s="301">
        <v>7835</v>
      </c>
      <c r="O414" s="292">
        <v>0</v>
      </c>
      <c r="P414" s="301">
        <v>3029</v>
      </c>
      <c r="Q414" s="301">
        <v>174</v>
      </c>
      <c r="R414" s="292">
        <v>2529</v>
      </c>
      <c r="S414" s="251">
        <v>0</v>
      </c>
      <c r="T414" s="250">
        <v>0</v>
      </c>
      <c r="U414" s="250">
        <v>3029</v>
      </c>
      <c r="V414" s="250">
        <v>0</v>
      </c>
    </row>
    <row r="415" spans="2:22" ht="40.5">
      <c r="B415" s="15">
        <f t="shared" si="13"/>
        <v>25</v>
      </c>
      <c r="C415" s="249" t="s">
        <v>789</v>
      </c>
      <c r="D415" s="254" t="s">
        <v>943</v>
      </c>
      <c r="E415" s="250">
        <v>18760</v>
      </c>
      <c r="F415" s="254" t="s">
        <v>790</v>
      </c>
      <c r="G415" s="233">
        <v>40493</v>
      </c>
      <c r="H415" s="228" t="s">
        <v>368</v>
      </c>
      <c r="I415" s="300">
        <v>42318</v>
      </c>
      <c r="J415" s="301">
        <v>1826</v>
      </c>
      <c r="K415" s="301">
        <v>1237</v>
      </c>
      <c r="L415" s="301">
        <v>589</v>
      </c>
      <c r="M415" s="301">
        <v>938</v>
      </c>
      <c r="N415" s="301">
        <v>14803</v>
      </c>
      <c r="O415" s="292">
        <v>0</v>
      </c>
      <c r="P415" s="301">
        <v>6568</v>
      </c>
      <c r="Q415" s="301">
        <v>224</v>
      </c>
      <c r="R415" s="292">
        <v>5630</v>
      </c>
      <c r="S415" s="251">
        <v>0</v>
      </c>
      <c r="T415" s="250">
        <v>0</v>
      </c>
      <c r="U415" s="250">
        <v>6568</v>
      </c>
      <c r="V415" s="250">
        <v>0</v>
      </c>
    </row>
    <row r="416" spans="2:22" ht="81">
      <c r="B416" s="15">
        <f t="shared" si="13"/>
        <v>26</v>
      </c>
      <c r="C416" s="249" t="s">
        <v>638</v>
      </c>
      <c r="D416" s="254" t="s">
        <v>1100</v>
      </c>
      <c r="E416" s="250">
        <f>122000+6100</f>
        <v>128100</v>
      </c>
      <c r="F416" s="254" t="s">
        <v>512</v>
      </c>
      <c r="G416" s="233">
        <v>40504</v>
      </c>
      <c r="H416" s="228" t="s">
        <v>368</v>
      </c>
      <c r="I416" s="300">
        <v>42329</v>
      </c>
      <c r="J416" s="301">
        <v>1826</v>
      </c>
      <c r="K416" s="301">
        <v>1226</v>
      </c>
      <c r="L416" s="301">
        <v>600</v>
      </c>
      <c r="M416" s="301">
        <v>6405</v>
      </c>
      <c r="N416" s="301">
        <v>101272</v>
      </c>
      <c r="O416" s="292">
        <v>0</v>
      </c>
      <c r="P416" s="301">
        <v>46070</v>
      </c>
      <c r="Q416" s="301">
        <v>235</v>
      </c>
      <c r="R416" s="292">
        <v>39665</v>
      </c>
      <c r="S416" s="251">
        <v>0</v>
      </c>
      <c r="T416" s="250">
        <v>0</v>
      </c>
      <c r="U416" s="250">
        <v>46070</v>
      </c>
      <c r="V416" s="250">
        <v>0</v>
      </c>
    </row>
    <row r="417" spans="2:22" ht="81">
      <c r="B417" s="15">
        <f t="shared" si="13"/>
        <v>27</v>
      </c>
      <c r="C417" s="249" t="s">
        <v>639</v>
      </c>
      <c r="D417" s="254" t="s">
        <v>1100</v>
      </c>
      <c r="E417" s="250">
        <f>(611100-E416)/2</f>
        <v>241500</v>
      </c>
      <c r="F417" s="254" t="s">
        <v>512</v>
      </c>
      <c r="G417" s="233">
        <v>40505</v>
      </c>
      <c r="H417" s="228" t="s">
        <v>368</v>
      </c>
      <c r="I417" s="300">
        <v>42330</v>
      </c>
      <c r="J417" s="301">
        <v>1826</v>
      </c>
      <c r="K417" s="301">
        <v>1225</v>
      </c>
      <c r="L417" s="301">
        <v>601</v>
      </c>
      <c r="M417" s="301">
        <v>12075</v>
      </c>
      <c r="N417" s="301">
        <v>190958</v>
      </c>
      <c r="O417" s="292">
        <v>0</v>
      </c>
      <c r="P417" s="301">
        <v>87060</v>
      </c>
      <c r="Q417" s="301">
        <v>236</v>
      </c>
      <c r="R417" s="292">
        <v>74985</v>
      </c>
      <c r="S417" s="251">
        <v>0</v>
      </c>
      <c r="T417" s="250">
        <v>0</v>
      </c>
      <c r="U417" s="250">
        <v>87060</v>
      </c>
      <c r="V417" s="250">
        <v>0</v>
      </c>
    </row>
    <row r="418" spans="2:22" ht="81">
      <c r="B418" s="15">
        <f t="shared" si="13"/>
        <v>28</v>
      </c>
      <c r="C418" s="249" t="s">
        <v>639</v>
      </c>
      <c r="D418" s="254" t="s">
        <v>1100</v>
      </c>
      <c r="E418" s="250">
        <v>241500</v>
      </c>
      <c r="F418" s="254" t="s">
        <v>512</v>
      </c>
      <c r="G418" s="233">
        <v>40530</v>
      </c>
      <c r="H418" s="228" t="s">
        <v>368</v>
      </c>
      <c r="I418" s="300">
        <v>42355</v>
      </c>
      <c r="J418" s="301">
        <v>1826</v>
      </c>
      <c r="K418" s="301">
        <v>1200</v>
      </c>
      <c r="L418" s="301">
        <v>626</v>
      </c>
      <c r="M418" s="301">
        <v>12075</v>
      </c>
      <c r="N418" s="301">
        <v>191744</v>
      </c>
      <c r="O418" s="292">
        <v>0</v>
      </c>
      <c r="P418" s="301">
        <v>92019</v>
      </c>
      <c r="Q418" s="301">
        <v>261</v>
      </c>
      <c r="R418" s="292">
        <v>79944</v>
      </c>
      <c r="S418" s="251">
        <v>0</v>
      </c>
      <c r="T418" s="250">
        <v>0</v>
      </c>
      <c r="U418" s="250">
        <v>92019</v>
      </c>
      <c r="V418" s="250">
        <v>0</v>
      </c>
    </row>
    <row r="419" spans="2:22" ht="81">
      <c r="B419" s="15">
        <f t="shared" si="13"/>
        <v>29</v>
      </c>
      <c r="C419" s="249" t="s">
        <v>458</v>
      </c>
      <c r="D419" s="254" t="s">
        <v>459</v>
      </c>
      <c r="E419" s="250">
        <v>483000</v>
      </c>
      <c r="F419" s="254" t="s">
        <v>830</v>
      </c>
      <c r="G419" s="233">
        <v>40610</v>
      </c>
      <c r="H419" s="228" t="s">
        <v>368</v>
      </c>
      <c r="I419" s="300">
        <v>42436</v>
      </c>
      <c r="J419" s="301">
        <v>1827</v>
      </c>
      <c r="K419" s="301">
        <v>1120</v>
      </c>
      <c r="L419" s="301">
        <v>707</v>
      </c>
      <c r="M419" s="301">
        <v>24150</v>
      </c>
      <c r="N419" s="301">
        <v>388513</v>
      </c>
      <c r="O419" s="292">
        <v>0</v>
      </c>
      <c r="P419" s="301">
        <v>212087</v>
      </c>
      <c r="Q419" s="301">
        <v>342</v>
      </c>
      <c r="R419" s="292">
        <v>187937</v>
      </c>
      <c r="S419" s="251">
        <v>0</v>
      </c>
      <c r="T419" s="250">
        <v>0</v>
      </c>
      <c r="U419" s="250">
        <v>212087</v>
      </c>
      <c r="V419" s="250">
        <v>0</v>
      </c>
    </row>
    <row r="420" spans="2:22" ht="54">
      <c r="B420" s="15">
        <f t="shared" si="13"/>
        <v>30</v>
      </c>
      <c r="C420" s="249" t="s">
        <v>528</v>
      </c>
      <c r="D420" s="254" t="s">
        <v>1100</v>
      </c>
      <c r="E420" s="250">
        <v>241500</v>
      </c>
      <c r="F420" s="254" t="s">
        <v>829</v>
      </c>
      <c r="G420" s="233">
        <v>40610</v>
      </c>
      <c r="H420" s="228" t="s">
        <v>368</v>
      </c>
      <c r="I420" s="300">
        <v>42436</v>
      </c>
      <c r="J420" s="301">
        <v>1827</v>
      </c>
      <c r="K420" s="301">
        <v>1120</v>
      </c>
      <c r="L420" s="301">
        <v>707</v>
      </c>
      <c r="M420" s="301">
        <v>12075</v>
      </c>
      <c r="N420" s="301">
        <v>194259</v>
      </c>
      <c r="O420" s="292">
        <v>0</v>
      </c>
      <c r="P420" s="301">
        <v>106045</v>
      </c>
      <c r="Q420" s="301">
        <v>342</v>
      </c>
      <c r="R420" s="292">
        <v>93970</v>
      </c>
      <c r="S420" s="251">
        <v>0</v>
      </c>
      <c r="T420" s="250">
        <v>0</v>
      </c>
      <c r="U420" s="250">
        <v>106045</v>
      </c>
      <c r="V420" s="250">
        <v>0</v>
      </c>
    </row>
    <row r="421" spans="2:22">
      <c r="B421" s="15">
        <f t="shared" si="13"/>
        <v>31</v>
      </c>
      <c r="C421" s="249" t="s">
        <v>140</v>
      </c>
      <c r="D421" s="254">
        <v>2</v>
      </c>
      <c r="E421" s="250">
        <v>3300</v>
      </c>
      <c r="F421" s="254" t="s">
        <v>141</v>
      </c>
      <c r="G421" s="233">
        <v>40609</v>
      </c>
      <c r="H421" s="228" t="s">
        <v>368</v>
      </c>
      <c r="I421" s="301">
        <v>0</v>
      </c>
      <c r="J421" s="301">
        <v>0</v>
      </c>
      <c r="K421" s="301">
        <v>0</v>
      </c>
      <c r="L421" s="301">
        <v>0</v>
      </c>
      <c r="M421" s="301">
        <v>0</v>
      </c>
      <c r="N421" s="301">
        <v>0</v>
      </c>
      <c r="O421" s="292">
        <v>0</v>
      </c>
      <c r="P421" s="301">
        <v>0</v>
      </c>
      <c r="Q421" s="301">
        <v>0</v>
      </c>
      <c r="R421" s="292">
        <v>-165</v>
      </c>
      <c r="S421" s="251">
        <v>0</v>
      </c>
      <c r="T421" s="250">
        <v>0</v>
      </c>
      <c r="U421" s="250">
        <v>0</v>
      </c>
      <c r="V421" s="250">
        <v>0</v>
      </c>
    </row>
    <row r="422" spans="2:22">
      <c r="B422" s="15">
        <f t="shared" si="13"/>
        <v>32</v>
      </c>
      <c r="C422" s="249" t="s">
        <v>1188</v>
      </c>
      <c r="D422" s="254">
        <v>1</v>
      </c>
      <c r="E422" s="250">
        <v>2690</v>
      </c>
      <c r="F422" s="275" t="s">
        <v>358</v>
      </c>
      <c r="G422" s="233">
        <v>40642</v>
      </c>
      <c r="H422" s="228" t="s">
        <v>368</v>
      </c>
      <c r="I422" s="301">
        <v>0</v>
      </c>
      <c r="J422" s="301">
        <v>0</v>
      </c>
      <c r="K422" s="301">
        <v>0</v>
      </c>
      <c r="L422" s="301">
        <v>0</v>
      </c>
      <c r="M422" s="301">
        <v>0</v>
      </c>
      <c r="N422" s="301">
        <v>0</v>
      </c>
      <c r="O422" s="292">
        <v>0</v>
      </c>
      <c r="P422" s="301">
        <v>0</v>
      </c>
      <c r="Q422" s="301">
        <v>0</v>
      </c>
      <c r="R422" s="292">
        <v>-135</v>
      </c>
      <c r="S422" s="251">
        <v>0</v>
      </c>
      <c r="T422" s="250">
        <v>0</v>
      </c>
      <c r="U422" s="250">
        <v>0</v>
      </c>
      <c r="V422" s="250">
        <v>0</v>
      </c>
    </row>
    <row r="423" spans="2:22">
      <c r="B423" s="15">
        <f t="shared" si="13"/>
        <v>33</v>
      </c>
      <c r="C423" s="249" t="s">
        <v>1185</v>
      </c>
      <c r="D423" s="254">
        <v>2</v>
      </c>
      <c r="E423" s="250">
        <v>7245</v>
      </c>
      <c r="F423" s="254" t="s">
        <v>409</v>
      </c>
      <c r="G423" s="233">
        <v>40635</v>
      </c>
      <c r="H423" s="228" t="s">
        <v>368</v>
      </c>
      <c r="I423" s="301">
        <v>0</v>
      </c>
      <c r="J423" s="301">
        <v>0</v>
      </c>
      <c r="K423" s="301">
        <v>0</v>
      </c>
      <c r="L423" s="301">
        <v>0</v>
      </c>
      <c r="M423" s="301">
        <v>0</v>
      </c>
      <c r="N423" s="301">
        <v>0</v>
      </c>
      <c r="O423" s="292">
        <v>0</v>
      </c>
      <c r="P423" s="301">
        <v>0</v>
      </c>
      <c r="Q423" s="301">
        <v>0</v>
      </c>
      <c r="R423" s="292">
        <v>-362</v>
      </c>
      <c r="S423" s="251">
        <v>0</v>
      </c>
      <c r="T423" s="250">
        <v>0</v>
      </c>
      <c r="U423" s="250">
        <v>0</v>
      </c>
      <c r="V423" s="250">
        <v>0</v>
      </c>
    </row>
    <row r="424" spans="2:22" ht="27">
      <c r="B424" s="15">
        <f t="shared" si="13"/>
        <v>34</v>
      </c>
      <c r="C424" s="249" t="s">
        <v>1440</v>
      </c>
      <c r="D424" s="254">
        <v>3</v>
      </c>
      <c r="E424" s="250">
        <v>52356</v>
      </c>
      <c r="F424" s="254" t="s">
        <v>1441</v>
      </c>
      <c r="G424" s="233">
        <v>40850</v>
      </c>
      <c r="H424" s="228" t="s">
        <v>161</v>
      </c>
      <c r="I424" s="300">
        <v>42676</v>
      </c>
      <c r="J424" s="301">
        <v>1827</v>
      </c>
      <c r="K424" s="301">
        <v>880</v>
      </c>
      <c r="L424" s="301">
        <v>947</v>
      </c>
      <c r="M424" s="301">
        <v>2618</v>
      </c>
      <c r="N424" s="301">
        <v>43745</v>
      </c>
      <c r="O424" s="292">
        <v>0</v>
      </c>
      <c r="P424" s="301">
        <v>29502</v>
      </c>
      <c r="Q424" s="301">
        <v>582</v>
      </c>
      <c r="R424" s="292">
        <v>26884</v>
      </c>
      <c r="S424" s="251">
        <v>0</v>
      </c>
      <c r="T424" s="250">
        <v>0</v>
      </c>
      <c r="U424" s="250">
        <v>29502</v>
      </c>
      <c r="V424" s="250">
        <v>0</v>
      </c>
    </row>
    <row r="425" spans="2:22">
      <c r="B425" s="15">
        <f t="shared" si="13"/>
        <v>35</v>
      </c>
      <c r="C425" s="249" t="s">
        <v>1634</v>
      </c>
      <c r="D425" s="254">
        <v>1</v>
      </c>
      <c r="E425" s="250">
        <v>2310</v>
      </c>
      <c r="F425" s="254" t="s">
        <v>1635</v>
      </c>
      <c r="G425" s="233">
        <v>40891</v>
      </c>
      <c r="H425" s="228" t="s">
        <v>161</v>
      </c>
      <c r="I425" s="301">
        <v>0</v>
      </c>
      <c r="J425" s="301">
        <v>0</v>
      </c>
      <c r="K425" s="301">
        <v>0</v>
      </c>
      <c r="L425" s="301">
        <v>0</v>
      </c>
      <c r="M425" s="301">
        <v>0</v>
      </c>
      <c r="N425" s="301">
        <v>0</v>
      </c>
      <c r="O425" s="292">
        <v>0</v>
      </c>
      <c r="P425" s="301">
        <v>0</v>
      </c>
      <c r="Q425" s="301">
        <v>0</v>
      </c>
      <c r="R425" s="292">
        <v>-116</v>
      </c>
      <c r="S425" s="251">
        <v>0</v>
      </c>
      <c r="T425" s="250">
        <v>0</v>
      </c>
      <c r="U425" s="250">
        <v>0</v>
      </c>
      <c r="V425" s="250">
        <v>0</v>
      </c>
    </row>
    <row r="426" spans="2:22">
      <c r="B426" s="15">
        <f t="shared" si="13"/>
        <v>36</v>
      </c>
      <c r="C426" s="249" t="s">
        <v>1665</v>
      </c>
      <c r="D426" s="254">
        <v>4</v>
      </c>
      <c r="E426" s="250">
        <v>7770</v>
      </c>
      <c r="F426" s="254" t="s">
        <v>1666</v>
      </c>
      <c r="G426" s="233">
        <v>40941</v>
      </c>
      <c r="H426" s="228" t="s">
        <v>368</v>
      </c>
      <c r="I426" s="301">
        <v>0</v>
      </c>
      <c r="J426" s="301">
        <v>0</v>
      </c>
      <c r="K426" s="301">
        <v>0</v>
      </c>
      <c r="L426" s="301">
        <v>0</v>
      </c>
      <c r="M426" s="301">
        <v>0</v>
      </c>
      <c r="N426" s="301">
        <v>0</v>
      </c>
      <c r="O426" s="292">
        <v>0</v>
      </c>
      <c r="P426" s="301">
        <v>0</v>
      </c>
      <c r="Q426" s="301">
        <v>0</v>
      </c>
      <c r="R426" s="292">
        <v>-389</v>
      </c>
      <c r="S426" s="251">
        <v>0</v>
      </c>
      <c r="T426" s="250">
        <v>0</v>
      </c>
      <c r="U426" s="250">
        <v>0</v>
      </c>
      <c r="V426" s="250">
        <v>0</v>
      </c>
    </row>
    <row r="427" spans="2:22">
      <c r="B427" s="15">
        <f t="shared" si="13"/>
        <v>37</v>
      </c>
      <c r="C427" s="249" t="s">
        <v>1700</v>
      </c>
      <c r="D427" s="254">
        <v>1</v>
      </c>
      <c r="E427" s="250">
        <v>4934</v>
      </c>
      <c r="F427" s="254" t="s">
        <v>1696</v>
      </c>
      <c r="G427" s="233">
        <v>40946</v>
      </c>
      <c r="H427" s="228" t="s">
        <v>368</v>
      </c>
      <c r="I427" s="301">
        <v>0</v>
      </c>
      <c r="J427" s="301">
        <v>0</v>
      </c>
      <c r="K427" s="301">
        <v>0</v>
      </c>
      <c r="L427" s="301">
        <v>0</v>
      </c>
      <c r="M427" s="301">
        <v>0</v>
      </c>
      <c r="N427" s="301">
        <v>0</v>
      </c>
      <c r="O427" s="292">
        <v>0</v>
      </c>
      <c r="P427" s="301">
        <v>0</v>
      </c>
      <c r="Q427" s="301">
        <v>0</v>
      </c>
      <c r="R427" s="292">
        <v>-247</v>
      </c>
      <c r="S427" s="251">
        <v>0</v>
      </c>
      <c r="T427" s="250">
        <v>0</v>
      </c>
      <c r="U427" s="250">
        <v>0</v>
      </c>
      <c r="V427" s="250">
        <v>0</v>
      </c>
    </row>
    <row r="428" spans="2:22">
      <c r="B428" s="15">
        <f t="shared" si="13"/>
        <v>38</v>
      </c>
      <c r="C428" s="249" t="s">
        <v>2021</v>
      </c>
      <c r="D428" s="254">
        <v>1</v>
      </c>
      <c r="E428" s="250">
        <v>4700</v>
      </c>
      <c r="F428" s="254" t="s">
        <v>2022</v>
      </c>
      <c r="G428" s="233">
        <v>41333</v>
      </c>
      <c r="H428" s="228" t="s">
        <v>368</v>
      </c>
      <c r="I428" s="301">
        <v>0</v>
      </c>
      <c r="J428" s="301">
        <v>0</v>
      </c>
      <c r="K428" s="301">
        <v>0</v>
      </c>
      <c r="L428" s="301">
        <v>0</v>
      </c>
      <c r="M428" s="301">
        <v>0</v>
      </c>
      <c r="N428" s="301">
        <v>0</v>
      </c>
      <c r="O428" s="292">
        <v>0</v>
      </c>
      <c r="P428" s="301">
        <v>0</v>
      </c>
      <c r="Q428" s="301">
        <v>0</v>
      </c>
      <c r="R428" s="292">
        <v>-235</v>
      </c>
      <c r="S428" s="251">
        <v>0</v>
      </c>
      <c r="T428" s="250">
        <v>0</v>
      </c>
      <c r="U428" s="250">
        <v>0</v>
      </c>
      <c r="V428" s="250">
        <v>0</v>
      </c>
    </row>
    <row r="429" spans="2:22">
      <c r="B429" s="15">
        <f t="shared" si="13"/>
        <v>39</v>
      </c>
      <c r="C429" s="249" t="s">
        <v>2507</v>
      </c>
      <c r="D429" s="254">
        <v>1</v>
      </c>
      <c r="E429" s="250">
        <v>10400</v>
      </c>
      <c r="F429" s="254" t="s">
        <v>2506</v>
      </c>
      <c r="G429" s="233">
        <v>41870</v>
      </c>
      <c r="H429" s="228" t="s">
        <v>206</v>
      </c>
      <c r="I429" s="300">
        <v>43695</v>
      </c>
      <c r="J429" s="301">
        <v>1826</v>
      </c>
      <c r="K429" s="301">
        <v>0</v>
      </c>
      <c r="L429" s="301">
        <v>1826</v>
      </c>
      <c r="M429" s="301">
        <v>520</v>
      </c>
      <c r="N429" s="301">
        <v>9880</v>
      </c>
      <c r="O429" s="292">
        <v>0</v>
      </c>
      <c r="P429" s="301">
        <v>9183</v>
      </c>
      <c r="Q429" s="301">
        <v>1601</v>
      </c>
      <c r="R429" s="292">
        <v>8663</v>
      </c>
      <c r="S429" s="251">
        <v>0</v>
      </c>
      <c r="T429" s="250">
        <v>0</v>
      </c>
      <c r="U429" s="250">
        <v>9183</v>
      </c>
      <c r="V429" s="250">
        <v>0</v>
      </c>
    </row>
    <row r="430" spans="2:22">
      <c r="B430" s="15">
        <f t="shared" si="13"/>
        <v>40</v>
      </c>
      <c r="C430" s="249" t="s">
        <v>2678</v>
      </c>
      <c r="D430" s="254">
        <v>1</v>
      </c>
      <c r="E430" s="250">
        <f>508+4</f>
        <v>512</v>
      </c>
      <c r="F430" s="278" t="s">
        <v>2679</v>
      </c>
      <c r="G430" s="342">
        <v>42005</v>
      </c>
      <c r="H430" s="228" t="s">
        <v>368</v>
      </c>
      <c r="I430" s="300">
        <v>43830</v>
      </c>
      <c r="J430" s="301">
        <v>1826</v>
      </c>
      <c r="K430" s="301">
        <v>0</v>
      </c>
      <c r="L430" s="301">
        <v>1826</v>
      </c>
      <c r="M430" s="301">
        <v>26</v>
      </c>
      <c r="N430" s="301">
        <v>486</v>
      </c>
      <c r="O430" s="292">
        <v>0</v>
      </c>
      <c r="P430" s="301">
        <v>488</v>
      </c>
      <c r="Q430" s="301">
        <v>1736</v>
      </c>
      <c r="R430" s="292">
        <v>462</v>
      </c>
      <c r="S430" s="251">
        <v>0</v>
      </c>
      <c r="T430" s="250">
        <v>0</v>
      </c>
      <c r="U430" s="250">
        <v>488</v>
      </c>
      <c r="V430" s="250">
        <v>0</v>
      </c>
    </row>
    <row r="431" spans="2:22">
      <c r="B431" s="15">
        <f t="shared" si="13"/>
        <v>41</v>
      </c>
      <c r="C431" s="249" t="s">
        <v>2684</v>
      </c>
      <c r="D431" s="254">
        <v>1</v>
      </c>
      <c r="E431" s="250">
        <f>61579+469</f>
        <v>62048</v>
      </c>
      <c r="F431" s="278" t="s">
        <v>2679</v>
      </c>
      <c r="G431" s="342">
        <v>42005</v>
      </c>
      <c r="H431" s="228" t="s">
        <v>368</v>
      </c>
      <c r="I431" s="300">
        <v>43830</v>
      </c>
      <c r="J431" s="301">
        <v>1826</v>
      </c>
      <c r="K431" s="301">
        <v>0</v>
      </c>
      <c r="L431" s="301">
        <v>1826</v>
      </c>
      <c r="M431" s="301">
        <v>3102</v>
      </c>
      <c r="N431" s="301">
        <v>58946</v>
      </c>
      <c r="O431" s="292">
        <v>0</v>
      </c>
      <c r="P431" s="301">
        <v>59143</v>
      </c>
      <c r="Q431" s="301">
        <v>1736</v>
      </c>
      <c r="R431" s="292">
        <v>56041</v>
      </c>
      <c r="S431" s="251">
        <v>0</v>
      </c>
      <c r="T431" s="250">
        <v>0</v>
      </c>
      <c r="U431" s="250">
        <v>59143</v>
      </c>
      <c r="V431" s="250">
        <v>0</v>
      </c>
    </row>
    <row r="432" spans="2:22">
      <c r="B432" s="15">
        <f t="shared" si="13"/>
        <v>42</v>
      </c>
      <c r="C432" s="249" t="s">
        <v>2688</v>
      </c>
      <c r="D432" s="254">
        <v>54</v>
      </c>
      <c r="E432" s="250">
        <f>27437+209</f>
        <v>27646</v>
      </c>
      <c r="F432" s="278" t="s">
        <v>2679</v>
      </c>
      <c r="G432" s="342">
        <v>42005</v>
      </c>
      <c r="H432" s="228" t="s">
        <v>368</v>
      </c>
      <c r="I432" s="300">
        <v>43830</v>
      </c>
      <c r="J432" s="301">
        <v>1826</v>
      </c>
      <c r="K432" s="301">
        <v>0</v>
      </c>
      <c r="L432" s="301">
        <v>1826</v>
      </c>
      <c r="M432" s="301">
        <v>1382</v>
      </c>
      <c r="N432" s="301">
        <v>26264</v>
      </c>
      <c r="O432" s="292">
        <v>0</v>
      </c>
      <c r="P432" s="301">
        <v>26351</v>
      </c>
      <c r="Q432" s="301">
        <v>1736</v>
      </c>
      <c r="R432" s="292">
        <v>24969</v>
      </c>
      <c r="S432" s="251">
        <v>0</v>
      </c>
      <c r="T432" s="250">
        <v>0</v>
      </c>
      <c r="U432" s="250">
        <v>26351</v>
      </c>
      <c r="V432" s="250">
        <v>0</v>
      </c>
    </row>
    <row r="433" spans="2:22" ht="27">
      <c r="B433" s="15">
        <f t="shared" si="13"/>
        <v>43</v>
      </c>
      <c r="C433" s="249" t="s">
        <v>2691</v>
      </c>
      <c r="D433" s="254">
        <v>1</v>
      </c>
      <c r="E433" s="250">
        <f>7074+54</f>
        <v>7128</v>
      </c>
      <c r="F433" s="278" t="s">
        <v>2679</v>
      </c>
      <c r="G433" s="342">
        <v>42005</v>
      </c>
      <c r="H433" s="228" t="s">
        <v>368</v>
      </c>
      <c r="I433" s="300">
        <v>43830</v>
      </c>
      <c r="J433" s="301">
        <v>1826</v>
      </c>
      <c r="K433" s="301">
        <v>0</v>
      </c>
      <c r="L433" s="301">
        <v>1826</v>
      </c>
      <c r="M433" s="301">
        <v>356</v>
      </c>
      <c r="N433" s="301">
        <v>6772</v>
      </c>
      <c r="O433" s="292">
        <v>0</v>
      </c>
      <c r="P433" s="301">
        <v>6794</v>
      </c>
      <c r="Q433" s="301">
        <v>1736</v>
      </c>
      <c r="R433" s="292">
        <v>6438</v>
      </c>
      <c r="S433" s="251">
        <v>0</v>
      </c>
      <c r="T433" s="250">
        <v>0</v>
      </c>
      <c r="U433" s="250">
        <v>6794</v>
      </c>
      <c r="V433" s="250">
        <v>0</v>
      </c>
    </row>
    <row r="434" spans="2:22">
      <c r="B434" s="15">
        <f t="shared" si="13"/>
        <v>44</v>
      </c>
      <c r="C434" s="249" t="s">
        <v>2697</v>
      </c>
      <c r="D434" s="254">
        <v>1</v>
      </c>
      <c r="E434" s="250">
        <f>359844+2743</f>
        <v>362587</v>
      </c>
      <c r="F434" s="278" t="s">
        <v>2679</v>
      </c>
      <c r="G434" s="342">
        <v>42005</v>
      </c>
      <c r="H434" s="228" t="s">
        <v>368</v>
      </c>
      <c r="I434" s="300">
        <v>43830</v>
      </c>
      <c r="J434" s="301">
        <v>1826</v>
      </c>
      <c r="K434" s="301">
        <v>0</v>
      </c>
      <c r="L434" s="301">
        <v>1826</v>
      </c>
      <c r="M434" s="301">
        <v>18129</v>
      </c>
      <c r="N434" s="301">
        <v>344458</v>
      </c>
      <c r="O434" s="292">
        <v>0</v>
      </c>
      <c r="P434" s="301">
        <v>345609</v>
      </c>
      <c r="Q434" s="301">
        <v>1736</v>
      </c>
      <c r="R434" s="292">
        <v>327480</v>
      </c>
      <c r="S434" s="251">
        <v>0</v>
      </c>
      <c r="T434" s="250">
        <v>0</v>
      </c>
      <c r="U434" s="250">
        <v>345609</v>
      </c>
      <c r="V434" s="250">
        <v>0</v>
      </c>
    </row>
    <row r="435" spans="2:22" ht="27">
      <c r="B435" s="15">
        <f t="shared" si="13"/>
        <v>45</v>
      </c>
      <c r="C435" s="249" t="s">
        <v>2760</v>
      </c>
      <c r="D435" s="254">
        <v>2</v>
      </c>
      <c r="E435" s="250">
        <v>458128</v>
      </c>
      <c r="F435" s="278" t="s">
        <v>688</v>
      </c>
      <c r="G435" s="342">
        <v>40583</v>
      </c>
      <c r="H435" s="228" t="s">
        <v>368</v>
      </c>
      <c r="I435" s="300">
        <v>42408</v>
      </c>
      <c r="J435" s="301">
        <v>1826</v>
      </c>
      <c r="K435" s="301">
        <v>1422</v>
      </c>
      <c r="L435" s="301">
        <v>404</v>
      </c>
      <c r="M435" s="301">
        <v>22906</v>
      </c>
      <c r="N435" s="301">
        <v>435222</v>
      </c>
      <c r="O435" s="292">
        <v>0</v>
      </c>
      <c r="P435" s="301">
        <v>71178</v>
      </c>
      <c r="Q435" s="301">
        <v>39</v>
      </c>
      <c r="R435" s="292">
        <v>48272</v>
      </c>
      <c r="S435" s="251">
        <v>0</v>
      </c>
      <c r="T435" s="250">
        <v>0</v>
      </c>
      <c r="U435" s="250">
        <v>71178</v>
      </c>
      <c r="V435" s="250">
        <v>0</v>
      </c>
    </row>
    <row r="436" spans="2:22" ht="27">
      <c r="B436" s="15">
        <f t="shared" si="13"/>
        <v>46</v>
      </c>
      <c r="C436" s="249" t="s">
        <v>2761</v>
      </c>
      <c r="D436" s="254">
        <v>1</v>
      </c>
      <c r="E436" s="250">
        <v>11224.14</v>
      </c>
      <c r="F436" s="278" t="s">
        <v>688</v>
      </c>
      <c r="G436" s="342">
        <v>40583</v>
      </c>
      <c r="H436" s="228" t="s">
        <v>368</v>
      </c>
      <c r="I436" s="300">
        <v>42408</v>
      </c>
      <c r="J436" s="301">
        <v>1826</v>
      </c>
      <c r="K436" s="301">
        <v>1422</v>
      </c>
      <c r="L436" s="301">
        <v>404</v>
      </c>
      <c r="M436" s="301">
        <v>561</v>
      </c>
      <c r="N436" s="301">
        <v>10663.14</v>
      </c>
      <c r="O436" s="292">
        <v>0</v>
      </c>
      <c r="P436" s="301">
        <v>1744.1399999999994</v>
      </c>
      <c r="Q436" s="301">
        <v>39</v>
      </c>
      <c r="R436" s="292">
        <v>1183</v>
      </c>
      <c r="S436" s="251">
        <v>0</v>
      </c>
      <c r="T436" s="250">
        <v>0</v>
      </c>
      <c r="U436" s="250">
        <v>1744</v>
      </c>
      <c r="V436" s="250">
        <v>0.13999999999941792</v>
      </c>
    </row>
    <row r="437" spans="2:22" ht="27">
      <c r="B437" s="15">
        <v>47</v>
      </c>
      <c r="C437" s="249" t="s">
        <v>4294</v>
      </c>
      <c r="D437" s="254">
        <v>1</v>
      </c>
      <c r="E437" s="250">
        <f>5084+458+458</f>
        <v>6000</v>
      </c>
      <c r="F437" s="278" t="s">
        <v>4296</v>
      </c>
      <c r="G437" s="342">
        <v>43313</v>
      </c>
      <c r="H437" s="228" t="s">
        <v>4366</v>
      </c>
      <c r="I437" s="300">
        <v>45138</v>
      </c>
      <c r="J437" s="301">
        <v>1826</v>
      </c>
      <c r="K437" s="301">
        <v>0</v>
      </c>
      <c r="L437" s="301">
        <v>1826</v>
      </c>
      <c r="M437" s="301">
        <v>300</v>
      </c>
      <c r="N437" s="301">
        <v>5700</v>
      </c>
      <c r="O437" s="292">
        <v>0</v>
      </c>
      <c r="P437" s="292">
        <v>6000</v>
      </c>
      <c r="Q437" s="301">
        <v>1826</v>
      </c>
      <c r="R437" s="301">
        <v>5700</v>
      </c>
      <c r="S437" s="292">
        <v>365</v>
      </c>
      <c r="T437" s="251">
        <v>1139</v>
      </c>
      <c r="U437" s="250">
        <v>4179</v>
      </c>
      <c r="V437" s="250">
        <v>1821</v>
      </c>
    </row>
    <row r="438" spans="2:22" ht="27">
      <c r="B438" s="15">
        <v>48</v>
      </c>
      <c r="C438" s="249" t="s">
        <v>4295</v>
      </c>
      <c r="D438" s="254">
        <v>2</v>
      </c>
      <c r="E438" s="250">
        <f>14844+2078+2078</f>
        <v>19000</v>
      </c>
      <c r="F438" s="278" t="s">
        <v>4296</v>
      </c>
      <c r="G438" s="342">
        <v>43313</v>
      </c>
      <c r="H438" s="228" t="s">
        <v>4366</v>
      </c>
      <c r="I438" s="300">
        <v>45138</v>
      </c>
      <c r="J438" s="301">
        <v>1826</v>
      </c>
      <c r="K438" s="301">
        <v>0</v>
      </c>
      <c r="L438" s="301">
        <v>1826</v>
      </c>
      <c r="M438" s="301">
        <v>950</v>
      </c>
      <c r="N438" s="301">
        <v>18050</v>
      </c>
      <c r="O438" s="292">
        <v>0</v>
      </c>
      <c r="P438" s="292">
        <v>19000</v>
      </c>
      <c r="Q438" s="301">
        <v>1826</v>
      </c>
      <c r="R438" s="301">
        <v>18050</v>
      </c>
      <c r="S438" s="292">
        <v>365</v>
      </c>
      <c r="T438" s="251">
        <v>3608</v>
      </c>
      <c r="U438" s="250">
        <v>13236</v>
      </c>
      <c r="V438" s="250">
        <v>5764</v>
      </c>
    </row>
    <row r="439" spans="2:22" ht="27">
      <c r="B439" s="15">
        <v>49</v>
      </c>
      <c r="C439" s="249" t="s">
        <v>4558</v>
      </c>
      <c r="D439" s="254">
        <v>3</v>
      </c>
      <c r="E439" s="250">
        <v>173460</v>
      </c>
      <c r="F439" s="278" t="s">
        <v>4559</v>
      </c>
      <c r="G439" s="342">
        <v>44263</v>
      </c>
      <c r="H439" s="228" t="s">
        <v>4366</v>
      </c>
      <c r="I439" s="300">
        <v>46088</v>
      </c>
      <c r="J439" s="301">
        <v>1826</v>
      </c>
      <c r="K439" s="301">
        <v>0</v>
      </c>
      <c r="L439" s="301">
        <v>1826</v>
      </c>
      <c r="M439" s="301">
        <v>8673</v>
      </c>
      <c r="N439" s="301">
        <v>164787</v>
      </c>
      <c r="O439" s="292">
        <v>0</v>
      </c>
      <c r="P439" s="292">
        <v>173460</v>
      </c>
      <c r="Q439" s="301">
        <v>1826</v>
      </c>
      <c r="R439" s="301">
        <v>164787</v>
      </c>
      <c r="S439" s="292">
        <v>365</v>
      </c>
      <c r="T439" s="251">
        <v>32939</v>
      </c>
      <c r="U439" s="250">
        <v>35105</v>
      </c>
      <c r="V439" s="250">
        <v>138355</v>
      </c>
    </row>
    <row r="440" spans="2:22">
      <c r="B440" s="143"/>
      <c r="C440" s="249"/>
      <c r="D440" s="254"/>
      <c r="E440" s="250"/>
      <c r="F440" s="278"/>
      <c r="G440" s="342"/>
      <c r="H440" s="228"/>
      <c r="I440" s="300"/>
      <c r="J440" s="301"/>
      <c r="K440" s="301"/>
      <c r="L440" s="301"/>
      <c r="M440" s="301"/>
      <c r="N440" s="301"/>
      <c r="O440" s="292"/>
      <c r="P440" s="301"/>
      <c r="Q440" s="301"/>
      <c r="R440" s="292"/>
      <c r="S440" s="251"/>
      <c r="T440" s="250"/>
      <c r="U440" s="250"/>
      <c r="V440" s="250"/>
    </row>
    <row r="441" spans="2:22" ht="14.25">
      <c r="B441" s="107" t="s">
        <v>264</v>
      </c>
      <c r="C441" s="228"/>
      <c r="D441" s="230"/>
      <c r="E441" s="250"/>
      <c r="F441" s="369"/>
      <c r="G441" s="230"/>
      <c r="H441" s="228"/>
      <c r="I441" s="288"/>
      <c r="J441" s="288"/>
      <c r="K441" s="288"/>
      <c r="L441" s="288"/>
      <c r="M441" s="288"/>
      <c r="N441" s="288"/>
      <c r="O441" s="292"/>
      <c r="P441" s="301"/>
      <c r="Q441" s="301"/>
      <c r="R441" s="292"/>
      <c r="S441" s="272"/>
      <c r="T441" s="250"/>
      <c r="U441" s="250"/>
      <c r="V441" s="250"/>
    </row>
    <row r="442" spans="2:22" ht="27">
      <c r="B442" s="15">
        <v>1</v>
      </c>
      <c r="C442" s="249" t="s">
        <v>423</v>
      </c>
      <c r="D442" s="254" t="s">
        <v>1108</v>
      </c>
      <c r="E442" s="319">
        <v>76175</v>
      </c>
      <c r="F442" s="369" t="s">
        <v>1109</v>
      </c>
      <c r="G442" s="233">
        <v>40108</v>
      </c>
      <c r="H442" s="228" t="s">
        <v>368</v>
      </c>
      <c r="I442" s="300">
        <v>41933</v>
      </c>
      <c r="J442" s="301">
        <v>1826</v>
      </c>
      <c r="K442" s="301">
        <v>1622</v>
      </c>
      <c r="L442" s="301">
        <v>204</v>
      </c>
      <c r="M442" s="301">
        <v>3809</v>
      </c>
      <c r="N442" s="301">
        <v>56296</v>
      </c>
      <c r="O442" s="292">
        <v>0</v>
      </c>
      <c r="P442" s="301">
        <v>0</v>
      </c>
      <c r="Q442" s="301">
        <v>0</v>
      </c>
      <c r="R442" s="292">
        <v>-3809</v>
      </c>
      <c r="S442" s="251">
        <v>0</v>
      </c>
      <c r="T442" s="250">
        <v>0</v>
      </c>
      <c r="U442" s="250">
        <v>0</v>
      </c>
      <c r="V442" s="250">
        <v>0</v>
      </c>
    </row>
    <row r="443" spans="2:22">
      <c r="B443" s="15">
        <f>+B442+1</f>
        <v>2</v>
      </c>
      <c r="C443" s="249" t="s">
        <v>1110</v>
      </c>
      <c r="D443" s="254">
        <v>4</v>
      </c>
      <c r="E443" s="320">
        <v>3112</v>
      </c>
      <c r="F443" s="369"/>
      <c r="G443" s="233">
        <v>40110</v>
      </c>
      <c r="H443" s="228" t="s">
        <v>368</v>
      </c>
      <c r="I443" s="301">
        <v>0</v>
      </c>
      <c r="J443" s="301">
        <v>0</v>
      </c>
      <c r="K443" s="301">
        <v>0</v>
      </c>
      <c r="L443" s="301">
        <v>0</v>
      </c>
      <c r="M443" s="301">
        <v>0</v>
      </c>
      <c r="N443" s="301">
        <v>0</v>
      </c>
      <c r="O443" s="292">
        <v>0</v>
      </c>
      <c r="P443" s="301">
        <v>0</v>
      </c>
      <c r="Q443" s="301">
        <v>0</v>
      </c>
      <c r="R443" s="292">
        <v>-156</v>
      </c>
      <c r="S443" s="251">
        <v>0</v>
      </c>
      <c r="T443" s="250">
        <v>0</v>
      </c>
      <c r="U443" s="250">
        <v>0</v>
      </c>
      <c r="V443" s="250">
        <v>0</v>
      </c>
    </row>
    <row r="444" spans="2:22">
      <c r="B444" s="15">
        <f t="shared" ref="B444:B481" si="14">+B443+1</f>
        <v>3</v>
      </c>
      <c r="C444" s="249" t="s">
        <v>658</v>
      </c>
      <c r="D444" s="254">
        <v>4</v>
      </c>
      <c r="E444" s="320">
        <v>6092</v>
      </c>
      <c r="F444" s="369" t="s">
        <v>42</v>
      </c>
      <c r="G444" s="233">
        <v>40110</v>
      </c>
      <c r="H444" s="228" t="s">
        <v>368</v>
      </c>
      <c r="I444" s="301">
        <v>0</v>
      </c>
      <c r="J444" s="301">
        <v>0</v>
      </c>
      <c r="K444" s="301">
        <v>0</v>
      </c>
      <c r="L444" s="301">
        <v>0</v>
      </c>
      <c r="M444" s="301">
        <v>0</v>
      </c>
      <c r="N444" s="301">
        <v>0</v>
      </c>
      <c r="O444" s="292">
        <v>0</v>
      </c>
      <c r="P444" s="301">
        <v>0</v>
      </c>
      <c r="Q444" s="301">
        <v>0</v>
      </c>
      <c r="R444" s="292">
        <v>-305</v>
      </c>
      <c r="S444" s="251">
        <v>0</v>
      </c>
      <c r="T444" s="250">
        <v>0</v>
      </c>
      <c r="U444" s="250">
        <v>0</v>
      </c>
      <c r="V444" s="250">
        <v>0</v>
      </c>
    </row>
    <row r="445" spans="2:22">
      <c r="B445" s="15">
        <f t="shared" si="14"/>
        <v>4</v>
      </c>
      <c r="C445" s="249" t="s">
        <v>659</v>
      </c>
      <c r="D445" s="254">
        <v>2</v>
      </c>
      <c r="E445" s="320">
        <v>23403</v>
      </c>
      <c r="F445" s="369">
        <v>1</v>
      </c>
      <c r="G445" s="233">
        <v>40131</v>
      </c>
      <c r="H445" s="228" t="s">
        <v>368</v>
      </c>
      <c r="I445" s="300">
        <v>41956</v>
      </c>
      <c r="J445" s="301">
        <v>1826</v>
      </c>
      <c r="K445" s="301">
        <v>1599</v>
      </c>
      <c r="L445" s="301">
        <v>227</v>
      </c>
      <c r="M445" s="301">
        <v>1170</v>
      </c>
      <c r="N445" s="301">
        <v>17368</v>
      </c>
      <c r="O445" s="292">
        <v>0</v>
      </c>
      <c r="P445" s="301">
        <v>0</v>
      </c>
      <c r="Q445" s="301">
        <v>0</v>
      </c>
      <c r="R445" s="292">
        <v>-1170</v>
      </c>
      <c r="S445" s="251">
        <v>0</v>
      </c>
      <c r="T445" s="250">
        <v>0</v>
      </c>
      <c r="U445" s="250">
        <v>0</v>
      </c>
      <c r="V445" s="250">
        <v>0</v>
      </c>
    </row>
    <row r="446" spans="2:22">
      <c r="B446" s="15">
        <f t="shared" si="14"/>
        <v>5</v>
      </c>
      <c r="C446" s="249" t="s">
        <v>660</v>
      </c>
      <c r="D446" s="254">
        <v>1</v>
      </c>
      <c r="E446" s="320">
        <v>4563</v>
      </c>
      <c r="F446" s="369" t="s">
        <v>42</v>
      </c>
      <c r="G446" s="233">
        <v>40144</v>
      </c>
      <c r="H446" s="228" t="s">
        <v>368</v>
      </c>
      <c r="I446" s="301">
        <v>0</v>
      </c>
      <c r="J446" s="301">
        <v>0</v>
      </c>
      <c r="K446" s="301">
        <v>0</v>
      </c>
      <c r="L446" s="301">
        <v>0</v>
      </c>
      <c r="M446" s="301">
        <v>0</v>
      </c>
      <c r="N446" s="301">
        <v>0</v>
      </c>
      <c r="O446" s="292">
        <v>0</v>
      </c>
      <c r="P446" s="301">
        <v>0</v>
      </c>
      <c r="Q446" s="301">
        <v>0</v>
      </c>
      <c r="R446" s="292">
        <v>-228</v>
      </c>
      <c r="S446" s="251">
        <v>0</v>
      </c>
      <c r="T446" s="250">
        <v>0</v>
      </c>
      <c r="U446" s="250">
        <v>0</v>
      </c>
      <c r="V446" s="250">
        <v>0</v>
      </c>
    </row>
    <row r="447" spans="2:22">
      <c r="B447" s="15">
        <f t="shared" si="14"/>
        <v>6</v>
      </c>
      <c r="C447" s="249" t="s">
        <v>661</v>
      </c>
      <c r="D447" s="254">
        <v>1</v>
      </c>
      <c r="E447" s="320">
        <v>6344</v>
      </c>
      <c r="F447" s="369">
        <v>60</v>
      </c>
      <c r="G447" s="233">
        <v>40144</v>
      </c>
      <c r="H447" s="228" t="s">
        <v>368</v>
      </c>
      <c r="I447" s="300">
        <v>41969</v>
      </c>
      <c r="J447" s="301">
        <v>1826</v>
      </c>
      <c r="K447" s="301">
        <v>1586</v>
      </c>
      <c r="L447" s="301">
        <v>240</v>
      </c>
      <c r="M447" s="301">
        <v>317</v>
      </c>
      <c r="N447" s="301">
        <v>4719</v>
      </c>
      <c r="O447" s="292">
        <v>0</v>
      </c>
      <c r="P447" s="301">
        <v>0</v>
      </c>
      <c r="Q447" s="301">
        <v>0</v>
      </c>
      <c r="R447" s="292">
        <v>-317</v>
      </c>
      <c r="S447" s="251">
        <v>0</v>
      </c>
      <c r="T447" s="250">
        <v>0</v>
      </c>
      <c r="U447" s="250">
        <v>0</v>
      </c>
      <c r="V447" s="250">
        <v>0</v>
      </c>
    </row>
    <row r="448" spans="2:22">
      <c r="B448" s="15">
        <f t="shared" si="14"/>
        <v>7</v>
      </c>
      <c r="C448" s="249" t="s">
        <v>662</v>
      </c>
      <c r="D448" s="254">
        <v>1</v>
      </c>
      <c r="E448" s="320">
        <v>9360</v>
      </c>
      <c r="F448" s="369">
        <v>61</v>
      </c>
      <c r="G448" s="233">
        <v>40144</v>
      </c>
      <c r="H448" s="228" t="s">
        <v>368</v>
      </c>
      <c r="I448" s="300">
        <v>41969</v>
      </c>
      <c r="J448" s="301">
        <v>1826</v>
      </c>
      <c r="K448" s="301">
        <v>1586</v>
      </c>
      <c r="L448" s="301">
        <v>240</v>
      </c>
      <c r="M448" s="301">
        <v>468</v>
      </c>
      <c r="N448" s="301">
        <v>6958</v>
      </c>
      <c r="O448" s="292">
        <v>0</v>
      </c>
      <c r="P448" s="301">
        <v>0</v>
      </c>
      <c r="Q448" s="301">
        <v>0</v>
      </c>
      <c r="R448" s="292">
        <v>-468</v>
      </c>
      <c r="S448" s="251">
        <v>0</v>
      </c>
      <c r="T448" s="250">
        <v>0</v>
      </c>
      <c r="U448" s="250">
        <v>0</v>
      </c>
      <c r="V448" s="250">
        <v>0</v>
      </c>
    </row>
    <row r="449" spans="2:22" ht="54">
      <c r="B449" s="15">
        <f t="shared" si="14"/>
        <v>8</v>
      </c>
      <c r="C449" s="249" t="s">
        <v>1307</v>
      </c>
      <c r="D449" s="254">
        <v>1</v>
      </c>
      <c r="E449" s="320">
        <f>ROUND(302400*1.2894487,)</f>
        <v>389929</v>
      </c>
      <c r="F449" s="369">
        <v>261</v>
      </c>
      <c r="G449" s="233">
        <v>40268</v>
      </c>
      <c r="H449" s="228" t="s">
        <v>368</v>
      </c>
      <c r="I449" s="300">
        <v>42093</v>
      </c>
      <c r="J449" s="301">
        <v>1826</v>
      </c>
      <c r="K449" s="301">
        <v>1462</v>
      </c>
      <c r="L449" s="301">
        <v>364</v>
      </c>
      <c r="M449" s="301">
        <v>19496</v>
      </c>
      <c r="N449" s="301">
        <v>296295</v>
      </c>
      <c r="O449" s="292">
        <v>0</v>
      </c>
      <c r="P449" s="301">
        <v>0</v>
      </c>
      <c r="Q449" s="301">
        <v>0</v>
      </c>
      <c r="R449" s="292">
        <v>-19496</v>
      </c>
      <c r="S449" s="251">
        <v>0</v>
      </c>
      <c r="T449" s="250">
        <v>0</v>
      </c>
      <c r="U449" s="250">
        <v>0</v>
      </c>
      <c r="V449" s="250">
        <v>0</v>
      </c>
    </row>
    <row r="450" spans="2:22">
      <c r="B450" s="15">
        <f t="shared" si="14"/>
        <v>9</v>
      </c>
      <c r="C450" s="249" t="s">
        <v>1308</v>
      </c>
      <c r="D450" s="254">
        <v>1</v>
      </c>
      <c r="E450" s="320">
        <f>ROUND(49500*1.2894487,)</f>
        <v>63828</v>
      </c>
      <c r="F450" s="369">
        <v>261</v>
      </c>
      <c r="G450" s="233">
        <v>40268</v>
      </c>
      <c r="H450" s="228" t="s">
        <v>368</v>
      </c>
      <c r="I450" s="300">
        <v>42093</v>
      </c>
      <c r="J450" s="301">
        <v>1826</v>
      </c>
      <c r="K450" s="301">
        <v>1462</v>
      </c>
      <c r="L450" s="301">
        <v>364</v>
      </c>
      <c r="M450" s="301">
        <v>3191</v>
      </c>
      <c r="N450" s="301">
        <v>48501</v>
      </c>
      <c r="O450" s="292">
        <v>0</v>
      </c>
      <c r="P450" s="301">
        <v>0</v>
      </c>
      <c r="Q450" s="301">
        <v>0</v>
      </c>
      <c r="R450" s="292">
        <v>-3191</v>
      </c>
      <c r="S450" s="251">
        <v>0</v>
      </c>
      <c r="T450" s="250">
        <v>0</v>
      </c>
      <c r="U450" s="250">
        <v>0</v>
      </c>
      <c r="V450" s="250">
        <v>0</v>
      </c>
    </row>
    <row r="451" spans="2:22">
      <c r="B451" s="15">
        <f t="shared" si="14"/>
        <v>10</v>
      </c>
      <c r="C451" s="249" t="s">
        <v>16</v>
      </c>
      <c r="D451" s="254">
        <v>2</v>
      </c>
      <c r="E451" s="320">
        <v>389800</v>
      </c>
      <c r="F451" s="369">
        <v>280</v>
      </c>
      <c r="G451" s="233">
        <v>40148</v>
      </c>
      <c r="H451" s="228" t="s">
        <v>368</v>
      </c>
      <c r="I451" s="300">
        <v>41973</v>
      </c>
      <c r="J451" s="301">
        <v>1826</v>
      </c>
      <c r="K451" s="301">
        <v>1582</v>
      </c>
      <c r="L451" s="301">
        <v>244</v>
      </c>
      <c r="M451" s="301">
        <v>19490</v>
      </c>
      <c r="N451" s="301">
        <v>290109</v>
      </c>
      <c r="O451" s="292">
        <v>0</v>
      </c>
      <c r="P451" s="301">
        <v>0</v>
      </c>
      <c r="Q451" s="301">
        <v>0</v>
      </c>
      <c r="R451" s="292">
        <v>-19490</v>
      </c>
      <c r="S451" s="251">
        <v>0</v>
      </c>
      <c r="T451" s="250">
        <v>0</v>
      </c>
      <c r="U451" s="250">
        <v>0</v>
      </c>
      <c r="V451" s="250">
        <v>0</v>
      </c>
    </row>
    <row r="452" spans="2:22" ht="27">
      <c r="B452" s="15">
        <f t="shared" si="14"/>
        <v>11</v>
      </c>
      <c r="C452" s="249" t="s">
        <v>771</v>
      </c>
      <c r="D452" s="254">
        <v>1</v>
      </c>
      <c r="E452" s="250">
        <v>22400</v>
      </c>
      <c r="F452" s="254" t="s">
        <v>772</v>
      </c>
      <c r="G452" s="233">
        <v>40273</v>
      </c>
      <c r="H452" s="228" t="s">
        <v>368</v>
      </c>
      <c r="I452" s="300">
        <v>42098</v>
      </c>
      <c r="J452" s="301">
        <v>1826</v>
      </c>
      <c r="K452" s="301">
        <v>1457</v>
      </c>
      <c r="L452" s="301">
        <v>369</v>
      </c>
      <c r="M452" s="301">
        <v>1120</v>
      </c>
      <c r="N452" s="301">
        <v>17036</v>
      </c>
      <c r="O452" s="292">
        <v>0</v>
      </c>
      <c r="P452" s="301">
        <v>1305</v>
      </c>
      <c r="Q452" s="301">
        <v>4</v>
      </c>
      <c r="R452" s="292">
        <v>185</v>
      </c>
      <c r="S452" s="251">
        <v>0</v>
      </c>
      <c r="T452" s="250">
        <v>0</v>
      </c>
      <c r="U452" s="250">
        <v>1305</v>
      </c>
      <c r="V452" s="250">
        <v>0</v>
      </c>
    </row>
    <row r="453" spans="2:22">
      <c r="B453" s="15">
        <f t="shared" si="14"/>
        <v>12</v>
      </c>
      <c r="C453" s="249" t="s">
        <v>197</v>
      </c>
      <c r="D453" s="254">
        <v>2</v>
      </c>
      <c r="E453" s="250">
        <f>452250+40000</f>
        <v>492250</v>
      </c>
      <c r="F453" s="254" t="s">
        <v>672</v>
      </c>
      <c r="G453" s="233">
        <v>40274</v>
      </c>
      <c r="H453" s="228" t="s">
        <v>368</v>
      </c>
      <c r="I453" s="300">
        <v>42099</v>
      </c>
      <c r="J453" s="301">
        <v>1826</v>
      </c>
      <c r="K453" s="301">
        <v>1456</v>
      </c>
      <c r="L453" s="301">
        <v>370</v>
      </c>
      <c r="M453" s="301">
        <v>24613</v>
      </c>
      <c r="N453" s="301">
        <v>374429</v>
      </c>
      <c r="O453" s="292">
        <v>0</v>
      </c>
      <c r="P453" s="301">
        <v>29673</v>
      </c>
      <c r="Q453" s="301">
        <v>5</v>
      </c>
      <c r="R453" s="292">
        <v>5061</v>
      </c>
      <c r="S453" s="251">
        <v>0</v>
      </c>
      <c r="T453" s="250">
        <v>0</v>
      </c>
      <c r="U453" s="250">
        <v>29673</v>
      </c>
      <c r="V453" s="250">
        <v>0</v>
      </c>
    </row>
    <row r="454" spans="2:22">
      <c r="B454" s="15">
        <f t="shared" si="14"/>
        <v>13</v>
      </c>
      <c r="C454" s="249" t="s">
        <v>197</v>
      </c>
      <c r="D454" s="254">
        <v>1</v>
      </c>
      <c r="E454" s="250">
        <f>453938+40000</f>
        <v>493938</v>
      </c>
      <c r="F454" s="275" t="s">
        <v>673</v>
      </c>
      <c r="G454" s="233">
        <v>40274</v>
      </c>
      <c r="H454" s="228" t="s">
        <v>368</v>
      </c>
      <c r="I454" s="300">
        <v>42099</v>
      </c>
      <c r="J454" s="301">
        <v>1826</v>
      </c>
      <c r="K454" s="301">
        <v>1456</v>
      </c>
      <c r="L454" s="301">
        <v>370</v>
      </c>
      <c r="M454" s="301">
        <v>24697</v>
      </c>
      <c r="N454" s="301">
        <v>375714</v>
      </c>
      <c r="O454" s="292">
        <v>0</v>
      </c>
      <c r="P454" s="301">
        <v>29774</v>
      </c>
      <c r="Q454" s="301">
        <v>5</v>
      </c>
      <c r="R454" s="292">
        <v>5077</v>
      </c>
      <c r="S454" s="251">
        <v>0</v>
      </c>
      <c r="T454" s="250">
        <v>0</v>
      </c>
      <c r="U454" s="250">
        <v>29774</v>
      </c>
      <c r="V454" s="250">
        <v>0</v>
      </c>
    </row>
    <row r="455" spans="2:22">
      <c r="B455" s="15">
        <f t="shared" si="14"/>
        <v>14</v>
      </c>
      <c r="C455" s="249" t="s">
        <v>197</v>
      </c>
      <c r="D455" s="254">
        <v>2</v>
      </c>
      <c r="E455" s="250">
        <f>452250+40000</f>
        <v>492250</v>
      </c>
      <c r="F455" s="275" t="s">
        <v>674</v>
      </c>
      <c r="G455" s="233">
        <v>40274</v>
      </c>
      <c r="H455" s="228" t="s">
        <v>368</v>
      </c>
      <c r="I455" s="300">
        <v>42099</v>
      </c>
      <c r="J455" s="301">
        <v>1826</v>
      </c>
      <c r="K455" s="301">
        <v>1456</v>
      </c>
      <c r="L455" s="301">
        <v>370</v>
      </c>
      <c r="M455" s="301">
        <v>24613</v>
      </c>
      <c r="N455" s="301">
        <v>374429</v>
      </c>
      <c r="O455" s="292">
        <v>0</v>
      </c>
      <c r="P455" s="301">
        <v>29673</v>
      </c>
      <c r="Q455" s="301">
        <v>5</v>
      </c>
      <c r="R455" s="292">
        <v>5061</v>
      </c>
      <c r="S455" s="251">
        <v>0</v>
      </c>
      <c r="T455" s="250">
        <v>0</v>
      </c>
      <c r="U455" s="250">
        <v>29673</v>
      </c>
      <c r="V455" s="250">
        <v>0</v>
      </c>
    </row>
    <row r="456" spans="2:22">
      <c r="B456" s="15">
        <f t="shared" si="14"/>
        <v>15</v>
      </c>
      <c r="C456" s="249" t="s">
        <v>970</v>
      </c>
      <c r="D456" s="254">
        <v>1</v>
      </c>
      <c r="E456" s="250">
        <v>10120</v>
      </c>
      <c r="F456" s="254" t="s">
        <v>971</v>
      </c>
      <c r="G456" s="233">
        <v>40274</v>
      </c>
      <c r="H456" s="228" t="s">
        <v>368</v>
      </c>
      <c r="I456" s="300">
        <v>42099</v>
      </c>
      <c r="J456" s="301">
        <v>1826</v>
      </c>
      <c r="K456" s="301">
        <v>1456</v>
      </c>
      <c r="L456" s="301">
        <v>370</v>
      </c>
      <c r="M456" s="301">
        <v>506</v>
      </c>
      <c r="N456" s="301">
        <v>7696</v>
      </c>
      <c r="O456" s="292">
        <v>0</v>
      </c>
      <c r="P456" s="301">
        <v>610</v>
      </c>
      <c r="Q456" s="301">
        <v>5</v>
      </c>
      <c r="R456" s="292">
        <v>104</v>
      </c>
      <c r="S456" s="251">
        <v>0</v>
      </c>
      <c r="T456" s="250">
        <v>0</v>
      </c>
      <c r="U456" s="250">
        <v>610</v>
      </c>
      <c r="V456" s="250">
        <v>0</v>
      </c>
    </row>
    <row r="457" spans="2:22" ht="27">
      <c r="B457" s="15">
        <f t="shared" si="14"/>
        <v>16</v>
      </c>
      <c r="C457" s="249" t="s">
        <v>44</v>
      </c>
      <c r="D457" s="254">
        <f>3+1</f>
        <v>4</v>
      </c>
      <c r="E457" s="250">
        <v>31500</v>
      </c>
      <c r="F457" s="254" t="s">
        <v>675</v>
      </c>
      <c r="G457" s="233">
        <v>40305</v>
      </c>
      <c r="H457" s="228" t="s">
        <v>368</v>
      </c>
      <c r="I457" s="300">
        <v>42130</v>
      </c>
      <c r="J457" s="301">
        <v>1826</v>
      </c>
      <c r="K457" s="301">
        <v>1425</v>
      </c>
      <c r="L457" s="301">
        <v>401</v>
      </c>
      <c r="M457" s="301">
        <v>1575</v>
      </c>
      <c r="N457" s="301">
        <v>24089</v>
      </c>
      <c r="O457" s="292">
        <v>0</v>
      </c>
      <c r="P457" s="301">
        <v>3738</v>
      </c>
      <c r="Q457" s="301">
        <v>36</v>
      </c>
      <c r="R457" s="292">
        <v>2163</v>
      </c>
      <c r="S457" s="251">
        <v>0</v>
      </c>
      <c r="T457" s="250">
        <v>0</v>
      </c>
      <c r="U457" s="250">
        <v>3738</v>
      </c>
      <c r="V457" s="250">
        <v>0</v>
      </c>
    </row>
    <row r="458" spans="2:22">
      <c r="B458" s="15">
        <f t="shared" si="14"/>
        <v>17</v>
      </c>
      <c r="C458" s="249" t="s">
        <v>1001</v>
      </c>
      <c r="D458" s="254">
        <v>1</v>
      </c>
      <c r="E458" s="250">
        <v>6480</v>
      </c>
      <c r="F458" s="254" t="s">
        <v>1002</v>
      </c>
      <c r="G458" s="233">
        <v>40274</v>
      </c>
      <c r="H458" s="228" t="s">
        <v>368</v>
      </c>
      <c r="I458" s="300">
        <v>42099</v>
      </c>
      <c r="J458" s="301">
        <v>1826</v>
      </c>
      <c r="K458" s="301">
        <v>1456</v>
      </c>
      <c r="L458" s="301">
        <v>370</v>
      </c>
      <c r="M458" s="301">
        <v>324</v>
      </c>
      <c r="N458" s="301">
        <v>4927</v>
      </c>
      <c r="O458" s="292">
        <v>0</v>
      </c>
      <c r="P458" s="301">
        <v>391</v>
      </c>
      <c r="Q458" s="301">
        <v>5</v>
      </c>
      <c r="R458" s="292">
        <v>67</v>
      </c>
      <c r="S458" s="251">
        <v>0</v>
      </c>
      <c r="T458" s="250">
        <v>0</v>
      </c>
      <c r="U458" s="250">
        <v>391</v>
      </c>
      <c r="V458" s="250">
        <v>0</v>
      </c>
    </row>
    <row r="459" spans="2:22">
      <c r="B459" s="15">
        <f t="shared" si="14"/>
        <v>18</v>
      </c>
      <c r="C459" s="249" t="s">
        <v>198</v>
      </c>
      <c r="D459" s="254">
        <v>1</v>
      </c>
      <c r="E459" s="250">
        <v>11935</v>
      </c>
      <c r="F459" s="254" t="s">
        <v>515</v>
      </c>
      <c r="G459" s="233">
        <v>40320</v>
      </c>
      <c r="H459" s="228" t="s">
        <v>368</v>
      </c>
      <c r="I459" s="300">
        <v>42145</v>
      </c>
      <c r="J459" s="301">
        <v>1826</v>
      </c>
      <c r="K459" s="301">
        <v>1410</v>
      </c>
      <c r="L459" s="301">
        <v>416</v>
      </c>
      <c r="M459" s="301">
        <v>597</v>
      </c>
      <c r="N459" s="301">
        <v>9148</v>
      </c>
      <c r="O459" s="292">
        <v>0</v>
      </c>
      <c r="P459" s="301">
        <v>1719</v>
      </c>
      <c r="Q459" s="301">
        <v>51</v>
      </c>
      <c r="R459" s="292">
        <v>1122</v>
      </c>
      <c r="S459" s="251">
        <v>0</v>
      </c>
      <c r="T459" s="250">
        <v>0</v>
      </c>
      <c r="U459" s="250">
        <v>1719</v>
      </c>
      <c r="V459" s="250">
        <v>0</v>
      </c>
    </row>
    <row r="460" spans="2:22">
      <c r="B460" s="15">
        <f t="shared" si="14"/>
        <v>19</v>
      </c>
      <c r="C460" s="249" t="s">
        <v>532</v>
      </c>
      <c r="D460" s="254"/>
      <c r="E460" s="250">
        <v>29557</v>
      </c>
      <c r="F460" s="254" t="s">
        <v>473</v>
      </c>
      <c r="G460" s="233">
        <v>40396</v>
      </c>
      <c r="H460" s="228" t="s">
        <v>368</v>
      </c>
      <c r="I460" s="300">
        <v>42221</v>
      </c>
      <c r="J460" s="301">
        <v>1826</v>
      </c>
      <c r="K460" s="301">
        <v>1334</v>
      </c>
      <c r="L460" s="301">
        <v>492</v>
      </c>
      <c r="M460" s="301">
        <v>1478</v>
      </c>
      <c r="N460" s="301">
        <v>22952</v>
      </c>
      <c r="O460" s="292">
        <v>0</v>
      </c>
      <c r="P460" s="301">
        <v>7403</v>
      </c>
      <c r="Q460" s="301">
        <v>127</v>
      </c>
      <c r="R460" s="292">
        <v>5925</v>
      </c>
      <c r="S460" s="251">
        <v>0</v>
      </c>
      <c r="T460" s="250">
        <v>0</v>
      </c>
      <c r="U460" s="250">
        <v>7403</v>
      </c>
      <c r="V460" s="250">
        <v>0</v>
      </c>
    </row>
    <row r="461" spans="2:22">
      <c r="B461" s="15">
        <f t="shared" si="14"/>
        <v>20</v>
      </c>
      <c r="C461" s="249" t="s">
        <v>541</v>
      </c>
      <c r="D461" s="254">
        <v>2</v>
      </c>
      <c r="E461" s="250">
        <v>454260</v>
      </c>
      <c r="F461" s="275" t="s">
        <v>542</v>
      </c>
      <c r="G461" s="233">
        <v>40394</v>
      </c>
      <c r="H461" s="228" t="s">
        <v>368</v>
      </c>
      <c r="I461" s="300">
        <v>42219</v>
      </c>
      <c r="J461" s="301">
        <v>1826</v>
      </c>
      <c r="K461" s="301">
        <v>1336</v>
      </c>
      <c r="L461" s="301">
        <v>490</v>
      </c>
      <c r="M461" s="301">
        <v>22713</v>
      </c>
      <c r="N461" s="301">
        <v>352627</v>
      </c>
      <c r="O461" s="292">
        <v>0</v>
      </c>
      <c r="P461" s="301">
        <v>112669</v>
      </c>
      <c r="Q461" s="301">
        <v>125</v>
      </c>
      <c r="R461" s="292">
        <v>89956</v>
      </c>
      <c r="S461" s="251">
        <v>0</v>
      </c>
      <c r="T461" s="250">
        <v>0</v>
      </c>
      <c r="U461" s="250">
        <v>112669</v>
      </c>
      <c r="V461" s="250">
        <v>0</v>
      </c>
    </row>
    <row r="462" spans="2:22">
      <c r="B462" s="15">
        <f t="shared" si="14"/>
        <v>21</v>
      </c>
      <c r="C462" s="249" t="s">
        <v>541</v>
      </c>
      <c r="D462" s="254">
        <v>2</v>
      </c>
      <c r="E462" s="250">
        <v>454260</v>
      </c>
      <c r="F462" s="275" t="s">
        <v>543</v>
      </c>
      <c r="G462" s="233">
        <v>40394</v>
      </c>
      <c r="H462" s="228" t="s">
        <v>368</v>
      </c>
      <c r="I462" s="300">
        <v>42219</v>
      </c>
      <c r="J462" s="301">
        <v>1826</v>
      </c>
      <c r="K462" s="301">
        <v>1336</v>
      </c>
      <c r="L462" s="301">
        <v>490</v>
      </c>
      <c r="M462" s="301">
        <v>22713</v>
      </c>
      <c r="N462" s="301">
        <v>352627</v>
      </c>
      <c r="O462" s="292">
        <v>0</v>
      </c>
      <c r="P462" s="301">
        <v>112669</v>
      </c>
      <c r="Q462" s="301">
        <v>125</v>
      </c>
      <c r="R462" s="292">
        <v>89956</v>
      </c>
      <c r="S462" s="251">
        <v>0</v>
      </c>
      <c r="T462" s="250">
        <v>0</v>
      </c>
      <c r="U462" s="250">
        <v>112669</v>
      </c>
      <c r="V462" s="250">
        <v>0</v>
      </c>
    </row>
    <row r="463" spans="2:22" ht="27">
      <c r="B463" s="15">
        <f t="shared" si="14"/>
        <v>22</v>
      </c>
      <c r="C463" s="249" t="s">
        <v>881</v>
      </c>
      <c r="D463" s="254">
        <v>48</v>
      </c>
      <c r="E463" s="250">
        <v>48000</v>
      </c>
      <c r="F463" s="275" t="s">
        <v>656</v>
      </c>
      <c r="G463" s="233">
        <v>40344</v>
      </c>
      <c r="H463" s="228" t="s">
        <v>368</v>
      </c>
      <c r="I463" s="300">
        <v>42169</v>
      </c>
      <c r="J463" s="301">
        <v>1826</v>
      </c>
      <c r="K463" s="301">
        <v>1386</v>
      </c>
      <c r="L463" s="301">
        <v>440</v>
      </c>
      <c r="M463" s="301">
        <v>2400</v>
      </c>
      <c r="N463" s="301">
        <v>35343</v>
      </c>
      <c r="O463" s="292">
        <v>0</v>
      </c>
      <c r="P463" s="301">
        <v>8424</v>
      </c>
      <c r="Q463" s="301">
        <v>75</v>
      </c>
      <c r="R463" s="292">
        <v>6024</v>
      </c>
      <c r="S463" s="251">
        <v>0</v>
      </c>
      <c r="T463" s="250">
        <v>0</v>
      </c>
      <c r="U463" s="250">
        <v>8424</v>
      </c>
      <c r="V463" s="250">
        <v>0</v>
      </c>
    </row>
    <row r="464" spans="2:22" ht="40.5">
      <c r="B464" s="15">
        <f t="shared" si="14"/>
        <v>23</v>
      </c>
      <c r="C464" s="249" t="s">
        <v>822</v>
      </c>
      <c r="D464" s="254">
        <v>1</v>
      </c>
      <c r="E464" s="250">
        <v>15751</v>
      </c>
      <c r="F464" s="254" t="s">
        <v>823</v>
      </c>
      <c r="G464" s="233">
        <v>40351</v>
      </c>
      <c r="H464" s="228" t="s">
        <v>368</v>
      </c>
      <c r="I464" s="300">
        <v>42176</v>
      </c>
      <c r="J464" s="301">
        <v>1826</v>
      </c>
      <c r="K464" s="301">
        <v>1379</v>
      </c>
      <c r="L464" s="301">
        <v>447</v>
      </c>
      <c r="M464" s="301">
        <v>788</v>
      </c>
      <c r="N464" s="301">
        <v>11598</v>
      </c>
      <c r="O464" s="292">
        <v>0</v>
      </c>
      <c r="P464" s="301">
        <v>2916</v>
      </c>
      <c r="Q464" s="301">
        <v>82</v>
      </c>
      <c r="R464" s="292">
        <v>2128</v>
      </c>
      <c r="S464" s="251">
        <v>0</v>
      </c>
      <c r="T464" s="250">
        <v>0</v>
      </c>
      <c r="U464" s="250">
        <v>2916</v>
      </c>
      <c r="V464" s="250">
        <v>0</v>
      </c>
    </row>
    <row r="465" spans="2:22" ht="27">
      <c r="B465" s="15">
        <f t="shared" si="14"/>
        <v>24</v>
      </c>
      <c r="C465" s="249" t="s">
        <v>6</v>
      </c>
      <c r="D465" s="254">
        <v>4</v>
      </c>
      <c r="E465" s="250">
        <f>454260+454260</f>
        <v>908520</v>
      </c>
      <c r="F465" s="275" t="s">
        <v>7</v>
      </c>
      <c r="G465" s="233">
        <v>40440</v>
      </c>
      <c r="H465" s="228" t="s">
        <v>79</v>
      </c>
      <c r="I465" s="300">
        <v>42265</v>
      </c>
      <c r="J465" s="301">
        <v>1826</v>
      </c>
      <c r="K465" s="301">
        <v>1290</v>
      </c>
      <c r="L465" s="301">
        <v>536</v>
      </c>
      <c r="M465" s="301">
        <v>45426</v>
      </c>
      <c r="N465" s="301">
        <v>668955</v>
      </c>
      <c r="O465" s="292">
        <v>0</v>
      </c>
      <c r="P465" s="301">
        <v>258843</v>
      </c>
      <c r="Q465" s="301">
        <v>171</v>
      </c>
      <c r="R465" s="292">
        <v>213417</v>
      </c>
      <c r="S465" s="251">
        <v>0</v>
      </c>
      <c r="T465" s="250">
        <v>0</v>
      </c>
      <c r="U465" s="250">
        <v>258843</v>
      </c>
      <c r="V465" s="250">
        <v>0</v>
      </c>
    </row>
    <row r="466" spans="2:22" ht="27">
      <c r="B466" s="15">
        <f t="shared" si="14"/>
        <v>25</v>
      </c>
      <c r="C466" s="249" t="s">
        <v>373</v>
      </c>
      <c r="D466" s="254">
        <v>2</v>
      </c>
      <c r="E466" s="250">
        <v>277980</v>
      </c>
      <c r="F466" s="254" t="s">
        <v>374</v>
      </c>
      <c r="G466" s="233">
        <v>40472</v>
      </c>
      <c r="H466" s="228" t="s">
        <v>368</v>
      </c>
      <c r="I466" s="300">
        <v>42297</v>
      </c>
      <c r="J466" s="301">
        <v>1826</v>
      </c>
      <c r="K466" s="301">
        <v>1258</v>
      </c>
      <c r="L466" s="301">
        <v>568</v>
      </c>
      <c r="M466" s="301">
        <v>13899</v>
      </c>
      <c r="N466" s="301">
        <v>218608</v>
      </c>
      <c r="O466" s="292">
        <v>0</v>
      </c>
      <c r="P466" s="301">
        <v>92028</v>
      </c>
      <c r="Q466" s="301">
        <v>203</v>
      </c>
      <c r="R466" s="292">
        <v>78129</v>
      </c>
      <c r="S466" s="251">
        <v>0</v>
      </c>
      <c r="T466" s="250">
        <v>0</v>
      </c>
      <c r="U466" s="250">
        <v>92028</v>
      </c>
      <c r="V466" s="250">
        <v>0</v>
      </c>
    </row>
    <row r="467" spans="2:22" ht="27">
      <c r="B467" s="15">
        <f t="shared" si="14"/>
        <v>26</v>
      </c>
      <c r="C467" s="249" t="s">
        <v>6</v>
      </c>
      <c r="D467" s="254">
        <v>2</v>
      </c>
      <c r="E467" s="250">
        <v>454260</v>
      </c>
      <c r="F467" s="254" t="s">
        <v>375</v>
      </c>
      <c r="G467" s="233">
        <v>40476</v>
      </c>
      <c r="H467" s="228" t="s">
        <v>368</v>
      </c>
      <c r="I467" s="300">
        <v>42301</v>
      </c>
      <c r="J467" s="301">
        <v>1826</v>
      </c>
      <c r="K467" s="301">
        <v>1254</v>
      </c>
      <c r="L467" s="301">
        <v>572</v>
      </c>
      <c r="M467" s="301">
        <v>22713</v>
      </c>
      <c r="N467" s="301">
        <v>357475</v>
      </c>
      <c r="O467" s="292">
        <v>0</v>
      </c>
      <c r="P467" s="301">
        <v>152079</v>
      </c>
      <c r="Q467" s="301">
        <v>207</v>
      </c>
      <c r="R467" s="292">
        <v>129366</v>
      </c>
      <c r="S467" s="251">
        <v>0</v>
      </c>
      <c r="T467" s="250">
        <v>0</v>
      </c>
      <c r="U467" s="250">
        <v>152079</v>
      </c>
      <c r="V467" s="250">
        <v>0</v>
      </c>
    </row>
    <row r="468" spans="2:22">
      <c r="B468" s="15">
        <f t="shared" si="14"/>
        <v>27</v>
      </c>
      <c r="C468" s="249" t="s">
        <v>921</v>
      </c>
      <c r="D468" s="254" t="s">
        <v>887</v>
      </c>
      <c r="E468" s="250">
        <v>5200</v>
      </c>
      <c r="F468" s="254" t="s">
        <v>888</v>
      </c>
      <c r="G468" s="233">
        <v>40476</v>
      </c>
      <c r="H468" s="228" t="s">
        <v>368</v>
      </c>
      <c r="I468" s="300">
        <v>42301</v>
      </c>
      <c r="J468" s="301">
        <v>1826</v>
      </c>
      <c r="K468" s="301">
        <v>1254</v>
      </c>
      <c r="L468" s="301">
        <v>572</v>
      </c>
      <c r="M468" s="301">
        <v>260</v>
      </c>
      <c r="N468" s="301">
        <v>4093</v>
      </c>
      <c r="O468" s="292">
        <v>0</v>
      </c>
      <c r="P468" s="301">
        <v>1741</v>
      </c>
      <c r="Q468" s="301">
        <v>207</v>
      </c>
      <c r="R468" s="292">
        <v>1481</v>
      </c>
      <c r="S468" s="251">
        <v>0</v>
      </c>
      <c r="T468" s="250">
        <v>0</v>
      </c>
      <c r="U468" s="250">
        <v>1741</v>
      </c>
      <c r="V468" s="250">
        <v>0</v>
      </c>
    </row>
    <row r="469" spans="2:22" ht="27">
      <c r="B469" s="15">
        <f t="shared" si="14"/>
        <v>28</v>
      </c>
      <c r="C469" s="249" t="s">
        <v>922</v>
      </c>
      <c r="D469" s="254" t="s">
        <v>887</v>
      </c>
      <c r="E469" s="250">
        <v>32010</v>
      </c>
      <c r="F469" s="254" t="s">
        <v>889</v>
      </c>
      <c r="G469" s="233">
        <v>40476</v>
      </c>
      <c r="H469" s="228" t="s">
        <v>368</v>
      </c>
      <c r="I469" s="300">
        <v>42301</v>
      </c>
      <c r="J469" s="301">
        <v>1826</v>
      </c>
      <c r="K469" s="301">
        <v>1254</v>
      </c>
      <c r="L469" s="301">
        <v>572</v>
      </c>
      <c r="M469" s="301">
        <v>1601</v>
      </c>
      <c r="N469" s="301">
        <v>25191</v>
      </c>
      <c r="O469" s="292">
        <v>0</v>
      </c>
      <c r="P469" s="301">
        <v>10717</v>
      </c>
      <c r="Q469" s="301">
        <v>207</v>
      </c>
      <c r="R469" s="292">
        <v>9117</v>
      </c>
      <c r="S469" s="251">
        <v>0</v>
      </c>
      <c r="T469" s="250">
        <v>0</v>
      </c>
      <c r="U469" s="250">
        <v>10717</v>
      </c>
      <c r="V469" s="250">
        <v>0</v>
      </c>
    </row>
    <row r="470" spans="2:22" ht="27">
      <c r="B470" s="15">
        <f t="shared" si="14"/>
        <v>29</v>
      </c>
      <c r="C470" s="249" t="s">
        <v>929</v>
      </c>
      <c r="D470" s="254" t="s">
        <v>887</v>
      </c>
      <c r="E470" s="250">
        <v>8411</v>
      </c>
      <c r="F470" s="254" t="s">
        <v>890</v>
      </c>
      <c r="G470" s="233">
        <v>40476</v>
      </c>
      <c r="H470" s="228" t="s">
        <v>368</v>
      </c>
      <c r="I470" s="300">
        <v>42301</v>
      </c>
      <c r="J470" s="301">
        <v>1826</v>
      </c>
      <c r="K470" s="301">
        <v>1254</v>
      </c>
      <c r="L470" s="301">
        <v>572</v>
      </c>
      <c r="M470" s="301">
        <v>421</v>
      </c>
      <c r="N470" s="301">
        <v>6619</v>
      </c>
      <c r="O470" s="292">
        <v>0</v>
      </c>
      <c r="P470" s="301">
        <v>2816</v>
      </c>
      <c r="Q470" s="301">
        <v>207</v>
      </c>
      <c r="R470" s="292">
        <v>2395</v>
      </c>
      <c r="S470" s="251">
        <v>0</v>
      </c>
      <c r="T470" s="250">
        <v>0</v>
      </c>
      <c r="U470" s="250">
        <v>2816</v>
      </c>
      <c r="V470" s="250">
        <v>0</v>
      </c>
    </row>
    <row r="471" spans="2:22" ht="27">
      <c r="B471" s="15">
        <f t="shared" si="14"/>
        <v>30</v>
      </c>
      <c r="C471" s="249" t="s">
        <v>355</v>
      </c>
      <c r="D471" s="254" t="s">
        <v>887</v>
      </c>
      <c r="E471" s="250">
        <v>5850</v>
      </c>
      <c r="F471" s="254" t="s">
        <v>892</v>
      </c>
      <c r="G471" s="233">
        <v>40476</v>
      </c>
      <c r="H471" s="228" t="s">
        <v>368</v>
      </c>
      <c r="I471" s="300">
        <v>42301</v>
      </c>
      <c r="J471" s="301">
        <v>1826</v>
      </c>
      <c r="K471" s="301">
        <v>1254</v>
      </c>
      <c r="L471" s="301">
        <v>572</v>
      </c>
      <c r="M471" s="301">
        <v>293</v>
      </c>
      <c r="N471" s="301">
        <v>4602</v>
      </c>
      <c r="O471" s="292">
        <v>0</v>
      </c>
      <c r="P471" s="301">
        <v>1958</v>
      </c>
      <c r="Q471" s="301">
        <v>207</v>
      </c>
      <c r="R471" s="292">
        <v>1666</v>
      </c>
      <c r="S471" s="251">
        <v>0</v>
      </c>
      <c r="T471" s="250">
        <v>0</v>
      </c>
      <c r="U471" s="250">
        <v>1958</v>
      </c>
      <c r="V471" s="250">
        <v>0</v>
      </c>
    </row>
    <row r="472" spans="2:22">
      <c r="B472" s="15">
        <f t="shared" si="14"/>
        <v>31</v>
      </c>
      <c r="C472" s="249" t="s">
        <v>354</v>
      </c>
      <c r="D472" s="254">
        <v>1</v>
      </c>
      <c r="E472" s="250">
        <v>560</v>
      </c>
      <c r="F472" s="254" t="s">
        <v>891</v>
      </c>
      <c r="G472" s="233">
        <v>40476</v>
      </c>
      <c r="H472" s="228" t="s">
        <v>368</v>
      </c>
      <c r="I472" s="301">
        <v>0</v>
      </c>
      <c r="J472" s="301">
        <v>0</v>
      </c>
      <c r="K472" s="301">
        <v>0</v>
      </c>
      <c r="L472" s="301">
        <v>0</v>
      </c>
      <c r="M472" s="301">
        <v>0</v>
      </c>
      <c r="N472" s="301">
        <v>0</v>
      </c>
      <c r="O472" s="292">
        <v>0</v>
      </c>
      <c r="P472" s="301">
        <v>0</v>
      </c>
      <c r="Q472" s="301">
        <v>0</v>
      </c>
      <c r="R472" s="292">
        <v>-28</v>
      </c>
      <c r="S472" s="251">
        <v>0</v>
      </c>
      <c r="T472" s="250">
        <v>0</v>
      </c>
      <c r="U472" s="250">
        <v>0</v>
      </c>
      <c r="V472" s="250">
        <v>0</v>
      </c>
    </row>
    <row r="473" spans="2:22" ht="54">
      <c r="B473" s="15">
        <f t="shared" si="14"/>
        <v>32</v>
      </c>
      <c r="C473" s="249" t="s">
        <v>356</v>
      </c>
      <c r="D473" s="254" t="s">
        <v>887</v>
      </c>
      <c r="E473" s="250">
        <v>17117</v>
      </c>
      <c r="F473" s="254" t="s">
        <v>190</v>
      </c>
      <c r="G473" s="233">
        <v>40476</v>
      </c>
      <c r="H473" s="228" t="s">
        <v>191</v>
      </c>
      <c r="I473" s="300">
        <v>42301</v>
      </c>
      <c r="J473" s="301">
        <v>1826</v>
      </c>
      <c r="K473" s="301">
        <v>1254</v>
      </c>
      <c r="L473" s="301">
        <v>572</v>
      </c>
      <c r="M473" s="301">
        <v>856</v>
      </c>
      <c r="N473" s="301">
        <v>13472</v>
      </c>
      <c r="O473" s="292">
        <v>0</v>
      </c>
      <c r="P473" s="301">
        <v>5731</v>
      </c>
      <c r="Q473" s="301">
        <v>207</v>
      </c>
      <c r="R473" s="292">
        <v>4875</v>
      </c>
      <c r="S473" s="251">
        <v>0</v>
      </c>
      <c r="T473" s="250">
        <v>0</v>
      </c>
      <c r="U473" s="250">
        <v>5731</v>
      </c>
      <c r="V473" s="250">
        <v>0</v>
      </c>
    </row>
    <row r="474" spans="2:22" ht="27">
      <c r="B474" s="15">
        <f t="shared" si="14"/>
        <v>33</v>
      </c>
      <c r="C474" s="249" t="s">
        <v>808</v>
      </c>
      <c r="D474" s="254" t="s">
        <v>1104</v>
      </c>
      <c r="E474" s="250">
        <v>200000</v>
      </c>
      <c r="F474" s="254" t="s">
        <v>1105</v>
      </c>
      <c r="G474" s="233">
        <v>40476</v>
      </c>
      <c r="H474" s="228" t="s">
        <v>368</v>
      </c>
      <c r="I474" s="300">
        <v>42301</v>
      </c>
      <c r="J474" s="301">
        <v>1826</v>
      </c>
      <c r="K474" s="301">
        <v>1254</v>
      </c>
      <c r="L474" s="301">
        <v>572</v>
      </c>
      <c r="M474" s="301">
        <v>10000</v>
      </c>
      <c r="N474" s="301">
        <v>157388</v>
      </c>
      <c r="O474" s="292">
        <v>0</v>
      </c>
      <c r="P474" s="301">
        <v>66957</v>
      </c>
      <c r="Q474" s="301">
        <v>207</v>
      </c>
      <c r="R474" s="292">
        <v>56957</v>
      </c>
      <c r="S474" s="251">
        <v>0</v>
      </c>
      <c r="T474" s="250">
        <v>0</v>
      </c>
      <c r="U474" s="250">
        <v>66957</v>
      </c>
      <c r="V474" s="250">
        <v>0</v>
      </c>
    </row>
    <row r="475" spans="2:22" ht="27">
      <c r="B475" s="15">
        <f t="shared" si="14"/>
        <v>34</v>
      </c>
      <c r="C475" s="249" t="s">
        <v>1140</v>
      </c>
      <c r="D475" s="254">
        <v>2</v>
      </c>
      <c r="E475" s="250">
        <v>596759</v>
      </c>
      <c r="F475" s="254" t="s">
        <v>1141</v>
      </c>
      <c r="G475" s="233">
        <v>40689</v>
      </c>
      <c r="H475" s="228" t="s">
        <v>368</v>
      </c>
      <c r="I475" s="300">
        <v>42515</v>
      </c>
      <c r="J475" s="301">
        <v>1827</v>
      </c>
      <c r="K475" s="301">
        <v>1041</v>
      </c>
      <c r="L475" s="301">
        <v>786</v>
      </c>
      <c r="M475" s="301">
        <v>29838</v>
      </c>
      <c r="N475" s="301">
        <v>486143</v>
      </c>
      <c r="O475" s="292">
        <v>0</v>
      </c>
      <c r="P475" s="301">
        <v>290228</v>
      </c>
      <c r="Q475" s="301">
        <v>421</v>
      </c>
      <c r="R475" s="292">
        <v>260390</v>
      </c>
      <c r="S475" s="251">
        <v>0</v>
      </c>
      <c r="T475" s="250">
        <v>0</v>
      </c>
      <c r="U475" s="250">
        <v>290228</v>
      </c>
      <c r="V475" s="250">
        <v>0</v>
      </c>
    </row>
    <row r="476" spans="2:22" ht="27">
      <c r="B476" s="15">
        <f t="shared" si="14"/>
        <v>35</v>
      </c>
      <c r="C476" s="249" t="s">
        <v>1140</v>
      </c>
      <c r="D476" s="254">
        <v>2</v>
      </c>
      <c r="E476" s="250">
        <v>596759</v>
      </c>
      <c r="F476" s="275" t="s">
        <v>1142</v>
      </c>
      <c r="G476" s="233">
        <v>40689</v>
      </c>
      <c r="H476" s="228" t="s">
        <v>368</v>
      </c>
      <c r="I476" s="300">
        <v>42515</v>
      </c>
      <c r="J476" s="301">
        <v>1827</v>
      </c>
      <c r="K476" s="301">
        <v>1041</v>
      </c>
      <c r="L476" s="301">
        <v>786</v>
      </c>
      <c r="M476" s="301">
        <v>29838</v>
      </c>
      <c r="N476" s="301">
        <v>486143</v>
      </c>
      <c r="O476" s="292">
        <v>0</v>
      </c>
      <c r="P476" s="301">
        <v>290228</v>
      </c>
      <c r="Q476" s="301">
        <v>421</v>
      </c>
      <c r="R476" s="292">
        <v>260390</v>
      </c>
      <c r="S476" s="251">
        <v>0</v>
      </c>
      <c r="T476" s="250">
        <v>0</v>
      </c>
      <c r="U476" s="250">
        <v>290228</v>
      </c>
      <c r="V476" s="250">
        <v>0</v>
      </c>
    </row>
    <row r="477" spans="2:22" ht="67.5">
      <c r="B477" s="15">
        <f t="shared" si="14"/>
        <v>36</v>
      </c>
      <c r="C477" s="249" t="s">
        <v>1562</v>
      </c>
      <c r="D477" s="254">
        <v>2</v>
      </c>
      <c r="E477" s="250">
        <f>(1098549/4*2)+3000+3000</f>
        <v>555274.5</v>
      </c>
      <c r="F477" s="200" t="s">
        <v>1565</v>
      </c>
      <c r="G477" s="233">
        <v>40785</v>
      </c>
      <c r="H477" s="228" t="s">
        <v>368</v>
      </c>
      <c r="I477" s="300">
        <v>42611</v>
      </c>
      <c r="J477" s="301">
        <v>1827</v>
      </c>
      <c r="K477" s="301">
        <v>945</v>
      </c>
      <c r="L477" s="301">
        <v>882</v>
      </c>
      <c r="M477" s="301">
        <v>27764</v>
      </c>
      <c r="N477" s="301">
        <v>459264.5</v>
      </c>
      <c r="O477" s="292">
        <v>0</v>
      </c>
      <c r="P477" s="301">
        <v>296970.5</v>
      </c>
      <c r="Q477" s="301">
        <v>517</v>
      </c>
      <c r="R477" s="292">
        <v>269207</v>
      </c>
      <c r="S477" s="251">
        <v>0</v>
      </c>
      <c r="T477" s="250">
        <v>0</v>
      </c>
      <c r="U477" s="250">
        <v>296970.5</v>
      </c>
      <c r="V477" s="250">
        <v>0</v>
      </c>
    </row>
    <row r="478" spans="2:22" ht="67.5">
      <c r="B478" s="15">
        <f t="shared" si="14"/>
        <v>37</v>
      </c>
      <c r="C478" s="249" t="s">
        <v>1562</v>
      </c>
      <c r="D478" s="254">
        <v>1</v>
      </c>
      <c r="E478" s="250">
        <f>(1098549/4*1)+3000</f>
        <v>277637.25</v>
      </c>
      <c r="F478" s="200" t="s">
        <v>1565</v>
      </c>
      <c r="G478" s="233">
        <v>40780</v>
      </c>
      <c r="H478" s="228" t="s">
        <v>368</v>
      </c>
      <c r="I478" s="300">
        <v>42606</v>
      </c>
      <c r="J478" s="301">
        <v>1827</v>
      </c>
      <c r="K478" s="301">
        <v>950</v>
      </c>
      <c r="L478" s="301">
        <v>877</v>
      </c>
      <c r="M478" s="301">
        <v>13882</v>
      </c>
      <c r="N478" s="301">
        <v>229452.25</v>
      </c>
      <c r="O478" s="292">
        <v>0</v>
      </c>
      <c r="P478" s="301">
        <v>147838.25</v>
      </c>
      <c r="Q478" s="301">
        <v>512</v>
      </c>
      <c r="R478" s="292">
        <v>133956</v>
      </c>
      <c r="S478" s="251">
        <v>0</v>
      </c>
      <c r="T478" s="250">
        <v>0</v>
      </c>
      <c r="U478" s="250">
        <v>147838.25</v>
      </c>
      <c r="V478" s="250">
        <v>0</v>
      </c>
    </row>
    <row r="479" spans="2:22" ht="67.5">
      <c r="B479" s="15">
        <f t="shared" si="14"/>
        <v>38</v>
      </c>
      <c r="C479" s="249" t="s">
        <v>1563</v>
      </c>
      <c r="D479" s="254">
        <v>1</v>
      </c>
      <c r="E479" s="250">
        <f>(1098549/4*1)+3000</f>
        <v>277637.25</v>
      </c>
      <c r="F479" s="200" t="s">
        <v>1565</v>
      </c>
      <c r="G479" s="233">
        <v>40871</v>
      </c>
      <c r="H479" s="228" t="s">
        <v>368</v>
      </c>
      <c r="I479" s="300">
        <v>42697</v>
      </c>
      <c r="J479" s="301">
        <v>1827</v>
      </c>
      <c r="K479" s="301">
        <v>859</v>
      </c>
      <c r="L479" s="301">
        <v>968</v>
      </c>
      <c r="M479" s="301">
        <v>13882</v>
      </c>
      <c r="N479" s="301">
        <v>232731.25</v>
      </c>
      <c r="O479" s="292">
        <v>0</v>
      </c>
      <c r="P479" s="301">
        <v>158858.25</v>
      </c>
      <c r="Q479" s="301">
        <v>603</v>
      </c>
      <c r="R479" s="292">
        <v>144976</v>
      </c>
      <c r="S479" s="251">
        <v>0</v>
      </c>
      <c r="T479" s="250">
        <v>0</v>
      </c>
      <c r="U479" s="250">
        <v>158858.25</v>
      </c>
      <c r="V479" s="250">
        <v>0</v>
      </c>
    </row>
    <row r="480" spans="2:22" ht="54">
      <c r="B480" s="15">
        <f t="shared" si="14"/>
        <v>39</v>
      </c>
      <c r="C480" s="249" t="s">
        <v>1564</v>
      </c>
      <c r="D480" s="254">
        <f>2-1</f>
        <v>1</v>
      </c>
      <c r="E480" s="250">
        <f>(549275/2*1)+3000</f>
        <v>277637.5</v>
      </c>
      <c r="F480" s="254" t="s">
        <v>1566</v>
      </c>
      <c r="G480" s="233">
        <v>40634</v>
      </c>
      <c r="H480" s="228" t="s">
        <v>368</v>
      </c>
      <c r="I480" s="300">
        <v>42460</v>
      </c>
      <c r="J480" s="301">
        <v>1827</v>
      </c>
      <c r="K480" s="301">
        <v>1096</v>
      </c>
      <c r="L480" s="301">
        <v>731</v>
      </c>
      <c r="M480" s="301">
        <v>13882</v>
      </c>
      <c r="N480" s="301">
        <v>224191.5</v>
      </c>
      <c r="O480" s="292">
        <v>0</v>
      </c>
      <c r="P480" s="301">
        <v>126131.5</v>
      </c>
      <c r="Q480" s="301">
        <v>366</v>
      </c>
      <c r="R480" s="292">
        <v>112250</v>
      </c>
      <c r="S480" s="251">
        <v>0</v>
      </c>
      <c r="T480" s="250">
        <v>0</v>
      </c>
      <c r="U480" s="250">
        <v>126131.5</v>
      </c>
      <c r="V480" s="250">
        <v>0</v>
      </c>
    </row>
    <row r="481" spans="2:22" ht="54">
      <c r="B481" s="15">
        <f t="shared" si="14"/>
        <v>40</v>
      </c>
      <c r="C481" s="249" t="s">
        <v>1564</v>
      </c>
      <c r="D481" s="254">
        <f>2-1</f>
        <v>1</v>
      </c>
      <c r="E481" s="250">
        <f>3000+274637</f>
        <v>277637</v>
      </c>
      <c r="F481" s="254" t="s">
        <v>1566</v>
      </c>
      <c r="G481" s="233">
        <v>40918</v>
      </c>
      <c r="H481" s="228" t="s">
        <v>368</v>
      </c>
      <c r="I481" s="300">
        <v>42744</v>
      </c>
      <c r="J481" s="301">
        <v>1827</v>
      </c>
      <c r="K481" s="301">
        <v>812</v>
      </c>
      <c r="L481" s="301">
        <v>1015</v>
      </c>
      <c r="M481" s="301">
        <v>13882</v>
      </c>
      <c r="N481" s="301">
        <v>234424</v>
      </c>
      <c r="O481" s="292">
        <v>0</v>
      </c>
      <c r="P481" s="301">
        <v>164006</v>
      </c>
      <c r="Q481" s="301">
        <v>650</v>
      </c>
      <c r="R481" s="292">
        <v>150124</v>
      </c>
      <c r="S481" s="251">
        <v>0</v>
      </c>
      <c r="T481" s="250">
        <v>0</v>
      </c>
      <c r="U481" s="250">
        <v>164006</v>
      </c>
      <c r="V481" s="250">
        <v>0</v>
      </c>
    </row>
    <row r="482" spans="2:22">
      <c r="B482" s="15"/>
      <c r="C482" s="249"/>
      <c r="D482" s="249"/>
      <c r="E482" s="250"/>
      <c r="F482" s="200"/>
      <c r="G482" s="233"/>
      <c r="H482" s="249"/>
      <c r="I482" s="300"/>
      <c r="J482" s="301"/>
      <c r="K482" s="301"/>
      <c r="L482" s="301"/>
      <c r="M482" s="301"/>
      <c r="N482" s="301"/>
      <c r="O482" s="292"/>
      <c r="P482" s="301"/>
      <c r="Q482" s="301"/>
      <c r="R482" s="292"/>
      <c r="S482" s="251"/>
      <c r="T482" s="250"/>
      <c r="U482" s="250"/>
      <c r="V482" s="250"/>
    </row>
    <row r="483" spans="2:22">
      <c r="B483" s="15"/>
      <c r="C483" s="249"/>
      <c r="D483" s="249"/>
      <c r="E483" s="250"/>
      <c r="F483" s="200"/>
      <c r="G483" s="233"/>
      <c r="H483" s="249"/>
      <c r="I483" s="300"/>
      <c r="J483" s="301"/>
      <c r="K483" s="301"/>
      <c r="L483" s="301"/>
      <c r="M483" s="301"/>
      <c r="N483" s="301"/>
      <c r="O483" s="292"/>
      <c r="P483" s="301"/>
      <c r="Q483" s="301"/>
      <c r="R483" s="292"/>
      <c r="S483" s="251"/>
      <c r="T483" s="250"/>
      <c r="U483" s="250"/>
      <c r="V483" s="250"/>
    </row>
    <row r="484" spans="2:22" ht="14.25">
      <c r="B484" s="107" t="s">
        <v>279</v>
      </c>
      <c r="C484" s="228"/>
      <c r="D484" s="230"/>
      <c r="E484" s="250"/>
      <c r="F484" s="254"/>
      <c r="G484" s="230"/>
      <c r="H484" s="228"/>
      <c r="I484" s="301"/>
      <c r="J484" s="301"/>
      <c r="K484" s="301"/>
      <c r="L484" s="301"/>
      <c r="M484" s="301"/>
      <c r="N484" s="301"/>
      <c r="O484" s="292"/>
      <c r="P484" s="301"/>
      <c r="Q484" s="301"/>
      <c r="R484" s="292"/>
      <c r="S484" s="272"/>
      <c r="T484" s="250"/>
      <c r="U484" s="250"/>
      <c r="V484" s="250"/>
    </row>
    <row r="485" spans="2:22" ht="40.5">
      <c r="B485" s="15">
        <v>1</v>
      </c>
      <c r="C485" s="249" t="s">
        <v>292</v>
      </c>
      <c r="D485" s="254">
        <v>1</v>
      </c>
      <c r="E485" s="250">
        <v>185120</v>
      </c>
      <c r="F485" s="200">
        <v>243</v>
      </c>
      <c r="G485" s="233">
        <v>40234</v>
      </c>
      <c r="H485" s="228" t="s">
        <v>368</v>
      </c>
      <c r="I485" s="300">
        <v>42059</v>
      </c>
      <c r="J485" s="301">
        <v>1826</v>
      </c>
      <c r="K485" s="301">
        <v>1496</v>
      </c>
      <c r="L485" s="301">
        <v>330</v>
      </c>
      <c r="M485" s="301">
        <v>9256</v>
      </c>
      <c r="N485" s="301">
        <v>139851</v>
      </c>
      <c r="O485" s="292">
        <v>0</v>
      </c>
      <c r="P485" s="301">
        <v>0</v>
      </c>
      <c r="Q485" s="301">
        <v>0</v>
      </c>
      <c r="R485" s="292">
        <v>-9256</v>
      </c>
      <c r="S485" s="251">
        <v>0</v>
      </c>
      <c r="T485" s="250">
        <v>0</v>
      </c>
      <c r="U485" s="250">
        <v>0</v>
      </c>
      <c r="V485" s="250">
        <v>0</v>
      </c>
    </row>
    <row r="486" spans="2:22" ht="40.5">
      <c r="B486" s="15">
        <f t="shared" ref="B486:B505" si="15">+B485+1</f>
        <v>2</v>
      </c>
      <c r="C486" s="249" t="s">
        <v>293</v>
      </c>
      <c r="D486" s="254">
        <v>1</v>
      </c>
      <c r="E486" s="250">
        <v>46767</v>
      </c>
      <c r="F486" s="200">
        <v>244</v>
      </c>
      <c r="G486" s="233">
        <v>40234</v>
      </c>
      <c r="H486" s="228" t="s">
        <v>368</v>
      </c>
      <c r="I486" s="300">
        <v>42059</v>
      </c>
      <c r="J486" s="301">
        <v>1826</v>
      </c>
      <c r="K486" s="301">
        <v>1496</v>
      </c>
      <c r="L486" s="301">
        <v>330</v>
      </c>
      <c r="M486" s="301">
        <v>2338</v>
      </c>
      <c r="N486" s="301">
        <v>35332</v>
      </c>
      <c r="O486" s="292">
        <v>0</v>
      </c>
      <c r="P486" s="301">
        <v>0</v>
      </c>
      <c r="Q486" s="301">
        <v>0</v>
      </c>
      <c r="R486" s="292">
        <v>-2338</v>
      </c>
      <c r="S486" s="251">
        <v>0</v>
      </c>
      <c r="T486" s="250">
        <v>0</v>
      </c>
      <c r="U486" s="250">
        <v>0</v>
      </c>
      <c r="V486" s="250">
        <v>0</v>
      </c>
    </row>
    <row r="487" spans="2:22" ht="54">
      <c r="B487" s="15">
        <f t="shared" si="15"/>
        <v>3</v>
      </c>
      <c r="C487" s="249" t="s">
        <v>388</v>
      </c>
      <c r="D487" s="254" t="s">
        <v>943</v>
      </c>
      <c r="E487" s="250">
        <f>439608+66180</f>
        <v>505788</v>
      </c>
      <c r="F487" s="200" t="s">
        <v>504</v>
      </c>
      <c r="G487" s="233">
        <v>40338</v>
      </c>
      <c r="H487" s="228" t="s">
        <v>368</v>
      </c>
      <c r="I487" s="300">
        <v>42163</v>
      </c>
      <c r="J487" s="301">
        <v>1826</v>
      </c>
      <c r="K487" s="301">
        <v>1392</v>
      </c>
      <c r="L487" s="301">
        <v>434</v>
      </c>
      <c r="M487" s="301">
        <v>25289</v>
      </c>
      <c r="N487" s="301">
        <v>388941</v>
      </c>
      <c r="O487" s="292">
        <v>0</v>
      </c>
      <c r="P487" s="301">
        <v>87125</v>
      </c>
      <c r="Q487" s="301">
        <v>69</v>
      </c>
      <c r="R487" s="292">
        <v>61836</v>
      </c>
      <c r="S487" s="251">
        <v>0</v>
      </c>
      <c r="T487" s="250">
        <v>0</v>
      </c>
      <c r="U487" s="250">
        <v>87125</v>
      </c>
      <c r="V487" s="250">
        <v>0</v>
      </c>
    </row>
    <row r="488" spans="2:22">
      <c r="B488" s="15">
        <f t="shared" si="15"/>
        <v>4</v>
      </c>
      <c r="C488" s="249" t="s">
        <v>844</v>
      </c>
      <c r="D488" s="254"/>
      <c r="E488" s="250">
        <v>88737</v>
      </c>
      <c r="F488" s="200" t="s">
        <v>845</v>
      </c>
      <c r="G488" s="233">
        <v>40568</v>
      </c>
      <c r="H488" s="228" t="s">
        <v>368</v>
      </c>
      <c r="I488" s="300">
        <v>42393</v>
      </c>
      <c r="J488" s="301">
        <v>1826</v>
      </c>
      <c r="K488" s="301">
        <v>1162</v>
      </c>
      <c r="L488" s="301">
        <v>664</v>
      </c>
      <c r="M488" s="301">
        <v>4437</v>
      </c>
      <c r="N488" s="301">
        <v>70892</v>
      </c>
      <c r="O488" s="292">
        <v>0</v>
      </c>
      <c r="P488" s="301">
        <v>36360</v>
      </c>
      <c r="Q488" s="301">
        <v>299</v>
      </c>
      <c r="R488" s="292">
        <v>31923</v>
      </c>
      <c r="S488" s="251">
        <v>0</v>
      </c>
      <c r="T488" s="250">
        <v>0</v>
      </c>
      <c r="U488" s="250">
        <v>36360</v>
      </c>
      <c r="V488" s="250">
        <v>0</v>
      </c>
    </row>
    <row r="489" spans="2:22">
      <c r="B489" s="15">
        <f t="shared" si="15"/>
        <v>5</v>
      </c>
      <c r="C489" s="249" t="s">
        <v>844</v>
      </c>
      <c r="D489" s="254"/>
      <c r="E489" s="250">
        <v>262080</v>
      </c>
      <c r="F489" s="200" t="s">
        <v>846</v>
      </c>
      <c r="G489" s="233">
        <v>40568</v>
      </c>
      <c r="H489" s="228" t="s">
        <v>368</v>
      </c>
      <c r="I489" s="300">
        <v>42393</v>
      </c>
      <c r="J489" s="301">
        <v>1826</v>
      </c>
      <c r="K489" s="301">
        <v>1162</v>
      </c>
      <c r="L489" s="301">
        <v>664</v>
      </c>
      <c r="M489" s="301">
        <v>13104</v>
      </c>
      <c r="N489" s="301">
        <v>209379</v>
      </c>
      <c r="O489" s="292">
        <v>0</v>
      </c>
      <c r="P489" s="301">
        <v>107388</v>
      </c>
      <c r="Q489" s="301">
        <v>299</v>
      </c>
      <c r="R489" s="292">
        <v>94284</v>
      </c>
      <c r="S489" s="251">
        <v>0</v>
      </c>
      <c r="T489" s="250">
        <v>0</v>
      </c>
      <c r="U489" s="250">
        <v>107388</v>
      </c>
      <c r="V489" s="250">
        <v>0</v>
      </c>
    </row>
    <row r="490" spans="2:22" ht="27">
      <c r="B490" s="15">
        <f t="shared" si="15"/>
        <v>6</v>
      </c>
      <c r="C490" s="249" t="s">
        <v>1286</v>
      </c>
      <c r="D490" s="254">
        <v>1</v>
      </c>
      <c r="E490" s="250">
        <f>186888/3</f>
        <v>62296</v>
      </c>
      <c r="F490" s="200" t="s">
        <v>1287</v>
      </c>
      <c r="G490" s="233">
        <v>40777</v>
      </c>
      <c r="H490" s="228" t="s">
        <v>282</v>
      </c>
      <c r="I490" s="300">
        <v>42603</v>
      </c>
      <c r="J490" s="301">
        <v>1827</v>
      </c>
      <c r="K490" s="301">
        <v>953</v>
      </c>
      <c r="L490" s="301">
        <v>874</v>
      </c>
      <c r="M490" s="301">
        <v>3115</v>
      </c>
      <c r="N490" s="301">
        <v>51460</v>
      </c>
      <c r="O490" s="292">
        <v>0</v>
      </c>
      <c r="P490" s="301">
        <v>33084</v>
      </c>
      <c r="Q490" s="301">
        <v>509</v>
      </c>
      <c r="R490" s="292">
        <v>29969</v>
      </c>
      <c r="S490" s="251">
        <v>0</v>
      </c>
      <c r="T490" s="250">
        <v>0</v>
      </c>
      <c r="U490" s="250">
        <v>33084</v>
      </c>
      <c r="V490" s="250">
        <v>0</v>
      </c>
    </row>
    <row r="491" spans="2:22" ht="27">
      <c r="B491" s="15">
        <f t="shared" si="15"/>
        <v>7</v>
      </c>
      <c r="C491" s="249" t="s">
        <v>1667</v>
      </c>
      <c r="D491" s="254" t="s">
        <v>943</v>
      </c>
      <c r="E491" s="250">
        <f>57356+351960</f>
        <v>409316</v>
      </c>
      <c r="F491" s="200" t="s">
        <v>1668</v>
      </c>
      <c r="G491" s="233">
        <v>40915</v>
      </c>
      <c r="H491" s="228" t="s">
        <v>368</v>
      </c>
      <c r="I491" s="300">
        <v>42741</v>
      </c>
      <c r="J491" s="301">
        <v>1827</v>
      </c>
      <c r="K491" s="301">
        <v>815</v>
      </c>
      <c r="L491" s="301">
        <v>1012</v>
      </c>
      <c r="M491" s="301">
        <v>20466</v>
      </c>
      <c r="N491" s="301">
        <v>345449</v>
      </c>
      <c r="O491" s="292">
        <v>0</v>
      </c>
      <c r="P491" s="301">
        <v>241321</v>
      </c>
      <c r="Q491" s="301">
        <v>647</v>
      </c>
      <c r="R491" s="292">
        <v>220855</v>
      </c>
      <c r="S491" s="251">
        <v>0</v>
      </c>
      <c r="T491" s="250">
        <v>0</v>
      </c>
      <c r="U491" s="250">
        <v>241321</v>
      </c>
      <c r="V491" s="250">
        <v>0</v>
      </c>
    </row>
    <row r="492" spans="2:22">
      <c r="B492" s="15">
        <f t="shared" si="15"/>
        <v>8</v>
      </c>
      <c r="C492" s="249" t="s">
        <v>1997</v>
      </c>
      <c r="D492" s="254">
        <v>1</v>
      </c>
      <c r="E492" s="250">
        <v>5653</v>
      </c>
      <c r="F492" s="200" t="s">
        <v>42</v>
      </c>
      <c r="G492" s="233">
        <v>41183</v>
      </c>
      <c r="H492" s="228" t="s">
        <v>368</v>
      </c>
      <c r="I492" s="300">
        <v>43008</v>
      </c>
      <c r="J492" s="301">
        <v>1826</v>
      </c>
      <c r="K492" s="301">
        <v>547</v>
      </c>
      <c r="L492" s="301">
        <v>1279</v>
      </c>
      <c r="M492" s="301">
        <v>283</v>
      </c>
      <c r="N492" s="301">
        <v>4967</v>
      </c>
      <c r="O492" s="292">
        <v>0</v>
      </c>
      <c r="P492" s="301">
        <v>3833</v>
      </c>
      <c r="Q492" s="301">
        <v>914</v>
      </c>
      <c r="R492" s="292">
        <v>3550</v>
      </c>
      <c r="S492" s="251">
        <v>0</v>
      </c>
      <c r="T492" s="250">
        <v>0</v>
      </c>
      <c r="U492" s="250">
        <v>3833</v>
      </c>
      <c r="V492" s="250">
        <v>0</v>
      </c>
    </row>
    <row r="493" spans="2:22">
      <c r="B493" s="15">
        <f t="shared" si="15"/>
        <v>9</v>
      </c>
      <c r="C493" s="249" t="s">
        <v>2044</v>
      </c>
      <c r="D493" s="254">
        <v>4</v>
      </c>
      <c r="E493" s="250">
        <f>5250*4</f>
        <v>21000</v>
      </c>
      <c r="F493" s="200" t="s">
        <v>2047</v>
      </c>
      <c r="G493" s="233">
        <v>41362</v>
      </c>
      <c r="H493" s="228" t="s">
        <v>368</v>
      </c>
      <c r="I493" s="300">
        <v>43187</v>
      </c>
      <c r="J493" s="301">
        <v>1826</v>
      </c>
      <c r="K493" s="301">
        <v>368</v>
      </c>
      <c r="L493" s="301">
        <v>1458</v>
      </c>
      <c r="M493" s="301">
        <v>1050</v>
      </c>
      <c r="N493" s="301">
        <v>18944</v>
      </c>
      <c r="O493" s="292">
        <v>0</v>
      </c>
      <c r="P493" s="301">
        <v>15252</v>
      </c>
      <c r="Q493" s="301">
        <v>1093</v>
      </c>
      <c r="R493" s="292">
        <v>14202</v>
      </c>
      <c r="S493" s="251">
        <v>0</v>
      </c>
      <c r="T493" s="250">
        <v>0</v>
      </c>
      <c r="U493" s="250">
        <v>15252</v>
      </c>
      <c r="V493" s="250">
        <v>0</v>
      </c>
    </row>
    <row r="494" spans="2:22">
      <c r="B494" s="15">
        <f t="shared" si="15"/>
        <v>10</v>
      </c>
      <c r="C494" s="249" t="s">
        <v>2045</v>
      </c>
      <c r="D494" s="254">
        <v>1</v>
      </c>
      <c r="E494" s="250">
        <v>5200</v>
      </c>
      <c r="F494" s="200" t="s">
        <v>2047</v>
      </c>
      <c r="G494" s="233">
        <v>41362</v>
      </c>
      <c r="H494" s="228" t="s">
        <v>368</v>
      </c>
      <c r="I494" s="300">
        <v>43187</v>
      </c>
      <c r="J494" s="301">
        <v>1826</v>
      </c>
      <c r="K494" s="301">
        <v>368</v>
      </c>
      <c r="L494" s="301">
        <v>1458</v>
      </c>
      <c r="M494" s="301">
        <v>260</v>
      </c>
      <c r="N494" s="301">
        <v>4691</v>
      </c>
      <c r="O494" s="292">
        <v>0</v>
      </c>
      <c r="P494" s="301">
        <v>3777</v>
      </c>
      <c r="Q494" s="301">
        <v>1093</v>
      </c>
      <c r="R494" s="292">
        <v>3517</v>
      </c>
      <c r="S494" s="251">
        <v>0</v>
      </c>
      <c r="T494" s="250">
        <v>0</v>
      </c>
      <c r="U494" s="250">
        <v>3777</v>
      </c>
      <c r="V494" s="250">
        <v>0</v>
      </c>
    </row>
    <row r="495" spans="2:22">
      <c r="B495" s="15">
        <f t="shared" si="15"/>
        <v>11</v>
      </c>
      <c r="C495" s="249" t="s">
        <v>2046</v>
      </c>
      <c r="D495" s="254">
        <v>1</v>
      </c>
      <c r="E495" s="250">
        <v>3250</v>
      </c>
      <c r="F495" s="200" t="s">
        <v>2047</v>
      </c>
      <c r="G495" s="233">
        <v>41362</v>
      </c>
      <c r="H495" s="228" t="s">
        <v>368</v>
      </c>
      <c r="I495" s="300">
        <v>43187</v>
      </c>
      <c r="J495" s="301">
        <v>1826</v>
      </c>
      <c r="K495" s="301">
        <v>368</v>
      </c>
      <c r="L495" s="301">
        <v>1458</v>
      </c>
      <c r="M495" s="301">
        <v>163</v>
      </c>
      <c r="N495" s="301">
        <v>2932</v>
      </c>
      <c r="O495" s="292">
        <v>0</v>
      </c>
      <c r="P495" s="301">
        <v>2361</v>
      </c>
      <c r="Q495" s="301">
        <v>1093</v>
      </c>
      <c r="R495" s="292">
        <v>2199</v>
      </c>
      <c r="S495" s="251">
        <v>0</v>
      </c>
      <c r="T495" s="250">
        <v>0</v>
      </c>
      <c r="U495" s="250">
        <v>2361</v>
      </c>
      <c r="V495" s="250">
        <v>0</v>
      </c>
    </row>
    <row r="496" spans="2:22">
      <c r="B496" s="15">
        <f t="shared" si="15"/>
        <v>12</v>
      </c>
      <c r="C496" s="249" t="s">
        <v>2048</v>
      </c>
      <c r="D496" s="254">
        <v>2</v>
      </c>
      <c r="E496" s="250">
        <f>10500*2</f>
        <v>21000</v>
      </c>
      <c r="F496" s="200" t="s">
        <v>2049</v>
      </c>
      <c r="G496" s="233">
        <v>41362</v>
      </c>
      <c r="H496" s="228" t="s">
        <v>368</v>
      </c>
      <c r="I496" s="300">
        <v>43187</v>
      </c>
      <c r="J496" s="301">
        <v>1826</v>
      </c>
      <c r="K496" s="301">
        <v>368</v>
      </c>
      <c r="L496" s="301">
        <v>1458</v>
      </c>
      <c r="M496" s="301">
        <v>1050</v>
      </c>
      <c r="N496" s="301">
        <v>18944</v>
      </c>
      <c r="O496" s="292">
        <v>0</v>
      </c>
      <c r="P496" s="301">
        <v>15252</v>
      </c>
      <c r="Q496" s="301">
        <v>1093</v>
      </c>
      <c r="R496" s="292">
        <v>14202</v>
      </c>
      <c r="S496" s="251">
        <v>0</v>
      </c>
      <c r="T496" s="250">
        <v>0</v>
      </c>
      <c r="U496" s="250">
        <v>15252</v>
      </c>
      <c r="V496" s="250">
        <v>0</v>
      </c>
    </row>
    <row r="497" spans="2:22" ht="27">
      <c r="B497" s="15">
        <f t="shared" si="15"/>
        <v>13</v>
      </c>
      <c r="C497" s="249" t="s">
        <v>2142</v>
      </c>
      <c r="D497" s="254" t="s">
        <v>314</v>
      </c>
      <c r="E497" s="250">
        <v>18000</v>
      </c>
      <c r="F497" s="200" t="s">
        <v>2143</v>
      </c>
      <c r="G497" s="233">
        <v>41402</v>
      </c>
      <c r="H497" s="228" t="s">
        <v>368</v>
      </c>
      <c r="I497" s="300">
        <v>43227</v>
      </c>
      <c r="J497" s="301">
        <v>1826</v>
      </c>
      <c r="K497" s="301">
        <v>328</v>
      </c>
      <c r="L497" s="301">
        <v>1498</v>
      </c>
      <c r="M497" s="301">
        <v>900</v>
      </c>
      <c r="N497" s="301">
        <v>16332</v>
      </c>
      <c r="O497" s="292">
        <v>0</v>
      </c>
      <c r="P497" s="301">
        <v>13253</v>
      </c>
      <c r="Q497" s="301">
        <v>1133</v>
      </c>
      <c r="R497" s="292">
        <v>12353</v>
      </c>
      <c r="S497" s="251">
        <v>0</v>
      </c>
      <c r="T497" s="250">
        <v>0</v>
      </c>
      <c r="U497" s="250">
        <v>13253</v>
      </c>
      <c r="V497" s="250">
        <v>0</v>
      </c>
    </row>
    <row r="498" spans="2:22">
      <c r="B498" s="15">
        <f t="shared" si="15"/>
        <v>14</v>
      </c>
      <c r="C498" s="249" t="s">
        <v>2201</v>
      </c>
      <c r="D498" s="254">
        <v>2</v>
      </c>
      <c r="E498" s="250">
        <f>4700*2</f>
        <v>9400</v>
      </c>
      <c r="F498" s="200" t="s">
        <v>2202</v>
      </c>
      <c r="G498" s="233">
        <v>41454</v>
      </c>
      <c r="H498" s="228" t="s">
        <v>368</v>
      </c>
      <c r="I498" s="300">
        <v>0</v>
      </c>
      <c r="J498" s="301">
        <v>0</v>
      </c>
      <c r="K498" s="301">
        <v>0</v>
      </c>
      <c r="L498" s="301">
        <v>0</v>
      </c>
      <c r="M498" s="301">
        <v>0</v>
      </c>
      <c r="N498" s="301">
        <v>0</v>
      </c>
      <c r="O498" s="292">
        <v>0</v>
      </c>
      <c r="P498" s="301">
        <v>0</v>
      </c>
      <c r="Q498" s="301">
        <v>0</v>
      </c>
      <c r="R498" s="292">
        <v>-470</v>
      </c>
      <c r="S498" s="251">
        <v>0</v>
      </c>
      <c r="T498" s="250">
        <v>0</v>
      </c>
      <c r="U498" s="250">
        <v>0</v>
      </c>
      <c r="V498" s="250">
        <v>0</v>
      </c>
    </row>
    <row r="499" spans="2:22" ht="40.5">
      <c r="B499" s="15">
        <f t="shared" si="15"/>
        <v>15</v>
      </c>
      <c r="C499" s="249" t="s">
        <v>2841</v>
      </c>
      <c r="D499" s="254">
        <v>1</v>
      </c>
      <c r="E499" s="250">
        <v>151519</v>
      </c>
      <c r="F499" s="200" t="s">
        <v>2834</v>
      </c>
      <c r="G499" s="233">
        <v>42095</v>
      </c>
      <c r="H499" s="228" t="s">
        <v>368</v>
      </c>
      <c r="I499" s="300">
        <v>43921</v>
      </c>
      <c r="J499" s="301">
        <v>1827</v>
      </c>
      <c r="K499" s="301">
        <v>0</v>
      </c>
      <c r="L499" s="301">
        <v>1827</v>
      </c>
      <c r="M499" s="301">
        <v>7576</v>
      </c>
      <c r="N499" s="301">
        <v>143943</v>
      </c>
      <c r="O499" s="292">
        <v>0</v>
      </c>
      <c r="P499" s="301">
        <v>151519</v>
      </c>
      <c r="Q499" s="301">
        <v>1827</v>
      </c>
      <c r="R499" s="292">
        <v>143943</v>
      </c>
      <c r="S499" s="251">
        <v>0</v>
      </c>
      <c r="T499" s="250">
        <v>0</v>
      </c>
      <c r="U499" s="250">
        <v>151519</v>
      </c>
      <c r="V499" s="250">
        <v>0</v>
      </c>
    </row>
    <row r="500" spans="2:22" ht="40.5">
      <c r="B500" s="15">
        <f t="shared" si="15"/>
        <v>16</v>
      </c>
      <c r="C500" s="249" t="s">
        <v>2835</v>
      </c>
      <c r="D500" s="254">
        <f>80-30</f>
        <v>50</v>
      </c>
      <c r="E500" s="250">
        <v>1491660.125</v>
      </c>
      <c r="F500" s="200" t="s">
        <v>2834</v>
      </c>
      <c r="G500" s="233">
        <v>42095</v>
      </c>
      <c r="H500" s="228" t="s">
        <v>368</v>
      </c>
      <c r="I500" s="300">
        <v>43921</v>
      </c>
      <c r="J500" s="301">
        <v>1827</v>
      </c>
      <c r="K500" s="301">
        <v>0</v>
      </c>
      <c r="L500" s="301">
        <v>1827</v>
      </c>
      <c r="M500" s="301">
        <v>74583</v>
      </c>
      <c r="N500" s="301">
        <v>1417077.125</v>
      </c>
      <c r="O500" s="292">
        <v>0</v>
      </c>
      <c r="P500" s="301">
        <v>1491660.125</v>
      </c>
      <c r="Q500" s="301">
        <v>1827</v>
      </c>
      <c r="R500" s="292">
        <v>1417077</v>
      </c>
      <c r="S500" s="251">
        <v>0</v>
      </c>
      <c r="T500" s="250">
        <v>0</v>
      </c>
      <c r="U500" s="250">
        <v>1491660</v>
      </c>
      <c r="V500" s="250">
        <v>0.125</v>
      </c>
    </row>
    <row r="501" spans="2:22" ht="27">
      <c r="B501" s="15">
        <f t="shared" si="15"/>
        <v>17</v>
      </c>
      <c r="C501" s="249" t="s">
        <v>2836</v>
      </c>
      <c r="D501" s="254">
        <f>80-30</f>
        <v>50</v>
      </c>
      <c r="E501" s="250">
        <v>11890</v>
      </c>
      <c r="F501" s="200" t="s">
        <v>2834</v>
      </c>
      <c r="G501" s="233">
        <v>42095</v>
      </c>
      <c r="H501" s="228" t="s">
        <v>368</v>
      </c>
      <c r="I501" s="300">
        <v>43921</v>
      </c>
      <c r="J501" s="301">
        <v>1827</v>
      </c>
      <c r="K501" s="301">
        <v>0</v>
      </c>
      <c r="L501" s="301">
        <v>1827</v>
      </c>
      <c r="M501" s="301">
        <v>595</v>
      </c>
      <c r="N501" s="301">
        <v>11295</v>
      </c>
      <c r="O501" s="292">
        <v>0</v>
      </c>
      <c r="P501" s="301">
        <v>11890</v>
      </c>
      <c r="Q501" s="301">
        <v>1827</v>
      </c>
      <c r="R501" s="292">
        <v>11296</v>
      </c>
      <c r="S501" s="251">
        <v>0</v>
      </c>
      <c r="T501" s="250">
        <v>0</v>
      </c>
      <c r="U501" s="250">
        <v>11890</v>
      </c>
      <c r="V501" s="250">
        <v>0</v>
      </c>
    </row>
    <row r="502" spans="2:22" ht="27">
      <c r="B502" s="15">
        <f t="shared" si="15"/>
        <v>18</v>
      </c>
      <c r="C502" s="249" t="s">
        <v>2837</v>
      </c>
      <c r="D502" s="254">
        <v>20</v>
      </c>
      <c r="E502" s="250">
        <v>147004</v>
      </c>
      <c r="F502" s="200" t="s">
        <v>2834</v>
      </c>
      <c r="G502" s="233">
        <v>42095</v>
      </c>
      <c r="H502" s="228" t="s">
        <v>368</v>
      </c>
      <c r="I502" s="300">
        <v>43921</v>
      </c>
      <c r="J502" s="301">
        <v>1827</v>
      </c>
      <c r="K502" s="301">
        <v>0</v>
      </c>
      <c r="L502" s="301">
        <v>1827</v>
      </c>
      <c r="M502" s="301">
        <v>7350</v>
      </c>
      <c r="N502" s="301">
        <v>139654</v>
      </c>
      <c r="O502" s="292">
        <v>0</v>
      </c>
      <c r="P502" s="301">
        <v>147004</v>
      </c>
      <c r="Q502" s="301">
        <v>1827</v>
      </c>
      <c r="R502" s="292">
        <v>139654</v>
      </c>
      <c r="S502" s="251">
        <v>0</v>
      </c>
      <c r="T502" s="250">
        <v>0</v>
      </c>
      <c r="U502" s="250">
        <v>147004</v>
      </c>
      <c r="V502" s="250">
        <v>0</v>
      </c>
    </row>
    <row r="503" spans="2:22" ht="27">
      <c r="B503" s="15">
        <f t="shared" si="15"/>
        <v>19</v>
      </c>
      <c r="C503" s="249" t="s">
        <v>2838</v>
      </c>
      <c r="D503" s="254">
        <v>3</v>
      </c>
      <c r="E503" s="250">
        <v>115441</v>
      </c>
      <c r="F503" s="200" t="s">
        <v>2834</v>
      </c>
      <c r="G503" s="233">
        <v>42095</v>
      </c>
      <c r="H503" s="228" t="s">
        <v>368</v>
      </c>
      <c r="I503" s="300">
        <v>43921</v>
      </c>
      <c r="J503" s="301">
        <v>1827</v>
      </c>
      <c r="K503" s="301">
        <v>0</v>
      </c>
      <c r="L503" s="301">
        <v>1827</v>
      </c>
      <c r="M503" s="301">
        <v>5772</v>
      </c>
      <c r="N503" s="301">
        <v>109669</v>
      </c>
      <c r="O503" s="292">
        <v>0</v>
      </c>
      <c r="P503" s="301">
        <v>115441</v>
      </c>
      <c r="Q503" s="301">
        <v>1827</v>
      </c>
      <c r="R503" s="292">
        <v>109669</v>
      </c>
      <c r="S503" s="251">
        <v>0</v>
      </c>
      <c r="T503" s="250">
        <v>0</v>
      </c>
      <c r="U503" s="250">
        <v>115441</v>
      </c>
      <c r="V503" s="250">
        <v>0</v>
      </c>
    </row>
    <row r="504" spans="2:22" ht="27">
      <c r="B504" s="15">
        <f t="shared" si="15"/>
        <v>20</v>
      </c>
      <c r="C504" s="249" t="s">
        <v>2839</v>
      </c>
      <c r="D504" s="254">
        <f>40-3</f>
        <v>37</v>
      </c>
      <c r="E504" s="250">
        <v>239961.92499999999</v>
      </c>
      <c r="F504" s="200" t="s">
        <v>2834</v>
      </c>
      <c r="G504" s="233">
        <v>42095</v>
      </c>
      <c r="H504" s="228" t="s">
        <v>368</v>
      </c>
      <c r="I504" s="300">
        <v>43921</v>
      </c>
      <c r="J504" s="301">
        <v>1827</v>
      </c>
      <c r="K504" s="301">
        <v>0</v>
      </c>
      <c r="L504" s="301">
        <v>1827</v>
      </c>
      <c r="M504" s="301">
        <v>11998</v>
      </c>
      <c r="N504" s="301">
        <v>227963.92499999999</v>
      </c>
      <c r="O504" s="292">
        <v>0</v>
      </c>
      <c r="P504" s="301">
        <v>239961.92499999999</v>
      </c>
      <c r="Q504" s="301">
        <v>1827</v>
      </c>
      <c r="R504" s="292">
        <v>227964</v>
      </c>
      <c r="S504" s="251">
        <v>0</v>
      </c>
      <c r="T504" s="250">
        <v>0</v>
      </c>
      <c r="U504" s="250">
        <v>239962</v>
      </c>
      <c r="V504" s="250">
        <v>-7.5000000011641532E-2</v>
      </c>
    </row>
    <row r="505" spans="2:22" ht="81">
      <c r="B505" s="15">
        <f t="shared" si="15"/>
        <v>21</v>
      </c>
      <c r="C505" s="249" t="s">
        <v>2840</v>
      </c>
      <c r="D505" s="254">
        <v>1</v>
      </c>
      <c r="E505" s="250">
        <v>64854</v>
      </c>
      <c r="F505" s="200" t="s">
        <v>2834</v>
      </c>
      <c r="G505" s="233">
        <v>42095</v>
      </c>
      <c r="H505" s="228" t="s">
        <v>368</v>
      </c>
      <c r="I505" s="300">
        <v>43921</v>
      </c>
      <c r="J505" s="301">
        <v>1827</v>
      </c>
      <c r="K505" s="301">
        <v>0</v>
      </c>
      <c r="L505" s="301">
        <v>1827</v>
      </c>
      <c r="M505" s="301">
        <v>3243</v>
      </c>
      <c r="N505" s="301">
        <v>61611</v>
      </c>
      <c r="O505" s="292">
        <v>0</v>
      </c>
      <c r="P505" s="301">
        <v>64854</v>
      </c>
      <c r="Q505" s="301">
        <v>1827</v>
      </c>
      <c r="R505" s="292">
        <v>61611</v>
      </c>
      <c r="S505" s="251">
        <v>0</v>
      </c>
      <c r="T505" s="250">
        <v>0</v>
      </c>
      <c r="U505" s="250">
        <v>64854</v>
      </c>
      <c r="V505" s="250">
        <v>0</v>
      </c>
    </row>
    <row r="506" spans="2:22">
      <c r="B506" s="15"/>
      <c r="C506" s="249"/>
      <c r="D506" s="254"/>
      <c r="E506" s="250"/>
      <c r="F506" s="200"/>
      <c r="G506" s="233"/>
      <c r="H506" s="228"/>
      <c r="I506" s="301"/>
      <c r="J506" s="301"/>
      <c r="K506" s="301"/>
      <c r="L506" s="301"/>
      <c r="M506" s="301"/>
      <c r="N506" s="301"/>
      <c r="O506" s="292"/>
      <c r="P506" s="301">
        <v>0</v>
      </c>
      <c r="Q506" s="301"/>
      <c r="R506" s="292"/>
      <c r="S506" s="251"/>
      <c r="T506" s="250"/>
      <c r="U506" s="250"/>
      <c r="V506" s="250"/>
    </row>
    <row r="507" spans="2:22" ht="14.25">
      <c r="B507" s="107" t="s">
        <v>66</v>
      </c>
      <c r="C507" s="228"/>
      <c r="D507" s="230"/>
      <c r="E507" s="250"/>
      <c r="F507" s="254"/>
      <c r="G507" s="230"/>
      <c r="H507" s="228"/>
      <c r="I507" s="301"/>
      <c r="J507" s="301"/>
      <c r="K507" s="301"/>
      <c r="L507" s="301"/>
      <c r="M507" s="301"/>
      <c r="N507" s="301"/>
      <c r="O507" s="292"/>
      <c r="P507" s="301">
        <v>0</v>
      </c>
      <c r="Q507" s="301"/>
      <c r="R507" s="292"/>
      <c r="S507" s="272"/>
      <c r="T507" s="250"/>
      <c r="U507" s="250"/>
      <c r="V507" s="250"/>
    </row>
    <row r="508" spans="2:22" ht="40.5">
      <c r="B508" s="15">
        <v>1</v>
      </c>
      <c r="C508" s="249" t="s">
        <v>2272</v>
      </c>
      <c r="D508" s="254">
        <v>1</v>
      </c>
      <c r="E508" s="250">
        <f>(20800*1)</f>
        <v>20800</v>
      </c>
      <c r="F508" s="370" t="s">
        <v>710</v>
      </c>
      <c r="G508" s="233">
        <v>40630</v>
      </c>
      <c r="H508" s="228" t="s">
        <v>895</v>
      </c>
      <c r="I508" s="300">
        <v>42456</v>
      </c>
      <c r="J508" s="301">
        <v>1827</v>
      </c>
      <c r="K508" s="301">
        <v>1100</v>
      </c>
      <c r="L508" s="301">
        <v>727</v>
      </c>
      <c r="M508" s="301">
        <v>1040</v>
      </c>
      <c r="N508" s="301">
        <v>17232</v>
      </c>
      <c r="O508" s="292">
        <v>0</v>
      </c>
      <c r="P508" s="301">
        <v>9620</v>
      </c>
      <c r="Q508" s="301">
        <v>362</v>
      </c>
      <c r="R508" s="292">
        <v>8580</v>
      </c>
      <c r="S508" s="251">
        <v>0</v>
      </c>
      <c r="T508" s="250">
        <v>0</v>
      </c>
      <c r="U508" s="250">
        <v>9620</v>
      </c>
      <c r="V508" s="250">
        <v>0</v>
      </c>
    </row>
    <row r="509" spans="2:22" ht="40.5">
      <c r="B509" s="15">
        <f t="shared" ref="B509" si="16">+B508+1</f>
        <v>2</v>
      </c>
      <c r="C509" s="249" t="s">
        <v>709</v>
      </c>
      <c r="D509" s="254">
        <v>1</v>
      </c>
      <c r="E509" s="250">
        <v>22880</v>
      </c>
      <c r="F509" s="370" t="s">
        <v>711</v>
      </c>
      <c r="G509" s="233">
        <v>40630</v>
      </c>
      <c r="H509" s="228" t="s">
        <v>368</v>
      </c>
      <c r="I509" s="300">
        <v>42456</v>
      </c>
      <c r="J509" s="301">
        <v>1827</v>
      </c>
      <c r="K509" s="301">
        <v>1100</v>
      </c>
      <c r="L509" s="301">
        <v>727</v>
      </c>
      <c r="M509" s="301">
        <v>1144</v>
      </c>
      <c r="N509" s="301">
        <v>18464</v>
      </c>
      <c r="O509" s="292">
        <v>0</v>
      </c>
      <c r="P509" s="301">
        <v>10338</v>
      </c>
      <c r="Q509" s="301">
        <v>362</v>
      </c>
      <c r="R509" s="292">
        <v>9194</v>
      </c>
      <c r="S509" s="251">
        <v>0</v>
      </c>
      <c r="T509" s="250">
        <v>0</v>
      </c>
      <c r="U509" s="250">
        <v>10338</v>
      </c>
      <c r="V509" s="250">
        <v>0</v>
      </c>
    </row>
    <row r="510" spans="2:22" ht="67.5">
      <c r="B510" s="15">
        <f t="shared" ref="B510:B524" si="17">+B509+1</f>
        <v>3</v>
      </c>
      <c r="C510" s="249" t="s">
        <v>831</v>
      </c>
      <c r="D510" s="254">
        <v>1</v>
      </c>
      <c r="E510" s="292">
        <v>16300</v>
      </c>
      <c r="F510" s="370" t="s">
        <v>984</v>
      </c>
      <c r="G510" s="371">
        <v>40492</v>
      </c>
      <c r="H510" s="288" t="s">
        <v>602</v>
      </c>
      <c r="I510" s="300">
        <v>42317</v>
      </c>
      <c r="J510" s="301">
        <v>1826</v>
      </c>
      <c r="K510" s="301">
        <v>1238</v>
      </c>
      <c r="L510" s="301">
        <v>588</v>
      </c>
      <c r="M510" s="301">
        <v>815</v>
      </c>
      <c r="N510" s="301">
        <v>12861.103142076503</v>
      </c>
      <c r="O510" s="292">
        <v>0</v>
      </c>
      <c r="P510" s="301">
        <v>5692.103142076503</v>
      </c>
      <c r="Q510" s="301">
        <v>223</v>
      </c>
      <c r="R510" s="292">
        <v>4877</v>
      </c>
      <c r="S510" s="251">
        <v>0</v>
      </c>
      <c r="T510" s="250">
        <v>0</v>
      </c>
      <c r="U510" s="250">
        <v>5692</v>
      </c>
      <c r="V510" s="250">
        <v>0.10314207650299068</v>
      </c>
    </row>
    <row r="511" spans="2:22" ht="40.5">
      <c r="B511" s="15">
        <f t="shared" si="17"/>
        <v>4</v>
      </c>
      <c r="C511" s="249" t="s">
        <v>1143</v>
      </c>
      <c r="D511" s="254">
        <v>1</v>
      </c>
      <c r="E511" s="250">
        <v>22880</v>
      </c>
      <c r="F511" s="370" t="s">
        <v>1144</v>
      </c>
      <c r="G511" s="233">
        <v>40651</v>
      </c>
      <c r="H511" s="228" t="s">
        <v>368</v>
      </c>
      <c r="I511" s="300">
        <v>42477</v>
      </c>
      <c r="J511" s="301">
        <v>1827</v>
      </c>
      <c r="K511" s="301">
        <v>1079</v>
      </c>
      <c r="L511" s="301">
        <v>748</v>
      </c>
      <c r="M511" s="301">
        <v>1144</v>
      </c>
      <c r="N511" s="301">
        <v>18526</v>
      </c>
      <c r="O511" s="292">
        <v>0</v>
      </c>
      <c r="P511" s="301">
        <v>10630</v>
      </c>
      <c r="Q511" s="301">
        <v>383</v>
      </c>
      <c r="R511" s="292">
        <v>9486</v>
      </c>
      <c r="S511" s="251">
        <v>0</v>
      </c>
      <c r="T511" s="250">
        <v>0</v>
      </c>
      <c r="U511" s="250">
        <v>10630</v>
      </c>
      <c r="V511" s="250">
        <v>0</v>
      </c>
    </row>
    <row r="512" spans="2:22" ht="40.5">
      <c r="B512" s="15">
        <f t="shared" si="17"/>
        <v>5</v>
      </c>
      <c r="C512" s="249" t="s">
        <v>1143</v>
      </c>
      <c r="D512" s="254">
        <v>1</v>
      </c>
      <c r="E512" s="250">
        <v>251680</v>
      </c>
      <c r="F512" s="370" t="s">
        <v>1168</v>
      </c>
      <c r="G512" s="233">
        <v>40716</v>
      </c>
      <c r="H512" s="228" t="s">
        <v>368</v>
      </c>
      <c r="I512" s="300">
        <v>42542</v>
      </c>
      <c r="J512" s="301">
        <v>1827</v>
      </c>
      <c r="K512" s="301">
        <v>1014</v>
      </c>
      <c r="L512" s="301">
        <v>813</v>
      </c>
      <c r="M512" s="301">
        <v>12584</v>
      </c>
      <c r="N512" s="301">
        <v>205910</v>
      </c>
      <c r="O512" s="292">
        <v>0</v>
      </c>
      <c r="P512" s="301">
        <v>126050</v>
      </c>
      <c r="Q512" s="301">
        <v>448</v>
      </c>
      <c r="R512" s="292">
        <v>113466</v>
      </c>
      <c r="S512" s="251">
        <v>0</v>
      </c>
      <c r="T512" s="250">
        <v>0</v>
      </c>
      <c r="U512" s="250">
        <v>126050</v>
      </c>
      <c r="V512" s="250">
        <v>0</v>
      </c>
    </row>
    <row r="513" spans="2:22" ht="40.5">
      <c r="B513" s="15">
        <f t="shared" si="17"/>
        <v>6</v>
      </c>
      <c r="C513" s="249" t="s">
        <v>1201</v>
      </c>
      <c r="D513" s="254">
        <v>1</v>
      </c>
      <c r="E513" s="250">
        <v>90816</v>
      </c>
      <c r="F513" s="370" t="s">
        <v>1202</v>
      </c>
      <c r="G513" s="233">
        <v>40710</v>
      </c>
      <c r="H513" s="228" t="s">
        <v>282</v>
      </c>
      <c r="I513" s="300">
        <v>42536</v>
      </c>
      <c r="J513" s="301">
        <v>1827</v>
      </c>
      <c r="K513" s="301">
        <v>1020</v>
      </c>
      <c r="L513" s="301">
        <v>807</v>
      </c>
      <c r="M513" s="301">
        <v>4541</v>
      </c>
      <c r="N513" s="301">
        <v>74229</v>
      </c>
      <c r="O513" s="292">
        <v>0</v>
      </c>
      <c r="P513" s="301">
        <v>45197</v>
      </c>
      <c r="Q513" s="301">
        <v>442</v>
      </c>
      <c r="R513" s="292">
        <v>40656</v>
      </c>
      <c r="S513" s="251">
        <v>0</v>
      </c>
      <c r="T513" s="250">
        <v>0</v>
      </c>
      <c r="U513" s="250">
        <v>45197</v>
      </c>
      <c r="V513" s="250">
        <v>0</v>
      </c>
    </row>
    <row r="514" spans="2:22" ht="27">
      <c r="B514" s="15">
        <f t="shared" si="17"/>
        <v>7</v>
      </c>
      <c r="C514" s="249" t="s">
        <v>1288</v>
      </c>
      <c r="D514" s="254">
        <v>1</v>
      </c>
      <c r="E514" s="250">
        <v>11000</v>
      </c>
      <c r="F514" s="370" t="s">
        <v>1289</v>
      </c>
      <c r="G514" s="233">
        <v>40695</v>
      </c>
      <c r="H514" s="228" t="s">
        <v>368</v>
      </c>
      <c r="I514" s="300">
        <v>42521</v>
      </c>
      <c r="J514" s="301">
        <v>1827</v>
      </c>
      <c r="K514" s="301">
        <v>1035</v>
      </c>
      <c r="L514" s="301">
        <v>792</v>
      </c>
      <c r="M514" s="301">
        <v>550</v>
      </c>
      <c r="N514" s="301">
        <v>8969</v>
      </c>
      <c r="O514" s="292">
        <v>0</v>
      </c>
      <c r="P514" s="301">
        <v>5386</v>
      </c>
      <c r="Q514" s="301">
        <v>427</v>
      </c>
      <c r="R514" s="292">
        <v>4836</v>
      </c>
      <c r="S514" s="251">
        <v>0</v>
      </c>
      <c r="T514" s="250">
        <v>0</v>
      </c>
      <c r="U514" s="250">
        <v>5386</v>
      </c>
      <c r="V514" s="250">
        <v>0</v>
      </c>
    </row>
    <row r="515" spans="2:22" ht="27">
      <c r="B515" s="15">
        <f t="shared" si="17"/>
        <v>8</v>
      </c>
      <c r="C515" s="249" t="s">
        <v>1394</v>
      </c>
      <c r="D515" s="254">
        <v>3</v>
      </c>
      <c r="E515" s="250">
        <v>68640</v>
      </c>
      <c r="F515" s="370" t="s">
        <v>1395</v>
      </c>
      <c r="G515" s="233">
        <v>40790</v>
      </c>
      <c r="H515" s="228" t="s">
        <v>368</v>
      </c>
      <c r="I515" s="300">
        <v>42616</v>
      </c>
      <c r="J515" s="301">
        <v>1827</v>
      </c>
      <c r="K515" s="301">
        <v>940</v>
      </c>
      <c r="L515" s="301">
        <v>887</v>
      </c>
      <c r="M515" s="301">
        <v>3432</v>
      </c>
      <c r="N515" s="301">
        <v>56817</v>
      </c>
      <c r="O515" s="292">
        <v>0</v>
      </c>
      <c r="P515" s="301">
        <v>36869</v>
      </c>
      <c r="Q515" s="301">
        <v>522</v>
      </c>
      <c r="R515" s="292">
        <v>33437</v>
      </c>
      <c r="S515" s="251">
        <v>0</v>
      </c>
      <c r="T515" s="250">
        <v>0</v>
      </c>
      <c r="U515" s="250">
        <v>36869</v>
      </c>
      <c r="V515" s="250">
        <v>0</v>
      </c>
    </row>
    <row r="516" spans="2:22" ht="40.5">
      <c r="B516" s="15">
        <f t="shared" si="17"/>
        <v>9</v>
      </c>
      <c r="C516" s="249" t="s">
        <v>1201</v>
      </c>
      <c r="D516" s="254">
        <v>3</v>
      </c>
      <c r="E516" s="250">
        <v>69300</v>
      </c>
      <c r="F516" s="370" t="s">
        <v>1809</v>
      </c>
      <c r="G516" s="233">
        <v>41008</v>
      </c>
      <c r="H516" s="228" t="s">
        <v>368</v>
      </c>
      <c r="I516" s="300">
        <v>42833</v>
      </c>
      <c r="J516" s="301">
        <v>1826</v>
      </c>
      <c r="K516" s="301">
        <v>722</v>
      </c>
      <c r="L516" s="301">
        <v>1104</v>
      </c>
      <c r="M516" s="301">
        <v>3465</v>
      </c>
      <c r="N516" s="301">
        <v>59323</v>
      </c>
      <c r="O516" s="292">
        <v>0</v>
      </c>
      <c r="P516" s="301">
        <v>43175</v>
      </c>
      <c r="Q516" s="301">
        <v>739</v>
      </c>
      <c r="R516" s="292">
        <v>39710</v>
      </c>
      <c r="S516" s="251">
        <v>0</v>
      </c>
      <c r="T516" s="250">
        <v>0</v>
      </c>
      <c r="U516" s="250">
        <v>43175</v>
      </c>
      <c r="V516" s="250">
        <v>0</v>
      </c>
    </row>
    <row r="517" spans="2:22" ht="27">
      <c r="B517" s="15">
        <f t="shared" si="17"/>
        <v>10</v>
      </c>
      <c r="C517" s="249" t="s">
        <v>1908</v>
      </c>
      <c r="D517" s="254">
        <v>1</v>
      </c>
      <c r="E517" s="250">
        <v>3000</v>
      </c>
      <c r="F517" s="370" t="s">
        <v>1909</v>
      </c>
      <c r="G517" s="233">
        <v>41000</v>
      </c>
      <c r="H517" s="228" t="s">
        <v>368</v>
      </c>
      <c r="I517" s="300">
        <v>42825</v>
      </c>
      <c r="J517" s="301">
        <v>1826</v>
      </c>
      <c r="K517" s="301">
        <v>730</v>
      </c>
      <c r="L517" s="301">
        <v>1096</v>
      </c>
      <c r="M517" s="301">
        <v>150</v>
      </c>
      <c r="N517" s="301">
        <v>2564</v>
      </c>
      <c r="O517" s="292">
        <v>0</v>
      </c>
      <c r="P517" s="301">
        <v>1860</v>
      </c>
      <c r="Q517" s="301">
        <v>731</v>
      </c>
      <c r="R517" s="292">
        <v>1710</v>
      </c>
      <c r="S517" s="251">
        <v>0</v>
      </c>
      <c r="T517" s="250">
        <v>0</v>
      </c>
      <c r="U517" s="250">
        <v>1860</v>
      </c>
      <c r="V517" s="250">
        <v>0</v>
      </c>
    </row>
    <row r="518" spans="2:22" ht="40.5">
      <c r="B518" s="15">
        <f t="shared" si="17"/>
        <v>11</v>
      </c>
      <c r="C518" s="249" t="s">
        <v>2023</v>
      </c>
      <c r="D518" s="254">
        <v>1</v>
      </c>
      <c r="E518" s="250">
        <v>69300</v>
      </c>
      <c r="F518" s="370" t="s">
        <v>2024</v>
      </c>
      <c r="G518" s="233">
        <v>41326</v>
      </c>
      <c r="H518" s="228" t="s">
        <v>368</v>
      </c>
      <c r="I518" s="300">
        <v>43151</v>
      </c>
      <c r="J518" s="301">
        <v>1826</v>
      </c>
      <c r="K518" s="301">
        <v>404</v>
      </c>
      <c r="L518" s="301">
        <v>1422</v>
      </c>
      <c r="M518" s="301">
        <v>3465</v>
      </c>
      <c r="N518" s="301">
        <v>62191</v>
      </c>
      <c r="O518" s="292">
        <v>0</v>
      </c>
      <c r="P518" s="301">
        <v>49693</v>
      </c>
      <c r="Q518" s="301">
        <v>1057</v>
      </c>
      <c r="R518" s="292">
        <v>46228</v>
      </c>
      <c r="S518" s="251">
        <v>0</v>
      </c>
      <c r="T518" s="250">
        <v>0</v>
      </c>
      <c r="U518" s="250">
        <v>49693</v>
      </c>
      <c r="V518" s="250">
        <v>0</v>
      </c>
    </row>
    <row r="519" spans="2:22" ht="40.5">
      <c r="B519" s="15">
        <f t="shared" si="17"/>
        <v>12</v>
      </c>
      <c r="C519" s="249" t="s">
        <v>2196</v>
      </c>
      <c r="D519" s="254">
        <v>2</v>
      </c>
      <c r="E519" s="250">
        <v>84000</v>
      </c>
      <c r="F519" s="370" t="s">
        <v>2197</v>
      </c>
      <c r="G519" s="233">
        <v>41396</v>
      </c>
      <c r="H519" s="228" t="s">
        <v>368</v>
      </c>
      <c r="I519" s="300">
        <v>43221</v>
      </c>
      <c r="J519" s="301">
        <v>1826</v>
      </c>
      <c r="K519" s="301">
        <v>334</v>
      </c>
      <c r="L519" s="301">
        <v>1492</v>
      </c>
      <c r="M519" s="301">
        <v>4200</v>
      </c>
      <c r="N519" s="301">
        <v>76149</v>
      </c>
      <c r="O519" s="292">
        <v>0</v>
      </c>
      <c r="P519" s="301">
        <v>61720</v>
      </c>
      <c r="Q519" s="301">
        <v>1127</v>
      </c>
      <c r="R519" s="292">
        <v>57520</v>
      </c>
      <c r="S519" s="251">
        <v>0</v>
      </c>
      <c r="T519" s="250">
        <v>0</v>
      </c>
      <c r="U519" s="250">
        <v>61720</v>
      </c>
      <c r="V519" s="250">
        <v>0</v>
      </c>
    </row>
    <row r="520" spans="2:22" ht="27">
      <c r="B520" s="15">
        <f t="shared" si="17"/>
        <v>13</v>
      </c>
      <c r="C520" s="249" t="s">
        <v>2223</v>
      </c>
      <c r="D520" s="254">
        <v>1</v>
      </c>
      <c r="E520" s="250">
        <v>42000</v>
      </c>
      <c r="F520" s="370" t="s">
        <v>2224</v>
      </c>
      <c r="G520" s="233">
        <v>41471</v>
      </c>
      <c r="H520" s="228" t="s">
        <v>368</v>
      </c>
      <c r="I520" s="300">
        <v>43296</v>
      </c>
      <c r="J520" s="301">
        <v>1826</v>
      </c>
      <c r="K520" s="301">
        <v>259</v>
      </c>
      <c r="L520" s="301">
        <v>1567</v>
      </c>
      <c r="M520" s="301">
        <v>2100</v>
      </c>
      <c r="N520" s="301">
        <v>38484</v>
      </c>
      <c r="O520" s="292">
        <v>0</v>
      </c>
      <c r="P520" s="301">
        <v>31620</v>
      </c>
      <c r="Q520" s="301">
        <v>1202</v>
      </c>
      <c r="R520" s="292">
        <v>29520</v>
      </c>
      <c r="S520" s="251">
        <v>0</v>
      </c>
      <c r="T520" s="250">
        <v>0</v>
      </c>
      <c r="U520" s="250">
        <v>31620</v>
      </c>
      <c r="V520" s="250">
        <v>0</v>
      </c>
    </row>
    <row r="521" spans="2:22" ht="27">
      <c r="B521" s="15">
        <f t="shared" si="17"/>
        <v>14</v>
      </c>
      <c r="C521" s="249" t="s">
        <v>2236</v>
      </c>
      <c r="D521" s="254"/>
      <c r="E521" s="250">
        <v>3000</v>
      </c>
      <c r="F521" s="370" t="s">
        <v>2237</v>
      </c>
      <c r="G521" s="233">
        <v>41396</v>
      </c>
      <c r="H521" s="228" t="s">
        <v>368</v>
      </c>
      <c r="I521" s="300">
        <v>43221</v>
      </c>
      <c r="J521" s="301">
        <v>1826</v>
      </c>
      <c r="K521" s="301">
        <v>334</v>
      </c>
      <c r="L521" s="301">
        <v>1492</v>
      </c>
      <c r="M521" s="301">
        <v>150</v>
      </c>
      <c r="N521" s="301">
        <v>2720</v>
      </c>
      <c r="O521" s="292">
        <v>0</v>
      </c>
      <c r="P521" s="301">
        <v>2205</v>
      </c>
      <c r="Q521" s="301">
        <v>1127</v>
      </c>
      <c r="R521" s="292">
        <v>2055</v>
      </c>
      <c r="S521" s="251">
        <v>0</v>
      </c>
      <c r="T521" s="250">
        <v>0</v>
      </c>
      <c r="U521" s="250">
        <v>2205</v>
      </c>
      <c r="V521" s="250">
        <v>0</v>
      </c>
    </row>
    <row r="522" spans="2:22" ht="27">
      <c r="B522" s="15">
        <f t="shared" si="17"/>
        <v>15</v>
      </c>
      <c r="C522" s="249" t="s">
        <v>2270</v>
      </c>
      <c r="D522" s="254">
        <v>1</v>
      </c>
      <c r="E522" s="250">
        <f>22900</f>
        <v>22900</v>
      </c>
      <c r="F522" s="370" t="s">
        <v>2271</v>
      </c>
      <c r="G522" s="233">
        <v>41564</v>
      </c>
      <c r="H522" s="228" t="s">
        <v>895</v>
      </c>
      <c r="I522" s="300">
        <v>43389</v>
      </c>
      <c r="J522" s="301">
        <v>1826</v>
      </c>
      <c r="K522" s="301">
        <v>166</v>
      </c>
      <c r="L522" s="301">
        <v>1660</v>
      </c>
      <c r="M522" s="301">
        <v>1145</v>
      </c>
      <c r="N522" s="301">
        <v>21260</v>
      </c>
      <c r="O522" s="292">
        <v>0</v>
      </c>
      <c r="P522" s="301">
        <v>17730</v>
      </c>
      <c r="Q522" s="301">
        <v>1295</v>
      </c>
      <c r="R522" s="292">
        <v>16585</v>
      </c>
      <c r="S522" s="251">
        <v>0</v>
      </c>
      <c r="T522" s="250">
        <v>0</v>
      </c>
      <c r="U522" s="250">
        <v>17730</v>
      </c>
      <c r="V522" s="250">
        <v>0</v>
      </c>
    </row>
    <row r="523" spans="2:22" ht="40.5">
      <c r="B523" s="15">
        <f>+B522+1</f>
        <v>16</v>
      </c>
      <c r="C523" s="249" t="s">
        <v>2572</v>
      </c>
      <c r="D523" s="254">
        <v>2</v>
      </c>
      <c r="E523" s="250">
        <v>84000</v>
      </c>
      <c r="F523" s="276" t="s">
        <v>2571</v>
      </c>
      <c r="G523" s="233">
        <v>41964</v>
      </c>
      <c r="H523" s="228" t="s">
        <v>368</v>
      </c>
      <c r="I523" s="300">
        <v>43789</v>
      </c>
      <c r="J523" s="301">
        <v>1826</v>
      </c>
      <c r="K523" s="301">
        <v>0</v>
      </c>
      <c r="L523" s="301">
        <v>1826</v>
      </c>
      <c r="M523" s="301">
        <v>4200</v>
      </c>
      <c r="N523" s="301">
        <v>79800</v>
      </c>
      <c r="O523" s="292">
        <v>0</v>
      </c>
      <c r="P523" s="301">
        <v>78275</v>
      </c>
      <c r="Q523" s="301">
        <v>1695</v>
      </c>
      <c r="R523" s="292">
        <v>74075</v>
      </c>
      <c r="S523" s="251">
        <v>0</v>
      </c>
      <c r="T523" s="250">
        <v>0</v>
      </c>
      <c r="U523" s="250">
        <v>78275</v>
      </c>
      <c r="V523" s="250">
        <v>0</v>
      </c>
    </row>
    <row r="524" spans="2:22" ht="40.5">
      <c r="B524" s="15">
        <f t="shared" si="17"/>
        <v>17</v>
      </c>
      <c r="C524" s="249" t="s">
        <v>2687</v>
      </c>
      <c r="D524" s="254">
        <v>1</v>
      </c>
      <c r="E524" s="250">
        <f>31728+242</f>
        <v>31970</v>
      </c>
      <c r="F524" s="276" t="s">
        <v>2679</v>
      </c>
      <c r="G524" s="233">
        <v>42005</v>
      </c>
      <c r="H524" s="228" t="s">
        <v>368</v>
      </c>
      <c r="I524" s="300">
        <v>43830</v>
      </c>
      <c r="J524" s="301">
        <v>1826</v>
      </c>
      <c r="K524" s="301">
        <v>0</v>
      </c>
      <c r="L524" s="301">
        <v>1826</v>
      </c>
      <c r="M524" s="301">
        <v>1599</v>
      </c>
      <c r="N524" s="301">
        <v>30371</v>
      </c>
      <c r="O524" s="292">
        <v>0</v>
      </c>
      <c r="P524" s="301">
        <v>30473</v>
      </c>
      <c r="Q524" s="301">
        <v>1736</v>
      </c>
      <c r="R524" s="292">
        <v>28875</v>
      </c>
      <c r="S524" s="251">
        <v>0</v>
      </c>
      <c r="T524" s="250">
        <v>0</v>
      </c>
      <c r="U524" s="250">
        <v>30473</v>
      </c>
      <c r="V524" s="250">
        <v>0</v>
      </c>
    </row>
    <row r="525" spans="2:22" ht="40.5">
      <c r="B525" s="143">
        <v>18</v>
      </c>
      <c r="C525" s="388" t="s">
        <v>4308</v>
      </c>
      <c r="D525" s="388">
        <v>1</v>
      </c>
      <c r="E525" s="389">
        <f>23600</f>
        <v>23600</v>
      </c>
      <c r="F525" s="388" t="s">
        <v>4309</v>
      </c>
      <c r="G525" s="390">
        <v>43451</v>
      </c>
      <c r="H525" s="388" t="s">
        <v>895</v>
      </c>
      <c r="I525" s="270">
        <v>45276</v>
      </c>
      <c r="J525" s="242">
        <v>1826</v>
      </c>
      <c r="K525" s="242">
        <v>0</v>
      </c>
      <c r="L525" s="242">
        <v>1826</v>
      </c>
      <c r="M525" s="242">
        <v>1180</v>
      </c>
      <c r="N525" s="242">
        <v>22420</v>
      </c>
      <c r="O525" s="242"/>
      <c r="P525" s="242">
        <v>23600</v>
      </c>
      <c r="Q525" s="242">
        <v>1826</v>
      </c>
      <c r="R525" s="242">
        <v>22420</v>
      </c>
      <c r="S525" s="391">
        <v>365</v>
      </c>
      <c r="T525" s="389">
        <v>4482</v>
      </c>
      <c r="U525" s="389">
        <v>14747</v>
      </c>
      <c r="V525" s="392">
        <v>8853</v>
      </c>
    </row>
    <row r="526" spans="2:22" ht="40.5">
      <c r="B526" s="143">
        <v>19</v>
      </c>
      <c r="C526" s="388" t="s">
        <v>4310</v>
      </c>
      <c r="D526" s="388">
        <v>1</v>
      </c>
      <c r="E526" s="389">
        <f>23600</f>
        <v>23600</v>
      </c>
      <c r="F526" s="388" t="s">
        <v>4311</v>
      </c>
      <c r="G526" s="390">
        <v>43447</v>
      </c>
      <c r="H526" s="388" t="s">
        <v>895</v>
      </c>
      <c r="I526" s="270">
        <v>45272</v>
      </c>
      <c r="J526" s="242">
        <v>1826</v>
      </c>
      <c r="K526" s="242">
        <v>0</v>
      </c>
      <c r="L526" s="242">
        <v>1826</v>
      </c>
      <c r="M526" s="242">
        <v>1180</v>
      </c>
      <c r="N526" s="242">
        <v>22420</v>
      </c>
      <c r="O526" s="242"/>
      <c r="P526" s="242">
        <v>23600</v>
      </c>
      <c r="Q526" s="242">
        <v>1826</v>
      </c>
      <c r="R526" s="242">
        <v>22420</v>
      </c>
      <c r="S526" s="391">
        <v>365</v>
      </c>
      <c r="T526" s="389">
        <v>4482</v>
      </c>
      <c r="U526" s="389">
        <v>14796</v>
      </c>
      <c r="V526" s="392">
        <v>8804</v>
      </c>
    </row>
    <row r="527" spans="2:22" ht="27">
      <c r="B527" s="143">
        <v>20</v>
      </c>
      <c r="C527" s="388" t="s">
        <v>4386</v>
      </c>
      <c r="D527" s="388">
        <v>1</v>
      </c>
      <c r="E527" s="389">
        <v>69030</v>
      </c>
      <c r="F527" s="388" t="s">
        <v>4387</v>
      </c>
      <c r="G527" s="390">
        <v>43777</v>
      </c>
      <c r="H527" s="388" t="s">
        <v>368</v>
      </c>
      <c r="I527" s="270">
        <v>45603</v>
      </c>
      <c r="J527" s="242">
        <v>1827</v>
      </c>
      <c r="K527" s="242">
        <v>0</v>
      </c>
      <c r="L527" s="242">
        <v>1827</v>
      </c>
      <c r="M527" s="242">
        <v>3452</v>
      </c>
      <c r="N527" s="242">
        <v>65578</v>
      </c>
      <c r="O527" s="242"/>
      <c r="P527" s="242">
        <v>69030</v>
      </c>
      <c r="Q527" s="242">
        <v>1827</v>
      </c>
      <c r="R527" s="242">
        <v>65579</v>
      </c>
      <c r="S527" s="391">
        <v>365</v>
      </c>
      <c r="T527" s="389">
        <v>13101</v>
      </c>
      <c r="U527" s="389">
        <v>31407</v>
      </c>
      <c r="V527" s="392">
        <v>37623</v>
      </c>
    </row>
    <row r="528" spans="2:22" ht="27">
      <c r="B528" s="143">
        <v>21</v>
      </c>
      <c r="C528" s="388" t="s">
        <v>4422</v>
      </c>
      <c r="D528" s="388">
        <v>7</v>
      </c>
      <c r="E528" s="389">
        <v>165200</v>
      </c>
      <c r="F528" s="388" t="s">
        <v>4423</v>
      </c>
      <c r="G528" s="390">
        <v>43960</v>
      </c>
      <c r="H528" s="388" t="s">
        <v>368</v>
      </c>
      <c r="I528" s="270">
        <v>45785</v>
      </c>
      <c r="J528" s="242">
        <v>1826</v>
      </c>
      <c r="K528" s="242">
        <v>0</v>
      </c>
      <c r="L528" s="242">
        <v>1826</v>
      </c>
      <c r="M528" s="242">
        <v>8260</v>
      </c>
      <c r="N528" s="242">
        <v>156940</v>
      </c>
      <c r="O528" s="242"/>
      <c r="P528" s="242">
        <v>165200</v>
      </c>
      <c r="Q528" s="242">
        <v>1826</v>
      </c>
      <c r="R528" s="242">
        <v>156940</v>
      </c>
      <c r="S528" s="391">
        <v>365</v>
      </c>
      <c r="T528" s="389">
        <v>31371</v>
      </c>
      <c r="U528" s="389">
        <v>59476</v>
      </c>
      <c r="V528" s="392">
        <v>105724</v>
      </c>
    </row>
    <row r="529" spans="2:22" ht="27">
      <c r="B529" s="143">
        <v>22</v>
      </c>
      <c r="C529" s="388" t="s">
        <v>4591</v>
      </c>
      <c r="D529" s="388">
        <v>1</v>
      </c>
      <c r="E529" s="389">
        <v>22892</v>
      </c>
      <c r="F529" s="388" t="s">
        <v>4592</v>
      </c>
      <c r="G529" s="390">
        <v>44373</v>
      </c>
      <c r="H529" s="388" t="s">
        <v>368</v>
      </c>
      <c r="I529" s="270">
        <v>46198</v>
      </c>
      <c r="J529" s="242">
        <v>1826</v>
      </c>
      <c r="K529" s="242">
        <v>0</v>
      </c>
      <c r="L529" s="242">
        <v>1826</v>
      </c>
      <c r="M529" s="242">
        <v>1145</v>
      </c>
      <c r="N529" s="242">
        <v>21747</v>
      </c>
      <c r="O529" s="242"/>
      <c r="P529" s="242">
        <v>22892</v>
      </c>
      <c r="Q529" s="242">
        <v>1826</v>
      </c>
      <c r="R529" s="242">
        <v>21747</v>
      </c>
      <c r="S529" s="391">
        <v>279</v>
      </c>
      <c r="T529" s="389">
        <v>3498</v>
      </c>
      <c r="U529" s="389">
        <v>3498</v>
      </c>
      <c r="V529" s="392">
        <v>19394</v>
      </c>
    </row>
    <row r="530" spans="2:22" ht="40.5">
      <c r="B530" s="143">
        <v>23</v>
      </c>
      <c r="C530" s="388" t="s">
        <v>4612</v>
      </c>
      <c r="D530" s="388">
        <v>1</v>
      </c>
      <c r="E530" s="389">
        <f>47200/2</f>
        <v>23600</v>
      </c>
      <c r="F530" s="388" t="s">
        <v>4613</v>
      </c>
      <c r="G530" s="390">
        <v>44455</v>
      </c>
      <c r="H530" s="388" t="s">
        <v>4581</v>
      </c>
      <c r="I530" s="270">
        <v>46280</v>
      </c>
      <c r="J530" s="242">
        <v>1826</v>
      </c>
      <c r="K530" s="242">
        <v>0</v>
      </c>
      <c r="L530" s="242">
        <v>1826</v>
      </c>
      <c r="M530" s="242">
        <v>1180</v>
      </c>
      <c r="N530" s="242">
        <v>22420</v>
      </c>
      <c r="O530" s="242"/>
      <c r="P530" s="242">
        <v>23600</v>
      </c>
      <c r="Q530" s="242">
        <v>1826</v>
      </c>
      <c r="R530" s="242">
        <v>22420</v>
      </c>
      <c r="S530" s="391">
        <v>197</v>
      </c>
      <c r="T530" s="389">
        <v>2546</v>
      </c>
      <c r="U530" s="389">
        <v>2546</v>
      </c>
      <c r="V530" s="392">
        <v>21054</v>
      </c>
    </row>
    <row r="531" spans="2:22" ht="40.5">
      <c r="B531" s="143">
        <v>24</v>
      </c>
      <c r="C531" s="388" t="s">
        <v>4612</v>
      </c>
      <c r="D531" s="388">
        <v>1</v>
      </c>
      <c r="E531" s="389">
        <f>47200/2</f>
        <v>23600</v>
      </c>
      <c r="F531" s="388" t="s">
        <v>4613</v>
      </c>
      <c r="G531" s="390">
        <v>44461</v>
      </c>
      <c r="H531" s="388" t="s">
        <v>895</v>
      </c>
      <c r="I531" s="270">
        <v>46286</v>
      </c>
      <c r="J531" s="242">
        <v>1826</v>
      </c>
      <c r="K531" s="242">
        <v>0</v>
      </c>
      <c r="L531" s="242">
        <v>1826</v>
      </c>
      <c r="M531" s="242">
        <v>1180</v>
      </c>
      <c r="N531" s="242">
        <v>22420</v>
      </c>
      <c r="O531" s="242"/>
      <c r="P531" s="242">
        <v>23600</v>
      </c>
      <c r="Q531" s="242">
        <v>1826</v>
      </c>
      <c r="R531" s="242">
        <v>22420</v>
      </c>
      <c r="S531" s="391">
        <v>191</v>
      </c>
      <c r="T531" s="389">
        <v>2469</v>
      </c>
      <c r="U531" s="389">
        <v>2469</v>
      </c>
      <c r="V531" s="392">
        <v>21131</v>
      </c>
    </row>
    <row r="532" spans="2:22">
      <c r="B532" s="143"/>
      <c r="C532" s="249"/>
      <c r="D532" s="254"/>
      <c r="E532" s="250"/>
      <c r="F532" s="276"/>
      <c r="G532" s="233"/>
      <c r="H532" s="228"/>
      <c r="I532" s="300"/>
      <c r="J532" s="301"/>
      <c r="K532" s="301"/>
      <c r="L532" s="301"/>
      <c r="M532" s="301"/>
      <c r="N532" s="301"/>
      <c r="O532" s="292"/>
      <c r="P532" s="301"/>
      <c r="Q532" s="301"/>
      <c r="R532" s="292"/>
      <c r="S532" s="251"/>
      <c r="T532" s="250"/>
      <c r="U532" s="250"/>
      <c r="V532" s="250"/>
    </row>
    <row r="533" spans="2:22" ht="14.25">
      <c r="B533" s="107" t="s">
        <v>74</v>
      </c>
      <c r="C533" s="274"/>
      <c r="D533" s="230"/>
      <c r="E533" s="320"/>
      <c r="F533" s="249"/>
      <c r="G533" s="228"/>
      <c r="H533" s="228"/>
      <c r="I533" s="301"/>
      <c r="J533" s="301"/>
      <c r="K533" s="301"/>
      <c r="L533" s="301"/>
      <c r="M533" s="301"/>
      <c r="N533" s="301"/>
      <c r="O533" s="292"/>
      <c r="P533" s="301"/>
      <c r="Q533" s="301"/>
      <c r="R533" s="292"/>
      <c r="S533" s="272"/>
      <c r="T533" s="250"/>
      <c r="U533" s="250"/>
      <c r="V533" s="250"/>
    </row>
    <row r="534" spans="2:22" ht="40.5">
      <c r="B534" s="15">
        <v>1</v>
      </c>
      <c r="C534" s="249" t="s">
        <v>2601</v>
      </c>
      <c r="D534" s="254">
        <v>1</v>
      </c>
      <c r="E534" s="250">
        <f>3892+652</f>
        <v>4544</v>
      </c>
      <c r="F534" s="254" t="s">
        <v>2602</v>
      </c>
      <c r="G534" s="233">
        <v>41913</v>
      </c>
      <c r="H534" s="228" t="s">
        <v>368</v>
      </c>
      <c r="I534" s="300">
        <v>41172</v>
      </c>
      <c r="J534" s="301">
        <v>0</v>
      </c>
      <c r="K534" s="301">
        <v>0</v>
      </c>
      <c r="L534" s="301">
        <v>0</v>
      </c>
      <c r="M534" s="301">
        <v>227</v>
      </c>
      <c r="N534" s="301">
        <v>4317</v>
      </c>
      <c r="O534" s="292">
        <v>0</v>
      </c>
      <c r="P534" s="301">
        <v>0</v>
      </c>
      <c r="Q534" s="301">
        <v>0</v>
      </c>
      <c r="R534" s="292">
        <v>-227</v>
      </c>
      <c r="S534" s="251">
        <v>0</v>
      </c>
      <c r="T534" s="250">
        <v>0</v>
      </c>
      <c r="U534" s="250">
        <v>0</v>
      </c>
      <c r="V534" s="250">
        <v>0</v>
      </c>
    </row>
    <row r="535" spans="2:22" ht="14.25">
      <c r="B535" s="107" t="s">
        <v>1033</v>
      </c>
      <c r="C535" s="228"/>
      <c r="D535" s="230"/>
      <c r="E535" s="250"/>
      <c r="F535" s="254"/>
      <c r="G535" s="228"/>
      <c r="H535" s="228"/>
      <c r="I535" s="301"/>
      <c r="J535" s="301"/>
      <c r="K535" s="301"/>
      <c r="L535" s="301"/>
      <c r="M535" s="301"/>
      <c r="N535" s="301"/>
      <c r="O535" s="292"/>
      <c r="P535" s="301"/>
      <c r="Q535" s="301"/>
      <c r="R535" s="292"/>
      <c r="S535" s="272"/>
      <c r="T535" s="250"/>
      <c r="U535" s="250"/>
      <c r="V535" s="250"/>
    </row>
    <row r="536" spans="2:22">
      <c r="B536" s="15">
        <v>1</v>
      </c>
      <c r="C536" s="249" t="s">
        <v>212</v>
      </c>
      <c r="D536" s="254">
        <v>1</v>
      </c>
      <c r="E536" s="250">
        <v>5200</v>
      </c>
      <c r="F536" s="254">
        <v>1311</v>
      </c>
      <c r="G536" s="233">
        <v>39539</v>
      </c>
      <c r="H536" s="228" t="s">
        <v>282</v>
      </c>
      <c r="I536" s="300">
        <v>41364</v>
      </c>
      <c r="J536" s="301">
        <v>1826</v>
      </c>
      <c r="K536" s="301">
        <v>2191</v>
      </c>
      <c r="L536" s="301">
        <v>-365</v>
      </c>
      <c r="M536" s="301">
        <v>260</v>
      </c>
      <c r="N536" s="301">
        <v>0</v>
      </c>
      <c r="O536" s="292">
        <v>3719</v>
      </c>
      <c r="P536" s="301">
        <v>0</v>
      </c>
      <c r="Q536" s="301">
        <v>-365</v>
      </c>
      <c r="R536" s="292">
        <v>-260</v>
      </c>
      <c r="S536" s="251">
        <v>0</v>
      </c>
      <c r="T536" s="250">
        <v>0</v>
      </c>
      <c r="U536" s="250">
        <v>0</v>
      </c>
      <c r="V536" s="250">
        <v>0</v>
      </c>
    </row>
    <row r="537" spans="2:22">
      <c r="B537" s="15">
        <f>+B536+1</f>
        <v>2</v>
      </c>
      <c r="C537" s="249" t="s">
        <v>697</v>
      </c>
      <c r="D537" s="254">
        <v>1</v>
      </c>
      <c r="E537" s="250">
        <v>5450</v>
      </c>
      <c r="F537" s="254">
        <v>892</v>
      </c>
      <c r="G537" s="233">
        <v>39771</v>
      </c>
      <c r="H537" s="228" t="s">
        <v>282</v>
      </c>
      <c r="I537" s="300">
        <v>41596</v>
      </c>
      <c r="J537" s="301">
        <v>1826</v>
      </c>
      <c r="K537" s="301">
        <v>1959</v>
      </c>
      <c r="L537" s="301">
        <v>-133</v>
      </c>
      <c r="M537" s="301">
        <v>273</v>
      </c>
      <c r="N537" s="301">
        <v>0</v>
      </c>
      <c r="O537" s="292">
        <v>4062</v>
      </c>
      <c r="P537" s="301">
        <v>-0.32979452054792091</v>
      </c>
      <c r="Q537" s="301">
        <v>-133</v>
      </c>
      <c r="R537" s="292">
        <v>-273</v>
      </c>
      <c r="S537" s="251">
        <v>0</v>
      </c>
      <c r="T537" s="250">
        <v>0</v>
      </c>
      <c r="U537" s="250">
        <v>0</v>
      </c>
      <c r="V537" s="250">
        <v>-0.32979452054769354</v>
      </c>
    </row>
    <row r="538" spans="2:22">
      <c r="B538" s="15">
        <f t="shared" ref="B538:B545" si="18">+B537+1</f>
        <v>3</v>
      </c>
      <c r="C538" s="249" t="s">
        <v>697</v>
      </c>
      <c r="D538" s="254">
        <v>2</v>
      </c>
      <c r="E538" s="250">
        <v>7999</v>
      </c>
      <c r="F538" s="254">
        <v>272</v>
      </c>
      <c r="G538" s="233">
        <v>39856</v>
      </c>
      <c r="H538" s="228" t="s">
        <v>282</v>
      </c>
      <c r="I538" s="301">
        <v>0</v>
      </c>
      <c r="J538" s="301">
        <v>0</v>
      </c>
      <c r="K538" s="301">
        <v>0</v>
      </c>
      <c r="L538" s="301">
        <v>0</v>
      </c>
      <c r="M538" s="301">
        <v>0</v>
      </c>
      <c r="N538" s="301">
        <v>0</v>
      </c>
      <c r="O538" s="292">
        <v>0</v>
      </c>
      <c r="P538" s="301">
        <v>0</v>
      </c>
      <c r="Q538" s="301">
        <v>0</v>
      </c>
      <c r="R538" s="292">
        <v>-400</v>
      </c>
      <c r="S538" s="251">
        <v>0</v>
      </c>
      <c r="T538" s="250">
        <v>0</v>
      </c>
      <c r="U538" s="250">
        <v>0</v>
      </c>
      <c r="V538" s="250">
        <v>0</v>
      </c>
    </row>
    <row r="539" spans="2:22">
      <c r="B539" s="15">
        <f t="shared" si="18"/>
        <v>4</v>
      </c>
      <c r="C539" s="249" t="s">
        <v>323</v>
      </c>
      <c r="D539" s="254">
        <v>1</v>
      </c>
      <c r="E539" s="250">
        <v>4100</v>
      </c>
      <c r="F539" s="200">
        <v>115</v>
      </c>
      <c r="G539" s="233">
        <v>40194</v>
      </c>
      <c r="H539" s="228" t="s">
        <v>282</v>
      </c>
      <c r="I539" s="301">
        <v>0</v>
      </c>
      <c r="J539" s="301">
        <v>0</v>
      </c>
      <c r="K539" s="301">
        <v>0</v>
      </c>
      <c r="L539" s="301">
        <v>0</v>
      </c>
      <c r="M539" s="301">
        <v>0</v>
      </c>
      <c r="N539" s="301">
        <v>0</v>
      </c>
      <c r="O539" s="292">
        <v>0</v>
      </c>
      <c r="P539" s="301">
        <v>0</v>
      </c>
      <c r="Q539" s="301">
        <v>0</v>
      </c>
      <c r="R539" s="292">
        <v>-205</v>
      </c>
      <c r="S539" s="251">
        <v>0</v>
      </c>
      <c r="T539" s="250">
        <v>0</v>
      </c>
      <c r="U539" s="250">
        <v>0</v>
      </c>
      <c r="V539" s="250">
        <v>0</v>
      </c>
    </row>
    <row r="540" spans="2:22">
      <c r="B540" s="15">
        <f t="shared" si="18"/>
        <v>5</v>
      </c>
      <c r="C540" s="249" t="s">
        <v>959</v>
      </c>
      <c r="D540" s="254">
        <v>1</v>
      </c>
      <c r="E540" s="250">
        <v>4100</v>
      </c>
      <c r="F540" s="200">
        <v>115</v>
      </c>
      <c r="G540" s="233">
        <v>40194</v>
      </c>
      <c r="H540" s="228" t="s">
        <v>282</v>
      </c>
      <c r="I540" s="301">
        <v>0</v>
      </c>
      <c r="J540" s="301">
        <v>0</v>
      </c>
      <c r="K540" s="301">
        <v>0</v>
      </c>
      <c r="L540" s="301">
        <v>0</v>
      </c>
      <c r="M540" s="301">
        <v>0</v>
      </c>
      <c r="N540" s="301">
        <v>0</v>
      </c>
      <c r="O540" s="292">
        <v>0</v>
      </c>
      <c r="P540" s="301">
        <v>0</v>
      </c>
      <c r="Q540" s="301">
        <v>0</v>
      </c>
      <c r="R540" s="292">
        <v>-205</v>
      </c>
      <c r="S540" s="251">
        <v>0</v>
      </c>
      <c r="T540" s="250">
        <v>0</v>
      </c>
      <c r="U540" s="250">
        <v>0</v>
      </c>
      <c r="V540" s="250">
        <v>0</v>
      </c>
    </row>
    <row r="541" spans="2:22">
      <c r="B541" s="15">
        <f t="shared" si="18"/>
        <v>6</v>
      </c>
      <c r="C541" s="249" t="s">
        <v>1309</v>
      </c>
      <c r="D541" s="254">
        <v>4</v>
      </c>
      <c r="E541" s="250">
        <v>17980</v>
      </c>
      <c r="F541" s="200">
        <v>8905</v>
      </c>
      <c r="G541" s="233">
        <v>40263</v>
      </c>
      <c r="H541" s="228" t="s">
        <v>282</v>
      </c>
      <c r="I541" s="301">
        <v>0</v>
      </c>
      <c r="J541" s="301">
        <v>0</v>
      </c>
      <c r="K541" s="301">
        <v>0</v>
      </c>
      <c r="L541" s="301">
        <v>0</v>
      </c>
      <c r="M541" s="301">
        <v>0</v>
      </c>
      <c r="N541" s="301">
        <v>0</v>
      </c>
      <c r="O541" s="292">
        <v>0</v>
      </c>
      <c r="P541" s="301">
        <v>0</v>
      </c>
      <c r="Q541" s="301">
        <v>0</v>
      </c>
      <c r="R541" s="292">
        <v>-899</v>
      </c>
      <c r="S541" s="251">
        <v>0</v>
      </c>
      <c r="T541" s="250">
        <v>0</v>
      </c>
      <c r="U541" s="250">
        <v>0</v>
      </c>
      <c r="V541" s="250">
        <v>0</v>
      </c>
    </row>
    <row r="542" spans="2:22">
      <c r="B542" s="15">
        <f t="shared" si="18"/>
        <v>7</v>
      </c>
      <c r="C542" s="249" t="s">
        <v>1310</v>
      </c>
      <c r="D542" s="254">
        <v>2</v>
      </c>
      <c r="E542" s="250">
        <v>9240</v>
      </c>
      <c r="F542" s="200" t="s">
        <v>745</v>
      </c>
      <c r="G542" s="233">
        <v>40339</v>
      </c>
      <c r="H542" s="228" t="s">
        <v>368</v>
      </c>
      <c r="I542" s="301">
        <v>0</v>
      </c>
      <c r="J542" s="301">
        <v>0</v>
      </c>
      <c r="K542" s="301">
        <v>0</v>
      </c>
      <c r="L542" s="301">
        <v>0</v>
      </c>
      <c r="M542" s="301">
        <v>0</v>
      </c>
      <c r="N542" s="301">
        <v>0</v>
      </c>
      <c r="O542" s="292">
        <v>0</v>
      </c>
      <c r="P542" s="301">
        <v>0</v>
      </c>
      <c r="Q542" s="301">
        <v>0</v>
      </c>
      <c r="R542" s="292">
        <v>-462</v>
      </c>
      <c r="S542" s="251">
        <v>0</v>
      </c>
      <c r="T542" s="250">
        <v>0</v>
      </c>
      <c r="U542" s="250">
        <v>0</v>
      </c>
      <c r="V542" s="250">
        <v>0</v>
      </c>
    </row>
    <row r="543" spans="2:22">
      <c r="B543" s="15">
        <f t="shared" si="18"/>
        <v>8</v>
      </c>
      <c r="C543" s="249" t="s">
        <v>765</v>
      </c>
      <c r="D543" s="254">
        <v>1</v>
      </c>
      <c r="E543" s="250">
        <v>5700</v>
      </c>
      <c r="F543" s="200" t="s">
        <v>407</v>
      </c>
      <c r="G543" s="233">
        <v>40642</v>
      </c>
      <c r="H543" s="239" t="s">
        <v>4366</v>
      </c>
      <c r="I543" s="300">
        <v>42468</v>
      </c>
      <c r="J543" s="301">
        <v>1827</v>
      </c>
      <c r="K543" s="301">
        <v>1088</v>
      </c>
      <c r="L543" s="301">
        <v>739</v>
      </c>
      <c r="M543" s="301">
        <v>285</v>
      </c>
      <c r="N543" s="301">
        <v>4608</v>
      </c>
      <c r="O543" s="292">
        <v>0</v>
      </c>
      <c r="P543" s="301">
        <v>2617</v>
      </c>
      <c r="Q543" s="301">
        <v>374</v>
      </c>
      <c r="R543" s="292">
        <v>2332</v>
      </c>
      <c r="S543" s="251">
        <v>0</v>
      </c>
      <c r="T543" s="250">
        <v>0</v>
      </c>
      <c r="U543" s="250">
        <v>2617</v>
      </c>
      <c r="V543" s="250">
        <v>0</v>
      </c>
    </row>
    <row r="544" spans="2:22">
      <c r="B544" s="15">
        <f t="shared" si="18"/>
        <v>9</v>
      </c>
      <c r="C544" s="249" t="s">
        <v>1290</v>
      </c>
      <c r="D544" s="254">
        <v>1</v>
      </c>
      <c r="E544" s="250">
        <f>14250/2</f>
        <v>7125</v>
      </c>
      <c r="F544" s="200" t="s">
        <v>1291</v>
      </c>
      <c r="G544" s="233">
        <v>40744</v>
      </c>
      <c r="H544" s="228" t="s">
        <v>161</v>
      </c>
      <c r="I544" s="300">
        <v>42570</v>
      </c>
      <c r="J544" s="301">
        <v>1827</v>
      </c>
      <c r="K544" s="301">
        <v>986</v>
      </c>
      <c r="L544" s="301">
        <v>841</v>
      </c>
      <c r="M544" s="301">
        <v>356</v>
      </c>
      <c r="N544" s="301">
        <v>5856</v>
      </c>
      <c r="O544" s="292">
        <v>0</v>
      </c>
      <c r="P544" s="301">
        <v>3670</v>
      </c>
      <c r="Q544" s="301">
        <v>476</v>
      </c>
      <c r="R544" s="292">
        <v>3314</v>
      </c>
      <c r="S544" s="251">
        <v>0</v>
      </c>
      <c r="T544" s="250">
        <v>0</v>
      </c>
      <c r="U544" s="250">
        <v>3670</v>
      </c>
      <c r="V544" s="250">
        <v>0</v>
      </c>
    </row>
    <row r="545" spans="2:22">
      <c r="B545" s="15">
        <f t="shared" si="18"/>
        <v>10</v>
      </c>
      <c r="C545" s="249" t="s">
        <v>1290</v>
      </c>
      <c r="D545" s="254">
        <v>1</v>
      </c>
      <c r="E545" s="250">
        <f>14250/2</f>
        <v>7125</v>
      </c>
      <c r="F545" s="200" t="s">
        <v>1292</v>
      </c>
      <c r="G545" s="233">
        <v>40743</v>
      </c>
      <c r="H545" s="228" t="s">
        <v>161</v>
      </c>
      <c r="I545" s="300">
        <v>42569</v>
      </c>
      <c r="J545" s="301">
        <v>1827</v>
      </c>
      <c r="K545" s="301">
        <v>987</v>
      </c>
      <c r="L545" s="301">
        <v>840</v>
      </c>
      <c r="M545" s="301">
        <v>356</v>
      </c>
      <c r="N545" s="301">
        <v>5856</v>
      </c>
      <c r="O545" s="292">
        <v>0</v>
      </c>
      <c r="P545" s="301">
        <v>3667</v>
      </c>
      <c r="Q545" s="301">
        <v>475</v>
      </c>
      <c r="R545" s="292">
        <v>3311</v>
      </c>
      <c r="S545" s="251">
        <v>0</v>
      </c>
      <c r="T545" s="250">
        <v>0</v>
      </c>
      <c r="U545" s="250">
        <v>3667</v>
      </c>
      <c r="V545" s="250">
        <v>0</v>
      </c>
    </row>
    <row r="546" spans="2:22">
      <c r="B546" s="15">
        <v>11</v>
      </c>
      <c r="C546" s="249" t="s">
        <v>4469</v>
      </c>
      <c r="D546" s="254">
        <v>2</v>
      </c>
      <c r="E546" s="250">
        <v>17000</v>
      </c>
      <c r="F546" s="200" t="s">
        <v>4470</v>
      </c>
      <c r="G546" s="233">
        <v>44163</v>
      </c>
      <c r="H546" s="228" t="s">
        <v>895</v>
      </c>
      <c r="I546" s="300">
        <v>45988</v>
      </c>
      <c r="J546" s="301">
        <v>1826</v>
      </c>
      <c r="K546" s="301">
        <v>0</v>
      </c>
      <c r="L546" s="301">
        <v>1826</v>
      </c>
      <c r="M546" s="301">
        <v>850</v>
      </c>
      <c r="N546" s="301">
        <v>16150</v>
      </c>
      <c r="O546" s="292">
        <v>0</v>
      </c>
      <c r="P546" s="301">
        <v>17000</v>
      </c>
      <c r="Q546" s="301">
        <v>1826</v>
      </c>
      <c r="R546" s="292">
        <v>16150</v>
      </c>
      <c r="S546" s="251">
        <v>365</v>
      </c>
      <c r="T546" s="250">
        <v>3228</v>
      </c>
      <c r="U546" s="250">
        <v>4325</v>
      </c>
      <c r="V546" s="250">
        <v>12675</v>
      </c>
    </row>
    <row r="547" spans="2:22">
      <c r="B547" s="15">
        <v>12</v>
      </c>
      <c r="C547" s="249" t="s">
        <v>4636</v>
      </c>
      <c r="D547" s="254">
        <v>1</v>
      </c>
      <c r="E547" s="250">
        <v>10000</v>
      </c>
      <c r="F547" s="200" t="s">
        <v>4637</v>
      </c>
      <c r="G547" s="233">
        <v>44567</v>
      </c>
      <c r="H547" s="228" t="s">
        <v>895</v>
      </c>
      <c r="I547" s="300">
        <v>46392</v>
      </c>
      <c r="J547" s="301">
        <v>1826</v>
      </c>
      <c r="K547" s="301">
        <v>0</v>
      </c>
      <c r="L547" s="301">
        <v>1826</v>
      </c>
      <c r="M547" s="301">
        <v>500</v>
      </c>
      <c r="N547" s="301">
        <v>9500</v>
      </c>
      <c r="O547" s="292">
        <v>0</v>
      </c>
      <c r="P547" s="301">
        <v>10000</v>
      </c>
      <c r="Q547" s="301">
        <v>1826</v>
      </c>
      <c r="R547" s="292">
        <v>9500</v>
      </c>
      <c r="S547" s="251">
        <v>85</v>
      </c>
      <c r="T547" s="250">
        <v>465</v>
      </c>
      <c r="U547" s="250">
        <v>465</v>
      </c>
      <c r="V547" s="250">
        <v>9535</v>
      </c>
    </row>
    <row r="548" spans="2:22">
      <c r="B548" s="143"/>
      <c r="C548" s="249"/>
      <c r="D548" s="254"/>
      <c r="E548" s="250"/>
      <c r="F548" s="200"/>
      <c r="G548" s="233"/>
      <c r="H548" s="228"/>
      <c r="I548" s="300"/>
      <c r="J548" s="301"/>
      <c r="K548" s="301"/>
      <c r="L548" s="301"/>
      <c r="M548" s="301"/>
      <c r="N548" s="301"/>
      <c r="O548" s="292"/>
      <c r="P548" s="301"/>
      <c r="Q548" s="301"/>
      <c r="R548" s="292"/>
      <c r="S548" s="251"/>
      <c r="T548" s="250"/>
      <c r="U548" s="250"/>
      <c r="V548" s="250"/>
    </row>
    <row r="549" spans="2:22" ht="14.25">
      <c r="B549" s="107" t="s">
        <v>698</v>
      </c>
      <c r="C549" s="228"/>
      <c r="D549" s="230"/>
      <c r="E549" s="250"/>
      <c r="F549" s="254"/>
      <c r="G549" s="228"/>
      <c r="H549" s="228"/>
      <c r="I549" s="301"/>
      <c r="J549" s="301"/>
      <c r="K549" s="301"/>
      <c r="L549" s="301"/>
      <c r="M549" s="301"/>
      <c r="N549" s="301"/>
      <c r="O549" s="292"/>
      <c r="P549" s="301"/>
      <c r="Q549" s="301"/>
      <c r="R549" s="292"/>
      <c r="S549" s="272"/>
      <c r="T549" s="250"/>
      <c r="U549" s="250"/>
      <c r="V549" s="250"/>
    </row>
    <row r="550" spans="2:22">
      <c r="B550" s="15">
        <v>1</v>
      </c>
      <c r="C550" s="249" t="s">
        <v>699</v>
      </c>
      <c r="D550" s="254">
        <v>1</v>
      </c>
      <c r="E550" s="250">
        <v>7178</v>
      </c>
      <c r="F550" s="254">
        <v>5291</v>
      </c>
      <c r="G550" s="233">
        <v>39744</v>
      </c>
      <c r="H550" s="228" t="s">
        <v>161</v>
      </c>
      <c r="I550" s="300">
        <v>41569</v>
      </c>
      <c r="J550" s="301">
        <v>1826</v>
      </c>
      <c r="K550" s="301">
        <v>1986</v>
      </c>
      <c r="L550" s="301">
        <v>-160</v>
      </c>
      <c r="M550" s="301">
        <v>359</v>
      </c>
      <c r="N550" s="301">
        <v>0</v>
      </c>
      <c r="O550" s="292">
        <v>5322.5402739726023</v>
      </c>
      <c r="P550" s="301">
        <v>0</v>
      </c>
      <c r="Q550" s="301">
        <v>-160</v>
      </c>
      <c r="R550" s="292">
        <v>-359</v>
      </c>
      <c r="S550" s="251">
        <v>0</v>
      </c>
      <c r="T550" s="250">
        <v>0</v>
      </c>
      <c r="U550" s="250">
        <v>0</v>
      </c>
      <c r="V550" s="250">
        <v>0</v>
      </c>
    </row>
    <row r="551" spans="2:22">
      <c r="B551" s="15">
        <f t="shared" ref="B551:B573" si="19">+B550+1</f>
        <v>2</v>
      </c>
      <c r="C551" s="249" t="s">
        <v>700</v>
      </c>
      <c r="D551" s="254">
        <v>1</v>
      </c>
      <c r="E551" s="250">
        <v>6500.25</v>
      </c>
      <c r="F551" s="254">
        <v>87</v>
      </c>
      <c r="G551" s="233">
        <v>39856</v>
      </c>
      <c r="H551" s="228" t="s">
        <v>282</v>
      </c>
      <c r="I551" s="300">
        <v>41681</v>
      </c>
      <c r="J551" s="301">
        <v>1826</v>
      </c>
      <c r="K551" s="301">
        <v>1874</v>
      </c>
      <c r="L551" s="301">
        <v>-48</v>
      </c>
      <c r="M551" s="301">
        <v>325</v>
      </c>
      <c r="N551" s="301">
        <v>0</v>
      </c>
      <c r="O551" s="292">
        <v>4913.6456986301373</v>
      </c>
      <c r="P551" s="301">
        <v>0</v>
      </c>
      <c r="Q551" s="301">
        <v>-48</v>
      </c>
      <c r="R551" s="292">
        <v>-325</v>
      </c>
      <c r="S551" s="251">
        <v>0</v>
      </c>
      <c r="T551" s="250">
        <v>0</v>
      </c>
      <c r="U551" s="250">
        <v>0</v>
      </c>
      <c r="V551" s="250">
        <v>0</v>
      </c>
    </row>
    <row r="552" spans="2:22">
      <c r="B552" s="15">
        <f t="shared" si="19"/>
        <v>3</v>
      </c>
      <c r="C552" s="249" t="s">
        <v>701</v>
      </c>
      <c r="D552" s="254">
        <v>2</v>
      </c>
      <c r="E552" s="250">
        <v>6500</v>
      </c>
      <c r="F552" s="364" t="s">
        <v>42</v>
      </c>
      <c r="G552" s="233">
        <v>40081</v>
      </c>
      <c r="H552" s="228" t="s">
        <v>282</v>
      </c>
      <c r="I552" s="301">
        <v>0</v>
      </c>
      <c r="J552" s="301">
        <v>0</v>
      </c>
      <c r="K552" s="301">
        <v>0</v>
      </c>
      <c r="L552" s="301">
        <v>0</v>
      </c>
      <c r="M552" s="301">
        <v>0</v>
      </c>
      <c r="N552" s="301">
        <v>0</v>
      </c>
      <c r="O552" s="292">
        <v>0</v>
      </c>
      <c r="P552" s="301">
        <v>0</v>
      </c>
      <c r="Q552" s="301">
        <v>0</v>
      </c>
      <c r="R552" s="292">
        <v>-325</v>
      </c>
      <c r="S552" s="251">
        <v>0</v>
      </c>
      <c r="T552" s="250">
        <v>0</v>
      </c>
      <c r="U552" s="250">
        <v>0</v>
      </c>
      <c r="V552" s="250">
        <v>0</v>
      </c>
    </row>
    <row r="553" spans="2:22">
      <c r="B553" s="15">
        <f t="shared" si="19"/>
        <v>4</v>
      </c>
      <c r="C553" s="249" t="s">
        <v>701</v>
      </c>
      <c r="D553" s="254">
        <v>1</v>
      </c>
      <c r="E553" s="250">
        <v>6700</v>
      </c>
      <c r="F553" s="254">
        <v>632</v>
      </c>
      <c r="G553" s="233">
        <v>40313</v>
      </c>
      <c r="H553" s="228" t="s">
        <v>282</v>
      </c>
      <c r="I553" s="300">
        <v>42138</v>
      </c>
      <c r="J553" s="301">
        <v>1826</v>
      </c>
      <c r="K553" s="301">
        <v>1417</v>
      </c>
      <c r="L553" s="301">
        <v>409</v>
      </c>
      <c r="M553" s="301">
        <v>335</v>
      </c>
      <c r="N553" s="301">
        <v>5132</v>
      </c>
      <c r="O553" s="292">
        <v>0</v>
      </c>
      <c r="P553" s="301">
        <v>887</v>
      </c>
      <c r="Q553" s="301">
        <v>44</v>
      </c>
      <c r="R553" s="292">
        <v>552</v>
      </c>
      <c r="S553" s="251">
        <v>0</v>
      </c>
      <c r="T553" s="250">
        <v>0</v>
      </c>
      <c r="U553" s="250">
        <v>887</v>
      </c>
      <c r="V553" s="250">
        <v>0</v>
      </c>
    </row>
    <row r="554" spans="2:22">
      <c r="B554" s="15">
        <f t="shared" si="19"/>
        <v>5</v>
      </c>
      <c r="C554" s="249" t="s">
        <v>701</v>
      </c>
      <c r="D554" s="254">
        <v>1</v>
      </c>
      <c r="E554" s="250">
        <v>6700</v>
      </c>
      <c r="F554" s="254">
        <v>632</v>
      </c>
      <c r="G554" s="233">
        <v>40313</v>
      </c>
      <c r="H554" s="228" t="s">
        <v>282</v>
      </c>
      <c r="I554" s="300">
        <v>42138</v>
      </c>
      <c r="J554" s="301">
        <v>1826</v>
      </c>
      <c r="K554" s="301">
        <v>1417</v>
      </c>
      <c r="L554" s="301">
        <v>409</v>
      </c>
      <c r="M554" s="301">
        <v>335</v>
      </c>
      <c r="N554" s="301">
        <v>5132</v>
      </c>
      <c r="O554" s="292">
        <v>0</v>
      </c>
      <c r="P554" s="301">
        <v>887</v>
      </c>
      <c r="Q554" s="301">
        <v>44</v>
      </c>
      <c r="R554" s="292">
        <v>552</v>
      </c>
      <c r="S554" s="251">
        <v>0</v>
      </c>
      <c r="T554" s="250">
        <v>0</v>
      </c>
      <c r="U554" s="250">
        <v>887</v>
      </c>
      <c r="V554" s="250">
        <v>0</v>
      </c>
    </row>
    <row r="555" spans="2:22">
      <c r="B555" s="15">
        <f t="shared" si="19"/>
        <v>6</v>
      </c>
      <c r="C555" s="249" t="s">
        <v>701</v>
      </c>
      <c r="D555" s="254">
        <v>1</v>
      </c>
      <c r="E555" s="250">
        <v>6700</v>
      </c>
      <c r="F555" s="254">
        <v>633</v>
      </c>
      <c r="G555" s="233">
        <v>40313</v>
      </c>
      <c r="H555" s="228" t="s">
        <v>368</v>
      </c>
      <c r="I555" s="300">
        <v>42138</v>
      </c>
      <c r="J555" s="301">
        <v>1826</v>
      </c>
      <c r="K555" s="301">
        <v>1417</v>
      </c>
      <c r="L555" s="301">
        <v>409</v>
      </c>
      <c r="M555" s="301">
        <v>335</v>
      </c>
      <c r="N555" s="301">
        <v>5132</v>
      </c>
      <c r="O555" s="292">
        <v>0</v>
      </c>
      <c r="P555" s="301">
        <v>887</v>
      </c>
      <c r="Q555" s="301">
        <v>44</v>
      </c>
      <c r="R555" s="292">
        <v>552</v>
      </c>
      <c r="S555" s="251">
        <v>0</v>
      </c>
      <c r="T555" s="250">
        <v>0</v>
      </c>
      <c r="U555" s="250">
        <v>887</v>
      </c>
      <c r="V555" s="250">
        <v>0</v>
      </c>
    </row>
    <row r="556" spans="2:22">
      <c r="B556" s="15">
        <f t="shared" si="19"/>
        <v>7</v>
      </c>
      <c r="C556" s="249" t="s">
        <v>701</v>
      </c>
      <c r="D556" s="254">
        <v>1</v>
      </c>
      <c r="E556" s="250">
        <v>6700</v>
      </c>
      <c r="F556" s="254">
        <v>633</v>
      </c>
      <c r="G556" s="233">
        <v>40313</v>
      </c>
      <c r="H556" s="228" t="s">
        <v>368</v>
      </c>
      <c r="I556" s="300">
        <v>42138</v>
      </c>
      <c r="J556" s="301">
        <v>1826</v>
      </c>
      <c r="K556" s="301">
        <v>1417</v>
      </c>
      <c r="L556" s="301">
        <v>409</v>
      </c>
      <c r="M556" s="301">
        <v>335</v>
      </c>
      <c r="N556" s="301">
        <v>5132</v>
      </c>
      <c r="O556" s="292">
        <v>0</v>
      </c>
      <c r="P556" s="301">
        <v>887</v>
      </c>
      <c r="Q556" s="301">
        <v>44</v>
      </c>
      <c r="R556" s="292">
        <v>552</v>
      </c>
      <c r="S556" s="251">
        <v>0</v>
      </c>
      <c r="T556" s="250">
        <v>0</v>
      </c>
      <c r="U556" s="250">
        <v>887</v>
      </c>
      <c r="V556" s="250">
        <v>0</v>
      </c>
    </row>
    <row r="557" spans="2:22">
      <c r="B557" s="15">
        <f t="shared" si="19"/>
        <v>8</v>
      </c>
      <c r="C557" s="249" t="s">
        <v>389</v>
      </c>
      <c r="D557" s="254">
        <v>1</v>
      </c>
      <c r="E557" s="250">
        <v>34200</v>
      </c>
      <c r="F557" s="254">
        <v>1012</v>
      </c>
      <c r="G557" s="233">
        <v>40326</v>
      </c>
      <c r="H557" s="228" t="s">
        <v>368</v>
      </c>
      <c r="I557" s="300">
        <v>42151</v>
      </c>
      <c r="J557" s="301">
        <v>1826</v>
      </c>
      <c r="K557" s="301">
        <v>1404</v>
      </c>
      <c r="L557" s="301">
        <v>422</v>
      </c>
      <c r="M557" s="301">
        <v>1710</v>
      </c>
      <c r="N557" s="301">
        <v>26246</v>
      </c>
      <c r="O557" s="292">
        <v>0</v>
      </c>
      <c r="P557" s="301">
        <v>5255</v>
      </c>
      <c r="Q557" s="301">
        <v>57</v>
      </c>
      <c r="R557" s="292">
        <v>3545</v>
      </c>
      <c r="S557" s="251">
        <v>0</v>
      </c>
      <c r="T557" s="250">
        <v>0</v>
      </c>
      <c r="U557" s="250">
        <v>5255</v>
      </c>
      <c r="V557" s="250">
        <v>0</v>
      </c>
    </row>
    <row r="558" spans="2:22">
      <c r="B558" s="15">
        <f t="shared" si="19"/>
        <v>9</v>
      </c>
      <c r="C558" s="249" t="s">
        <v>766</v>
      </c>
      <c r="D558" s="254">
        <v>1</v>
      </c>
      <c r="E558" s="250">
        <v>14500</v>
      </c>
      <c r="F558" s="200" t="s">
        <v>407</v>
      </c>
      <c r="G558" s="233">
        <v>40642</v>
      </c>
      <c r="H558" s="239" t="s">
        <v>4366</v>
      </c>
      <c r="I558" s="300">
        <v>42468</v>
      </c>
      <c r="J558" s="301">
        <v>1827</v>
      </c>
      <c r="K558" s="301">
        <v>1088</v>
      </c>
      <c r="L558" s="301">
        <v>739</v>
      </c>
      <c r="M558" s="301">
        <v>725</v>
      </c>
      <c r="N558" s="301">
        <v>11724</v>
      </c>
      <c r="O558" s="292">
        <v>0</v>
      </c>
      <c r="P558" s="301">
        <v>6658</v>
      </c>
      <c r="Q558" s="301">
        <v>374</v>
      </c>
      <c r="R558" s="292">
        <v>5933</v>
      </c>
      <c r="S558" s="251">
        <v>0</v>
      </c>
      <c r="T558" s="250">
        <v>0</v>
      </c>
      <c r="U558" s="250">
        <v>6658</v>
      </c>
      <c r="V558" s="250">
        <v>0</v>
      </c>
    </row>
    <row r="559" spans="2:22">
      <c r="B559" s="15">
        <f t="shared" si="19"/>
        <v>10</v>
      </c>
      <c r="C559" s="249" t="s">
        <v>1136</v>
      </c>
      <c r="D559" s="254">
        <v>1</v>
      </c>
      <c r="E559" s="250">
        <v>1700</v>
      </c>
      <c r="F559" s="200" t="s">
        <v>1131</v>
      </c>
      <c r="G559" s="233">
        <v>40702</v>
      </c>
      <c r="H559" s="228" t="s">
        <v>1132</v>
      </c>
      <c r="I559" s="301">
        <v>0</v>
      </c>
      <c r="J559" s="301">
        <v>0</v>
      </c>
      <c r="K559" s="301">
        <v>0</v>
      </c>
      <c r="L559" s="301">
        <v>0</v>
      </c>
      <c r="M559" s="301">
        <v>0</v>
      </c>
      <c r="N559" s="301">
        <v>0</v>
      </c>
      <c r="O559" s="292">
        <v>0</v>
      </c>
      <c r="P559" s="301">
        <v>0</v>
      </c>
      <c r="Q559" s="301">
        <v>0</v>
      </c>
      <c r="R559" s="292">
        <v>-85</v>
      </c>
      <c r="S559" s="251">
        <v>0</v>
      </c>
      <c r="T559" s="250">
        <v>0</v>
      </c>
      <c r="U559" s="250">
        <v>0</v>
      </c>
      <c r="V559" s="250">
        <v>0</v>
      </c>
    </row>
    <row r="560" spans="2:22">
      <c r="B560" s="15">
        <f t="shared" si="19"/>
        <v>11</v>
      </c>
      <c r="C560" s="249" t="s">
        <v>1172</v>
      </c>
      <c r="D560" s="254">
        <v>1</v>
      </c>
      <c r="E560" s="250">
        <v>34200</v>
      </c>
      <c r="F560" s="200"/>
      <c r="G560" s="233">
        <v>40721</v>
      </c>
      <c r="H560" s="228" t="s">
        <v>368</v>
      </c>
      <c r="I560" s="300">
        <v>42547</v>
      </c>
      <c r="J560" s="301">
        <v>1827</v>
      </c>
      <c r="K560" s="301">
        <v>1009</v>
      </c>
      <c r="L560" s="301">
        <v>818</v>
      </c>
      <c r="M560" s="301">
        <v>1710</v>
      </c>
      <c r="N560" s="301">
        <v>28002</v>
      </c>
      <c r="O560" s="292">
        <v>0</v>
      </c>
      <c r="P560" s="301">
        <v>17217</v>
      </c>
      <c r="Q560" s="301">
        <v>453</v>
      </c>
      <c r="R560" s="292">
        <v>15507</v>
      </c>
      <c r="S560" s="251">
        <v>0</v>
      </c>
      <c r="T560" s="250">
        <v>0</v>
      </c>
      <c r="U560" s="250">
        <v>17217</v>
      </c>
      <c r="V560" s="250">
        <v>0</v>
      </c>
    </row>
    <row r="561" spans="2:22">
      <c r="B561" s="15">
        <f t="shared" si="19"/>
        <v>12</v>
      </c>
      <c r="C561" s="249" t="s">
        <v>1454</v>
      </c>
      <c r="D561" s="254">
        <v>4</v>
      </c>
      <c r="E561" s="250">
        <v>29560</v>
      </c>
      <c r="F561" s="200" t="s">
        <v>1455</v>
      </c>
      <c r="G561" s="233">
        <v>40879</v>
      </c>
      <c r="H561" s="228" t="s">
        <v>119</v>
      </c>
      <c r="I561" s="300">
        <v>42705</v>
      </c>
      <c r="J561" s="301">
        <v>1827</v>
      </c>
      <c r="K561" s="301">
        <v>851</v>
      </c>
      <c r="L561" s="301">
        <v>976</v>
      </c>
      <c r="M561" s="301">
        <v>1478</v>
      </c>
      <c r="N561" s="301">
        <v>24810</v>
      </c>
      <c r="O561" s="292">
        <v>0</v>
      </c>
      <c r="P561" s="301">
        <v>17010</v>
      </c>
      <c r="Q561" s="301">
        <v>611</v>
      </c>
      <c r="R561" s="292">
        <v>15532</v>
      </c>
      <c r="S561" s="251">
        <v>0</v>
      </c>
      <c r="T561" s="250">
        <v>0</v>
      </c>
      <c r="U561" s="250">
        <v>17010</v>
      </c>
      <c r="V561" s="250">
        <v>0</v>
      </c>
    </row>
    <row r="562" spans="2:22">
      <c r="B562" s="15">
        <f t="shared" si="19"/>
        <v>13</v>
      </c>
      <c r="C562" s="249" t="s">
        <v>1454</v>
      </c>
      <c r="D562" s="254">
        <v>4</v>
      </c>
      <c r="E562" s="250">
        <v>29560</v>
      </c>
      <c r="F562" s="200" t="s">
        <v>1669</v>
      </c>
      <c r="G562" s="233">
        <v>40939</v>
      </c>
      <c r="H562" s="228" t="s">
        <v>119</v>
      </c>
      <c r="I562" s="300">
        <v>42765</v>
      </c>
      <c r="J562" s="301">
        <v>1827</v>
      </c>
      <c r="K562" s="301">
        <v>791</v>
      </c>
      <c r="L562" s="301">
        <v>1036</v>
      </c>
      <c r="M562" s="301">
        <v>1478</v>
      </c>
      <c r="N562" s="301">
        <v>25040</v>
      </c>
      <c r="O562" s="292">
        <v>0</v>
      </c>
      <c r="P562" s="301">
        <v>17696</v>
      </c>
      <c r="Q562" s="301">
        <v>671</v>
      </c>
      <c r="R562" s="292">
        <v>16218</v>
      </c>
      <c r="S562" s="251">
        <v>0</v>
      </c>
      <c r="T562" s="250">
        <v>0</v>
      </c>
      <c r="U562" s="250">
        <v>17696</v>
      </c>
      <c r="V562" s="250">
        <v>0</v>
      </c>
    </row>
    <row r="563" spans="2:22">
      <c r="B563" s="15">
        <f t="shared" si="19"/>
        <v>14</v>
      </c>
      <c r="C563" s="249" t="s">
        <v>1772</v>
      </c>
      <c r="D563" s="254">
        <v>1</v>
      </c>
      <c r="E563" s="250">
        <v>7923</v>
      </c>
      <c r="F563" s="200" t="s">
        <v>1773</v>
      </c>
      <c r="G563" s="233">
        <v>40953</v>
      </c>
      <c r="H563" s="228" t="s">
        <v>368</v>
      </c>
      <c r="I563" s="300">
        <v>42779</v>
      </c>
      <c r="J563" s="301">
        <v>1827</v>
      </c>
      <c r="K563" s="301">
        <v>777</v>
      </c>
      <c r="L563" s="301">
        <v>1050</v>
      </c>
      <c r="M563" s="301">
        <v>396</v>
      </c>
      <c r="N563" s="301">
        <v>6727</v>
      </c>
      <c r="O563" s="292">
        <v>0</v>
      </c>
      <c r="P563" s="301">
        <v>4785</v>
      </c>
      <c r="Q563" s="301">
        <v>685</v>
      </c>
      <c r="R563" s="292">
        <v>4389</v>
      </c>
      <c r="S563" s="251">
        <v>0</v>
      </c>
      <c r="T563" s="250">
        <v>0</v>
      </c>
      <c r="U563" s="250">
        <v>4785</v>
      </c>
      <c r="V563" s="250">
        <v>0</v>
      </c>
    </row>
    <row r="564" spans="2:22">
      <c r="B564" s="15">
        <f t="shared" si="19"/>
        <v>15</v>
      </c>
      <c r="C564" s="249" t="s">
        <v>1818</v>
      </c>
      <c r="D564" s="254">
        <v>1</v>
      </c>
      <c r="E564" s="250">
        <v>7923</v>
      </c>
      <c r="F564" s="200" t="s">
        <v>1819</v>
      </c>
      <c r="G564" s="233">
        <v>41016</v>
      </c>
      <c r="H564" s="228" t="s">
        <v>368</v>
      </c>
      <c r="I564" s="300">
        <v>42841</v>
      </c>
      <c r="J564" s="301">
        <v>1826</v>
      </c>
      <c r="K564" s="301">
        <v>714</v>
      </c>
      <c r="L564" s="301">
        <v>1112</v>
      </c>
      <c r="M564" s="301">
        <v>396</v>
      </c>
      <c r="N564" s="301">
        <v>6791</v>
      </c>
      <c r="O564" s="292">
        <v>0</v>
      </c>
      <c r="P564" s="301">
        <v>4958</v>
      </c>
      <c r="Q564" s="301">
        <v>747</v>
      </c>
      <c r="R564" s="292">
        <v>4562</v>
      </c>
      <c r="S564" s="251">
        <v>0</v>
      </c>
      <c r="T564" s="250">
        <v>0</v>
      </c>
      <c r="U564" s="250">
        <v>4958</v>
      </c>
      <c r="V564" s="250">
        <v>0</v>
      </c>
    </row>
    <row r="565" spans="2:22">
      <c r="B565" s="15">
        <f t="shared" si="19"/>
        <v>16</v>
      </c>
      <c r="C565" s="249" t="s">
        <v>1892</v>
      </c>
      <c r="D565" s="254">
        <v>1</v>
      </c>
      <c r="E565" s="250">
        <v>8490</v>
      </c>
      <c r="F565" s="200" t="s">
        <v>42</v>
      </c>
      <c r="G565" s="233">
        <v>41121</v>
      </c>
      <c r="H565" s="239" t="s">
        <v>288</v>
      </c>
      <c r="I565" s="300">
        <v>42946</v>
      </c>
      <c r="J565" s="301">
        <v>1826</v>
      </c>
      <c r="K565" s="301">
        <v>609</v>
      </c>
      <c r="L565" s="301">
        <v>1217</v>
      </c>
      <c r="M565" s="301">
        <v>425</v>
      </c>
      <c r="N565" s="301">
        <v>7392</v>
      </c>
      <c r="O565" s="292">
        <v>0</v>
      </c>
      <c r="P565" s="301">
        <v>5600</v>
      </c>
      <c r="Q565" s="301">
        <v>852</v>
      </c>
      <c r="R565" s="292">
        <v>5176</v>
      </c>
      <c r="S565" s="251">
        <v>0</v>
      </c>
      <c r="T565" s="250">
        <v>0</v>
      </c>
      <c r="U565" s="250">
        <v>5600</v>
      </c>
      <c r="V565" s="250">
        <v>0</v>
      </c>
    </row>
    <row r="566" spans="2:22" ht="27">
      <c r="B566" s="15">
        <f t="shared" si="19"/>
        <v>17</v>
      </c>
      <c r="C566" s="249" t="s">
        <v>2087</v>
      </c>
      <c r="D566" s="254">
        <v>1</v>
      </c>
      <c r="E566" s="250">
        <v>33659</v>
      </c>
      <c r="F566" s="200" t="s">
        <v>2088</v>
      </c>
      <c r="G566" s="233">
        <v>41380</v>
      </c>
      <c r="H566" s="228" t="s">
        <v>368</v>
      </c>
      <c r="I566" s="300">
        <v>43205</v>
      </c>
      <c r="J566" s="301">
        <v>1826</v>
      </c>
      <c r="K566" s="301">
        <v>350</v>
      </c>
      <c r="L566" s="301">
        <v>1476</v>
      </c>
      <c r="M566" s="301">
        <v>1683</v>
      </c>
      <c r="N566" s="301">
        <v>30443</v>
      </c>
      <c r="O566" s="292">
        <v>0</v>
      </c>
      <c r="P566" s="301">
        <v>24598</v>
      </c>
      <c r="Q566" s="301">
        <v>1111</v>
      </c>
      <c r="R566" s="292">
        <v>22915</v>
      </c>
      <c r="S566" s="251">
        <v>0</v>
      </c>
      <c r="T566" s="250">
        <v>0</v>
      </c>
      <c r="U566" s="250">
        <v>24598</v>
      </c>
      <c r="V566" s="250">
        <v>0</v>
      </c>
    </row>
    <row r="567" spans="2:22">
      <c r="B567" s="15">
        <f t="shared" si="19"/>
        <v>18</v>
      </c>
      <c r="C567" s="249" t="s">
        <v>2167</v>
      </c>
      <c r="D567" s="254">
        <v>1</v>
      </c>
      <c r="E567" s="250">
        <v>34201</v>
      </c>
      <c r="F567" s="200" t="s">
        <v>2168</v>
      </c>
      <c r="G567" s="233">
        <v>41383</v>
      </c>
      <c r="H567" s="228" t="s">
        <v>368</v>
      </c>
      <c r="I567" s="300">
        <v>43208</v>
      </c>
      <c r="J567" s="301">
        <v>1826</v>
      </c>
      <c r="K567" s="301">
        <v>347</v>
      </c>
      <c r="L567" s="301">
        <v>1479</v>
      </c>
      <c r="M567" s="301">
        <v>1710</v>
      </c>
      <c r="N567" s="301">
        <v>30947</v>
      </c>
      <c r="O567" s="292">
        <v>0</v>
      </c>
      <c r="P567" s="301">
        <v>25020</v>
      </c>
      <c r="Q567" s="301">
        <v>1114</v>
      </c>
      <c r="R567" s="292">
        <v>23310</v>
      </c>
      <c r="S567" s="251">
        <v>0</v>
      </c>
      <c r="T567" s="250">
        <v>0</v>
      </c>
      <c r="U567" s="250">
        <v>25020</v>
      </c>
      <c r="V567" s="250">
        <v>0</v>
      </c>
    </row>
    <row r="568" spans="2:22" ht="27">
      <c r="B568" s="15">
        <f t="shared" si="19"/>
        <v>19</v>
      </c>
      <c r="C568" s="249" t="s">
        <v>2087</v>
      </c>
      <c r="D568" s="254">
        <v>1</v>
      </c>
      <c r="E568" s="250">
        <v>33659</v>
      </c>
      <c r="F568" s="200" t="s">
        <v>2171</v>
      </c>
      <c r="G568" s="233">
        <v>41383</v>
      </c>
      <c r="H568" s="228" t="s">
        <v>119</v>
      </c>
      <c r="I568" s="300">
        <v>43208</v>
      </c>
      <c r="J568" s="301">
        <v>1826</v>
      </c>
      <c r="K568" s="301">
        <v>347</v>
      </c>
      <c r="L568" s="301">
        <v>1479</v>
      </c>
      <c r="M568" s="301">
        <v>1683</v>
      </c>
      <c r="N568" s="301">
        <v>30456</v>
      </c>
      <c r="O568" s="292">
        <v>0</v>
      </c>
      <c r="P568" s="301">
        <v>24623</v>
      </c>
      <c r="Q568" s="301">
        <v>1114</v>
      </c>
      <c r="R568" s="292">
        <v>22940</v>
      </c>
      <c r="S568" s="251">
        <v>0</v>
      </c>
      <c r="T568" s="250">
        <v>0</v>
      </c>
      <c r="U568" s="250">
        <v>24623</v>
      </c>
      <c r="V568" s="250">
        <v>0</v>
      </c>
    </row>
    <row r="569" spans="2:22">
      <c r="B569" s="15">
        <f t="shared" si="19"/>
        <v>20</v>
      </c>
      <c r="C569" s="249" t="s">
        <v>2170</v>
      </c>
      <c r="D569" s="254">
        <v>1</v>
      </c>
      <c r="E569" s="250">
        <v>34201</v>
      </c>
      <c r="F569" s="200" t="s">
        <v>2169</v>
      </c>
      <c r="G569" s="233">
        <v>41382</v>
      </c>
      <c r="H569" s="228" t="s">
        <v>368</v>
      </c>
      <c r="I569" s="300">
        <v>43207</v>
      </c>
      <c r="J569" s="301">
        <v>1826</v>
      </c>
      <c r="K569" s="301">
        <v>348</v>
      </c>
      <c r="L569" s="301">
        <v>1478</v>
      </c>
      <c r="M569" s="301">
        <v>1710</v>
      </c>
      <c r="N569" s="301">
        <v>30942</v>
      </c>
      <c r="O569" s="292">
        <v>0</v>
      </c>
      <c r="P569" s="301">
        <v>25011</v>
      </c>
      <c r="Q569" s="301">
        <v>1113</v>
      </c>
      <c r="R569" s="292">
        <v>23301</v>
      </c>
      <c r="S569" s="251">
        <v>0</v>
      </c>
      <c r="T569" s="250">
        <v>0</v>
      </c>
      <c r="U569" s="250">
        <v>25011</v>
      </c>
      <c r="V569" s="250">
        <v>0</v>
      </c>
    </row>
    <row r="570" spans="2:22">
      <c r="B570" s="15">
        <f t="shared" si="19"/>
        <v>21</v>
      </c>
      <c r="C570" s="249" t="s">
        <v>2226</v>
      </c>
      <c r="D570" s="254">
        <v>1</v>
      </c>
      <c r="E570" s="250">
        <v>231000</v>
      </c>
      <c r="F570" s="200" t="s">
        <v>2227</v>
      </c>
      <c r="G570" s="233">
        <v>41471</v>
      </c>
      <c r="H570" s="228" t="s">
        <v>368</v>
      </c>
      <c r="I570" s="300">
        <v>43296</v>
      </c>
      <c r="J570" s="301">
        <v>1826</v>
      </c>
      <c r="K570" s="301">
        <v>259</v>
      </c>
      <c r="L570" s="301">
        <v>1567</v>
      </c>
      <c r="M570" s="301">
        <v>11550</v>
      </c>
      <c r="N570" s="301">
        <v>211664</v>
      </c>
      <c r="O570" s="292">
        <v>0</v>
      </c>
      <c r="P570" s="301">
        <v>173911</v>
      </c>
      <c r="Q570" s="301">
        <v>1202</v>
      </c>
      <c r="R570" s="292">
        <v>162361</v>
      </c>
      <c r="S570" s="251">
        <v>0</v>
      </c>
      <c r="T570" s="250">
        <v>0</v>
      </c>
      <c r="U570" s="250">
        <v>173911</v>
      </c>
      <c r="V570" s="250">
        <v>0</v>
      </c>
    </row>
    <row r="571" spans="2:22">
      <c r="B571" s="15">
        <f t="shared" si="19"/>
        <v>22</v>
      </c>
      <c r="C571" s="249" t="s">
        <v>2170</v>
      </c>
      <c r="D571" s="254">
        <v>1</v>
      </c>
      <c r="E571" s="250">
        <v>34201</v>
      </c>
      <c r="F571" s="200" t="s">
        <v>2238</v>
      </c>
      <c r="G571" s="233">
        <v>41422</v>
      </c>
      <c r="H571" s="228" t="s">
        <v>282</v>
      </c>
      <c r="I571" s="300">
        <v>43247</v>
      </c>
      <c r="J571" s="301">
        <v>1826</v>
      </c>
      <c r="K571" s="301">
        <v>308</v>
      </c>
      <c r="L571" s="301">
        <v>1518</v>
      </c>
      <c r="M571" s="301">
        <v>1710</v>
      </c>
      <c r="N571" s="301">
        <v>31120</v>
      </c>
      <c r="O571" s="292">
        <v>0</v>
      </c>
      <c r="P571" s="301">
        <v>25347</v>
      </c>
      <c r="Q571" s="301">
        <v>1153</v>
      </c>
      <c r="R571" s="292">
        <v>23637</v>
      </c>
      <c r="S571" s="251">
        <v>0</v>
      </c>
      <c r="T571" s="250">
        <v>0</v>
      </c>
      <c r="U571" s="250">
        <v>25347</v>
      </c>
      <c r="V571" s="250">
        <v>0</v>
      </c>
    </row>
    <row r="572" spans="2:22">
      <c r="B572" s="15">
        <f t="shared" si="19"/>
        <v>23</v>
      </c>
      <c r="C572" s="249" t="s">
        <v>2263</v>
      </c>
      <c r="D572" s="254">
        <v>1</v>
      </c>
      <c r="E572" s="250">
        <v>34201</v>
      </c>
      <c r="F572" s="200" t="s">
        <v>2264</v>
      </c>
      <c r="G572" s="233">
        <v>41533</v>
      </c>
      <c r="H572" s="228" t="s">
        <v>368</v>
      </c>
      <c r="I572" s="300">
        <v>43358</v>
      </c>
      <c r="J572" s="301">
        <v>1826</v>
      </c>
      <c r="K572" s="301">
        <v>197</v>
      </c>
      <c r="L572" s="301">
        <v>1629</v>
      </c>
      <c r="M572" s="301">
        <v>1710</v>
      </c>
      <c r="N572" s="301">
        <v>31614</v>
      </c>
      <c r="O572" s="292">
        <v>0</v>
      </c>
      <c r="P572" s="301">
        <v>26240</v>
      </c>
      <c r="Q572" s="301">
        <v>1264</v>
      </c>
      <c r="R572" s="292">
        <v>24530</v>
      </c>
      <c r="S572" s="251">
        <v>0</v>
      </c>
      <c r="T572" s="250">
        <v>0</v>
      </c>
      <c r="U572" s="250">
        <v>26240</v>
      </c>
      <c r="V572" s="250">
        <v>0</v>
      </c>
    </row>
    <row r="573" spans="2:22">
      <c r="B573" s="15">
        <f t="shared" si="19"/>
        <v>24</v>
      </c>
      <c r="C573" s="249" t="s">
        <v>3892</v>
      </c>
      <c r="D573" s="254">
        <v>1</v>
      </c>
      <c r="E573" s="250">
        <v>14600</v>
      </c>
      <c r="F573" s="200" t="s">
        <v>3888</v>
      </c>
      <c r="G573" s="233">
        <v>42531</v>
      </c>
      <c r="H573" s="228" t="s">
        <v>4366</v>
      </c>
      <c r="I573" s="300">
        <v>44356</v>
      </c>
      <c r="J573" s="301">
        <v>1826</v>
      </c>
      <c r="K573" s="301">
        <v>0</v>
      </c>
      <c r="L573" s="301">
        <v>1826</v>
      </c>
      <c r="M573" s="301">
        <v>730</v>
      </c>
      <c r="N573" s="301">
        <v>13870</v>
      </c>
      <c r="O573" s="292">
        <v>0</v>
      </c>
      <c r="P573" s="301">
        <v>14600</v>
      </c>
      <c r="Q573" s="301">
        <v>1826</v>
      </c>
      <c r="R573" s="292">
        <v>13870</v>
      </c>
      <c r="S573" s="251">
        <v>70</v>
      </c>
      <c r="T573" s="250">
        <v>1263</v>
      </c>
      <c r="U573" s="250">
        <v>14600</v>
      </c>
      <c r="V573" s="250">
        <v>0</v>
      </c>
    </row>
    <row r="574" spans="2:22">
      <c r="B574" s="15">
        <v>25</v>
      </c>
      <c r="C574" s="249" t="s">
        <v>2543</v>
      </c>
      <c r="D574" s="254">
        <v>4</v>
      </c>
      <c r="E574" s="250">
        <v>91392</v>
      </c>
      <c r="F574" s="200" t="s">
        <v>2544</v>
      </c>
      <c r="G574" s="233">
        <v>41889</v>
      </c>
      <c r="H574" s="228" t="s">
        <v>368</v>
      </c>
      <c r="I574" s="300">
        <v>43714</v>
      </c>
      <c r="J574" s="301">
        <v>1826</v>
      </c>
      <c r="K574" s="301">
        <v>0</v>
      </c>
      <c r="L574" s="301">
        <v>1826</v>
      </c>
      <c r="M574" s="301">
        <v>4570</v>
      </c>
      <c r="N574" s="301">
        <v>86822</v>
      </c>
      <c r="O574" s="292">
        <v>0</v>
      </c>
      <c r="P574" s="292">
        <v>81597</v>
      </c>
      <c r="Q574" s="301">
        <v>1620</v>
      </c>
      <c r="R574" s="301">
        <v>77027</v>
      </c>
      <c r="S574" s="292">
        <v>0</v>
      </c>
      <c r="T574" s="251">
        <v>0</v>
      </c>
      <c r="U574" s="250">
        <v>81597</v>
      </c>
      <c r="V574" s="250">
        <v>0</v>
      </c>
    </row>
    <row r="575" spans="2:22">
      <c r="B575" s="15">
        <v>26</v>
      </c>
      <c r="C575" s="249" t="s">
        <v>3904</v>
      </c>
      <c r="D575" s="254">
        <v>3</v>
      </c>
      <c r="E575" s="250">
        <f>27600-6900</f>
        <v>20700</v>
      </c>
      <c r="F575" s="200" t="s">
        <v>3905</v>
      </c>
      <c r="G575" s="233">
        <v>42578</v>
      </c>
      <c r="H575" s="228" t="s">
        <v>895</v>
      </c>
      <c r="I575" s="300">
        <v>44403</v>
      </c>
      <c r="J575" s="301">
        <v>1826</v>
      </c>
      <c r="K575" s="301">
        <v>0</v>
      </c>
      <c r="L575" s="301">
        <v>1826</v>
      </c>
      <c r="M575" s="301">
        <v>1035</v>
      </c>
      <c r="N575" s="301">
        <v>19665</v>
      </c>
      <c r="O575" s="292">
        <v>0</v>
      </c>
      <c r="P575" s="292">
        <v>20700</v>
      </c>
      <c r="Q575" s="301">
        <v>1826</v>
      </c>
      <c r="R575" s="301">
        <v>19665</v>
      </c>
      <c r="S575" s="292">
        <v>117</v>
      </c>
      <c r="T575" s="251">
        <v>2294</v>
      </c>
      <c r="U575" s="250">
        <v>20700</v>
      </c>
      <c r="V575" s="250">
        <v>0</v>
      </c>
    </row>
    <row r="576" spans="2:22">
      <c r="B576" s="15">
        <v>27</v>
      </c>
      <c r="C576" s="249" t="s">
        <v>3904</v>
      </c>
      <c r="D576" s="254">
        <v>1</v>
      </c>
      <c r="E576" s="250">
        <f>ROUND(27600/4*1,)</f>
        <v>6900</v>
      </c>
      <c r="F576" s="200" t="s">
        <v>3905</v>
      </c>
      <c r="G576" s="233">
        <v>42578</v>
      </c>
      <c r="H576" s="228" t="s">
        <v>895</v>
      </c>
      <c r="I576" s="300">
        <v>44403</v>
      </c>
      <c r="J576" s="301">
        <v>1826</v>
      </c>
      <c r="K576" s="301">
        <v>0</v>
      </c>
      <c r="L576" s="301">
        <v>1826</v>
      </c>
      <c r="M576" s="301">
        <v>345</v>
      </c>
      <c r="N576" s="301">
        <v>6555</v>
      </c>
      <c r="O576" s="292">
        <v>0</v>
      </c>
      <c r="P576" s="292">
        <v>6900</v>
      </c>
      <c r="Q576" s="301">
        <v>1826</v>
      </c>
      <c r="R576" s="301">
        <v>6555</v>
      </c>
      <c r="S576" s="292">
        <v>117</v>
      </c>
      <c r="T576" s="251">
        <v>766</v>
      </c>
      <c r="U576" s="250">
        <v>6900</v>
      </c>
      <c r="V576" s="250">
        <v>0</v>
      </c>
    </row>
    <row r="577" spans="2:22">
      <c r="B577" s="15">
        <v>28</v>
      </c>
      <c r="C577" s="249" t="s">
        <v>4312</v>
      </c>
      <c r="D577" s="254">
        <v>1</v>
      </c>
      <c r="E577" s="250">
        <v>12390</v>
      </c>
      <c r="F577" s="200" t="s">
        <v>4313</v>
      </c>
      <c r="G577" s="233">
        <v>43354</v>
      </c>
      <c r="H577" s="228" t="s">
        <v>368</v>
      </c>
      <c r="I577" s="300">
        <v>45179</v>
      </c>
      <c r="J577" s="301">
        <v>1826</v>
      </c>
      <c r="K577" s="301">
        <v>0</v>
      </c>
      <c r="L577" s="301">
        <v>1826</v>
      </c>
      <c r="M577" s="301">
        <v>620</v>
      </c>
      <c r="N577" s="301">
        <v>11770</v>
      </c>
      <c r="O577" s="292">
        <v>0</v>
      </c>
      <c r="P577" s="292">
        <v>12390</v>
      </c>
      <c r="Q577" s="301">
        <v>1826</v>
      </c>
      <c r="R577" s="301">
        <v>11771</v>
      </c>
      <c r="S577" s="292">
        <v>365</v>
      </c>
      <c r="T577" s="251">
        <v>2353</v>
      </c>
      <c r="U577" s="250">
        <v>8367</v>
      </c>
      <c r="V577" s="250">
        <v>4023</v>
      </c>
    </row>
    <row r="578" spans="2:22">
      <c r="B578" s="15">
        <v>29</v>
      </c>
      <c r="C578" s="249" t="s">
        <v>4355</v>
      </c>
      <c r="D578" s="254">
        <v>1</v>
      </c>
      <c r="E578" s="250">
        <v>12390</v>
      </c>
      <c r="F578" s="200" t="s">
        <v>4356</v>
      </c>
      <c r="G578" s="233">
        <v>43652</v>
      </c>
      <c r="H578" s="228" t="s">
        <v>206</v>
      </c>
      <c r="I578" s="300">
        <v>45478</v>
      </c>
      <c r="J578" s="301">
        <v>1827</v>
      </c>
      <c r="K578" s="301">
        <v>0</v>
      </c>
      <c r="L578" s="301">
        <v>1827</v>
      </c>
      <c r="M578" s="301">
        <v>620</v>
      </c>
      <c r="N578" s="301">
        <v>11770</v>
      </c>
      <c r="O578" s="292">
        <v>0</v>
      </c>
      <c r="P578" s="292">
        <v>12390</v>
      </c>
      <c r="Q578" s="301">
        <v>1827</v>
      </c>
      <c r="R578" s="301">
        <v>11771</v>
      </c>
      <c r="S578" s="292">
        <v>365</v>
      </c>
      <c r="T578" s="251">
        <v>2352</v>
      </c>
      <c r="U578" s="250">
        <v>6444</v>
      </c>
      <c r="V578" s="250">
        <v>5946</v>
      </c>
    </row>
    <row r="579" spans="2:22">
      <c r="B579" s="15"/>
      <c r="C579" s="249"/>
      <c r="D579" s="254"/>
      <c r="E579" s="250"/>
      <c r="F579" s="200"/>
      <c r="G579" s="233"/>
      <c r="H579" s="228"/>
      <c r="I579" s="300"/>
      <c r="J579" s="301"/>
      <c r="K579" s="301"/>
      <c r="L579" s="301"/>
      <c r="M579" s="301"/>
      <c r="N579" s="301"/>
      <c r="O579" s="292"/>
      <c r="P579" s="301">
        <v>0</v>
      </c>
      <c r="Q579" s="301"/>
      <c r="R579" s="292"/>
      <c r="S579" s="251"/>
      <c r="T579" s="250"/>
      <c r="U579" s="250"/>
      <c r="V579" s="250"/>
    </row>
    <row r="580" spans="2:22" ht="14.25">
      <c r="B580" s="6" t="s">
        <v>2003</v>
      </c>
      <c r="C580" s="249"/>
      <c r="D580" s="254"/>
      <c r="E580" s="250"/>
      <c r="F580" s="200"/>
      <c r="G580" s="233"/>
      <c r="H580" s="228"/>
      <c r="I580" s="301"/>
      <c r="J580" s="301"/>
      <c r="K580" s="301"/>
      <c r="L580" s="301"/>
      <c r="M580" s="301"/>
      <c r="N580" s="301"/>
      <c r="O580" s="292"/>
      <c r="P580" s="301"/>
      <c r="Q580" s="301"/>
      <c r="R580" s="292"/>
      <c r="S580" s="251"/>
      <c r="T580" s="250"/>
      <c r="U580" s="250"/>
      <c r="V580" s="250"/>
    </row>
    <row r="581" spans="2:22">
      <c r="B581" s="15">
        <v>1</v>
      </c>
      <c r="C581" s="249" t="s">
        <v>2004</v>
      </c>
      <c r="D581" s="254">
        <v>1</v>
      </c>
      <c r="E581" s="250">
        <v>17990</v>
      </c>
      <c r="F581" s="200" t="s">
        <v>2005</v>
      </c>
      <c r="G581" s="233">
        <v>41294</v>
      </c>
      <c r="H581" s="228" t="s">
        <v>368</v>
      </c>
      <c r="I581" s="300">
        <v>43119</v>
      </c>
      <c r="J581" s="301">
        <v>1826</v>
      </c>
      <c r="K581" s="301">
        <v>436</v>
      </c>
      <c r="L581" s="301">
        <v>1390</v>
      </c>
      <c r="M581" s="301">
        <v>900</v>
      </c>
      <c r="N581" s="301">
        <v>16069</v>
      </c>
      <c r="O581" s="292">
        <v>0</v>
      </c>
      <c r="P581" s="301">
        <v>12749</v>
      </c>
      <c r="Q581" s="301">
        <v>1025</v>
      </c>
      <c r="R581" s="292">
        <v>11850</v>
      </c>
      <c r="S581" s="251">
        <v>0</v>
      </c>
      <c r="T581" s="250">
        <v>0</v>
      </c>
      <c r="U581" s="250">
        <v>12749</v>
      </c>
      <c r="V581" s="250">
        <v>0</v>
      </c>
    </row>
    <row r="582" spans="2:22" ht="14.25">
      <c r="B582" s="107" t="s">
        <v>571</v>
      </c>
      <c r="C582" s="229"/>
      <c r="D582" s="230"/>
      <c r="E582" s="252"/>
      <c r="F582" s="254"/>
      <c r="G582" s="233"/>
      <c r="H582" s="228"/>
      <c r="I582" s="301"/>
      <c r="J582" s="301"/>
      <c r="K582" s="301"/>
      <c r="L582" s="301"/>
      <c r="M582" s="301"/>
      <c r="N582" s="301"/>
      <c r="O582" s="292"/>
      <c r="P582" s="301"/>
      <c r="Q582" s="301"/>
      <c r="R582" s="292"/>
      <c r="S582" s="272"/>
      <c r="T582" s="250"/>
      <c r="U582" s="250"/>
      <c r="V582" s="250"/>
    </row>
    <row r="583" spans="2:22" ht="27">
      <c r="B583" s="15">
        <v>1</v>
      </c>
      <c r="C583" s="249" t="s">
        <v>572</v>
      </c>
      <c r="D583" s="254">
        <v>1</v>
      </c>
      <c r="E583" s="250">
        <v>40258</v>
      </c>
      <c r="F583" s="254" t="s">
        <v>42</v>
      </c>
      <c r="G583" s="233">
        <v>40068</v>
      </c>
      <c r="H583" s="228" t="s">
        <v>282</v>
      </c>
      <c r="I583" s="300">
        <v>41893</v>
      </c>
      <c r="J583" s="301">
        <v>1826</v>
      </c>
      <c r="K583" s="301">
        <v>1662</v>
      </c>
      <c r="L583" s="301">
        <v>164</v>
      </c>
      <c r="M583" s="301">
        <v>2013</v>
      </c>
      <c r="N583" s="301">
        <v>29542</v>
      </c>
      <c r="O583" s="292">
        <v>0</v>
      </c>
      <c r="P583" s="301">
        <v>0</v>
      </c>
      <c r="Q583" s="301">
        <v>0</v>
      </c>
      <c r="R583" s="292">
        <v>-2013</v>
      </c>
      <c r="S583" s="251">
        <v>0</v>
      </c>
      <c r="T583" s="250">
        <v>0</v>
      </c>
      <c r="U583" s="250">
        <v>0</v>
      </c>
      <c r="V583" s="250">
        <v>0</v>
      </c>
    </row>
    <row r="584" spans="2:22">
      <c r="B584" s="15">
        <f t="shared" ref="B584:B586" si="20">+B583+1</f>
        <v>2</v>
      </c>
      <c r="C584" s="249" t="s">
        <v>573</v>
      </c>
      <c r="D584" s="254">
        <v>1</v>
      </c>
      <c r="E584" s="250">
        <v>920</v>
      </c>
      <c r="F584" s="254" t="s">
        <v>42</v>
      </c>
      <c r="G584" s="233">
        <v>40068</v>
      </c>
      <c r="H584" s="228" t="s">
        <v>282</v>
      </c>
      <c r="I584" s="301">
        <v>0</v>
      </c>
      <c r="J584" s="301">
        <v>0</v>
      </c>
      <c r="K584" s="301">
        <v>0</v>
      </c>
      <c r="L584" s="301">
        <v>0</v>
      </c>
      <c r="M584" s="301">
        <v>0</v>
      </c>
      <c r="N584" s="301">
        <v>0</v>
      </c>
      <c r="O584" s="292">
        <v>0</v>
      </c>
      <c r="P584" s="301">
        <v>0</v>
      </c>
      <c r="Q584" s="301">
        <v>0</v>
      </c>
      <c r="R584" s="292">
        <v>-46</v>
      </c>
      <c r="S584" s="251">
        <v>0</v>
      </c>
      <c r="T584" s="250">
        <v>0</v>
      </c>
      <c r="U584" s="250">
        <v>0</v>
      </c>
      <c r="V584" s="250">
        <v>0</v>
      </c>
    </row>
    <row r="585" spans="2:22">
      <c r="B585" s="15">
        <f t="shared" si="20"/>
        <v>3</v>
      </c>
      <c r="C585" s="249" t="s">
        <v>183</v>
      </c>
      <c r="D585" s="254">
        <v>1</v>
      </c>
      <c r="E585" s="250">
        <f>465001+4000</f>
        <v>469001</v>
      </c>
      <c r="F585" s="254">
        <v>217</v>
      </c>
      <c r="G585" s="233">
        <v>40096</v>
      </c>
      <c r="H585" s="228" t="s">
        <v>282</v>
      </c>
      <c r="I585" s="300">
        <v>41921</v>
      </c>
      <c r="J585" s="301">
        <v>1826</v>
      </c>
      <c r="K585" s="301">
        <v>1634</v>
      </c>
      <c r="L585" s="301">
        <v>192</v>
      </c>
      <c r="M585" s="301">
        <v>23450</v>
      </c>
      <c r="N585" s="301">
        <v>345881</v>
      </c>
      <c r="O585" s="292">
        <v>0</v>
      </c>
      <c r="P585" s="301">
        <v>0</v>
      </c>
      <c r="Q585" s="301">
        <v>0</v>
      </c>
      <c r="R585" s="292">
        <v>-23450</v>
      </c>
      <c r="S585" s="251">
        <v>0</v>
      </c>
      <c r="T585" s="250">
        <v>0</v>
      </c>
      <c r="U585" s="250">
        <v>0</v>
      </c>
      <c r="V585" s="250">
        <v>0</v>
      </c>
    </row>
    <row r="586" spans="2:22" ht="27">
      <c r="B586" s="15">
        <f t="shared" si="20"/>
        <v>4</v>
      </c>
      <c r="C586" s="249" t="s">
        <v>294</v>
      </c>
      <c r="D586" s="254">
        <v>1</v>
      </c>
      <c r="E586" s="250">
        <v>9117</v>
      </c>
      <c r="F586" s="200" t="s">
        <v>960</v>
      </c>
      <c r="G586" s="233">
        <v>40096</v>
      </c>
      <c r="H586" s="228" t="s">
        <v>282</v>
      </c>
      <c r="I586" s="300">
        <v>41921</v>
      </c>
      <c r="J586" s="301">
        <v>1826</v>
      </c>
      <c r="K586" s="301">
        <v>1634</v>
      </c>
      <c r="L586" s="301">
        <v>192</v>
      </c>
      <c r="M586" s="301">
        <v>456</v>
      </c>
      <c r="N586" s="301">
        <v>6723</v>
      </c>
      <c r="O586" s="292">
        <v>0</v>
      </c>
      <c r="P586" s="301">
        <v>0</v>
      </c>
      <c r="Q586" s="301">
        <v>0</v>
      </c>
      <c r="R586" s="292">
        <v>-456</v>
      </c>
      <c r="S586" s="251">
        <v>0</v>
      </c>
      <c r="T586" s="250">
        <v>0</v>
      </c>
      <c r="U586" s="250">
        <v>0</v>
      </c>
      <c r="V586" s="250">
        <v>0</v>
      </c>
    </row>
    <row r="587" spans="2:22" ht="14.25">
      <c r="B587" s="107" t="s">
        <v>716</v>
      </c>
      <c r="C587" s="228"/>
      <c r="D587" s="230"/>
      <c r="E587" s="252"/>
      <c r="F587" s="254"/>
      <c r="G587" s="230"/>
      <c r="H587" s="228"/>
      <c r="I587" s="301"/>
      <c r="J587" s="301"/>
      <c r="K587" s="301"/>
      <c r="L587" s="301"/>
      <c r="M587" s="301"/>
      <c r="N587" s="301"/>
      <c r="O587" s="292"/>
      <c r="P587" s="301"/>
      <c r="Q587" s="301"/>
      <c r="R587" s="292"/>
      <c r="S587" s="272"/>
      <c r="T587" s="250"/>
      <c r="U587" s="250"/>
      <c r="V587" s="250"/>
    </row>
    <row r="588" spans="2:22">
      <c r="B588" s="15">
        <v>1</v>
      </c>
      <c r="C588" s="249" t="s">
        <v>1053</v>
      </c>
      <c r="D588" s="254" t="s">
        <v>42</v>
      </c>
      <c r="E588" s="250">
        <v>750</v>
      </c>
      <c r="F588" s="200" t="s">
        <v>1054</v>
      </c>
      <c r="G588" s="233">
        <v>40465</v>
      </c>
      <c r="H588" s="228" t="s">
        <v>160</v>
      </c>
      <c r="I588" s="301">
        <v>0</v>
      </c>
      <c r="J588" s="301">
        <v>0</v>
      </c>
      <c r="K588" s="301">
        <v>0</v>
      </c>
      <c r="L588" s="301">
        <v>0</v>
      </c>
      <c r="M588" s="301">
        <v>0</v>
      </c>
      <c r="N588" s="301">
        <v>0</v>
      </c>
      <c r="O588" s="292">
        <v>0</v>
      </c>
      <c r="P588" s="301">
        <v>0</v>
      </c>
      <c r="Q588" s="301">
        <v>0</v>
      </c>
      <c r="R588" s="292">
        <v>-38</v>
      </c>
      <c r="S588" s="251">
        <v>0</v>
      </c>
      <c r="T588" s="250">
        <v>0</v>
      </c>
      <c r="U588" s="250">
        <v>0</v>
      </c>
      <c r="V588" s="250">
        <v>0</v>
      </c>
    </row>
    <row r="589" spans="2:22" ht="27">
      <c r="B589" s="15">
        <f t="shared" ref="B589:B605" si="21">+B588+1</f>
        <v>2</v>
      </c>
      <c r="C589" s="249" t="s">
        <v>502</v>
      </c>
      <c r="D589" s="254">
        <v>4</v>
      </c>
      <c r="E589" s="250">
        <v>17328</v>
      </c>
      <c r="F589" s="200" t="s">
        <v>744</v>
      </c>
      <c r="G589" s="233">
        <v>40465</v>
      </c>
      <c r="H589" s="228" t="s">
        <v>160</v>
      </c>
      <c r="I589" s="301">
        <v>0</v>
      </c>
      <c r="J589" s="301">
        <v>0</v>
      </c>
      <c r="K589" s="301">
        <v>0</v>
      </c>
      <c r="L589" s="301">
        <v>0</v>
      </c>
      <c r="M589" s="301">
        <v>0</v>
      </c>
      <c r="N589" s="301">
        <v>0</v>
      </c>
      <c r="O589" s="292">
        <v>0</v>
      </c>
      <c r="P589" s="301">
        <v>0</v>
      </c>
      <c r="Q589" s="301">
        <v>0</v>
      </c>
      <c r="R589" s="292">
        <v>-866</v>
      </c>
      <c r="S589" s="251">
        <v>0</v>
      </c>
      <c r="T589" s="250">
        <v>0</v>
      </c>
      <c r="U589" s="250">
        <v>0</v>
      </c>
      <c r="V589" s="250">
        <v>0</v>
      </c>
    </row>
    <row r="590" spans="2:22" ht="27">
      <c r="B590" s="15">
        <f t="shared" si="21"/>
        <v>3</v>
      </c>
      <c r="C590" s="249" t="s">
        <v>92</v>
      </c>
      <c r="D590" s="254">
        <v>14</v>
      </c>
      <c r="E590" s="250">
        <v>18200</v>
      </c>
      <c r="F590" s="200" t="s">
        <v>348</v>
      </c>
      <c r="G590" s="233">
        <v>40571</v>
      </c>
      <c r="H590" s="228" t="s">
        <v>160</v>
      </c>
      <c r="I590" s="301">
        <v>0</v>
      </c>
      <c r="J590" s="301">
        <v>0</v>
      </c>
      <c r="K590" s="301">
        <v>0</v>
      </c>
      <c r="L590" s="301">
        <v>0</v>
      </c>
      <c r="M590" s="301">
        <v>0</v>
      </c>
      <c r="N590" s="301">
        <v>0</v>
      </c>
      <c r="O590" s="292">
        <v>0</v>
      </c>
      <c r="P590" s="301">
        <v>0</v>
      </c>
      <c r="Q590" s="301">
        <v>0</v>
      </c>
      <c r="R590" s="292">
        <v>-910</v>
      </c>
      <c r="S590" s="251">
        <v>0</v>
      </c>
      <c r="T590" s="250">
        <v>0</v>
      </c>
      <c r="U590" s="250">
        <v>0</v>
      </c>
      <c r="V590" s="250">
        <v>0</v>
      </c>
    </row>
    <row r="591" spans="2:22">
      <c r="B591" s="15">
        <f t="shared" si="21"/>
        <v>4</v>
      </c>
      <c r="C591" s="249" t="s">
        <v>1396</v>
      </c>
      <c r="D591" s="254">
        <v>20</v>
      </c>
      <c r="E591" s="250">
        <v>277956</v>
      </c>
      <c r="F591" s="254" t="s">
        <v>1397</v>
      </c>
      <c r="G591" s="233">
        <v>40825</v>
      </c>
      <c r="H591" s="228" t="s">
        <v>368</v>
      </c>
      <c r="I591" s="300">
        <v>42651</v>
      </c>
      <c r="J591" s="301">
        <v>1827</v>
      </c>
      <c r="K591" s="301">
        <v>905</v>
      </c>
      <c r="L591" s="301">
        <v>922</v>
      </c>
      <c r="M591" s="301">
        <v>13898</v>
      </c>
      <c r="N591" s="301">
        <v>231339</v>
      </c>
      <c r="O591" s="292">
        <v>0</v>
      </c>
      <c r="P591" s="301">
        <v>153655</v>
      </c>
      <c r="Q591" s="301">
        <v>557</v>
      </c>
      <c r="R591" s="292">
        <v>139757</v>
      </c>
      <c r="S591" s="251">
        <v>0</v>
      </c>
      <c r="T591" s="250">
        <v>0</v>
      </c>
      <c r="U591" s="250">
        <v>153655</v>
      </c>
      <c r="V591" s="250">
        <v>0</v>
      </c>
    </row>
    <row r="592" spans="2:22">
      <c r="B592" s="15">
        <f t="shared" si="21"/>
        <v>5</v>
      </c>
      <c r="C592" s="249" t="s">
        <v>1420</v>
      </c>
      <c r="D592" s="254">
        <v>2</v>
      </c>
      <c r="E592" s="250">
        <v>46649</v>
      </c>
      <c r="F592" s="200" t="s">
        <v>1421</v>
      </c>
      <c r="G592" s="233">
        <v>40858</v>
      </c>
      <c r="H592" s="228" t="s">
        <v>368</v>
      </c>
      <c r="I592" s="300">
        <v>42684</v>
      </c>
      <c r="J592" s="301">
        <v>1827</v>
      </c>
      <c r="K592" s="301">
        <v>872</v>
      </c>
      <c r="L592" s="301">
        <v>955</v>
      </c>
      <c r="M592" s="301">
        <v>2332</v>
      </c>
      <c r="N592" s="301">
        <v>39025</v>
      </c>
      <c r="O592" s="292">
        <v>0</v>
      </c>
      <c r="P592" s="301">
        <v>26442</v>
      </c>
      <c r="Q592" s="301">
        <v>590</v>
      </c>
      <c r="R592" s="292">
        <v>24110</v>
      </c>
      <c r="S592" s="251">
        <v>0</v>
      </c>
      <c r="T592" s="250">
        <v>0</v>
      </c>
      <c r="U592" s="250">
        <v>26442</v>
      </c>
      <c r="V592" s="250">
        <v>0</v>
      </c>
    </row>
    <row r="593" spans="2:22">
      <c r="B593" s="15">
        <f t="shared" si="21"/>
        <v>6</v>
      </c>
      <c r="C593" s="249" t="s">
        <v>2012</v>
      </c>
      <c r="D593" s="254">
        <v>1</v>
      </c>
      <c r="E593" s="250">
        <v>13965</v>
      </c>
      <c r="F593" s="200" t="s">
        <v>2013</v>
      </c>
      <c r="G593" s="233">
        <v>41284</v>
      </c>
      <c r="H593" s="228" t="s">
        <v>368</v>
      </c>
      <c r="I593" s="300">
        <v>43109</v>
      </c>
      <c r="J593" s="301">
        <v>1826</v>
      </c>
      <c r="K593" s="301">
        <v>446</v>
      </c>
      <c r="L593" s="301">
        <v>1380</v>
      </c>
      <c r="M593" s="301">
        <v>698</v>
      </c>
      <c r="N593" s="301">
        <v>12457</v>
      </c>
      <c r="O593" s="292">
        <v>0</v>
      </c>
      <c r="P593" s="301">
        <v>9860</v>
      </c>
      <c r="Q593" s="301">
        <v>1015</v>
      </c>
      <c r="R593" s="292">
        <v>9162</v>
      </c>
      <c r="S593" s="251">
        <v>0</v>
      </c>
      <c r="T593" s="250">
        <v>0</v>
      </c>
      <c r="U593" s="250">
        <v>9860</v>
      </c>
      <c r="V593" s="250">
        <v>0</v>
      </c>
    </row>
    <row r="594" spans="2:22">
      <c r="B594" s="15">
        <f t="shared" si="21"/>
        <v>7</v>
      </c>
      <c r="C594" s="249" t="s">
        <v>2012</v>
      </c>
      <c r="D594" s="254">
        <v>3</v>
      </c>
      <c r="E594" s="250">
        <v>8379</v>
      </c>
      <c r="F594" s="200" t="s">
        <v>2027</v>
      </c>
      <c r="G594" s="233">
        <v>41318</v>
      </c>
      <c r="H594" s="228" t="s">
        <v>368</v>
      </c>
      <c r="I594" s="301">
        <v>0</v>
      </c>
      <c r="J594" s="301">
        <v>0</v>
      </c>
      <c r="K594" s="301">
        <v>0</v>
      </c>
      <c r="L594" s="301">
        <v>0</v>
      </c>
      <c r="M594" s="301">
        <v>0</v>
      </c>
      <c r="N594" s="301">
        <v>0</v>
      </c>
      <c r="O594" s="292">
        <v>0</v>
      </c>
      <c r="P594" s="301">
        <v>0</v>
      </c>
      <c r="Q594" s="301">
        <v>0</v>
      </c>
      <c r="R594" s="292">
        <v>-419</v>
      </c>
      <c r="S594" s="251">
        <v>0</v>
      </c>
      <c r="T594" s="250">
        <v>0</v>
      </c>
      <c r="U594" s="250">
        <v>0</v>
      </c>
      <c r="V594" s="250">
        <v>0</v>
      </c>
    </row>
    <row r="595" spans="2:22" ht="27">
      <c r="B595" s="15">
        <f t="shared" si="21"/>
        <v>8</v>
      </c>
      <c r="C595" s="249" t="s">
        <v>2151</v>
      </c>
      <c r="D595" s="230">
        <v>6</v>
      </c>
      <c r="E595" s="250">
        <v>14700</v>
      </c>
      <c r="F595" s="366" t="s">
        <v>2152</v>
      </c>
      <c r="G595" s="233">
        <v>41365</v>
      </c>
      <c r="H595" s="228" t="s">
        <v>368</v>
      </c>
      <c r="I595" s="301">
        <v>0</v>
      </c>
      <c r="J595" s="301">
        <v>0</v>
      </c>
      <c r="K595" s="301">
        <v>0</v>
      </c>
      <c r="L595" s="301">
        <v>0</v>
      </c>
      <c r="M595" s="301">
        <v>0</v>
      </c>
      <c r="N595" s="301">
        <v>0</v>
      </c>
      <c r="O595" s="292">
        <v>0</v>
      </c>
      <c r="P595" s="301">
        <v>0</v>
      </c>
      <c r="Q595" s="301">
        <v>0</v>
      </c>
      <c r="R595" s="292">
        <v>-735</v>
      </c>
      <c r="S595" s="251">
        <v>0</v>
      </c>
      <c r="T595" s="250">
        <v>0</v>
      </c>
      <c r="U595" s="250">
        <v>0</v>
      </c>
      <c r="V595" s="250">
        <v>0</v>
      </c>
    </row>
    <row r="596" spans="2:22">
      <c r="B596" s="15">
        <f t="shared" si="21"/>
        <v>9</v>
      </c>
      <c r="C596" s="249" t="s">
        <v>2154</v>
      </c>
      <c r="D596" s="230">
        <f>1+1</f>
        <v>2</v>
      </c>
      <c r="E596" s="250">
        <v>21090</v>
      </c>
      <c r="F596" s="366" t="s">
        <v>2153</v>
      </c>
      <c r="G596" s="233">
        <v>41421</v>
      </c>
      <c r="H596" s="228" t="s">
        <v>368</v>
      </c>
      <c r="I596" s="300">
        <v>43246</v>
      </c>
      <c r="J596" s="301">
        <v>1826</v>
      </c>
      <c r="K596" s="301">
        <v>309</v>
      </c>
      <c r="L596" s="301">
        <v>1517</v>
      </c>
      <c r="M596" s="301">
        <v>1055</v>
      </c>
      <c r="N596" s="301">
        <v>19187</v>
      </c>
      <c r="O596" s="292">
        <v>0</v>
      </c>
      <c r="P596" s="301">
        <v>15625</v>
      </c>
      <c r="Q596" s="301">
        <v>1152</v>
      </c>
      <c r="R596" s="292">
        <v>14571</v>
      </c>
      <c r="S596" s="251">
        <v>0</v>
      </c>
      <c r="T596" s="250">
        <v>0</v>
      </c>
      <c r="U596" s="250">
        <v>15625</v>
      </c>
      <c r="V596" s="250">
        <v>0</v>
      </c>
    </row>
    <row r="597" spans="2:22">
      <c r="B597" s="15">
        <f t="shared" si="21"/>
        <v>10</v>
      </c>
      <c r="C597" s="249" t="s">
        <v>2216</v>
      </c>
      <c r="D597" s="230">
        <v>1</v>
      </c>
      <c r="E597" s="250">
        <v>4218</v>
      </c>
      <c r="F597" s="366" t="s">
        <v>2217</v>
      </c>
      <c r="G597" s="233">
        <v>41459</v>
      </c>
      <c r="H597" s="228" t="s">
        <v>368</v>
      </c>
      <c r="I597" s="301">
        <v>0</v>
      </c>
      <c r="J597" s="301">
        <v>0</v>
      </c>
      <c r="K597" s="301">
        <v>0</v>
      </c>
      <c r="L597" s="301">
        <v>0</v>
      </c>
      <c r="M597" s="301">
        <v>0</v>
      </c>
      <c r="N597" s="301">
        <v>0</v>
      </c>
      <c r="O597" s="292">
        <v>0</v>
      </c>
      <c r="P597" s="301">
        <v>0</v>
      </c>
      <c r="Q597" s="301">
        <v>0</v>
      </c>
      <c r="R597" s="292">
        <v>-211</v>
      </c>
      <c r="S597" s="251">
        <v>0</v>
      </c>
      <c r="T597" s="250">
        <v>0</v>
      </c>
      <c r="U597" s="250">
        <v>0</v>
      </c>
      <c r="V597" s="250">
        <v>0</v>
      </c>
    </row>
    <row r="598" spans="2:22">
      <c r="B598" s="15">
        <f t="shared" si="21"/>
        <v>11</v>
      </c>
      <c r="C598" s="249" t="s">
        <v>2296</v>
      </c>
      <c r="D598" s="230">
        <v>10</v>
      </c>
      <c r="E598" s="250">
        <v>31350</v>
      </c>
      <c r="F598" s="366" t="s">
        <v>2297</v>
      </c>
      <c r="G598" s="233">
        <v>41608</v>
      </c>
      <c r="H598" s="228" t="s">
        <v>368</v>
      </c>
      <c r="I598" s="301">
        <v>0</v>
      </c>
      <c r="J598" s="301">
        <v>0</v>
      </c>
      <c r="K598" s="301">
        <v>0</v>
      </c>
      <c r="L598" s="301">
        <v>0</v>
      </c>
      <c r="M598" s="301">
        <v>0</v>
      </c>
      <c r="N598" s="301">
        <v>0</v>
      </c>
      <c r="O598" s="292">
        <v>0</v>
      </c>
      <c r="P598" s="301">
        <v>0</v>
      </c>
      <c r="Q598" s="301">
        <v>0</v>
      </c>
      <c r="R598" s="292">
        <v>-1568</v>
      </c>
      <c r="S598" s="251">
        <v>0</v>
      </c>
      <c r="T598" s="250">
        <v>0</v>
      </c>
      <c r="U598" s="250">
        <v>0</v>
      </c>
      <c r="V598" s="250">
        <v>0</v>
      </c>
    </row>
    <row r="599" spans="2:22">
      <c r="B599" s="15">
        <f t="shared" si="21"/>
        <v>12</v>
      </c>
      <c r="C599" s="249" t="s">
        <v>2296</v>
      </c>
      <c r="D599" s="230">
        <v>4</v>
      </c>
      <c r="E599" s="250">
        <v>12540</v>
      </c>
      <c r="F599" s="366" t="s">
        <v>2297</v>
      </c>
      <c r="G599" s="233">
        <v>41608</v>
      </c>
      <c r="H599" s="228" t="s">
        <v>368</v>
      </c>
      <c r="I599" s="301">
        <v>0</v>
      </c>
      <c r="J599" s="301">
        <v>0</v>
      </c>
      <c r="K599" s="301">
        <v>0</v>
      </c>
      <c r="L599" s="301">
        <v>0</v>
      </c>
      <c r="M599" s="301">
        <v>0</v>
      </c>
      <c r="N599" s="301">
        <v>0</v>
      </c>
      <c r="O599" s="292">
        <v>0</v>
      </c>
      <c r="P599" s="301">
        <v>0</v>
      </c>
      <c r="Q599" s="301">
        <v>0</v>
      </c>
      <c r="R599" s="292">
        <v>-627</v>
      </c>
      <c r="S599" s="251">
        <v>0</v>
      </c>
      <c r="T599" s="250">
        <v>0</v>
      </c>
      <c r="U599" s="250">
        <v>0</v>
      </c>
      <c r="V599" s="250">
        <v>0</v>
      </c>
    </row>
    <row r="600" spans="2:22">
      <c r="B600" s="15">
        <f t="shared" si="21"/>
        <v>13</v>
      </c>
      <c r="C600" s="249" t="s">
        <v>2303</v>
      </c>
      <c r="D600" s="230">
        <v>2</v>
      </c>
      <c r="E600" s="250">
        <v>12240</v>
      </c>
      <c r="F600" s="366" t="s">
        <v>2304</v>
      </c>
      <c r="G600" s="233">
        <v>41659</v>
      </c>
      <c r="H600" s="228" t="s">
        <v>368</v>
      </c>
      <c r="I600" s="300">
        <v>43484</v>
      </c>
      <c r="J600" s="301">
        <v>1826</v>
      </c>
      <c r="K600" s="301">
        <v>71</v>
      </c>
      <c r="L600" s="301">
        <v>1755</v>
      </c>
      <c r="M600" s="301">
        <v>612</v>
      </c>
      <c r="N600" s="301">
        <v>11515</v>
      </c>
      <c r="O600" s="292">
        <v>0</v>
      </c>
      <c r="P600" s="301">
        <v>9732</v>
      </c>
      <c r="Q600" s="301">
        <v>1390</v>
      </c>
      <c r="R600" s="292">
        <v>9120</v>
      </c>
      <c r="S600" s="251">
        <v>0</v>
      </c>
      <c r="T600" s="250">
        <v>0</v>
      </c>
      <c r="U600" s="250">
        <v>9732</v>
      </c>
      <c r="V600" s="250">
        <v>0</v>
      </c>
    </row>
    <row r="601" spans="2:22">
      <c r="B601" s="15">
        <f t="shared" si="21"/>
        <v>14</v>
      </c>
      <c r="C601" s="249" t="s">
        <v>2315</v>
      </c>
      <c r="D601" s="230">
        <v>10</v>
      </c>
      <c r="E601" s="250">
        <v>423675</v>
      </c>
      <c r="F601" s="366" t="s">
        <v>2316</v>
      </c>
      <c r="G601" s="233">
        <v>41696</v>
      </c>
      <c r="H601" s="228" t="s">
        <v>368</v>
      </c>
      <c r="I601" s="301">
        <v>43521</v>
      </c>
      <c r="J601" s="301">
        <v>1826</v>
      </c>
      <c r="K601" s="301">
        <v>34</v>
      </c>
      <c r="L601" s="301">
        <v>1792</v>
      </c>
      <c r="M601" s="301">
        <v>21184</v>
      </c>
      <c r="N601" s="301">
        <v>400616</v>
      </c>
      <c r="O601" s="292">
        <v>0</v>
      </c>
      <c r="P601" s="301">
        <v>340201</v>
      </c>
      <c r="Q601" s="301">
        <v>1427</v>
      </c>
      <c r="R601" s="292">
        <v>319017</v>
      </c>
      <c r="S601" s="251">
        <v>0</v>
      </c>
      <c r="T601" s="250">
        <v>0</v>
      </c>
      <c r="U601" s="250">
        <v>340201</v>
      </c>
      <c r="V601" s="250">
        <v>0</v>
      </c>
    </row>
    <row r="602" spans="2:22" ht="27">
      <c r="B602" s="15">
        <f t="shared" si="21"/>
        <v>15</v>
      </c>
      <c r="C602" s="249" t="s">
        <v>2974</v>
      </c>
      <c r="D602" s="230" t="s">
        <v>314</v>
      </c>
      <c r="E602" s="250">
        <v>10632155</v>
      </c>
      <c r="F602" s="366" t="s">
        <v>2975</v>
      </c>
      <c r="G602" s="233">
        <v>42095</v>
      </c>
      <c r="H602" s="228" t="s">
        <v>368</v>
      </c>
      <c r="I602" s="300">
        <v>43921</v>
      </c>
      <c r="J602" s="301">
        <v>1827</v>
      </c>
      <c r="K602" s="301">
        <v>0</v>
      </c>
      <c r="L602" s="301">
        <v>1827</v>
      </c>
      <c r="M602" s="301">
        <v>531608</v>
      </c>
      <c r="N602" s="292">
        <v>10100547</v>
      </c>
      <c r="O602" s="292">
        <v>0</v>
      </c>
      <c r="P602" s="301">
        <v>10632155</v>
      </c>
      <c r="Q602" s="301">
        <v>1827</v>
      </c>
      <c r="R602" s="292">
        <v>10100547</v>
      </c>
      <c r="S602" s="251">
        <v>0</v>
      </c>
      <c r="T602" s="250">
        <v>0</v>
      </c>
      <c r="U602" s="250">
        <v>10632155</v>
      </c>
      <c r="V602" s="250">
        <v>0</v>
      </c>
    </row>
    <row r="603" spans="2:22" ht="27">
      <c r="B603" s="15">
        <f t="shared" si="21"/>
        <v>16</v>
      </c>
      <c r="C603" s="249" t="s">
        <v>2976</v>
      </c>
      <c r="D603" s="230" t="s">
        <v>314</v>
      </c>
      <c r="E603" s="250">
        <v>1366370</v>
      </c>
      <c r="F603" s="366" t="s">
        <v>31</v>
      </c>
      <c r="G603" s="233">
        <v>42095</v>
      </c>
      <c r="H603" s="228" t="s">
        <v>368</v>
      </c>
      <c r="I603" s="300">
        <v>43921</v>
      </c>
      <c r="J603" s="301">
        <v>1827</v>
      </c>
      <c r="K603" s="301">
        <v>0</v>
      </c>
      <c r="L603" s="301">
        <v>1827</v>
      </c>
      <c r="M603" s="301">
        <v>68319</v>
      </c>
      <c r="N603" s="301">
        <v>1298051</v>
      </c>
      <c r="O603" s="292">
        <v>0</v>
      </c>
      <c r="P603" s="301">
        <v>1366370</v>
      </c>
      <c r="Q603" s="301">
        <v>1827</v>
      </c>
      <c r="R603" s="292">
        <v>1298052</v>
      </c>
      <c r="S603" s="251">
        <v>0</v>
      </c>
      <c r="T603" s="250">
        <v>0</v>
      </c>
      <c r="U603" s="250">
        <v>1366370</v>
      </c>
      <c r="V603" s="250">
        <v>0</v>
      </c>
    </row>
    <row r="604" spans="2:22" ht="27">
      <c r="B604" s="15">
        <f t="shared" si="21"/>
        <v>17</v>
      </c>
      <c r="C604" s="249" t="s">
        <v>2977</v>
      </c>
      <c r="D604" s="230" t="s">
        <v>314</v>
      </c>
      <c r="E604" s="250">
        <v>1691698</v>
      </c>
      <c r="F604" s="366" t="s">
        <v>31</v>
      </c>
      <c r="G604" s="233">
        <v>42095</v>
      </c>
      <c r="H604" s="228" t="s">
        <v>368</v>
      </c>
      <c r="I604" s="300">
        <v>43921</v>
      </c>
      <c r="J604" s="301">
        <v>1827</v>
      </c>
      <c r="K604" s="301">
        <v>0</v>
      </c>
      <c r="L604" s="301">
        <v>1827</v>
      </c>
      <c r="M604" s="301">
        <v>84585</v>
      </c>
      <c r="N604" s="301">
        <v>1607113</v>
      </c>
      <c r="O604" s="292">
        <v>0</v>
      </c>
      <c r="P604" s="301">
        <v>1691698</v>
      </c>
      <c r="Q604" s="301">
        <v>1827</v>
      </c>
      <c r="R604" s="292">
        <v>1607113</v>
      </c>
      <c r="S604" s="251">
        <v>0</v>
      </c>
      <c r="T604" s="250">
        <v>0</v>
      </c>
      <c r="U604" s="250">
        <v>1691698</v>
      </c>
      <c r="V604" s="250">
        <v>0</v>
      </c>
    </row>
    <row r="605" spans="2:22">
      <c r="B605" s="15">
        <f t="shared" si="21"/>
        <v>18</v>
      </c>
      <c r="C605" s="249" t="s">
        <v>2978</v>
      </c>
      <c r="D605" s="230" t="s">
        <v>314</v>
      </c>
      <c r="E605" s="250">
        <v>454897</v>
      </c>
      <c r="F605" s="366" t="s">
        <v>2979</v>
      </c>
      <c r="G605" s="233">
        <v>42095</v>
      </c>
      <c r="H605" s="228" t="s">
        <v>368</v>
      </c>
      <c r="I605" s="300">
        <v>43921</v>
      </c>
      <c r="J605" s="301">
        <v>1827</v>
      </c>
      <c r="K605" s="301">
        <v>0</v>
      </c>
      <c r="L605" s="301">
        <v>1827</v>
      </c>
      <c r="M605" s="301">
        <v>22745</v>
      </c>
      <c r="N605" s="301">
        <v>432152</v>
      </c>
      <c r="O605" s="292">
        <v>0</v>
      </c>
      <c r="P605" s="301">
        <v>454897</v>
      </c>
      <c r="Q605" s="301">
        <v>1827</v>
      </c>
      <c r="R605" s="292">
        <v>432152</v>
      </c>
      <c r="S605" s="251">
        <v>0</v>
      </c>
      <c r="T605" s="250">
        <v>0</v>
      </c>
      <c r="U605" s="250">
        <v>454897</v>
      </c>
      <c r="V605" s="250">
        <v>0</v>
      </c>
    </row>
    <row r="606" spans="2:22">
      <c r="B606" s="15">
        <v>19</v>
      </c>
      <c r="C606" s="249" t="s">
        <v>4053</v>
      </c>
      <c r="D606" s="230">
        <v>1</v>
      </c>
      <c r="E606" s="250">
        <v>44924</v>
      </c>
      <c r="F606" s="366" t="s">
        <v>4054</v>
      </c>
      <c r="G606" s="233">
        <v>42847</v>
      </c>
      <c r="H606" s="228" t="s">
        <v>895</v>
      </c>
      <c r="I606" s="300">
        <v>44672</v>
      </c>
      <c r="J606" s="301">
        <v>1826</v>
      </c>
      <c r="K606" s="301">
        <v>0</v>
      </c>
      <c r="L606" s="301">
        <v>1826</v>
      </c>
      <c r="M606" s="301">
        <v>2246</v>
      </c>
      <c r="N606" s="301">
        <v>42678</v>
      </c>
      <c r="O606" s="292"/>
      <c r="P606" s="292">
        <v>44924</v>
      </c>
      <c r="Q606" s="301">
        <v>1826</v>
      </c>
      <c r="R606" s="301">
        <v>42678</v>
      </c>
      <c r="S606" s="292">
        <v>365</v>
      </c>
      <c r="T606" s="251">
        <v>8531</v>
      </c>
      <c r="U606" s="250">
        <v>42187</v>
      </c>
      <c r="V606" s="250">
        <v>2737</v>
      </c>
    </row>
    <row r="607" spans="2:22">
      <c r="B607" s="15">
        <v>20</v>
      </c>
      <c r="C607" s="249" t="s">
        <v>4053</v>
      </c>
      <c r="D607" s="230">
        <v>1</v>
      </c>
      <c r="E607" s="250">
        <v>128658</v>
      </c>
      <c r="F607" s="366" t="s">
        <v>4055</v>
      </c>
      <c r="G607" s="233">
        <v>42853</v>
      </c>
      <c r="H607" s="228" t="s">
        <v>895</v>
      </c>
      <c r="I607" s="300">
        <v>44678</v>
      </c>
      <c r="J607" s="301">
        <v>1826</v>
      </c>
      <c r="K607" s="301">
        <v>0</v>
      </c>
      <c r="L607" s="301">
        <v>1826</v>
      </c>
      <c r="M607" s="301">
        <v>6433</v>
      </c>
      <c r="N607" s="301">
        <v>122225</v>
      </c>
      <c r="O607" s="292"/>
      <c r="P607" s="292">
        <v>128658</v>
      </c>
      <c r="Q607" s="301">
        <v>1826</v>
      </c>
      <c r="R607" s="301">
        <v>122225</v>
      </c>
      <c r="S607" s="292">
        <v>365</v>
      </c>
      <c r="T607" s="251">
        <v>24432</v>
      </c>
      <c r="U607" s="250">
        <v>120419</v>
      </c>
      <c r="V607" s="250">
        <v>8239</v>
      </c>
    </row>
    <row r="608" spans="2:22">
      <c r="B608" s="15">
        <v>21</v>
      </c>
      <c r="C608" s="249" t="s">
        <v>4056</v>
      </c>
      <c r="D608" s="230">
        <v>1</v>
      </c>
      <c r="E608" s="250">
        <v>9635</v>
      </c>
      <c r="F608" s="366" t="s">
        <v>4057</v>
      </c>
      <c r="G608" s="233">
        <v>42871</v>
      </c>
      <c r="H608" s="228" t="s">
        <v>895</v>
      </c>
      <c r="I608" s="300">
        <v>44696</v>
      </c>
      <c r="J608" s="301">
        <v>1826</v>
      </c>
      <c r="K608" s="301">
        <v>0</v>
      </c>
      <c r="L608" s="301">
        <v>1826</v>
      </c>
      <c r="M608" s="301">
        <v>482</v>
      </c>
      <c r="N608" s="301">
        <v>9153</v>
      </c>
      <c r="O608" s="292"/>
      <c r="P608" s="292">
        <v>9635</v>
      </c>
      <c r="Q608" s="301">
        <v>1826</v>
      </c>
      <c r="R608" s="301">
        <v>9153</v>
      </c>
      <c r="S608" s="292">
        <v>365</v>
      </c>
      <c r="T608" s="251">
        <v>1830</v>
      </c>
      <c r="U608" s="250">
        <v>8929</v>
      </c>
      <c r="V608" s="250">
        <v>706</v>
      </c>
    </row>
    <row r="609" spans="2:22">
      <c r="B609" s="15">
        <v>22</v>
      </c>
      <c r="C609" s="249" t="s">
        <v>4543</v>
      </c>
      <c r="D609" s="230">
        <f>10+5</f>
        <v>15</v>
      </c>
      <c r="E609" s="250">
        <v>33500</v>
      </c>
      <c r="F609" s="366" t="s">
        <v>2925</v>
      </c>
      <c r="G609" s="233">
        <v>44224</v>
      </c>
      <c r="H609" s="228" t="s">
        <v>368</v>
      </c>
      <c r="I609" s="300">
        <v>46049</v>
      </c>
      <c r="J609" s="301">
        <v>1826</v>
      </c>
      <c r="K609" s="301">
        <v>0</v>
      </c>
      <c r="L609" s="301">
        <v>1826</v>
      </c>
      <c r="M609" s="301">
        <v>1675</v>
      </c>
      <c r="N609" s="301">
        <v>31825</v>
      </c>
      <c r="O609" s="292"/>
      <c r="P609" s="292">
        <v>33500</v>
      </c>
      <c r="Q609" s="301">
        <v>1826</v>
      </c>
      <c r="R609" s="301">
        <v>31825</v>
      </c>
      <c r="S609" s="292">
        <v>365</v>
      </c>
      <c r="T609" s="251">
        <v>6362</v>
      </c>
      <c r="U609" s="250">
        <v>7460</v>
      </c>
      <c r="V609" s="250">
        <v>26040</v>
      </c>
    </row>
    <row r="610" spans="2:22">
      <c r="B610" s="15"/>
      <c r="C610" s="249"/>
      <c r="D610" s="230"/>
      <c r="E610" s="250"/>
      <c r="F610" s="366"/>
      <c r="G610" s="233"/>
      <c r="H610" s="228"/>
      <c r="I610" s="301"/>
      <c r="J610" s="301"/>
      <c r="K610" s="301"/>
      <c r="L610" s="301"/>
      <c r="M610" s="301"/>
      <c r="N610" s="301"/>
      <c r="O610" s="292"/>
      <c r="P610" s="301">
        <v>0</v>
      </c>
      <c r="Q610" s="301"/>
      <c r="R610" s="292"/>
      <c r="S610" s="251"/>
      <c r="T610" s="250"/>
      <c r="U610" s="250"/>
      <c r="V610" s="250"/>
    </row>
    <row r="611" spans="2:22" ht="14.25">
      <c r="B611" s="107" t="s">
        <v>574</v>
      </c>
      <c r="C611" s="228"/>
      <c r="D611" s="230"/>
      <c r="E611" s="250"/>
      <c r="F611" s="254"/>
      <c r="G611" s="230"/>
      <c r="H611" s="228"/>
      <c r="I611" s="301"/>
      <c r="J611" s="301"/>
      <c r="K611" s="301"/>
      <c r="L611" s="301"/>
      <c r="M611" s="301"/>
      <c r="N611" s="301"/>
      <c r="O611" s="292"/>
      <c r="P611" s="301"/>
      <c r="Q611" s="301"/>
      <c r="R611" s="292"/>
      <c r="S611" s="272"/>
      <c r="T611" s="250"/>
      <c r="U611" s="250"/>
      <c r="V611" s="250"/>
    </row>
    <row r="612" spans="2:22">
      <c r="B612" s="15">
        <v>1</v>
      </c>
      <c r="C612" s="249" t="s">
        <v>955</v>
      </c>
      <c r="D612" s="254">
        <v>2</v>
      </c>
      <c r="E612" s="250">
        <v>2200</v>
      </c>
      <c r="F612" s="254" t="s">
        <v>42</v>
      </c>
      <c r="G612" s="233">
        <v>39834</v>
      </c>
      <c r="H612" s="228" t="s">
        <v>282</v>
      </c>
      <c r="I612" s="301">
        <v>0</v>
      </c>
      <c r="J612" s="301">
        <v>0</v>
      </c>
      <c r="K612" s="301">
        <v>0</v>
      </c>
      <c r="L612" s="301">
        <v>0</v>
      </c>
      <c r="M612" s="301">
        <v>0</v>
      </c>
      <c r="N612" s="301">
        <v>0</v>
      </c>
      <c r="O612" s="292">
        <v>0</v>
      </c>
      <c r="P612" s="301">
        <v>0</v>
      </c>
      <c r="Q612" s="301">
        <v>0</v>
      </c>
      <c r="R612" s="292">
        <v>-110</v>
      </c>
      <c r="S612" s="251">
        <v>0</v>
      </c>
      <c r="T612" s="250">
        <v>0</v>
      </c>
      <c r="U612" s="250">
        <v>0</v>
      </c>
      <c r="V612" s="250">
        <v>0</v>
      </c>
    </row>
    <row r="613" spans="2:22">
      <c r="B613" s="15">
        <f>+B612+1</f>
        <v>2</v>
      </c>
      <c r="C613" s="249" t="s">
        <v>491</v>
      </c>
      <c r="D613" s="254">
        <v>18</v>
      </c>
      <c r="E613" s="250">
        <v>103193</v>
      </c>
      <c r="F613" s="254">
        <v>81</v>
      </c>
      <c r="G613" s="233">
        <v>40059</v>
      </c>
      <c r="H613" s="228" t="s">
        <v>282</v>
      </c>
      <c r="I613" s="300">
        <v>41884</v>
      </c>
      <c r="J613" s="301">
        <v>1826</v>
      </c>
      <c r="K613" s="301">
        <v>1671</v>
      </c>
      <c r="L613" s="301">
        <v>155</v>
      </c>
      <c r="M613" s="301">
        <v>5160</v>
      </c>
      <c r="N613" s="301">
        <v>75605</v>
      </c>
      <c r="O613" s="292">
        <v>0</v>
      </c>
      <c r="P613" s="301">
        <v>0</v>
      </c>
      <c r="Q613" s="301">
        <v>0</v>
      </c>
      <c r="R613" s="292">
        <v>-5160</v>
      </c>
      <c r="S613" s="251">
        <v>0</v>
      </c>
      <c r="T613" s="250">
        <v>0</v>
      </c>
      <c r="U613" s="250">
        <v>0</v>
      </c>
      <c r="V613" s="250">
        <v>0</v>
      </c>
    </row>
    <row r="614" spans="2:22">
      <c r="B614" s="15">
        <f t="shared" ref="B614:B639" si="22">+B613+1</f>
        <v>3</v>
      </c>
      <c r="C614" s="249" t="s">
        <v>492</v>
      </c>
      <c r="D614" s="254">
        <v>1</v>
      </c>
      <c r="E614" s="250">
        <v>34670</v>
      </c>
      <c r="F614" s="254">
        <v>81</v>
      </c>
      <c r="G614" s="233">
        <v>40059</v>
      </c>
      <c r="H614" s="228" t="s">
        <v>282</v>
      </c>
      <c r="I614" s="300">
        <v>41884</v>
      </c>
      <c r="J614" s="301">
        <v>1826</v>
      </c>
      <c r="K614" s="301">
        <v>1671</v>
      </c>
      <c r="L614" s="301">
        <v>155</v>
      </c>
      <c r="M614" s="301">
        <v>1734</v>
      </c>
      <c r="N614" s="301">
        <v>25402</v>
      </c>
      <c r="O614" s="292">
        <v>0</v>
      </c>
      <c r="P614" s="301">
        <v>0</v>
      </c>
      <c r="Q614" s="301">
        <v>0</v>
      </c>
      <c r="R614" s="292">
        <v>-1734</v>
      </c>
      <c r="S614" s="251">
        <v>0</v>
      </c>
      <c r="T614" s="250">
        <v>0</v>
      </c>
      <c r="U614" s="250">
        <v>0</v>
      </c>
      <c r="V614" s="250">
        <v>0</v>
      </c>
    </row>
    <row r="615" spans="2:22">
      <c r="B615" s="15">
        <f t="shared" si="22"/>
        <v>4</v>
      </c>
      <c r="C615" s="249" t="s">
        <v>493</v>
      </c>
      <c r="D615" s="254">
        <v>1</v>
      </c>
      <c r="E615" s="250">
        <v>8190</v>
      </c>
      <c r="F615" s="254">
        <v>81</v>
      </c>
      <c r="G615" s="233">
        <v>40059</v>
      </c>
      <c r="H615" s="228" t="s">
        <v>282</v>
      </c>
      <c r="I615" s="300">
        <v>41884</v>
      </c>
      <c r="J615" s="301">
        <v>1826</v>
      </c>
      <c r="K615" s="301">
        <v>1671</v>
      </c>
      <c r="L615" s="301">
        <v>155</v>
      </c>
      <c r="M615" s="301">
        <v>410</v>
      </c>
      <c r="N615" s="301">
        <v>5999</v>
      </c>
      <c r="O615" s="292">
        <v>0</v>
      </c>
      <c r="P615" s="301">
        <v>0</v>
      </c>
      <c r="Q615" s="301">
        <v>0</v>
      </c>
      <c r="R615" s="292">
        <v>-410</v>
      </c>
      <c r="S615" s="251">
        <v>0</v>
      </c>
      <c r="T615" s="250">
        <v>0</v>
      </c>
      <c r="U615" s="250">
        <v>0</v>
      </c>
      <c r="V615" s="250">
        <v>0</v>
      </c>
    </row>
    <row r="616" spans="2:22">
      <c r="B616" s="15">
        <f t="shared" si="22"/>
        <v>5</v>
      </c>
      <c r="C616" s="249" t="s">
        <v>494</v>
      </c>
      <c r="D616" s="254">
        <v>5</v>
      </c>
      <c r="E616" s="250">
        <v>17062</v>
      </c>
      <c r="F616" s="254">
        <v>81</v>
      </c>
      <c r="G616" s="233">
        <v>40059</v>
      </c>
      <c r="H616" s="228" t="s">
        <v>282</v>
      </c>
      <c r="I616" s="301">
        <v>0</v>
      </c>
      <c r="J616" s="301">
        <v>0</v>
      </c>
      <c r="K616" s="301">
        <v>0</v>
      </c>
      <c r="L616" s="301">
        <v>0</v>
      </c>
      <c r="M616" s="301">
        <v>0</v>
      </c>
      <c r="N616" s="301">
        <v>0</v>
      </c>
      <c r="O616" s="292">
        <v>0</v>
      </c>
      <c r="P616" s="301">
        <v>0</v>
      </c>
      <c r="Q616" s="301">
        <v>0</v>
      </c>
      <c r="R616" s="292">
        <v>-853</v>
      </c>
      <c r="S616" s="251">
        <v>0</v>
      </c>
      <c r="T616" s="250">
        <v>0</v>
      </c>
      <c r="U616" s="250">
        <v>0</v>
      </c>
      <c r="V616" s="250">
        <v>0</v>
      </c>
    </row>
    <row r="617" spans="2:22">
      <c r="B617" s="15">
        <f t="shared" si="22"/>
        <v>6</v>
      </c>
      <c r="C617" s="249" t="s">
        <v>495</v>
      </c>
      <c r="D617" s="254">
        <v>2</v>
      </c>
      <c r="E617" s="250">
        <v>10155</v>
      </c>
      <c r="F617" s="254">
        <v>81</v>
      </c>
      <c r="G617" s="233">
        <v>40059</v>
      </c>
      <c r="H617" s="228" t="s">
        <v>282</v>
      </c>
      <c r="I617" s="300">
        <v>41884</v>
      </c>
      <c r="J617" s="301">
        <v>1826</v>
      </c>
      <c r="K617" s="301">
        <v>1671</v>
      </c>
      <c r="L617" s="301">
        <v>155</v>
      </c>
      <c r="M617" s="301">
        <v>508</v>
      </c>
      <c r="N617" s="301">
        <v>7440</v>
      </c>
      <c r="O617" s="292">
        <v>0</v>
      </c>
      <c r="P617" s="301">
        <v>0</v>
      </c>
      <c r="Q617" s="301">
        <v>0</v>
      </c>
      <c r="R617" s="292">
        <v>-508</v>
      </c>
      <c r="S617" s="251">
        <v>0</v>
      </c>
      <c r="T617" s="250">
        <v>0</v>
      </c>
      <c r="U617" s="250">
        <v>0</v>
      </c>
      <c r="V617" s="250">
        <v>0</v>
      </c>
    </row>
    <row r="618" spans="2:22">
      <c r="B618" s="15">
        <f t="shared" si="22"/>
        <v>7</v>
      </c>
      <c r="C618" s="249" t="s">
        <v>496</v>
      </c>
      <c r="D618" s="254">
        <v>1</v>
      </c>
      <c r="E618" s="250">
        <v>9009</v>
      </c>
      <c r="F618" s="254">
        <v>81</v>
      </c>
      <c r="G618" s="233">
        <v>40059</v>
      </c>
      <c r="H618" s="228" t="s">
        <v>282</v>
      </c>
      <c r="I618" s="300">
        <v>41884</v>
      </c>
      <c r="J618" s="301">
        <v>1826</v>
      </c>
      <c r="K618" s="301">
        <v>1671</v>
      </c>
      <c r="L618" s="301">
        <v>155</v>
      </c>
      <c r="M618" s="301">
        <v>450</v>
      </c>
      <c r="N618" s="301">
        <v>6599</v>
      </c>
      <c r="O618" s="292">
        <v>0</v>
      </c>
      <c r="P618" s="301">
        <v>0</v>
      </c>
      <c r="Q618" s="301">
        <v>0</v>
      </c>
      <c r="R618" s="292">
        <v>-450</v>
      </c>
      <c r="S618" s="251">
        <v>0</v>
      </c>
      <c r="T618" s="250">
        <v>0</v>
      </c>
      <c r="U618" s="250">
        <v>0</v>
      </c>
      <c r="V618" s="250">
        <v>0</v>
      </c>
    </row>
    <row r="619" spans="2:22">
      <c r="B619" s="15">
        <f t="shared" si="22"/>
        <v>8</v>
      </c>
      <c r="C619" s="249" t="s">
        <v>203</v>
      </c>
      <c r="D619" s="254">
        <v>2</v>
      </c>
      <c r="E619" s="250">
        <v>2268</v>
      </c>
      <c r="F619" s="254">
        <v>62</v>
      </c>
      <c r="G619" s="233">
        <v>40096</v>
      </c>
      <c r="H619" s="228" t="s">
        <v>282</v>
      </c>
      <c r="I619" s="301">
        <v>0</v>
      </c>
      <c r="J619" s="301">
        <v>0</v>
      </c>
      <c r="K619" s="301">
        <v>0</v>
      </c>
      <c r="L619" s="301">
        <v>0</v>
      </c>
      <c r="M619" s="301">
        <v>0</v>
      </c>
      <c r="N619" s="301">
        <v>0</v>
      </c>
      <c r="O619" s="292">
        <v>0</v>
      </c>
      <c r="P619" s="301">
        <v>0</v>
      </c>
      <c r="Q619" s="301">
        <v>0</v>
      </c>
      <c r="R619" s="292">
        <v>-113</v>
      </c>
      <c r="S619" s="251">
        <v>0</v>
      </c>
      <c r="T619" s="250">
        <v>0</v>
      </c>
      <c r="U619" s="250">
        <v>0</v>
      </c>
      <c r="V619" s="250">
        <v>0</v>
      </c>
    </row>
    <row r="620" spans="2:22">
      <c r="B620" s="15">
        <f t="shared" si="22"/>
        <v>9</v>
      </c>
      <c r="C620" s="249" t="s">
        <v>205</v>
      </c>
      <c r="D620" s="254">
        <v>2</v>
      </c>
      <c r="E620" s="250">
        <v>4320</v>
      </c>
      <c r="F620" s="254">
        <v>6</v>
      </c>
      <c r="G620" s="233">
        <v>40121</v>
      </c>
      <c r="H620" s="228" t="s">
        <v>368</v>
      </c>
      <c r="I620" s="301">
        <v>0</v>
      </c>
      <c r="J620" s="301">
        <v>0</v>
      </c>
      <c r="K620" s="301">
        <v>0</v>
      </c>
      <c r="L620" s="301">
        <v>0</v>
      </c>
      <c r="M620" s="301">
        <v>0</v>
      </c>
      <c r="N620" s="301">
        <v>0</v>
      </c>
      <c r="O620" s="292">
        <v>0</v>
      </c>
      <c r="P620" s="301">
        <v>0</v>
      </c>
      <c r="Q620" s="301">
        <v>0</v>
      </c>
      <c r="R620" s="292">
        <v>-216</v>
      </c>
      <c r="S620" s="251">
        <v>0</v>
      </c>
      <c r="T620" s="250">
        <v>0</v>
      </c>
      <c r="U620" s="250">
        <v>0</v>
      </c>
      <c r="V620" s="250">
        <v>0</v>
      </c>
    </row>
    <row r="621" spans="2:22">
      <c r="B621" s="15">
        <f t="shared" si="22"/>
        <v>10</v>
      </c>
      <c r="C621" s="249" t="s">
        <v>204</v>
      </c>
      <c r="D621" s="254">
        <v>2</v>
      </c>
      <c r="E621" s="250">
        <v>10044</v>
      </c>
      <c r="F621" s="254">
        <v>6</v>
      </c>
      <c r="G621" s="233">
        <v>40121</v>
      </c>
      <c r="H621" s="228" t="s">
        <v>282</v>
      </c>
      <c r="I621" s="300">
        <v>41946</v>
      </c>
      <c r="J621" s="301">
        <v>1826</v>
      </c>
      <c r="K621" s="301">
        <v>1609</v>
      </c>
      <c r="L621" s="301">
        <v>217</v>
      </c>
      <c r="M621" s="301">
        <v>502</v>
      </c>
      <c r="N621" s="301">
        <v>7439</v>
      </c>
      <c r="O621" s="292">
        <v>0</v>
      </c>
      <c r="P621" s="301">
        <v>0</v>
      </c>
      <c r="Q621" s="301">
        <v>0</v>
      </c>
      <c r="R621" s="292">
        <v>-502</v>
      </c>
      <c r="S621" s="251">
        <v>0</v>
      </c>
      <c r="T621" s="250">
        <v>0</v>
      </c>
      <c r="U621" s="250">
        <v>0</v>
      </c>
      <c r="V621" s="250">
        <v>0</v>
      </c>
    </row>
    <row r="622" spans="2:22">
      <c r="B622" s="15">
        <f t="shared" si="22"/>
        <v>11</v>
      </c>
      <c r="C622" s="249" t="s">
        <v>205</v>
      </c>
      <c r="D622" s="254">
        <v>6</v>
      </c>
      <c r="E622" s="250">
        <v>8208</v>
      </c>
      <c r="F622" s="254" t="s">
        <v>948</v>
      </c>
      <c r="G622" s="233">
        <v>40208</v>
      </c>
      <c r="H622" s="228" t="s">
        <v>282</v>
      </c>
      <c r="I622" s="301">
        <v>0</v>
      </c>
      <c r="J622" s="301">
        <v>0</v>
      </c>
      <c r="K622" s="301">
        <v>0</v>
      </c>
      <c r="L622" s="301">
        <v>0</v>
      </c>
      <c r="M622" s="301">
        <v>0</v>
      </c>
      <c r="N622" s="301">
        <v>0</v>
      </c>
      <c r="O622" s="292">
        <v>0</v>
      </c>
      <c r="P622" s="301">
        <v>0</v>
      </c>
      <c r="Q622" s="301">
        <v>0</v>
      </c>
      <c r="R622" s="292">
        <v>-410</v>
      </c>
      <c r="S622" s="251">
        <v>0</v>
      </c>
      <c r="T622" s="250">
        <v>0</v>
      </c>
      <c r="U622" s="250">
        <v>0</v>
      </c>
      <c r="V622" s="250">
        <v>0</v>
      </c>
    </row>
    <row r="623" spans="2:22" ht="27">
      <c r="B623" s="15">
        <f t="shared" si="22"/>
        <v>12</v>
      </c>
      <c r="C623" s="249" t="s">
        <v>950</v>
      </c>
      <c r="D623" s="254">
        <v>6</v>
      </c>
      <c r="E623" s="250">
        <v>22162</v>
      </c>
      <c r="F623" s="254" t="s">
        <v>969</v>
      </c>
      <c r="G623" s="233">
        <v>40389</v>
      </c>
      <c r="H623" s="228" t="s">
        <v>282</v>
      </c>
      <c r="I623" s="301">
        <v>0</v>
      </c>
      <c r="J623" s="301">
        <v>0</v>
      </c>
      <c r="K623" s="301">
        <v>0</v>
      </c>
      <c r="L623" s="301">
        <v>0</v>
      </c>
      <c r="M623" s="301">
        <v>0</v>
      </c>
      <c r="N623" s="301">
        <v>0</v>
      </c>
      <c r="O623" s="292">
        <v>0</v>
      </c>
      <c r="P623" s="301">
        <v>0</v>
      </c>
      <c r="Q623" s="301">
        <v>0</v>
      </c>
      <c r="R623" s="292">
        <v>-1108</v>
      </c>
      <c r="S623" s="251">
        <v>0</v>
      </c>
      <c r="T623" s="250">
        <v>0</v>
      </c>
      <c r="U623" s="250">
        <v>0</v>
      </c>
      <c r="V623" s="250">
        <v>0</v>
      </c>
    </row>
    <row r="624" spans="2:22" ht="40.5">
      <c r="B624" s="15">
        <f t="shared" si="22"/>
        <v>13</v>
      </c>
      <c r="C624" s="249" t="s">
        <v>952</v>
      </c>
      <c r="D624" s="254">
        <v>12</v>
      </c>
      <c r="E624" s="250">
        <v>42292</v>
      </c>
      <c r="F624" s="254" t="s">
        <v>224</v>
      </c>
      <c r="G624" s="233">
        <v>40442</v>
      </c>
      <c r="H624" s="228" t="s">
        <v>368</v>
      </c>
      <c r="I624" s="301">
        <v>0</v>
      </c>
      <c r="J624" s="301">
        <v>0</v>
      </c>
      <c r="K624" s="301">
        <v>0</v>
      </c>
      <c r="L624" s="301">
        <v>0</v>
      </c>
      <c r="M624" s="301">
        <v>0</v>
      </c>
      <c r="N624" s="301">
        <v>0</v>
      </c>
      <c r="O624" s="292">
        <v>0</v>
      </c>
      <c r="P624" s="301">
        <v>0</v>
      </c>
      <c r="Q624" s="301">
        <v>0</v>
      </c>
      <c r="R624" s="292">
        <v>-2115</v>
      </c>
      <c r="S624" s="251">
        <v>0</v>
      </c>
      <c r="T624" s="250">
        <v>0</v>
      </c>
      <c r="U624" s="250">
        <v>0</v>
      </c>
      <c r="V624" s="250">
        <v>0</v>
      </c>
    </row>
    <row r="625" spans="2:22">
      <c r="B625" s="15">
        <f t="shared" si="22"/>
        <v>14</v>
      </c>
      <c r="C625" s="249" t="s">
        <v>203</v>
      </c>
      <c r="D625" s="254">
        <v>12</v>
      </c>
      <c r="E625" s="250">
        <v>15036</v>
      </c>
      <c r="F625" s="254" t="s">
        <v>818</v>
      </c>
      <c r="G625" s="233">
        <v>40549</v>
      </c>
      <c r="H625" s="228" t="s">
        <v>368</v>
      </c>
      <c r="I625" s="301">
        <v>0</v>
      </c>
      <c r="J625" s="301">
        <v>0</v>
      </c>
      <c r="K625" s="301">
        <v>0</v>
      </c>
      <c r="L625" s="301">
        <v>0</v>
      </c>
      <c r="M625" s="301">
        <v>0</v>
      </c>
      <c r="N625" s="301">
        <v>0</v>
      </c>
      <c r="O625" s="292">
        <v>0</v>
      </c>
      <c r="P625" s="301">
        <v>0</v>
      </c>
      <c r="Q625" s="301">
        <v>0</v>
      </c>
      <c r="R625" s="292">
        <v>-752</v>
      </c>
      <c r="S625" s="251">
        <v>0</v>
      </c>
      <c r="T625" s="250">
        <v>0</v>
      </c>
      <c r="U625" s="250">
        <v>0</v>
      </c>
      <c r="V625" s="250">
        <v>0</v>
      </c>
    </row>
    <row r="626" spans="2:22">
      <c r="B626" s="15">
        <f t="shared" si="22"/>
        <v>15</v>
      </c>
      <c r="C626" s="249" t="s">
        <v>816</v>
      </c>
      <c r="D626" s="254">
        <v>1</v>
      </c>
      <c r="E626" s="250">
        <v>27008</v>
      </c>
      <c r="F626" s="254" t="s">
        <v>817</v>
      </c>
      <c r="G626" s="233">
        <v>40546</v>
      </c>
      <c r="H626" s="228" t="s">
        <v>368</v>
      </c>
      <c r="I626" s="300">
        <v>42371</v>
      </c>
      <c r="J626" s="301">
        <v>1826</v>
      </c>
      <c r="K626" s="301">
        <v>1184</v>
      </c>
      <c r="L626" s="301">
        <v>642</v>
      </c>
      <c r="M626" s="301">
        <v>1350</v>
      </c>
      <c r="N626" s="301">
        <v>21511</v>
      </c>
      <c r="O626" s="292">
        <v>0</v>
      </c>
      <c r="P626" s="301">
        <v>10631</v>
      </c>
      <c r="Q626" s="301">
        <v>277</v>
      </c>
      <c r="R626" s="292">
        <v>9281</v>
      </c>
      <c r="S626" s="251">
        <v>0</v>
      </c>
      <c r="T626" s="250">
        <v>0</v>
      </c>
      <c r="U626" s="250">
        <v>10631</v>
      </c>
      <c r="V626" s="250">
        <v>0</v>
      </c>
    </row>
    <row r="627" spans="2:22">
      <c r="B627" s="15">
        <f t="shared" si="22"/>
        <v>16</v>
      </c>
      <c r="C627" s="249" t="s">
        <v>494</v>
      </c>
      <c r="D627" s="254">
        <v>2</v>
      </c>
      <c r="E627" s="250">
        <v>7518</v>
      </c>
      <c r="F627" s="254" t="s">
        <v>815</v>
      </c>
      <c r="G627" s="233">
        <v>40546</v>
      </c>
      <c r="H627" s="228" t="s">
        <v>368</v>
      </c>
      <c r="I627" s="301">
        <v>0</v>
      </c>
      <c r="J627" s="301">
        <v>0</v>
      </c>
      <c r="K627" s="301">
        <v>0</v>
      </c>
      <c r="L627" s="301">
        <v>0</v>
      </c>
      <c r="M627" s="301">
        <v>0</v>
      </c>
      <c r="N627" s="301">
        <v>0</v>
      </c>
      <c r="O627" s="292">
        <v>0</v>
      </c>
      <c r="P627" s="301">
        <v>0</v>
      </c>
      <c r="Q627" s="301">
        <v>0</v>
      </c>
      <c r="R627" s="292">
        <v>-376</v>
      </c>
      <c r="S627" s="251">
        <v>0</v>
      </c>
      <c r="T627" s="250">
        <v>0</v>
      </c>
      <c r="U627" s="250">
        <v>0</v>
      </c>
      <c r="V627" s="250">
        <v>0</v>
      </c>
    </row>
    <row r="628" spans="2:22">
      <c r="B628" s="15">
        <f t="shared" si="22"/>
        <v>17</v>
      </c>
      <c r="C628" s="249" t="s">
        <v>495</v>
      </c>
      <c r="D628" s="254">
        <v>11</v>
      </c>
      <c r="E628" s="250">
        <v>61256</v>
      </c>
      <c r="F628" s="254" t="s">
        <v>815</v>
      </c>
      <c r="G628" s="233">
        <v>40546</v>
      </c>
      <c r="H628" s="228" t="s">
        <v>368</v>
      </c>
      <c r="I628" s="300">
        <v>42371</v>
      </c>
      <c r="J628" s="301">
        <v>1826</v>
      </c>
      <c r="K628" s="301">
        <v>1184</v>
      </c>
      <c r="L628" s="301">
        <v>642</v>
      </c>
      <c r="M628" s="301">
        <v>3063</v>
      </c>
      <c r="N628" s="301">
        <v>48787</v>
      </c>
      <c r="O628" s="292">
        <v>0</v>
      </c>
      <c r="P628" s="301">
        <v>24113</v>
      </c>
      <c r="Q628" s="301">
        <v>277</v>
      </c>
      <c r="R628" s="292">
        <v>21050</v>
      </c>
      <c r="S628" s="251">
        <v>0</v>
      </c>
      <c r="T628" s="250">
        <v>0</v>
      </c>
      <c r="U628" s="250">
        <v>24113</v>
      </c>
      <c r="V628" s="250">
        <v>0</v>
      </c>
    </row>
    <row r="629" spans="2:22">
      <c r="B629" s="15">
        <f t="shared" si="22"/>
        <v>18</v>
      </c>
      <c r="C629" s="249" t="s">
        <v>495</v>
      </c>
      <c r="D629" s="254">
        <v>18</v>
      </c>
      <c r="E629" s="250">
        <v>235558</v>
      </c>
      <c r="F629" s="254" t="s">
        <v>815</v>
      </c>
      <c r="G629" s="233">
        <v>40546</v>
      </c>
      <c r="H629" s="228" t="s">
        <v>368</v>
      </c>
      <c r="I629" s="300">
        <v>42371</v>
      </c>
      <c r="J629" s="301">
        <v>1826</v>
      </c>
      <c r="K629" s="301">
        <v>1184</v>
      </c>
      <c r="L629" s="301">
        <v>642</v>
      </c>
      <c r="M629" s="301">
        <v>11778</v>
      </c>
      <c r="N629" s="301">
        <v>187606</v>
      </c>
      <c r="O629" s="292">
        <v>0</v>
      </c>
      <c r="P629" s="301">
        <v>92723</v>
      </c>
      <c r="Q629" s="301">
        <v>277</v>
      </c>
      <c r="R629" s="292">
        <v>80945</v>
      </c>
      <c r="S629" s="251">
        <v>0</v>
      </c>
      <c r="T629" s="250">
        <v>0</v>
      </c>
      <c r="U629" s="250">
        <v>92723</v>
      </c>
      <c r="V629" s="250">
        <v>0</v>
      </c>
    </row>
    <row r="630" spans="2:22">
      <c r="B630" s="15">
        <f t="shared" si="22"/>
        <v>19</v>
      </c>
      <c r="C630" s="249" t="s">
        <v>495</v>
      </c>
      <c r="D630" s="254">
        <v>2</v>
      </c>
      <c r="E630" s="250">
        <v>61813</v>
      </c>
      <c r="F630" s="254" t="s">
        <v>815</v>
      </c>
      <c r="G630" s="233">
        <v>40546</v>
      </c>
      <c r="H630" s="228" t="s">
        <v>368</v>
      </c>
      <c r="I630" s="300">
        <v>42371</v>
      </c>
      <c r="J630" s="301">
        <v>1826</v>
      </c>
      <c r="K630" s="301">
        <v>1184</v>
      </c>
      <c r="L630" s="301">
        <v>642</v>
      </c>
      <c r="M630" s="301">
        <v>3091</v>
      </c>
      <c r="N630" s="301">
        <v>49230</v>
      </c>
      <c r="O630" s="292">
        <v>0</v>
      </c>
      <c r="P630" s="301">
        <v>24332</v>
      </c>
      <c r="Q630" s="301">
        <v>277</v>
      </c>
      <c r="R630" s="292">
        <v>21241</v>
      </c>
      <c r="S630" s="251">
        <v>0</v>
      </c>
      <c r="T630" s="250">
        <v>0</v>
      </c>
      <c r="U630" s="250">
        <v>24332</v>
      </c>
      <c r="V630" s="250">
        <v>0</v>
      </c>
    </row>
    <row r="631" spans="2:22" ht="40.5">
      <c r="B631" s="15">
        <f t="shared" si="22"/>
        <v>20</v>
      </c>
      <c r="C631" s="249" t="s">
        <v>395</v>
      </c>
      <c r="D631" s="254">
        <f>28+42</f>
        <v>70</v>
      </c>
      <c r="E631" s="250">
        <f>164550-22330</f>
        <v>142220</v>
      </c>
      <c r="F631" s="254" t="s">
        <v>137</v>
      </c>
      <c r="G631" s="233">
        <v>40591</v>
      </c>
      <c r="H631" s="228" t="s">
        <v>368</v>
      </c>
      <c r="I631" s="300">
        <v>42416</v>
      </c>
      <c r="J631" s="301">
        <v>1826</v>
      </c>
      <c r="K631" s="301">
        <v>1139</v>
      </c>
      <c r="L631" s="301">
        <v>687</v>
      </c>
      <c r="M631" s="301">
        <v>7111</v>
      </c>
      <c r="N631" s="301">
        <v>114047</v>
      </c>
      <c r="O631" s="292">
        <v>0</v>
      </c>
      <c r="P631" s="301">
        <v>60565</v>
      </c>
      <c r="Q631" s="301">
        <v>322</v>
      </c>
      <c r="R631" s="292">
        <v>53454</v>
      </c>
      <c r="S631" s="251">
        <v>0</v>
      </c>
      <c r="T631" s="250">
        <v>0</v>
      </c>
      <c r="U631" s="250">
        <v>60565</v>
      </c>
      <c r="V631" s="250">
        <v>0</v>
      </c>
    </row>
    <row r="632" spans="2:22" ht="27">
      <c r="B632" s="15">
        <f t="shared" si="22"/>
        <v>21</v>
      </c>
      <c r="C632" s="249" t="s">
        <v>396</v>
      </c>
      <c r="D632" s="254">
        <v>4</v>
      </c>
      <c r="E632" s="250">
        <f>19588*114%</f>
        <v>22330.32</v>
      </c>
      <c r="F632" s="254" t="s">
        <v>137</v>
      </c>
      <c r="G632" s="233">
        <v>40591</v>
      </c>
      <c r="H632" s="228" t="s">
        <v>368</v>
      </c>
      <c r="I632" s="300">
        <v>42416</v>
      </c>
      <c r="J632" s="301">
        <v>1826</v>
      </c>
      <c r="K632" s="301">
        <v>1139</v>
      </c>
      <c r="L632" s="301">
        <v>687</v>
      </c>
      <c r="M632" s="301">
        <v>1117</v>
      </c>
      <c r="N632" s="301">
        <v>17905.32</v>
      </c>
      <c r="O632" s="292">
        <v>0</v>
      </c>
      <c r="P632" s="301">
        <v>9509.32</v>
      </c>
      <c r="Q632" s="301">
        <v>322</v>
      </c>
      <c r="R632" s="292">
        <v>8393</v>
      </c>
      <c r="S632" s="251">
        <v>0</v>
      </c>
      <c r="T632" s="250">
        <v>0</v>
      </c>
      <c r="U632" s="250">
        <v>9509</v>
      </c>
      <c r="V632" s="250">
        <v>0.31999999999970896</v>
      </c>
    </row>
    <row r="633" spans="2:22">
      <c r="B633" s="15">
        <f t="shared" si="22"/>
        <v>22</v>
      </c>
      <c r="C633" s="249" t="s">
        <v>138</v>
      </c>
      <c r="D633" s="254">
        <v>7</v>
      </c>
      <c r="E633" s="250">
        <v>9911</v>
      </c>
      <c r="F633" s="254" t="s">
        <v>139</v>
      </c>
      <c r="G633" s="233">
        <v>40617</v>
      </c>
      <c r="H633" s="228" t="s">
        <v>368</v>
      </c>
      <c r="I633" s="301">
        <v>0</v>
      </c>
      <c r="J633" s="301">
        <v>0</v>
      </c>
      <c r="K633" s="301">
        <v>0</v>
      </c>
      <c r="L633" s="301">
        <v>0</v>
      </c>
      <c r="M633" s="301">
        <v>0</v>
      </c>
      <c r="N633" s="301">
        <v>0</v>
      </c>
      <c r="O633" s="292">
        <v>0</v>
      </c>
      <c r="P633" s="301">
        <v>0</v>
      </c>
      <c r="Q633" s="301">
        <v>0</v>
      </c>
      <c r="R633" s="292">
        <v>-496</v>
      </c>
      <c r="S633" s="251">
        <v>0</v>
      </c>
      <c r="T633" s="250">
        <v>0</v>
      </c>
      <c r="U633" s="250">
        <v>0</v>
      </c>
      <c r="V633" s="250">
        <v>0</v>
      </c>
    </row>
    <row r="634" spans="2:22">
      <c r="B634" s="15">
        <f t="shared" si="22"/>
        <v>23</v>
      </c>
      <c r="C634" s="249" t="s">
        <v>1998</v>
      </c>
      <c r="D634" s="254">
        <v>1</v>
      </c>
      <c r="E634" s="250">
        <v>104900</v>
      </c>
      <c r="F634" s="254" t="s">
        <v>42</v>
      </c>
      <c r="G634" s="233">
        <v>41183</v>
      </c>
      <c r="H634" s="228" t="s">
        <v>368</v>
      </c>
      <c r="I634" s="300">
        <v>43008</v>
      </c>
      <c r="J634" s="301">
        <v>1826</v>
      </c>
      <c r="K634" s="301">
        <v>547</v>
      </c>
      <c r="L634" s="301">
        <v>1279</v>
      </c>
      <c r="M634" s="301">
        <v>5245</v>
      </c>
      <c r="N634" s="301">
        <v>92187</v>
      </c>
      <c r="O634" s="292">
        <v>0</v>
      </c>
      <c r="P634" s="301">
        <v>71124</v>
      </c>
      <c r="Q634" s="301">
        <v>914</v>
      </c>
      <c r="R634" s="292">
        <v>65879</v>
      </c>
      <c r="S634" s="251">
        <v>0</v>
      </c>
      <c r="T634" s="250">
        <v>0</v>
      </c>
      <c r="U634" s="250">
        <v>71124</v>
      </c>
      <c r="V634" s="250">
        <v>0</v>
      </c>
    </row>
    <row r="635" spans="2:22" ht="27">
      <c r="B635" s="15">
        <f t="shared" si="22"/>
        <v>24</v>
      </c>
      <c r="C635" s="249" t="s">
        <v>2683</v>
      </c>
      <c r="D635" s="254">
        <v>12</v>
      </c>
      <c r="E635" s="250">
        <f>63922+487</f>
        <v>64409</v>
      </c>
      <c r="F635" s="278" t="s">
        <v>2679</v>
      </c>
      <c r="G635" s="342">
        <v>42005</v>
      </c>
      <c r="H635" s="228" t="s">
        <v>368</v>
      </c>
      <c r="I635" s="300">
        <v>43830</v>
      </c>
      <c r="J635" s="301">
        <v>1826</v>
      </c>
      <c r="K635" s="301">
        <v>0</v>
      </c>
      <c r="L635" s="301">
        <v>1826</v>
      </c>
      <c r="M635" s="301">
        <v>3220</v>
      </c>
      <c r="N635" s="301">
        <v>61189</v>
      </c>
      <c r="O635" s="292">
        <v>0</v>
      </c>
      <c r="P635" s="301">
        <v>61393</v>
      </c>
      <c r="Q635" s="301">
        <v>1736</v>
      </c>
      <c r="R635" s="292">
        <v>58173</v>
      </c>
      <c r="S635" s="251">
        <v>0</v>
      </c>
      <c r="T635" s="250">
        <v>0</v>
      </c>
      <c r="U635" s="250">
        <v>61393</v>
      </c>
      <c r="V635" s="250">
        <v>0</v>
      </c>
    </row>
    <row r="636" spans="2:22">
      <c r="B636" s="15">
        <f t="shared" si="22"/>
        <v>25</v>
      </c>
      <c r="C636" s="249" t="s">
        <v>2690</v>
      </c>
      <c r="D636" s="254">
        <v>2</v>
      </c>
      <c r="E636" s="250">
        <f>10074+77</f>
        <v>10151</v>
      </c>
      <c r="F636" s="278" t="s">
        <v>2679</v>
      </c>
      <c r="G636" s="342">
        <v>42005</v>
      </c>
      <c r="H636" s="228" t="s">
        <v>368</v>
      </c>
      <c r="I636" s="300">
        <v>43830</v>
      </c>
      <c r="J636" s="301">
        <v>1826</v>
      </c>
      <c r="K636" s="301">
        <v>0</v>
      </c>
      <c r="L636" s="301">
        <v>1826</v>
      </c>
      <c r="M636" s="301">
        <v>508</v>
      </c>
      <c r="N636" s="301">
        <v>9643</v>
      </c>
      <c r="O636" s="292">
        <v>0</v>
      </c>
      <c r="P636" s="301">
        <v>9676</v>
      </c>
      <c r="Q636" s="301">
        <v>1736</v>
      </c>
      <c r="R636" s="292">
        <v>9168</v>
      </c>
      <c r="S636" s="251">
        <v>0</v>
      </c>
      <c r="T636" s="250">
        <v>0</v>
      </c>
      <c r="U636" s="250">
        <v>9676</v>
      </c>
      <c r="V636" s="250">
        <v>0</v>
      </c>
    </row>
    <row r="637" spans="2:22">
      <c r="B637" s="15">
        <f t="shared" si="22"/>
        <v>26</v>
      </c>
      <c r="C637" s="249" t="s">
        <v>2741</v>
      </c>
      <c r="D637" s="254">
        <v>1</v>
      </c>
      <c r="E637" s="250">
        <v>54414</v>
      </c>
      <c r="F637" s="278" t="s">
        <v>2742</v>
      </c>
      <c r="G637" s="342">
        <v>42005</v>
      </c>
      <c r="H637" s="228" t="s">
        <v>368</v>
      </c>
      <c r="I637" s="300">
        <v>43830</v>
      </c>
      <c r="J637" s="301">
        <v>1826</v>
      </c>
      <c r="K637" s="301">
        <v>0</v>
      </c>
      <c r="L637" s="301">
        <v>1826</v>
      </c>
      <c r="M637" s="301">
        <v>2721</v>
      </c>
      <c r="N637" s="301">
        <v>51693</v>
      </c>
      <c r="O637" s="292">
        <v>0</v>
      </c>
      <c r="P637" s="301">
        <v>51866</v>
      </c>
      <c r="Q637" s="301">
        <v>1736</v>
      </c>
      <c r="R637" s="292">
        <v>49145</v>
      </c>
      <c r="S637" s="251">
        <v>0</v>
      </c>
      <c r="T637" s="250">
        <v>0</v>
      </c>
      <c r="U637" s="250">
        <v>51866</v>
      </c>
      <c r="V637" s="250">
        <v>0</v>
      </c>
    </row>
    <row r="638" spans="2:22">
      <c r="B638" s="15">
        <f t="shared" si="22"/>
        <v>27</v>
      </c>
      <c r="C638" s="249" t="s">
        <v>2743</v>
      </c>
      <c r="D638" s="254">
        <v>1</v>
      </c>
      <c r="E638" s="250">
        <v>11497</v>
      </c>
      <c r="F638" s="278" t="s">
        <v>2742</v>
      </c>
      <c r="G638" s="342">
        <v>42005</v>
      </c>
      <c r="H638" s="228" t="s">
        <v>368</v>
      </c>
      <c r="I638" s="300">
        <v>43830</v>
      </c>
      <c r="J638" s="301">
        <v>1826</v>
      </c>
      <c r="K638" s="301">
        <v>0</v>
      </c>
      <c r="L638" s="301">
        <v>1826</v>
      </c>
      <c r="M638" s="301">
        <v>575</v>
      </c>
      <c r="N638" s="301">
        <v>10922</v>
      </c>
      <c r="O638" s="292">
        <v>0</v>
      </c>
      <c r="P638" s="301">
        <v>10959</v>
      </c>
      <c r="Q638" s="301">
        <v>1736</v>
      </c>
      <c r="R638" s="292">
        <v>10384</v>
      </c>
      <c r="S638" s="251">
        <v>0</v>
      </c>
      <c r="T638" s="250">
        <v>0</v>
      </c>
      <c r="U638" s="250">
        <v>10959</v>
      </c>
      <c r="V638" s="250">
        <v>0</v>
      </c>
    </row>
    <row r="639" spans="2:22">
      <c r="B639" s="15">
        <f t="shared" si="22"/>
        <v>28</v>
      </c>
      <c r="C639" s="249" t="s">
        <v>2690</v>
      </c>
      <c r="D639" s="254">
        <v>1</v>
      </c>
      <c r="E639" s="250">
        <v>40951</v>
      </c>
      <c r="F639" s="278" t="s">
        <v>2742</v>
      </c>
      <c r="G639" s="342">
        <v>42005</v>
      </c>
      <c r="H639" s="228" t="s">
        <v>368</v>
      </c>
      <c r="I639" s="300">
        <v>43830</v>
      </c>
      <c r="J639" s="301">
        <v>1826</v>
      </c>
      <c r="K639" s="301">
        <v>0</v>
      </c>
      <c r="L639" s="301">
        <v>1826</v>
      </c>
      <c r="M639" s="301">
        <v>2048</v>
      </c>
      <c r="N639" s="301">
        <v>38903</v>
      </c>
      <c r="O639" s="292">
        <v>0</v>
      </c>
      <c r="P639" s="301">
        <v>39034</v>
      </c>
      <c r="Q639" s="301">
        <v>1736</v>
      </c>
      <c r="R639" s="292">
        <v>36986</v>
      </c>
      <c r="S639" s="251">
        <v>0</v>
      </c>
      <c r="T639" s="250">
        <v>0</v>
      </c>
      <c r="U639" s="250">
        <v>39034</v>
      </c>
      <c r="V639" s="250">
        <v>0</v>
      </c>
    </row>
    <row r="640" spans="2:22" ht="14.25">
      <c r="B640" s="107" t="s">
        <v>956</v>
      </c>
      <c r="C640" s="228"/>
      <c r="D640" s="230"/>
      <c r="E640" s="250"/>
      <c r="F640" s="254"/>
      <c r="G640" s="230"/>
      <c r="H640" s="228"/>
      <c r="I640" s="301"/>
      <c r="J640" s="301"/>
      <c r="K640" s="301"/>
      <c r="L640" s="301"/>
      <c r="M640" s="301"/>
      <c r="N640" s="301"/>
      <c r="O640" s="292"/>
      <c r="P640" s="301"/>
      <c r="Q640" s="301"/>
      <c r="R640" s="292"/>
      <c r="S640" s="272"/>
      <c r="T640" s="250"/>
      <c r="U640" s="250"/>
      <c r="V640" s="250"/>
    </row>
    <row r="641" spans="2:22">
      <c r="B641" s="15">
        <v>1</v>
      </c>
      <c r="C641" s="249" t="s">
        <v>957</v>
      </c>
      <c r="D641" s="254">
        <v>1</v>
      </c>
      <c r="E641" s="250">
        <v>50000</v>
      </c>
      <c r="F641" s="254" t="s">
        <v>958</v>
      </c>
      <c r="G641" s="233">
        <v>39996</v>
      </c>
      <c r="H641" s="228" t="s">
        <v>282</v>
      </c>
      <c r="I641" s="300">
        <v>41821</v>
      </c>
      <c r="J641" s="301">
        <v>1826</v>
      </c>
      <c r="K641" s="301">
        <v>1734</v>
      </c>
      <c r="L641" s="301">
        <v>92</v>
      </c>
      <c r="M641" s="301">
        <v>2500</v>
      </c>
      <c r="N641" s="301">
        <v>36221</v>
      </c>
      <c r="O641" s="292">
        <v>0</v>
      </c>
      <c r="P641" s="301">
        <v>0</v>
      </c>
      <c r="Q641" s="301">
        <v>0</v>
      </c>
      <c r="R641" s="292">
        <v>-2500</v>
      </c>
      <c r="S641" s="251">
        <v>0</v>
      </c>
      <c r="T641" s="250">
        <v>0</v>
      </c>
      <c r="U641" s="250">
        <v>0</v>
      </c>
      <c r="V641" s="250">
        <v>0</v>
      </c>
    </row>
    <row r="642" spans="2:22">
      <c r="B642" s="15">
        <f>+B641+1</f>
        <v>2</v>
      </c>
      <c r="C642" s="249" t="s">
        <v>1074</v>
      </c>
      <c r="D642" s="254">
        <v>2</v>
      </c>
      <c r="E642" s="250">
        <v>129400</v>
      </c>
      <c r="F642" s="254">
        <v>995</v>
      </c>
      <c r="G642" s="233">
        <v>40095</v>
      </c>
      <c r="H642" s="228" t="s">
        <v>895</v>
      </c>
      <c r="I642" s="300">
        <v>41920</v>
      </c>
      <c r="J642" s="301">
        <v>1826</v>
      </c>
      <c r="K642" s="301">
        <v>1635</v>
      </c>
      <c r="L642" s="301">
        <v>191</v>
      </c>
      <c r="M642" s="301">
        <v>6470</v>
      </c>
      <c r="N642" s="301">
        <v>95413</v>
      </c>
      <c r="O642" s="292">
        <v>0</v>
      </c>
      <c r="P642" s="301">
        <v>0</v>
      </c>
      <c r="Q642" s="301">
        <v>0</v>
      </c>
      <c r="R642" s="292">
        <v>-6470</v>
      </c>
      <c r="S642" s="251">
        <v>0</v>
      </c>
      <c r="T642" s="250">
        <v>0</v>
      </c>
      <c r="U642" s="250">
        <v>0</v>
      </c>
      <c r="V642" s="250">
        <v>0</v>
      </c>
    </row>
    <row r="643" spans="2:22" ht="27">
      <c r="B643" s="15">
        <f t="shared" ref="B643:B650" si="23">+B642+1</f>
        <v>3</v>
      </c>
      <c r="C643" s="249" t="s">
        <v>207</v>
      </c>
      <c r="D643" s="254">
        <v>1</v>
      </c>
      <c r="E643" s="250">
        <v>36520</v>
      </c>
      <c r="F643" s="254" t="s">
        <v>208</v>
      </c>
      <c r="G643" s="233">
        <v>40096</v>
      </c>
      <c r="H643" s="228" t="s">
        <v>282</v>
      </c>
      <c r="I643" s="300">
        <v>41921</v>
      </c>
      <c r="J643" s="301">
        <v>1826</v>
      </c>
      <c r="K643" s="301">
        <v>1634</v>
      </c>
      <c r="L643" s="301">
        <v>192</v>
      </c>
      <c r="M643" s="301">
        <v>1826</v>
      </c>
      <c r="N643" s="301">
        <v>26934</v>
      </c>
      <c r="O643" s="292">
        <v>0</v>
      </c>
      <c r="P643" s="301">
        <v>0</v>
      </c>
      <c r="Q643" s="301">
        <v>0</v>
      </c>
      <c r="R643" s="292">
        <v>-1826</v>
      </c>
      <c r="S643" s="251">
        <v>0</v>
      </c>
      <c r="T643" s="250">
        <v>0</v>
      </c>
      <c r="U643" s="250">
        <v>0</v>
      </c>
      <c r="V643" s="250">
        <v>0</v>
      </c>
    </row>
    <row r="644" spans="2:22">
      <c r="B644" s="15">
        <f t="shared" si="23"/>
        <v>4</v>
      </c>
      <c r="C644" s="249" t="s">
        <v>390</v>
      </c>
      <c r="D644" s="254">
        <v>1</v>
      </c>
      <c r="E644" s="250">
        <v>26500</v>
      </c>
      <c r="F644" s="254" t="s">
        <v>748</v>
      </c>
      <c r="G644" s="233">
        <v>40292</v>
      </c>
      <c r="H644" s="228" t="s">
        <v>282</v>
      </c>
      <c r="I644" s="300">
        <v>42117</v>
      </c>
      <c r="J644" s="301">
        <v>1826</v>
      </c>
      <c r="K644" s="301">
        <v>1438</v>
      </c>
      <c r="L644" s="301">
        <v>388</v>
      </c>
      <c r="M644" s="301">
        <v>1325</v>
      </c>
      <c r="N644" s="301">
        <v>20220</v>
      </c>
      <c r="O644" s="292">
        <v>0</v>
      </c>
      <c r="P644" s="301">
        <v>2524</v>
      </c>
      <c r="Q644" s="301">
        <v>23</v>
      </c>
      <c r="R644" s="292">
        <v>1199</v>
      </c>
      <c r="S644" s="251">
        <v>0</v>
      </c>
      <c r="T644" s="250">
        <v>0</v>
      </c>
      <c r="U644" s="250">
        <v>2524</v>
      </c>
      <c r="V644" s="250">
        <v>0</v>
      </c>
    </row>
    <row r="645" spans="2:22">
      <c r="B645" s="15">
        <f t="shared" si="23"/>
        <v>5</v>
      </c>
      <c r="C645" s="249" t="s">
        <v>505</v>
      </c>
      <c r="D645" s="254">
        <v>1</v>
      </c>
      <c r="E645" s="250">
        <v>49552</v>
      </c>
      <c r="F645" s="278" t="s">
        <v>749</v>
      </c>
      <c r="G645" s="233">
        <v>40350</v>
      </c>
      <c r="H645" s="228" t="s">
        <v>160</v>
      </c>
      <c r="I645" s="300">
        <v>42175</v>
      </c>
      <c r="J645" s="301">
        <v>1826</v>
      </c>
      <c r="K645" s="301">
        <v>1380</v>
      </c>
      <c r="L645" s="301">
        <v>446</v>
      </c>
      <c r="M645" s="301">
        <v>2478</v>
      </c>
      <c r="N645" s="301">
        <v>38182</v>
      </c>
      <c r="O645" s="292">
        <v>0</v>
      </c>
      <c r="P645" s="301">
        <v>9412</v>
      </c>
      <c r="Q645" s="301">
        <v>81</v>
      </c>
      <c r="R645" s="292">
        <v>6934</v>
      </c>
      <c r="S645" s="251">
        <v>0</v>
      </c>
      <c r="T645" s="250">
        <v>0</v>
      </c>
      <c r="U645" s="250">
        <v>9412</v>
      </c>
      <c r="V645" s="250">
        <v>0</v>
      </c>
    </row>
    <row r="646" spans="2:22">
      <c r="B646" s="15">
        <f t="shared" si="23"/>
        <v>6</v>
      </c>
      <c r="C646" s="249" t="s">
        <v>1021</v>
      </c>
      <c r="D646" s="254">
        <v>2</v>
      </c>
      <c r="E646" s="250">
        <v>80763</v>
      </c>
      <c r="F646" s="254" t="s">
        <v>747</v>
      </c>
      <c r="G646" s="233">
        <v>40379</v>
      </c>
      <c r="H646" s="228" t="s">
        <v>895</v>
      </c>
      <c r="I646" s="300">
        <v>42204</v>
      </c>
      <c r="J646" s="301">
        <v>1826</v>
      </c>
      <c r="K646" s="301">
        <v>1351</v>
      </c>
      <c r="L646" s="301">
        <v>475</v>
      </c>
      <c r="M646" s="301">
        <v>4038</v>
      </c>
      <c r="N646" s="301">
        <v>62537</v>
      </c>
      <c r="O646" s="292">
        <v>0</v>
      </c>
      <c r="P646" s="301">
        <v>18520</v>
      </c>
      <c r="Q646" s="301">
        <v>110</v>
      </c>
      <c r="R646" s="292">
        <v>14482</v>
      </c>
      <c r="S646" s="251">
        <v>0</v>
      </c>
      <c r="T646" s="250">
        <v>0</v>
      </c>
      <c r="U646" s="250">
        <v>18520</v>
      </c>
      <c r="V646" s="250">
        <v>0</v>
      </c>
    </row>
    <row r="647" spans="2:22" ht="40.5">
      <c r="B647" s="15">
        <f t="shared" si="23"/>
        <v>7</v>
      </c>
      <c r="C647" s="249" t="s">
        <v>386</v>
      </c>
      <c r="D647" s="254" t="s">
        <v>314</v>
      </c>
      <c r="E647" s="250">
        <v>8800</v>
      </c>
      <c r="F647" s="254" t="s">
        <v>387</v>
      </c>
      <c r="G647" s="233">
        <v>40588</v>
      </c>
      <c r="H647" s="228" t="s">
        <v>368</v>
      </c>
      <c r="I647" s="300">
        <v>42413</v>
      </c>
      <c r="J647" s="301">
        <v>1826</v>
      </c>
      <c r="K647" s="301">
        <v>1142</v>
      </c>
      <c r="L647" s="301">
        <v>684</v>
      </c>
      <c r="M647" s="301">
        <v>440</v>
      </c>
      <c r="N647" s="301">
        <v>7053</v>
      </c>
      <c r="O647" s="292">
        <v>0</v>
      </c>
      <c r="P647" s="301">
        <v>3729</v>
      </c>
      <c r="Q647" s="301">
        <v>319</v>
      </c>
      <c r="R647" s="292">
        <v>3289</v>
      </c>
      <c r="S647" s="251">
        <v>0</v>
      </c>
      <c r="T647" s="250">
        <v>0</v>
      </c>
      <c r="U647" s="250">
        <v>3729</v>
      </c>
      <c r="V647" s="250">
        <v>0</v>
      </c>
    </row>
    <row r="648" spans="2:22">
      <c r="B648" s="15">
        <f t="shared" si="23"/>
        <v>8</v>
      </c>
      <c r="C648" s="249" t="s">
        <v>1128</v>
      </c>
      <c r="D648" s="254">
        <v>1</v>
      </c>
      <c r="E648" s="250">
        <v>45650</v>
      </c>
      <c r="F648" s="254" t="s">
        <v>1129</v>
      </c>
      <c r="G648" s="233">
        <v>40707</v>
      </c>
      <c r="H648" s="228" t="s">
        <v>895</v>
      </c>
      <c r="I648" s="300">
        <v>42533</v>
      </c>
      <c r="J648" s="301">
        <v>1827</v>
      </c>
      <c r="K648" s="301">
        <v>1023</v>
      </c>
      <c r="L648" s="301">
        <v>804</v>
      </c>
      <c r="M648" s="301">
        <v>2283</v>
      </c>
      <c r="N648" s="301">
        <v>37295</v>
      </c>
      <c r="O648" s="292">
        <v>0</v>
      </c>
      <c r="P648" s="301">
        <v>22647</v>
      </c>
      <c r="Q648" s="301">
        <v>439</v>
      </c>
      <c r="R648" s="292">
        <v>20365</v>
      </c>
      <c r="S648" s="251">
        <v>0</v>
      </c>
      <c r="T648" s="250">
        <v>0</v>
      </c>
      <c r="U648" s="250">
        <v>22647</v>
      </c>
      <c r="V648" s="250">
        <v>0</v>
      </c>
    </row>
    <row r="649" spans="2:22">
      <c r="B649" s="15">
        <f t="shared" si="23"/>
        <v>9</v>
      </c>
      <c r="C649" s="249" t="s">
        <v>1699</v>
      </c>
      <c r="D649" s="254">
        <v>1</v>
      </c>
      <c r="E649" s="250">
        <v>8663</v>
      </c>
      <c r="F649" s="254" t="s">
        <v>1696</v>
      </c>
      <c r="G649" s="233">
        <v>40946</v>
      </c>
      <c r="H649" s="228" t="s">
        <v>368</v>
      </c>
      <c r="I649" s="300">
        <v>42772</v>
      </c>
      <c r="J649" s="301">
        <v>1827</v>
      </c>
      <c r="K649" s="301">
        <v>784</v>
      </c>
      <c r="L649" s="301">
        <v>1043</v>
      </c>
      <c r="M649" s="301">
        <v>433</v>
      </c>
      <c r="N649" s="301">
        <v>7347</v>
      </c>
      <c r="O649" s="292">
        <v>0</v>
      </c>
      <c r="P649" s="301">
        <v>5209</v>
      </c>
      <c r="Q649" s="301">
        <v>678</v>
      </c>
      <c r="R649" s="292">
        <v>4776</v>
      </c>
      <c r="S649" s="251">
        <v>0</v>
      </c>
      <c r="T649" s="250">
        <v>0</v>
      </c>
      <c r="U649" s="250">
        <v>5209</v>
      </c>
      <c r="V649" s="250">
        <v>0</v>
      </c>
    </row>
    <row r="650" spans="2:22">
      <c r="B650" s="15">
        <f t="shared" si="23"/>
        <v>10</v>
      </c>
      <c r="C650" s="249" t="s">
        <v>1697</v>
      </c>
      <c r="D650" s="254">
        <v>3</v>
      </c>
      <c r="E650" s="250">
        <v>95997</v>
      </c>
      <c r="F650" s="254" t="s">
        <v>1698</v>
      </c>
      <c r="G650" s="233">
        <v>40963</v>
      </c>
      <c r="H650" s="228" t="s">
        <v>368</v>
      </c>
      <c r="I650" s="300">
        <v>42789</v>
      </c>
      <c r="J650" s="301">
        <v>1827</v>
      </c>
      <c r="K650" s="301">
        <v>767</v>
      </c>
      <c r="L650" s="301">
        <v>1060</v>
      </c>
      <c r="M650" s="301">
        <v>4800</v>
      </c>
      <c r="N650" s="301">
        <v>81616</v>
      </c>
      <c r="O650" s="292">
        <v>0</v>
      </c>
      <c r="P650" s="301">
        <v>58312</v>
      </c>
      <c r="Q650" s="301">
        <v>695</v>
      </c>
      <c r="R650" s="292">
        <v>53512</v>
      </c>
      <c r="S650" s="251">
        <v>0</v>
      </c>
      <c r="T650" s="250">
        <v>0</v>
      </c>
      <c r="U650" s="250">
        <v>58312</v>
      </c>
      <c r="V650" s="250">
        <v>0</v>
      </c>
    </row>
    <row r="651" spans="2:22" ht="27">
      <c r="B651" s="15">
        <v>11</v>
      </c>
      <c r="C651" s="249" t="s">
        <v>4616</v>
      </c>
      <c r="D651" s="254">
        <v>1</v>
      </c>
      <c r="E651" s="250">
        <f>37999</f>
        <v>37999</v>
      </c>
      <c r="F651" s="254" t="s">
        <v>4617</v>
      </c>
      <c r="G651" s="233">
        <v>44472</v>
      </c>
      <c r="H651" s="228" t="s">
        <v>895</v>
      </c>
      <c r="I651" s="300">
        <v>46297</v>
      </c>
      <c r="J651" s="301">
        <v>1826</v>
      </c>
      <c r="K651" s="301">
        <v>0</v>
      </c>
      <c r="L651" s="301">
        <v>1826</v>
      </c>
      <c r="M651" s="301">
        <v>1900</v>
      </c>
      <c r="N651" s="301">
        <v>36099</v>
      </c>
      <c r="O651" s="292">
        <v>0</v>
      </c>
      <c r="P651" s="301">
        <v>37999</v>
      </c>
      <c r="Q651" s="301">
        <v>1826</v>
      </c>
      <c r="R651" s="292">
        <v>36099</v>
      </c>
      <c r="S651" s="251">
        <v>180</v>
      </c>
      <c r="T651" s="250">
        <v>3746</v>
      </c>
      <c r="U651" s="250">
        <v>3746</v>
      </c>
      <c r="V651" s="250">
        <v>34253</v>
      </c>
    </row>
    <row r="652" spans="2:22">
      <c r="B652" s="15">
        <v>12</v>
      </c>
      <c r="C652" s="249" t="s">
        <v>4644</v>
      </c>
      <c r="D652" s="254">
        <v>1</v>
      </c>
      <c r="E652" s="250">
        <v>36480</v>
      </c>
      <c r="F652" s="254" t="s">
        <v>4645</v>
      </c>
      <c r="G652" s="233">
        <v>44606</v>
      </c>
      <c r="H652" s="228" t="s">
        <v>368</v>
      </c>
      <c r="I652" s="300">
        <v>46431</v>
      </c>
      <c r="J652" s="301">
        <v>1826</v>
      </c>
      <c r="K652" s="301">
        <v>0</v>
      </c>
      <c r="L652" s="301">
        <v>1826</v>
      </c>
      <c r="M652" s="301">
        <v>1824</v>
      </c>
      <c r="N652" s="301">
        <v>34656</v>
      </c>
      <c r="O652" s="292">
        <v>0</v>
      </c>
      <c r="P652" s="301">
        <v>36480</v>
      </c>
      <c r="Q652" s="301">
        <v>1826</v>
      </c>
      <c r="R652" s="292">
        <v>34656</v>
      </c>
      <c r="S652" s="251">
        <v>46</v>
      </c>
      <c r="T652" s="250">
        <v>919</v>
      </c>
      <c r="U652" s="250">
        <v>919</v>
      </c>
      <c r="V652" s="250">
        <v>35561</v>
      </c>
    </row>
    <row r="653" spans="2:22">
      <c r="B653" s="143"/>
      <c r="C653" s="249"/>
      <c r="D653" s="254"/>
      <c r="E653" s="250"/>
      <c r="F653" s="254"/>
      <c r="G653" s="233"/>
      <c r="H653" s="228"/>
      <c r="I653" s="300"/>
      <c r="J653" s="301"/>
      <c r="K653" s="301"/>
      <c r="L653" s="301"/>
      <c r="M653" s="301"/>
      <c r="N653" s="301"/>
      <c r="O653" s="292"/>
      <c r="P653" s="301"/>
      <c r="Q653" s="301"/>
      <c r="R653" s="292"/>
      <c r="S653" s="251"/>
      <c r="T653" s="250"/>
      <c r="U653" s="250"/>
      <c r="V653" s="250"/>
    </row>
    <row r="654" spans="2:22" ht="14.25">
      <c r="B654" s="110" t="s">
        <v>641</v>
      </c>
      <c r="C654" s="228"/>
      <c r="D654" s="230"/>
      <c r="E654" s="345"/>
      <c r="F654" s="275"/>
      <c r="G654" s="230"/>
      <c r="H654" s="228"/>
      <c r="I654" s="301"/>
      <c r="J654" s="301"/>
      <c r="K654" s="301"/>
      <c r="L654" s="301"/>
      <c r="M654" s="301"/>
      <c r="N654" s="301"/>
      <c r="O654" s="292"/>
      <c r="P654" s="301"/>
      <c r="Q654" s="301"/>
      <c r="R654" s="292"/>
      <c r="S654" s="272"/>
      <c r="T654" s="250"/>
      <c r="U654" s="250"/>
      <c r="V654" s="250"/>
    </row>
    <row r="655" spans="2:22">
      <c r="B655" s="15">
        <v>1</v>
      </c>
      <c r="C655" s="249" t="s">
        <v>642</v>
      </c>
      <c r="D655" s="254"/>
      <c r="E655" s="345">
        <v>2527</v>
      </c>
      <c r="F655" s="254">
        <v>1176</v>
      </c>
      <c r="G655" s="233">
        <v>39539</v>
      </c>
      <c r="H655" s="228" t="s">
        <v>883</v>
      </c>
      <c r="I655" s="301">
        <v>0</v>
      </c>
      <c r="J655" s="301">
        <v>0</v>
      </c>
      <c r="K655" s="301">
        <v>0</v>
      </c>
      <c r="L655" s="301">
        <v>0</v>
      </c>
      <c r="M655" s="301">
        <v>0</v>
      </c>
      <c r="N655" s="301">
        <v>0</v>
      </c>
      <c r="O655" s="292">
        <v>0</v>
      </c>
      <c r="P655" s="301">
        <v>0</v>
      </c>
      <c r="Q655" s="301">
        <v>0</v>
      </c>
      <c r="R655" s="292">
        <v>-126</v>
      </c>
      <c r="S655" s="251">
        <v>0</v>
      </c>
      <c r="T655" s="250">
        <v>0</v>
      </c>
      <c r="U655" s="250">
        <v>0</v>
      </c>
      <c r="V655" s="250">
        <v>0</v>
      </c>
    </row>
    <row r="656" spans="2:22">
      <c r="B656" s="15">
        <f>+B655+1</f>
        <v>2</v>
      </c>
      <c r="C656" s="249" t="s">
        <v>643</v>
      </c>
      <c r="D656" s="254">
        <v>1</v>
      </c>
      <c r="E656" s="345">
        <v>23500</v>
      </c>
      <c r="F656" s="254" t="s">
        <v>644</v>
      </c>
      <c r="G656" s="233">
        <v>39539</v>
      </c>
      <c r="H656" s="228" t="s">
        <v>883</v>
      </c>
      <c r="I656" s="300">
        <v>41364</v>
      </c>
      <c r="J656" s="301">
        <v>1826</v>
      </c>
      <c r="K656" s="301">
        <v>2191</v>
      </c>
      <c r="L656" s="301">
        <v>-365</v>
      </c>
      <c r="M656" s="301">
        <v>1175</v>
      </c>
      <c r="N656" s="301">
        <v>0</v>
      </c>
      <c r="O656" s="292">
        <v>16804</v>
      </c>
      <c r="P656" s="301">
        <v>-0.25</v>
      </c>
      <c r="Q656" s="301">
        <v>-365</v>
      </c>
      <c r="R656" s="292">
        <v>-1175</v>
      </c>
      <c r="S656" s="251">
        <v>0</v>
      </c>
      <c r="T656" s="250">
        <v>0</v>
      </c>
      <c r="U656" s="250">
        <v>0</v>
      </c>
      <c r="V656" s="250">
        <v>-0.25</v>
      </c>
    </row>
    <row r="657" spans="2:22">
      <c r="B657" s="15">
        <f>+B656+1</f>
        <v>3</v>
      </c>
      <c r="C657" s="249" t="s">
        <v>643</v>
      </c>
      <c r="D657" s="254">
        <v>1</v>
      </c>
      <c r="E657" s="345">
        <v>22500</v>
      </c>
      <c r="F657" s="254" t="s">
        <v>645</v>
      </c>
      <c r="G657" s="233">
        <v>39874</v>
      </c>
      <c r="H657" s="228" t="s">
        <v>883</v>
      </c>
      <c r="I657" s="300">
        <v>41699</v>
      </c>
      <c r="J657" s="301">
        <v>1826</v>
      </c>
      <c r="K657" s="301">
        <v>1856</v>
      </c>
      <c r="L657" s="301">
        <v>-30</v>
      </c>
      <c r="M657" s="301">
        <v>1125</v>
      </c>
      <c r="N657" s="301">
        <v>0</v>
      </c>
      <c r="O657" s="292">
        <v>17068</v>
      </c>
      <c r="P657" s="301">
        <v>0.15753424657486903</v>
      </c>
      <c r="Q657" s="301">
        <v>-30</v>
      </c>
      <c r="R657" s="292">
        <v>-1125</v>
      </c>
      <c r="S657" s="251">
        <v>0</v>
      </c>
      <c r="T657" s="250">
        <v>0</v>
      </c>
      <c r="U657" s="250">
        <v>0</v>
      </c>
      <c r="V657" s="250">
        <v>0.15753424657668802</v>
      </c>
    </row>
    <row r="658" spans="2:22" ht="27">
      <c r="B658" s="15">
        <f>+B657+1</f>
        <v>4</v>
      </c>
      <c r="C658" s="249" t="s">
        <v>290</v>
      </c>
      <c r="D658" s="254">
        <v>1</v>
      </c>
      <c r="E658" s="250">
        <v>10642</v>
      </c>
      <c r="F658" s="254" t="s">
        <v>118</v>
      </c>
      <c r="G658" s="233">
        <v>40544</v>
      </c>
      <c r="H658" s="276" t="s">
        <v>119</v>
      </c>
      <c r="I658" s="300">
        <v>42369</v>
      </c>
      <c r="J658" s="301">
        <v>1826</v>
      </c>
      <c r="K658" s="301">
        <v>1186</v>
      </c>
      <c r="L658" s="301">
        <v>640</v>
      </c>
      <c r="M658" s="301">
        <v>532</v>
      </c>
      <c r="N658" s="301">
        <v>8469</v>
      </c>
      <c r="O658" s="292">
        <v>0</v>
      </c>
      <c r="P658" s="301">
        <v>4171</v>
      </c>
      <c r="Q658" s="301">
        <v>275</v>
      </c>
      <c r="R658" s="292">
        <v>3639</v>
      </c>
      <c r="S658" s="251">
        <v>0</v>
      </c>
      <c r="T658" s="250">
        <v>0</v>
      </c>
      <c r="U658" s="250">
        <v>4171</v>
      </c>
      <c r="V658" s="250">
        <v>0</v>
      </c>
    </row>
    <row r="659" spans="2:22">
      <c r="B659" s="15">
        <v>5</v>
      </c>
      <c r="C659" s="249" t="s">
        <v>4085</v>
      </c>
      <c r="D659" s="254">
        <v>1</v>
      </c>
      <c r="E659" s="250">
        <v>16500</v>
      </c>
      <c r="F659" s="254">
        <v>298</v>
      </c>
      <c r="G659" s="233">
        <v>43026</v>
      </c>
      <c r="H659" s="276" t="s">
        <v>119</v>
      </c>
      <c r="I659" s="300">
        <v>44851</v>
      </c>
      <c r="J659" s="301">
        <v>1826</v>
      </c>
      <c r="K659" s="301">
        <v>0</v>
      </c>
      <c r="L659" s="301">
        <v>1826</v>
      </c>
      <c r="M659" s="301">
        <v>825</v>
      </c>
      <c r="N659" s="301">
        <v>15675</v>
      </c>
      <c r="O659" s="292"/>
      <c r="P659" s="292">
        <v>16500</v>
      </c>
      <c r="Q659" s="301">
        <v>1826</v>
      </c>
      <c r="R659" s="301">
        <v>15675</v>
      </c>
      <c r="S659" s="292">
        <v>365</v>
      </c>
      <c r="T659" s="251">
        <v>3133</v>
      </c>
      <c r="U659" s="250">
        <v>13957</v>
      </c>
      <c r="V659" s="250">
        <v>2543</v>
      </c>
    </row>
    <row r="660" spans="2:22">
      <c r="B660" s="15">
        <v>6</v>
      </c>
      <c r="C660" s="249" t="s">
        <v>4317</v>
      </c>
      <c r="D660" s="254">
        <v>1</v>
      </c>
      <c r="E660" s="250">
        <v>30000</v>
      </c>
      <c r="F660" s="254" t="s">
        <v>4318</v>
      </c>
      <c r="G660" s="233">
        <v>43507</v>
      </c>
      <c r="H660" s="276" t="s">
        <v>895</v>
      </c>
      <c r="I660" s="300">
        <v>45332</v>
      </c>
      <c r="J660" s="301">
        <v>1826</v>
      </c>
      <c r="K660" s="301">
        <v>0</v>
      </c>
      <c r="L660" s="301">
        <v>1826</v>
      </c>
      <c r="M660" s="301">
        <v>1500</v>
      </c>
      <c r="N660" s="301">
        <v>28500</v>
      </c>
      <c r="O660" s="292"/>
      <c r="P660" s="292">
        <v>30000</v>
      </c>
      <c r="Q660" s="301">
        <v>1826</v>
      </c>
      <c r="R660" s="301">
        <v>28500</v>
      </c>
      <c r="S660" s="292">
        <v>365</v>
      </c>
      <c r="T660" s="251">
        <v>5697</v>
      </c>
      <c r="U660" s="250">
        <v>17871</v>
      </c>
      <c r="V660" s="250">
        <v>12129</v>
      </c>
    </row>
    <row r="661" spans="2:22">
      <c r="B661" s="15">
        <v>7</v>
      </c>
      <c r="C661" s="249" t="s">
        <v>4440</v>
      </c>
      <c r="D661" s="254">
        <v>1</v>
      </c>
      <c r="E661" s="250">
        <v>14500</v>
      </c>
      <c r="F661" s="254" t="s">
        <v>4439</v>
      </c>
      <c r="G661" s="233">
        <v>44049</v>
      </c>
      <c r="H661" s="276" t="s">
        <v>368</v>
      </c>
      <c r="I661" s="300">
        <v>45874</v>
      </c>
      <c r="J661" s="301">
        <v>1826</v>
      </c>
      <c r="K661" s="301">
        <v>0</v>
      </c>
      <c r="L661" s="301">
        <v>1826</v>
      </c>
      <c r="M661" s="301">
        <v>725</v>
      </c>
      <c r="N661" s="301">
        <v>13775</v>
      </c>
      <c r="O661" s="292"/>
      <c r="P661" s="292">
        <v>14500</v>
      </c>
      <c r="Q661" s="301">
        <v>1826</v>
      </c>
      <c r="R661" s="301">
        <v>13775</v>
      </c>
      <c r="S661" s="292">
        <v>365</v>
      </c>
      <c r="T661" s="251">
        <v>2753</v>
      </c>
      <c r="U661" s="250">
        <v>4548</v>
      </c>
      <c r="V661" s="250">
        <v>9952</v>
      </c>
    </row>
    <row r="662" spans="2:22">
      <c r="B662" s="143"/>
      <c r="C662" s="249"/>
      <c r="D662" s="254"/>
      <c r="E662" s="250"/>
      <c r="F662" s="254"/>
      <c r="G662" s="233"/>
      <c r="H662" s="276"/>
      <c r="I662" s="300"/>
      <c r="J662" s="301"/>
      <c r="K662" s="301"/>
      <c r="L662" s="301"/>
      <c r="M662" s="301"/>
      <c r="N662" s="301"/>
      <c r="O662" s="292"/>
      <c r="P662" s="301"/>
      <c r="Q662" s="301"/>
      <c r="R662" s="292"/>
      <c r="S662" s="251"/>
      <c r="T662" s="250"/>
      <c r="U662" s="250"/>
      <c r="V662" s="250"/>
    </row>
    <row r="663" spans="2:22" ht="14.25">
      <c r="B663" s="108" t="s">
        <v>897</v>
      </c>
      <c r="C663" s="229"/>
      <c r="D663" s="230"/>
      <c r="E663" s="250"/>
      <c r="F663" s="254"/>
      <c r="G663" s="230"/>
      <c r="H663" s="228"/>
      <c r="I663" s="301"/>
      <c r="J663" s="301"/>
      <c r="K663" s="301"/>
      <c r="L663" s="301"/>
      <c r="M663" s="301"/>
      <c r="N663" s="301"/>
      <c r="O663" s="292"/>
      <c r="P663" s="301">
        <v>0</v>
      </c>
      <c r="Q663" s="301"/>
      <c r="R663" s="292"/>
      <c r="S663" s="272"/>
      <c r="T663" s="250"/>
      <c r="U663" s="250"/>
      <c r="V663" s="250"/>
    </row>
    <row r="664" spans="2:22" ht="27">
      <c r="B664" s="15">
        <v>1</v>
      </c>
      <c r="C664" s="249" t="s">
        <v>898</v>
      </c>
      <c r="D664" s="254">
        <v>1</v>
      </c>
      <c r="E664" s="250">
        <v>5948</v>
      </c>
      <c r="F664" s="254" t="s">
        <v>899</v>
      </c>
      <c r="G664" s="233">
        <v>40465</v>
      </c>
      <c r="H664" s="228" t="s">
        <v>368</v>
      </c>
      <c r="I664" s="300">
        <v>42290</v>
      </c>
      <c r="J664" s="301">
        <v>1826</v>
      </c>
      <c r="K664" s="301">
        <v>1265</v>
      </c>
      <c r="L664" s="301">
        <v>561</v>
      </c>
      <c r="M664" s="301">
        <v>297</v>
      </c>
      <c r="N664" s="301">
        <v>4672</v>
      </c>
      <c r="O664" s="292">
        <v>0</v>
      </c>
      <c r="P664" s="301">
        <v>1929</v>
      </c>
      <c r="Q664" s="301">
        <v>196</v>
      </c>
      <c r="R664" s="292">
        <v>1632</v>
      </c>
      <c r="S664" s="251">
        <v>0</v>
      </c>
      <c r="T664" s="250">
        <v>0</v>
      </c>
      <c r="U664" s="250">
        <v>1929</v>
      </c>
      <c r="V664" s="250">
        <v>0</v>
      </c>
    </row>
    <row r="665" spans="2:22">
      <c r="B665" s="15">
        <v>2</v>
      </c>
      <c r="C665" s="249" t="s">
        <v>1770</v>
      </c>
      <c r="D665" s="254">
        <v>1</v>
      </c>
      <c r="E665" s="250">
        <v>39327</v>
      </c>
      <c r="F665" s="254" t="s">
        <v>1771</v>
      </c>
      <c r="G665" s="233">
        <v>40996</v>
      </c>
      <c r="H665" s="228" t="s">
        <v>368</v>
      </c>
      <c r="I665" s="300">
        <v>42821</v>
      </c>
      <c r="J665" s="301">
        <v>1826</v>
      </c>
      <c r="K665" s="301">
        <v>734</v>
      </c>
      <c r="L665" s="301">
        <v>1092</v>
      </c>
      <c r="M665" s="301">
        <v>1966</v>
      </c>
      <c r="N665" s="301">
        <v>33605</v>
      </c>
      <c r="O665" s="292">
        <v>0</v>
      </c>
      <c r="P665" s="301">
        <v>24339</v>
      </c>
      <c r="Q665" s="301">
        <v>727</v>
      </c>
      <c r="R665" s="292">
        <v>22373</v>
      </c>
      <c r="S665" s="251">
        <v>0</v>
      </c>
      <c r="T665" s="250">
        <v>0</v>
      </c>
      <c r="U665" s="250">
        <v>24339</v>
      </c>
      <c r="V665" s="250">
        <v>0</v>
      </c>
    </row>
    <row r="666" spans="2:22" ht="14.25">
      <c r="B666" s="108" t="s">
        <v>474</v>
      </c>
      <c r="C666" s="241"/>
      <c r="D666" s="313"/>
      <c r="E666" s="250"/>
      <c r="F666" s="364"/>
      <c r="G666" s="372"/>
      <c r="H666" s="241"/>
      <c r="I666" s="301"/>
      <c r="J666" s="301"/>
      <c r="K666" s="301"/>
      <c r="L666" s="301"/>
      <c r="M666" s="301"/>
      <c r="N666" s="301"/>
      <c r="O666" s="292"/>
      <c r="P666" s="301">
        <v>0</v>
      </c>
      <c r="Q666" s="301"/>
      <c r="R666" s="292"/>
      <c r="S666" s="272"/>
      <c r="T666" s="250"/>
      <c r="U666" s="250"/>
      <c r="V666" s="250"/>
    </row>
    <row r="667" spans="2:22">
      <c r="B667" s="15">
        <v>1</v>
      </c>
      <c r="C667" s="249" t="s">
        <v>475</v>
      </c>
      <c r="D667" s="254">
        <v>1</v>
      </c>
      <c r="E667" s="250">
        <v>11890</v>
      </c>
      <c r="F667" s="254">
        <v>1304</v>
      </c>
      <c r="G667" s="233">
        <v>39858</v>
      </c>
      <c r="H667" s="228" t="s">
        <v>282</v>
      </c>
      <c r="I667" s="300">
        <v>41683</v>
      </c>
      <c r="J667" s="301">
        <v>1826</v>
      </c>
      <c r="K667" s="301">
        <v>1872</v>
      </c>
      <c r="L667" s="301">
        <v>-46</v>
      </c>
      <c r="M667" s="301">
        <v>595</v>
      </c>
      <c r="N667" s="301">
        <v>0</v>
      </c>
      <c r="O667" s="292">
        <v>8997</v>
      </c>
      <c r="P667" s="301">
        <v>-0.17712328767129293</v>
      </c>
      <c r="Q667" s="301">
        <v>-46</v>
      </c>
      <c r="R667" s="292">
        <v>-595</v>
      </c>
      <c r="S667" s="251">
        <v>0</v>
      </c>
      <c r="T667" s="250">
        <v>0</v>
      </c>
      <c r="U667" s="250">
        <v>0</v>
      </c>
      <c r="V667" s="250">
        <v>-0.17712328767083818</v>
      </c>
    </row>
    <row r="668" spans="2:22">
      <c r="B668" s="15">
        <f t="shared" ref="B668:B680" si="24">+B667+1</f>
        <v>2</v>
      </c>
      <c r="C668" s="249" t="s">
        <v>475</v>
      </c>
      <c r="D668" s="254">
        <v>1</v>
      </c>
      <c r="E668" s="250">
        <v>12000</v>
      </c>
      <c r="F668" s="254">
        <v>1689</v>
      </c>
      <c r="G668" s="233">
        <v>39988</v>
      </c>
      <c r="H668" s="228" t="s">
        <v>282</v>
      </c>
      <c r="I668" s="300">
        <v>41813</v>
      </c>
      <c r="J668" s="301">
        <v>1826</v>
      </c>
      <c r="K668" s="301">
        <v>1742</v>
      </c>
      <c r="L668" s="301">
        <v>84</v>
      </c>
      <c r="M668" s="301">
        <v>600</v>
      </c>
      <c r="N668" s="301">
        <v>8679</v>
      </c>
      <c r="O668" s="292">
        <v>0</v>
      </c>
      <c r="P668" s="301">
        <v>0</v>
      </c>
      <c r="Q668" s="301">
        <v>0</v>
      </c>
      <c r="R668" s="292">
        <v>-600</v>
      </c>
      <c r="S668" s="251">
        <v>0</v>
      </c>
      <c r="T668" s="250">
        <v>0</v>
      </c>
      <c r="U668" s="250">
        <v>0</v>
      </c>
      <c r="V668" s="250">
        <v>0</v>
      </c>
    </row>
    <row r="669" spans="2:22">
      <c r="B669" s="15">
        <f t="shared" si="24"/>
        <v>3</v>
      </c>
      <c r="C669" s="249" t="s">
        <v>793</v>
      </c>
      <c r="D669" s="254">
        <v>1</v>
      </c>
      <c r="E669" s="250">
        <v>41125</v>
      </c>
      <c r="F669" s="254">
        <v>76373</v>
      </c>
      <c r="G669" s="233">
        <v>40179</v>
      </c>
      <c r="H669" s="228" t="s">
        <v>895</v>
      </c>
      <c r="I669" s="300">
        <v>42004</v>
      </c>
      <c r="J669" s="301">
        <v>1826</v>
      </c>
      <c r="K669" s="301">
        <v>1551</v>
      </c>
      <c r="L669" s="301">
        <v>275</v>
      </c>
      <c r="M669" s="301">
        <v>2056</v>
      </c>
      <c r="N669" s="301">
        <v>30774</v>
      </c>
      <c r="O669" s="292">
        <v>0</v>
      </c>
      <c r="P669" s="301">
        <v>0</v>
      </c>
      <c r="Q669" s="301">
        <v>0</v>
      </c>
      <c r="R669" s="292">
        <v>-2056</v>
      </c>
      <c r="S669" s="251">
        <v>0</v>
      </c>
      <c r="T669" s="250">
        <v>0</v>
      </c>
      <c r="U669" s="250">
        <v>0</v>
      </c>
      <c r="V669" s="250">
        <v>0</v>
      </c>
    </row>
    <row r="670" spans="2:22">
      <c r="B670" s="15">
        <f t="shared" si="24"/>
        <v>4</v>
      </c>
      <c r="C670" s="249" t="s">
        <v>794</v>
      </c>
      <c r="D670" s="254">
        <v>1</v>
      </c>
      <c r="E670" s="250">
        <v>11510</v>
      </c>
      <c r="F670" s="254">
        <v>323</v>
      </c>
      <c r="G670" s="233">
        <v>40191</v>
      </c>
      <c r="H670" s="228" t="s">
        <v>282</v>
      </c>
      <c r="I670" s="300">
        <v>42016</v>
      </c>
      <c r="J670" s="301">
        <v>1826</v>
      </c>
      <c r="K670" s="301">
        <v>1539</v>
      </c>
      <c r="L670" s="301">
        <v>287</v>
      </c>
      <c r="M670" s="301">
        <v>576</v>
      </c>
      <c r="N670" s="301">
        <v>8630</v>
      </c>
      <c r="O670" s="292">
        <v>0</v>
      </c>
      <c r="P670" s="301">
        <v>0</v>
      </c>
      <c r="Q670" s="301">
        <v>0</v>
      </c>
      <c r="R670" s="292">
        <v>-576</v>
      </c>
      <c r="S670" s="251">
        <v>0</v>
      </c>
      <c r="T670" s="250">
        <v>0</v>
      </c>
      <c r="U670" s="250">
        <v>0</v>
      </c>
      <c r="V670" s="250">
        <v>0</v>
      </c>
    </row>
    <row r="671" spans="2:22" ht="27">
      <c r="B671" s="15">
        <f t="shared" si="24"/>
        <v>5</v>
      </c>
      <c r="C671" s="249" t="s">
        <v>506</v>
      </c>
      <c r="D671" s="254">
        <v>1</v>
      </c>
      <c r="E671" s="250">
        <v>10660</v>
      </c>
      <c r="F671" s="254" t="s">
        <v>746</v>
      </c>
      <c r="G671" s="233">
        <v>40302</v>
      </c>
      <c r="H671" s="228" t="s">
        <v>368</v>
      </c>
      <c r="I671" s="300">
        <v>42127</v>
      </c>
      <c r="J671" s="301">
        <v>1826</v>
      </c>
      <c r="K671" s="301">
        <v>1428</v>
      </c>
      <c r="L671" s="301">
        <v>398</v>
      </c>
      <c r="M671" s="301">
        <v>533</v>
      </c>
      <c r="N671" s="301">
        <v>8148</v>
      </c>
      <c r="O671" s="292">
        <v>0</v>
      </c>
      <c r="P671" s="301">
        <v>1209</v>
      </c>
      <c r="Q671" s="301">
        <v>33</v>
      </c>
      <c r="R671" s="292">
        <v>676</v>
      </c>
      <c r="S671" s="251">
        <v>0</v>
      </c>
      <c r="T671" s="250">
        <v>0</v>
      </c>
      <c r="U671" s="250">
        <v>1209</v>
      </c>
      <c r="V671" s="250">
        <v>0</v>
      </c>
    </row>
    <row r="672" spans="2:22" ht="27">
      <c r="B672" s="15">
        <f t="shared" si="24"/>
        <v>6</v>
      </c>
      <c r="C672" s="249" t="s">
        <v>507</v>
      </c>
      <c r="D672" s="254">
        <v>1</v>
      </c>
      <c r="E672" s="250">
        <v>10660</v>
      </c>
      <c r="F672" s="254" t="s">
        <v>750</v>
      </c>
      <c r="G672" s="233">
        <v>40323</v>
      </c>
      <c r="H672" s="228" t="s">
        <v>282</v>
      </c>
      <c r="I672" s="300">
        <v>42148</v>
      </c>
      <c r="J672" s="301">
        <v>1826</v>
      </c>
      <c r="K672" s="301">
        <v>1407</v>
      </c>
      <c r="L672" s="301">
        <v>419</v>
      </c>
      <c r="M672" s="301">
        <v>533</v>
      </c>
      <c r="N672" s="301">
        <v>8177</v>
      </c>
      <c r="O672" s="292">
        <v>0</v>
      </c>
      <c r="P672" s="301">
        <v>1587</v>
      </c>
      <c r="Q672" s="301">
        <v>54</v>
      </c>
      <c r="R672" s="292">
        <v>1054</v>
      </c>
      <c r="S672" s="251">
        <v>0</v>
      </c>
      <c r="T672" s="250">
        <v>0</v>
      </c>
      <c r="U672" s="250">
        <v>1587</v>
      </c>
      <c r="V672" s="250">
        <v>0</v>
      </c>
    </row>
    <row r="673" spans="2:22" ht="27">
      <c r="B673" s="15">
        <f t="shared" si="24"/>
        <v>7</v>
      </c>
      <c r="C673" s="249" t="s">
        <v>508</v>
      </c>
      <c r="D673" s="254">
        <v>1</v>
      </c>
      <c r="E673" s="250">
        <v>10660</v>
      </c>
      <c r="F673" s="254" t="s">
        <v>751</v>
      </c>
      <c r="G673" s="233">
        <v>40344</v>
      </c>
      <c r="H673" s="228" t="s">
        <v>282</v>
      </c>
      <c r="I673" s="300">
        <v>42169</v>
      </c>
      <c r="J673" s="301">
        <v>1826</v>
      </c>
      <c r="K673" s="301">
        <v>1386</v>
      </c>
      <c r="L673" s="301">
        <v>440</v>
      </c>
      <c r="M673" s="301">
        <v>533</v>
      </c>
      <c r="N673" s="301">
        <v>8206</v>
      </c>
      <c r="O673" s="292">
        <v>0</v>
      </c>
      <c r="P673" s="301">
        <v>1932</v>
      </c>
      <c r="Q673" s="301">
        <v>75</v>
      </c>
      <c r="R673" s="292">
        <v>1399</v>
      </c>
      <c r="S673" s="251">
        <v>0</v>
      </c>
      <c r="T673" s="250">
        <v>0</v>
      </c>
      <c r="U673" s="250">
        <v>1932</v>
      </c>
      <c r="V673" s="250">
        <v>0</v>
      </c>
    </row>
    <row r="674" spans="2:22" ht="27">
      <c r="B674" s="15">
        <f t="shared" si="24"/>
        <v>8</v>
      </c>
      <c r="C674" s="249" t="s">
        <v>86</v>
      </c>
      <c r="D674" s="254">
        <v>1</v>
      </c>
      <c r="E674" s="250">
        <v>10660</v>
      </c>
      <c r="F674" s="254" t="s">
        <v>785</v>
      </c>
      <c r="G674" s="233">
        <v>40485</v>
      </c>
      <c r="H674" s="228" t="s">
        <v>368</v>
      </c>
      <c r="I674" s="300">
        <v>42310</v>
      </c>
      <c r="J674" s="301">
        <v>1826</v>
      </c>
      <c r="K674" s="301">
        <v>1245</v>
      </c>
      <c r="L674" s="301">
        <v>581</v>
      </c>
      <c r="M674" s="301">
        <v>533</v>
      </c>
      <c r="N674" s="301">
        <v>8402</v>
      </c>
      <c r="O674" s="292">
        <v>0</v>
      </c>
      <c r="P674" s="301">
        <v>3657</v>
      </c>
      <c r="Q674" s="301">
        <v>216</v>
      </c>
      <c r="R674" s="292">
        <v>3124</v>
      </c>
      <c r="S674" s="251">
        <v>0</v>
      </c>
      <c r="T674" s="250">
        <v>0</v>
      </c>
      <c r="U674" s="250">
        <v>3657</v>
      </c>
      <c r="V674" s="250">
        <v>0</v>
      </c>
    </row>
    <row r="675" spans="2:22" ht="27">
      <c r="B675" s="15">
        <f t="shared" si="24"/>
        <v>9</v>
      </c>
      <c r="C675" s="249" t="s">
        <v>437</v>
      </c>
      <c r="D675" s="254">
        <v>1</v>
      </c>
      <c r="E675" s="250">
        <v>9600</v>
      </c>
      <c r="F675" s="200" t="s">
        <v>513</v>
      </c>
      <c r="G675" s="233">
        <v>40529</v>
      </c>
      <c r="H675" s="228" t="s">
        <v>368</v>
      </c>
      <c r="I675" s="300">
        <v>42354</v>
      </c>
      <c r="J675" s="301">
        <v>1826</v>
      </c>
      <c r="K675" s="301">
        <v>1201</v>
      </c>
      <c r="L675" s="301">
        <v>625</v>
      </c>
      <c r="M675" s="301">
        <v>480</v>
      </c>
      <c r="N675" s="301">
        <v>7621</v>
      </c>
      <c r="O675" s="292">
        <v>0</v>
      </c>
      <c r="P675" s="301">
        <v>3650</v>
      </c>
      <c r="Q675" s="301">
        <v>260</v>
      </c>
      <c r="R675" s="292">
        <v>3170</v>
      </c>
      <c r="S675" s="251">
        <v>0</v>
      </c>
      <c r="T675" s="250">
        <v>0</v>
      </c>
      <c r="U675" s="250">
        <v>3650</v>
      </c>
      <c r="V675" s="250">
        <v>0</v>
      </c>
    </row>
    <row r="676" spans="2:22" ht="27">
      <c r="B676" s="15">
        <f t="shared" si="24"/>
        <v>10</v>
      </c>
      <c r="C676" s="249" t="s">
        <v>584</v>
      </c>
      <c r="D676" s="254">
        <v>1</v>
      </c>
      <c r="E676" s="250">
        <f>174917+45900</f>
        <v>220817</v>
      </c>
      <c r="F676" s="200" t="s">
        <v>583</v>
      </c>
      <c r="G676" s="233">
        <v>40595</v>
      </c>
      <c r="H676" s="228" t="s">
        <v>895</v>
      </c>
      <c r="I676" s="300">
        <v>42420</v>
      </c>
      <c r="J676" s="301">
        <v>1826</v>
      </c>
      <c r="K676" s="301">
        <v>1135</v>
      </c>
      <c r="L676" s="301">
        <v>691</v>
      </c>
      <c r="M676" s="301">
        <v>11041</v>
      </c>
      <c r="N676" s="301">
        <v>177187</v>
      </c>
      <c r="O676" s="292">
        <v>0</v>
      </c>
      <c r="P676" s="301">
        <v>94634</v>
      </c>
      <c r="Q676" s="301">
        <v>326</v>
      </c>
      <c r="R676" s="292">
        <v>83593</v>
      </c>
      <c r="S676" s="251">
        <v>0</v>
      </c>
      <c r="T676" s="250">
        <v>0</v>
      </c>
      <c r="U676" s="250">
        <v>94634</v>
      </c>
      <c r="V676" s="250">
        <v>0</v>
      </c>
    </row>
    <row r="677" spans="2:22">
      <c r="B677" s="15">
        <f t="shared" si="24"/>
        <v>11</v>
      </c>
      <c r="C677" s="249" t="s">
        <v>821</v>
      </c>
      <c r="D677" s="254">
        <v>2</v>
      </c>
      <c r="E677" s="250">
        <v>13000</v>
      </c>
      <c r="F677" s="200" t="s">
        <v>1419</v>
      </c>
      <c r="G677" s="233">
        <v>40857</v>
      </c>
      <c r="H677" s="228" t="s">
        <v>4328</v>
      </c>
      <c r="I677" s="300">
        <v>42683</v>
      </c>
      <c r="J677" s="301">
        <v>1827</v>
      </c>
      <c r="K677" s="301">
        <v>873</v>
      </c>
      <c r="L677" s="301">
        <v>954</v>
      </c>
      <c r="M677" s="301">
        <v>650</v>
      </c>
      <c r="N677" s="301">
        <v>10872</v>
      </c>
      <c r="O677" s="292">
        <v>0</v>
      </c>
      <c r="P677" s="301">
        <v>7362</v>
      </c>
      <c r="Q677" s="301">
        <v>589</v>
      </c>
      <c r="R677" s="292">
        <v>6712</v>
      </c>
      <c r="S677" s="251">
        <v>0</v>
      </c>
      <c r="T677" s="250">
        <v>0</v>
      </c>
      <c r="U677" s="250">
        <v>7362</v>
      </c>
      <c r="V677" s="250">
        <v>0</v>
      </c>
    </row>
    <row r="678" spans="2:22" ht="27">
      <c r="B678" s="15">
        <f t="shared" si="24"/>
        <v>12</v>
      </c>
      <c r="C678" s="249" t="s">
        <v>1637</v>
      </c>
      <c r="D678" s="254">
        <v>1</v>
      </c>
      <c r="E678" s="250">
        <v>6500</v>
      </c>
      <c r="F678" s="200" t="s">
        <v>1636</v>
      </c>
      <c r="G678" s="233">
        <v>40914</v>
      </c>
      <c r="H678" s="228" t="s">
        <v>368</v>
      </c>
      <c r="I678" s="300">
        <v>42740</v>
      </c>
      <c r="J678" s="301">
        <v>1827</v>
      </c>
      <c r="K678" s="301">
        <v>816</v>
      </c>
      <c r="L678" s="301">
        <v>1011</v>
      </c>
      <c r="M678" s="301">
        <v>325</v>
      </c>
      <c r="N678" s="301">
        <v>5484</v>
      </c>
      <c r="O678" s="292">
        <v>0</v>
      </c>
      <c r="P678" s="301">
        <v>3829</v>
      </c>
      <c r="Q678" s="301">
        <v>646</v>
      </c>
      <c r="R678" s="292">
        <v>3504</v>
      </c>
      <c r="S678" s="251">
        <v>0</v>
      </c>
      <c r="T678" s="250">
        <v>0</v>
      </c>
      <c r="U678" s="250">
        <v>3829</v>
      </c>
      <c r="V678" s="250">
        <v>0</v>
      </c>
    </row>
    <row r="679" spans="2:22" ht="27">
      <c r="B679" s="15">
        <f t="shared" si="24"/>
        <v>13</v>
      </c>
      <c r="C679" s="249" t="s">
        <v>1638</v>
      </c>
      <c r="D679" s="254">
        <v>1</v>
      </c>
      <c r="E679" s="250">
        <v>6500</v>
      </c>
      <c r="F679" s="200" t="s">
        <v>1639</v>
      </c>
      <c r="G679" s="233">
        <v>40914</v>
      </c>
      <c r="H679" s="228" t="s">
        <v>368</v>
      </c>
      <c r="I679" s="300">
        <v>42740</v>
      </c>
      <c r="J679" s="301">
        <v>1827</v>
      </c>
      <c r="K679" s="301">
        <v>816</v>
      </c>
      <c r="L679" s="301">
        <v>1011</v>
      </c>
      <c r="M679" s="301">
        <v>325</v>
      </c>
      <c r="N679" s="301">
        <v>5484</v>
      </c>
      <c r="O679" s="292">
        <v>0</v>
      </c>
      <c r="P679" s="301">
        <v>3829</v>
      </c>
      <c r="Q679" s="301">
        <v>646</v>
      </c>
      <c r="R679" s="292">
        <v>3504</v>
      </c>
      <c r="S679" s="251">
        <v>0</v>
      </c>
      <c r="T679" s="250">
        <v>0</v>
      </c>
      <c r="U679" s="250">
        <v>3829</v>
      </c>
      <c r="V679" s="250">
        <v>0</v>
      </c>
    </row>
    <row r="680" spans="2:22" ht="27">
      <c r="B680" s="15">
        <f t="shared" si="24"/>
        <v>14</v>
      </c>
      <c r="C680" s="249" t="s">
        <v>2300</v>
      </c>
      <c r="D680" s="254">
        <v>1</v>
      </c>
      <c r="E680" s="250">
        <v>7700</v>
      </c>
      <c r="F680" s="200" t="s">
        <v>2301</v>
      </c>
      <c r="G680" s="233">
        <v>41663</v>
      </c>
      <c r="H680" s="228" t="s">
        <v>368</v>
      </c>
      <c r="I680" s="300">
        <v>43488</v>
      </c>
      <c r="J680" s="301">
        <v>1826</v>
      </c>
      <c r="K680" s="301">
        <v>67</v>
      </c>
      <c r="L680" s="301">
        <v>1759</v>
      </c>
      <c r="M680" s="301">
        <v>385</v>
      </c>
      <c r="N680" s="301">
        <v>7248</v>
      </c>
      <c r="O680" s="292">
        <v>0</v>
      </c>
      <c r="P680" s="301">
        <v>6129</v>
      </c>
      <c r="Q680" s="301">
        <v>1394</v>
      </c>
      <c r="R680" s="292">
        <v>5744</v>
      </c>
      <c r="S680" s="251">
        <v>0</v>
      </c>
      <c r="T680" s="250">
        <v>0</v>
      </c>
      <c r="U680" s="250">
        <v>6129</v>
      </c>
      <c r="V680" s="250">
        <v>0</v>
      </c>
    </row>
    <row r="681" spans="2:22">
      <c r="B681" s="15">
        <v>15</v>
      </c>
      <c r="C681" s="249" t="s">
        <v>2419</v>
      </c>
      <c r="D681" s="254">
        <v>2</v>
      </c>
      <c r="E681" s="250">
        <v>23900</v>
      </c>
      <c r="F681" s="200" t="s">
        <v>2420</v>
      </c>
      <c r="G681" s="233">
        <v>41693</v>
      </c>
      <c r="H681" s="228" t="s">
        <v>368</v>
      </c>
      <c r="I681" s="300">
        <v>43518</v>
      </c>
      <c r="J681" s="301">
        <v>1826</v>
      </c>
      <c r="K681" s="301">
        <v>36</v>
      </c>
      <c r="L681" s="301">
        <v>1790</v>
      </c>
      <c r="M681" s="301">
        <v>1195</v>
      </c>
      <c r="N681" s="301">
        <v>22590</v>
      </c>
      <c r="O681" s="292">
        <v>0</v>
      </c>
      <c r="P681" s="292">
        <v>19179</v>
      </c>
      <c r="Q681" s="301">
        <v>1425</v>
      </c>
      <c r="R681" s="301">
        <v>17984</v>
      </c>
      <c r="S681" s="292">
        <v>0</v>
      </c>
      <c r="T681" s="251">
        <v>0</v>
      </c>
      <c r="U681" s="250">
        <v>19179</v>
      </c>
      <c r="V681" s="250">
        <v>0</v>
      </c>
    </row>
    <row r="682" spans="2:22">
      <c r="B682" s="15">
        <v>16</v>
      </c>
      <c r="C682" s="249" t="s">
        <v>2997</v>
      </c>
      <c r="D682" s="254">
        <v>1</v>
      </c>
      <c r="E682" s="250">
        <v>4350</v>
      </c>
      <c r="F682" s="200" t="s">
        <v>2998</v>
      </c>
      <c r="G682" s="233">
        <v>42332</v>
      </c>
      <c r="H682" s="228" t="s">
        <v>368</v>
      </c>
      <c r="I682" s="300">
        <v>44158</v>
      </c>
      <c r="J682" s="301">
        <v>1827</v>
      </c>
      <c r="K682" s="301">
        <v>0</v>
      </c>
      <c r="L682" s="301">
        <v>1827</v>
      </c>
      <c r="M682" s="301">
        <v>218</v>
      </c>
      <c r="N682" s="301">
        <v>4132</v>
      </c>
      <c r="O682" s="292">
        <v>0</v>
      </c>
      <c r="P682" s="292">
        <v>4350</v>
      </c>
      <c r="Q682" s="301">
        <v>1827</v>
      </c>
      <c r="R682" s="301">
        <v>4133</v>
      </c>
      <c r="S682" s="292">
        <v>0</v>
      </c>
      <c r="T682" s="251">
        <v>0</v>
      </c>
      <c r="U682" s="250">
        <v>4350</v>
      </c>
      <c r="V682" s="250">
        <v>0</v>
      </c>
    </row>
    <row r="683" spans="2:22">
      <c r="B683" s="15">
        <v>17</v>
      </c>
      <c r="C683" s="249" t="s">
        <v>4550</v>
      </c>
      <c r="D683" s="254">
        <v>1</v>
      </c>
      <c r="E683" s="250">
        <v>8000</v>
      </c>
      <c r="F683" s="200" t="s">
        <v>4551</v>
      </c>
      <c r="G683" s="233">
        <v>44247</v>
      </c>
      <c r="H683" s="228" t="s">
        <v>368</v>
      </c>
      <c r="I683" s="300">
        <v>46072</v>
      </c>
      <c r="J683" s="301">
        <v>1826</v>
      </c>
      <c r="K683" s="301">
        <v>0</v>
      </c>
      <c r="L683" s="301">
        <v>1826</v>
      </c>
      <c r="M683" s="301">
        <v>400</v>
      </c>
      <c r="N683" s="301">
        <v>7600</v>
      </c>
      <c r="O683" s="292">
        <v>0</v>
      </c>
      <c r="P683" s="292">
        <v>8000</v>
      </c>
      <c r="Q683" s="301">
        <v>1826</v>
      </c>
      <c r="R683" s="301">
        <v>7600</v>
      </c>
      <c r="S683" s="292">
        <v>365</v>
      </c>
      <c r="T683" s="251">
        <v>1519</v>
      </c>
      <c r="U683" s="250">
        <v>1685</v>
      </c>
      <c r="V683" s="250">
        <v>6315</v>
      </c>
    </row>
    <row r="684" spans="2:22">
      <c r="B684" s="15"/>
      <c r="C684" s="249"/>
      <c r="D684" s="254"/>
      <c r="E684" s="250"/>
      <c r="F684" s="200"/>
      <c r="G684" s="233"/>
      <c r="H684" s="228"/>
      <c r="I684" s="300"/>
      <c r="J684" s="301"/>
      <c r="K684" s="301"/>
      <c r="L684" s="301"/>
      <c r="M684" s="301"/>
      <c r="N684" s="301"/>
      <c r="O684" s="292"/>
      <c r="P684" s="301">
        <v>0</v>
      </c>
      <c r="Q684" s="301"/>
      <c r="R684" s="292"/>
      <c r="S684" s="251"/>
      <c r="T684" s="250"/>
      <c r="U684" s="250"/>
      <c r="V684" s="250"/>
    </row>
    <row r="685" spans="2:22" ht="14.25">
      <c r="B685" s="104" t="s">
        <v>476</v>
      </c>
      <c r="C685" s="241"/>
      <c r="D685" s="313"/>
      <c r="E685" s="320"/>
      <c r="F685" s="364"/>
      <c r="G685" s="229"/>
      <c r="H685" s="228"/>
      <c r="I685" s="301"/>
      <c r="J685" s="301"/>
      <c r="K685" s="301"/>
      <c r="L685" s="301"/>
      <c r="M685" s="301"/>
      <c r="N685" s="301"/>
      <c r="O685" s="292"/>
      <c r="P685" s="301"/>
      <c r="Q685" s="301"/>
      <c r="R685" s="292"/>
      <c r="S685" s="272"/>
      <c r="T685" s="250"/>
      <c r="U685" s="250"/>
      <c r="V685" s="250"/>
    </row>
    <row r="686" spans="2:22">
      <c r="B686" s="15">
        <v>1</v>
      </c>
      <c r="C686" s="249" t="s">
        <v>477</v>
      </c>
      <c r="D686" s="254">
        <v>22</v>
      </c>
      <c r="E686" s="250">
        <v>5800</v>
      </c>
      <c r="F686" s="247">
        <v>6655</v>
      </c>
      <c r="G686" s="233">
        <v>39855</v>
      </c>
      <c r="H686" s="228" t="s">
        <v>282</v>
      </c>
      <c r="I686" s="301">
        <v>0</v>
      </c>
      <c r="J686" s="301">
        <v>0</v>
      </c>
      <c r="K686" s="301">
        <v>0</v>
      </c>
      <c r="L686" s="301">
        <v>0</v>
      </c>
      <c r="M686" s="301">
        <v>0</v>
      </c>
      <c r="N686" s="301">
        <v>0</v>
      </c>
      <c r="O686" s="292">
        <v>0</v>
      </c>
      <c r="P686" s="301">
        <v>0</v>
      </c>
      <c r="Q686" s="301">
        <v>0</v>
      </c>
      <c r="R686" s="292">
        <v>-290</v>
      </c>
      <c r="S686" s="251">
        <v>0</v>
      </c>
      <c r="T686" s="250">
        <v>0</v>
      </c>
      <c r="U686" s="250">
        <v>0</v>
      </c>
      <c r="V686" s="250">
        <v>0</v>
      </c>
    </row>
    <row r="687" spans="2:22">
      <c r="B687" s="15">
        <f>+B686+1</f>
        <v>2</v>
      </c>
      <c r="C687" s="249" t="s">
        <v>478</v>
      </c>
      <c r="D687" s="254">
        <v>8</v>
      </c>
      <c r="E687" s="250">
        <v>6277</v>
      </c>
      <c r="F687" s="247">
        <v>856</v>
      </c>
      <c r="G687" s="233">
        <v>39855</v>
      </c>
      <c r="H687" s="228" t="s">
        <v>282</v>
      </c>
      <c r="I687" s="301">
        <v>0</v>
      </c>
      <c r="J687" s="301">
        <v>0</v>
      </c>
      <c r="K687" s="301">
        <v>0</v>
      </c>
      <c r="L687" s="301">
        <v>0</v>
      </c>
      <c r="M687" s="301">
        <v>0</v>
      </c>
      <c r="N687" s="301">
        <v>0</v>
      </c>
      <c r="O687" s="292">
        <v>0</v>
      </c>
      <c r="P687" s="301">
        <v>0</v>
      </c>
      <c r="Q687" s="301">
        <v>0</v>
      </c>
      <c r="R687" s="292">
        <v>-314</v>
      </c>
      <c r="S687" s="251">
        <v>0</v>
      </c>
      <c r="T687" s="250">
        <v>0</v>
      </c>
      <c r="U687" s="250">
        <v>0</v>
      </c>
      <c r="V687" s="250">
        <v>0</v>
      </c>
    </row>
    <row r="688" spans="2:22">
      <c r="B688" s="15">
        <f>+B687+1</f>
        <v>3</v>
      </c>
      <c r="C688" s="249" t="s">
        <v>479</v>
      </c>
      <c r="D688" s="254">
        <v>8</v>
      </c>
      <c r="E688" s="250">
        <v>5000</v>
      </c>
      <c r="F688" s="247">
        <v>6654</v>
      </c>
      <c r="G688" s="233">
        <v>39855</v>
      </c>
      <c r="H688" s="228" t="s">
        <v>282</v>
      </c>
      <c r="I688" s="301">
        <v>0</v>
      </c>
      <c r="J688" s="301">
        <v>0</v>
      </c>
      <c r="K688" s="301">
        <v>0</v>
      </c>
      <c r="L688" s="301">
        <v>0</v>
      </c>
      <c r="M688" s="301">
        <v>0</v>
      </c>
      <c r="N688" s="301">
        <v>0</v>
      </c>
      <c r="O688" s="292">
        <v>0</v>
      </c>
      <c r="P688" s="301">
        <v>0</v>
      </c>
      <c r="Q688" s="301">
        <v>0</v>
      </c>
      <c r="R688" s="292">
        <v>-250</v>
      </c>
      <c r="S688" s="251">
        <v>0</v>
      </c>
      <c r="T688" s="250">
        <v>0</v>
      </c>
      <c r="U688" s="250">
        <v>0</v>
      </c>
      <c r="V688" s="250">
        <v>0</v>
      </c>
    </row>
    <row r="689" spans="2:22">
      <c r="B689" s="15">
        <f t="shared" ref="B689:B695" si="25">+B688+1</f>
        <v>4</v>
      </c>
      <c r="C689" s="249" t="s">
        <v>480</v>
      </c>
      <c r="D689" s="254"/>
      <c r="E689" s="250">
        <v>8870</v>
      </c>
      <c r="F689" s="247">
        <v>5445</v>
      </c>
      <c r="G689" s="233">
        <v>39854</v>
      </c>
      <c r="H689" s="228" t="s">
        <v>282</v>
      </c>
      <c r="I689" s="301">
        <v>0</v>
      </c>
      <c r="J689" s="301">
        <v>0</v>
      </c>
      <c r="K689" s="301">
        <v>0</v>
      </c>
      <c r="L689" s="301">
        <v>0</v>
      </c>
      <c r="M689" s="301">
        <v>0</v>
      </c>
      <c r="N689" s="301">
        <v>0</v>
      </c>
      <c r="O689" s="292">
        <v>0</v>
      </c>
      <c r="P689" s="301">
        <v>0</v>
      </c>
      <c r="Q689" s="301">
        <v>0</v>
      </c>
      <c r="R689" s="292">
        <v>-444</v>
      </c>
      <c r="S689" s="251">
        <v>0</v>
      </c>
      <c r="T689" s="250">
        <v>0</v>
      </c>
      <c r="U689" s="250">
        <v>0</v>
      </c>
      <c r="V689" s="250">
        <v>0</v>
      </c>
    </row>
    <row r="690" spans="2:22">
      <c r="B690" s="15">
        <f t="shared" si="25"/>
        <v>5</v>
      </c>
      <c r="C690" s="249" t="s">
        <v>481</v>
      </c>
      <c r="D690" s="254" t="s">
        <v>482</v>
      </c>
      <c r="E690" s="250">
        <v>2220</v>
      </c>
      <c r="F690" s="247" t="s">
        <v>483</v>
      </c>
      <c r="G690" s="233">
        <v>39881</v>
      </c>
      <c r="H690" s="228" t="s">
        <v>282</v>
      </c>
      <c r="I690" s="301">
        <v>0</v>
      </c>
      <c r="J690" s="301">
        <v>0</v>
      </c>
      <c r="K690" s="301">
        <v>0</v>
      </c>
      <c r="L690" s="301">
        <v>0</v>
      </c>
      <c r="M690" s="301">
        <v>0</v>
      </c>
      <c r="N690" s="301">
        <v>0</v>
      </c>
      <c r="O690" s="292">
        <v>0</v>
      </c>
      <c r="P690" s="301">
        <v>0</v>
      </c>
      <c r="Q690" s="301">
        <v>0</v>
      </c>
      <c r="R690" s="292">
        <v>-111</v>
      </c>
      <c r="S690" s="251">
        <v>0</v>
      </c>
      <c r="T690" s="250">
        <v>0</v>
      </c>
      <c r="U690" s="250">
        <v>0</v>
      </c>
      <c r="V690" s="250">
        <v>0</v>
      </c>
    </row>
    <row r="691" spans="2:22">
      <c r="B691" s="15">
        <f t="shared" si="25"/>
        <v>6</v>
      </c>
      <c r="C691" s="249" t="s">
        <v>484</v>
      </c>
      <c r="D691" s="254">
        <v>1</v>
      </c>
      <c r="E691" s="250">
        <v>3000</v>
      </c>
      <c r="F691" s="247">
        <v>1264</v>
      </c>
      <c r="G691" s="233">
        <v>39909</v>
      </c>
      <c r="H691" s="228" t="s">
        <v>282</v>
      </c>
      <c r="I691" s="301">
        <v>0</v>
      </c>
      <c r="J691" s="301">
        <v>0</v>
      </c>
      <c r="K691" s="301">
        <v>0</v>
      </c>
      <c r="L691" s="301">
        <v>0</v>
      </c>
      <c r="M691" s="301">
        <v>0</v>
      </c>
      <c r="N691" s="301">
        <v>0</v>
      </c>
      <c r="O691" s="292">
        <v>0</v>
      </c>
      <c r="P691" s="301">
        <v>0</v>
      </c>
      <c r="Q691" s="301">
        <v>0</v>
      </c>
      <c r="R691" s="292">
        <v>-150</v>
      </c>
      <c r="S691" s="251">
        <v>0</v>
      </c>
      <c r="T691" s="250">
        <v>0</v>
      </c>
      <c r="U691" s="250">
        <v>0</v>
      </c>
      <c r="V691" s="250">
        <v>0</v>
      </c>
    </row>
    <row r="692" spans="2:22">
      <c r="B692" s="15">
        <f t="shared" si="25"/>
        <v>7</v>
      </c>
      <c r="C692" s="249" t="s">
        <v>485</v>
      </c>
      <c r="D692" s="254">
        <v>1</v>
      </c>
      <c r="E692" s="250">
        <v>18715</v>
      </c>
      <c r="F692" s="237" t="s">
        <v>42</v>
      </c>
      <c r="G692" s="233">
        <v>40046</v>
      </c>
      <c r="H692" s="228" t="s">
        <v>883</v>
      </c>
      <c r="I692" s="300">
        <v>41871</v>
      </c>
      <c r="J692" s="301">
        <v>1826</v>
      </c>
      <c r="K692" s="301">
        <v>1684</v>
      </c>
      <c r="L692" s="301">
        <v>142</v>
      </c>
      <c r="M692" s="301">
        <v>936</v>
      </c>
      <c r="N692" s="301">
        <v>13681</v>
      </c>
      <c r="O692" s="292">
        <v>0</v>
      </c>
      <c r="P692" s="301">
        <v>0</v>
      </c>
      <c r="Q692" s="301">
        <v>0</v>
      </c>
      <c r="R692" s="292">
        <v>-936</v>
      </c>
      <c r="S692" s="251">
        <v>0</v>
      </c>
      <c r="T692" s="250">
        <v>0</v>
      </c>
      <c r="U692" s="250">
        <v>0</v>
      </c>
      <c r="V692" s="250">
        <v>0</v>
      </c>
    </row>
    <row r="693" spans="2:22" ht="27">
      <c r="B693" s="15">
        <f t="shared" si="25"/>
        <v>8</v>
      </c>
      <c r="C693" s="249" t="s">
        <v>410</v>
      </c>
      <c r="D693" s="254" t="s">
        <v>764</v>
      </c>
      <c r="E693" s="231">
        <f>1800+2200+3400</f>
        <v>7400</v>
      </c>
      <c r="F693" s="247" t="s">
        <v>407</v>
      </c>
      <c r="G693" s="238">
        <v>40642</v>
      </c>
      <c r="H693" s="239" t="s">
        <v>4366</v>
      </c>
      <c r="I693" s="300">
        <v>42468</v>
      </c>
      <c r="J693" s="301">
        <v>1827</v>
      </c>
      <c r="K693" s="301">
        <v>1088</v>
      </c>
      <c r="L693" s="301">
        <v>739</v>
      </c>
      <c r="M693" s="301">
        <v>370</v>
      </c>
      <c r="N693" s="301">
        <v>5983</v>
      </c>
      <c r="O693" s="292">
        <v>0</v>
      </c>
      <c r="P693" s="301">
        <v>3398</v>
      </c>
      <c r="Q693" s="301">
        <v>374</v>
      </c>
      <c r="R693" s="292">
        <v>3028</v>
      </c>
      <c r="S693" s="251">
        <v>0</v>
      </c>
      <c r="T693" s="250">
        <v>0</v>
      </c>
      <c r="U693" s="250">
        <v>3398</v>
      </c>
      <c r="V693" s="250">
        <v>0</v>
      </c>
    </row>
    <row r="694" spans="2:22">
      <c r="B694" s="15">
        <f t="shared" si="25"/>
        <v>9</v>
      </c>
      <c r="C694" s="249" t="s">
        <v>1924</v>
      </c>
      <c r="D694" s="237">
        <v>2</v>
      </c>
      <c r="E694" s="231">
        <v>37800</v>
      </c>
      <c r="F694" s="237" t="s">
        <v>1925</v>
      </c>
      <c r="G694" s="238">
        <v>41163</v>
      </c>
      <c r="H694" s="239" t="s">
        <v>368</v>
      </c>
      <c r="I694" s="300">
        <v>42988</v>
      </c>
      <c r="J694" s="301">
        <v>1826</v>
      </c>
      <c r="K694" s="301">
        <v>567</v>
      </c>
      <c r="L694" s="301">
        <v>1259</v>
      </c>
      <c r="M694" s="301">
        <v>1890</v>
      </c>
      <c r="N694" s="301">
        <v>33120</v>
      </c>
      <c r="O694" s="292">
        <v>0</v>
      </c>
      <c r="P694" s="301">
        <v>25408</v>
      </c>
      <c r="Q694" s="301">
        <v>894</v>
      </c>
      <c r="R694" s="292">
        <v>23518</v>
      </c>
      <c r="S694" s="251">
        <v>0</v>
      </c>
      <c r="T694" s="250">
        <v>0</v>
      </c>
      <c r="U694" s="250">
        <v>25408</v>
      </c>
      <c r="V694" s="250">
        <v>0</v>
      </c>
    </row>
    <row r="695" spans="2:22">
      <c r="B695" s="15">
        <f t="shared" si="25"/>
        <v>10</v>
      </c>
      <c r="C695" s="249" t="s">
        <v>1924</v>
      </c>
      <c r="D695" s="237">
        <v>1</v>
      </c>
      <c r="E695" s="231">
        <v>16000</v>
      </c>
      <c r="F695" s="237" t="s">
        <v>1926</v>
      </c>
      <c r="G695" s="238">
        <v>41164</v>
      </c>
      <c r="H695" s="239" t="s">
        <v>368</v>
      </c>
      <c r="I695" s="300">
        <v>42989</v>
      </c>
      <c r="J695" s="301">
        <v>1826</v>
      </c>
      <c r="K695" s="301">
        <v>566</v>
      </c>
      <c r="L695" s="301">
        <v>1260</v>
      </c>
      <c r="M695" s="301">
        <v>800</v>
      </c>
      <c r="N695" s="301">
        <v>14021</v>
      </c>
      <c r="O695" s="292">
        <v>0</v>
      </c>
      <c r="P695" s="301">
        <v>10759</v>
      </c>
      <c r="Q695" s="301">
        <v>895</v>
      </c>
      <c r="R695" s="292">
        <v>9959</v>
      </c>
      <c r="S695" s="251">
        <v>0</v>
      </c>
      <c r="T695" s="250">
        <v>0</v>
      </c>
      <c r="U695" s="250">
        <v>10759</v>
      </c>
      <c r="V695" s="250">
        <v>0</v>
      </c>
    </row>
    <row r="696" spans="2:22" ht="27">
      <c r="B696" s="15">
        <v>11</v>
      </c>
      <c r="C696" s="249" t="s">
        <v>4319</v>
      </c>
      <c r="D696" s="237">
        <v>1</v>
      </c>
      <c r="E696" s="231">
        <v>4599</v>
      </c>
      <c r="F696" s="237" t="s">
        <v>4320</v>
      </c>
      <c r="G696" s="238">
        <v>43509</v>
      </c>
      <c r="H696" s="239" t="s">
        <v>895</v>
      </c>
      <c r="I696" s="300">
        <v>45334</v>
      </c>
      <c r="J696" s="301">
        <v>1826</v>
      </c>
      <c r="K696" s="301">
        <v>0</v>
      </c>
      <c r="L696" s="301">
        <v>1826</v>
      </c>
      <c r="M696" s="301">
        <v>230</v>
      </c>
      <c r="N696" s="301">
        <v>4369</v>
      </c>
      <c r="O696" s="292">
        <v>0</v>
      </c>
      <c r="P696" s="292">
        <v>4599</v>
      </c>
      <c r="Q696" s="301">
        <v>1826</v>
      </c>
      <c r="R696" s="301">
        <v>4369</v>
      </c>
      <c r="S696" s="292">
        <v>365</v>
      </c>
      <c r="T696" s="251">
        <v>873</v>
      </c>
      <c r="U696" s="250">
        <v>2734</v>
      </c>
      <c r="V696" s="250">
        <v>1865</v>
      </c>
    </row>
    <row r="697" spans="2:22">
      <c r="B697" s="39"/>
      <c r="C697" s="249"/>
      <c r="D697" s="237"/>
      <c r="E697" s="231"/>
      <c r="F697" s="237"/>
      <c r="G697" s="238"/>
      <c r="H697" s="239"/>
      <c r="I697" s="300"/>
      <c r="J697" s="301"/>
      <c r="K697" s="301"/>
      <c r="L697" s="301"/>
      <c r="M697" s="301"/>
      <c r="N697" s="301"/>
      <c r="O697" s="292"/>
      <c r="P697" s="301">
        <v>0</v>
      </c>
      <c r="Q697" s="301"/>
      <c r="R697" s="292"/>
      <c r="S697" s="251"/>
      <c r="T697" s="250"/>
      <c r="U697" s="250"/>
      <c r="V697" s="250"/>
    </row>
    <row r="698" spans="2:22" ht="14.25">
      <c r="B698" s="98" t="s">
        <v>1927</v>
      </c>
      <c r="C698" s="249"/>
      <c r="D698" s="237"/>
      <c r="E698" s="231"/>
      <c r="F698" s="237"/>
      <c r="G698" s="238"/>
      <c r="H698" s="239"/>
      <c r="I698" s="301"/>
      <c r="J698" s="301"/>
      <c r="K698" s="301"/>
      <c r="L698" s="301"/>
      <c r="M698" s="301"/>
      <c r="N698" s="301"/>
      <c r="O698" s="292"/>
      <c r="P698" s="301">
        <v>0</v>
      </c>
      <c r="Q698" s="301"/>
      <c r="R698" s="292"/>
      <c r="S698" s="251"/>
      <c r="T698" s="250"/>
      <c r="U698" s="250"/>
      <c r="V698" s="250"/>
    </row>
    <row r="699" spans="2:22" ht="27">
      <c r="B699" s="39">
        <v>1</v>
      </c>
      <c r="C699" s="249" t="s">
        <v>1929</v>
      </c>
      <c r="D699" s="237">
        <v>1</v>
      </c>
      <c r="E699" s="231">
        <v>14000</v>
      </c>
      <c r="F699" s="237" t="s">
        <v>1928</v>
      </c>
      <c r="G699" s="238">
        <v>41198</v>
      </c>
      <c r="H699" s="239" t="s">
        <v>368</v>
      </c>
      <c r="I699" s="300">
        <v>43023</v>
      </c>
      <c r="J699" s="301">
        <v>1826</v>
      </c>
      <c r="K699" s="301">
        <v>532</v>
      </c>
      <c r="L699" s="301">
        <v>1294</v>
      </c>
      <c r="M699" s="301">
        <v>700</v>
      </c>
      <c r="N699" s="301">
        <v>12331</v>
      </c>
      <c r="O699" s="292">
        <v>0</v>
      </c>
      <c r="P699" s="301">
        <v>9553</v>
      </c>
      <c r="Q699" s="301">
        <v>929</v>
      </c>
      <c r="R699" s="292">
        <v>8853</v>
      </c>
      <c r="S699" s="251">
        <v>0</v>
      </c>
      <c r="T699" s="250">
        <v>0</v>
      </c>
      <c r="U699" s="250">
        <v>9553</v>
      </c>
      <c r="V699" s="250">
        <v>0</v>
      </c>
    </row>
    <row r="700" spans="2:22" ht="27">
      <c r="B700" s="39">
        <v>2</v>
      </c>
      <c r="C700" s="249" t="s">
        <v>2085</v>
      </c>
      <c r="D700" s="237">
        <v>1</v>
      </c>
      <c r="E700" s="231">
        <v>15175</v>
      </c>
      <c r="F700" s="237" t="s">
        <v>2086</v>
      </c>
      <c r="G700" s="238">
        <v>41365</v>
      </c>
      <c r="H700" s="239" t="s">
        <v>368</v>
      </c>
      <c r="I700" s="300">
        <v>43190</v>
      </c>
      <c r="J700" s="301">
        <v>1826</v>
      </c>
      <c r="K700" s="301">
        <v>365</v>
      </c>
      <c r="L700" s="301">
        <v>1461</v>
      </c>
      <c r="M700" s="301">
        <v>759</v>
      </c>
      <c r="N700" s="301">
        <v>13695</v>
      </c>
      <c r="O700" s="292">
        <v>0</v>
      </c>
      <c r="P700" s="301">
        <v>11033</v>
      </c>
      <c r="Q700" s="301">
        <v>1096</v>
      </c>
      <c r="R700" s="292">
        <v>10274</v>
      </c>
      <c r="S700" s="251">
        <v>0</v>
      </c>
      <c r="T700" s="250">
        <v>0</v>
      </c>
      <c r="U700" s="250">
        <v>11033</v>
      </c>
      <c r="V700" s="250">
        <v>0</v>
      </c>
    </row>
    <row r="701" spans="2:22" ht="14.25">
      <c r="B701" s="108" t="s">
        <v>317</v>
      </c>
      <c r="C701" s="229"/>
      <c r="D701" s="230"/>
      <c r="E701" s="252"/>
      <c r="F701" s="254"/>
      <c r="G701" s="230"/>
      <c r="H701" s="228"/>
      <c r="I701" s="301"/>
      <c r="J701" s="301"/>
      <c r="K701" s="301"/>
      <c r="L701" s="301"/>
      <c r="M701" s="301"/>
      <c r="N701" s="301"/>
      <c r="O701" s="292"/>
      <c r="P701" s="301">
        <v>0</v>
      </c>
      <c r="Q701" s="301"/>
      <c r="R701" s="292"/>
      <c r="S701" s="272"/>
      <c r="T701" s="250"/>
      <c r="U701" s="250"/>
      <c r="V701" s="250"/>
    </row>
    <row r="702" spans="2:22" ht="40.5">
      <c r="B702" s="15">
        <v>1</v>
      </c>
      <c r="C702" s="249" t="s">
        <v>263</v>
      </c>
      <c r="D702" s="254">
        <v>1</v>
      </c>
      <c r="E702" s="345">
        <v>14468</v>
      </c>
      <c r="F702" s="247">
        <v>5088</v>
      </c>
      <c r="G702" s="233">
        <v>40127</v>
      </c>
      <c r="H702" s="228" t="s">
        <v>282</v>
      </c>
      <c r="I702" s="300">
        <v>41952</v>
      </c>
      <c r="J702" s="301">
        <v>1826</v>
      </c>
      <c r="K702" s="301">
        <v>1603</v>
      </c>
      <c r="L702" s="301">
        <v>223</v>
      </c>
      <c r="M702" s="301">
        <v>723</v>
      </c>
      <c r="N702" s="301">
        <v>10730</v>
      </c>
      <c r="O702" s="292">
        <v>0</v>
      </c>
      <c r="P702" s="301">
        <v>0</v>
      </c>
      <c r="Q702" s="301">
        <v>0</v>
      </c>
      <c r="R702" s="292">
        <v>-723</v>
      </c>
      <c r="S702" s="251">
        <v>0</v>
      </c>
      <c r="T702" s="250">
        <v>0</v>
      </c>
      <c r="U702" s="250">
        <v>0</v>
      </c>
      <c r="V702" s="250">
        <v>0</v>
      </c>
    </row>
    <row r="703" spans="2:22">
      <c r="B703" s="15">
        <f>+B702+1</f>
        <v>2</v>
      </c>
      <c r="C703" s="249" t="s">
        <v>1311</v>
      </c>
      <c r="D703" s="254">
        <v>4</v>
      </c>
      <c r="E703" s="250">
        <f>17200*1.125</f>
        <v>19350</v>
      </c>
      <c r="F703" s="247" t="s">
        <v>961</v>
      </c>
      <c r="G703" s="233">
        <v>40207</v>
      </c>
      <c r="H703" s="228" t="s">
        <v>895</v>
      </c>
      <c r="I703" s="301">
        <v>0</v>
      </c>
      <c r="J703" s="301">
        <v>0</v>
      </c>
      <c r="K703" s="301">
        <v>0</v>
      </c>
      <c r="L703" s="301">
        <v>0</v>
      </c>
      <c r="M703" s="301">
        <v>0</v>
      </c>
      <c r="N703" s="301">
        <v>0</v>
      </c>
      <c r="O703" s="292">
        <v>0</v>
      </c>
      <c r="P703" s="301">
        <v>0</v>
      </c>
      <c r="Q703" s="301">
        <v>0</v>
      </c>
      <c r="R703" s="292">
        <v>-968</v>
      </c>
      <c r="S703" s="251">
        <v>0</v>
      </c>
      <c r="T703" s="250">
        <v>0</v>
      </c>
      <c r="U703" s="250">
        <v>0</v>
      </c>
      <c r="V703" s="250">
        <v>0</v>
      </c>
    </row>
    <row r="704" spans="2:22">
      <c r="B704" s="15">
        <f t="shared" ref="B704:B720" si="26">+B703+1</f>
        <v>3</v>
      </c>
      <c r="C704" s="249" t="s">
        <v>1312</v>
      </c>
      <c r="D704" s="254">
        <v>1</v>
      </c>
      <c r="E704" s="250">
        <f>145000*1.125</f>
        <v>163125</v>
      </c>
      <c r="F704" s="247" t="s">
        <v>961</v>
      </c>
      <c r="G704" s="233">
        <v>40207</v>
      </c>
      <c r="H704" s="228" t="s">
        <v>895</v>
      </c>
      <c r="I704" s="300">
        <v>42032</v>
      </c>
      <c r="J704" s="301">
        <v>1826</v>
      </c>
      <c r="K704" s="301">
        <v>1523</v>
      </c>
      <c r="L704" s="301">
        <v>303</v>
      </c>
      <c r="M704" s="301">
        <v>8156</v>
      </c>
      <c r="N704" s="301">
        <v>122658</v>
      </c>
      <c r="O704" s="292">
        <v>0</v>
      </c>
      <c r="P704" s="301">
        <v>0</v>
      </c>
      <c r="Q704" s="301">
        <v>0</v>
      </c>
      <c r="R704" s="292">
        <v>-8156</v>
      </c>
      <c r="S704" s="251">
        <v>0</v>
      </c>
      <c r="T704" s="250">
        <v>0</v>
      </c>
      <c r="U704" s="250">
        <v>0</v>
      </c>
      <c r="V704" s="250">
        <v>0</v>
      </c>
    </row>
    <row r="705" spans="2:22">
      <c r="B705" s="15">
        <f t="shared" si="26"/>
        <v>4</v>
      </c>
      <c r="C705" s="249" t="s">
        <v>1313</v>
      </c>
      <c r="D705" s="254">
        <v>2</v>
      </c>
      <c r="E705" s="250">
        <f>20667*1.125*2+0.25-1</f>
        <v>46500</v>
      </c>
      <c r="F705" s="247" t="s">
        <v>961</v>
      </c>
      <c r="G705" s="233">
        <v>40207</v>
      </c>
      <c r="H705" s="228" t="s">
        <v>895</v>
      </c>
      <c r="I705" s="300">
        <v>42032</v>
      </c>
      <c r="J705" s="301">
        <v>1826</v>
      </c>
      <c r="K705" s="301">
        <v>1523</v>
      </c>
      <c r="L705" s="301">
        <v>303</v>
      </c>
      <c r="M705" s="301">
        <v>2325</v>
      </c>
      <c r="N705" s="301">
        <v>34964</v>
      </c>
      <c r="O705" s="292">
        <v>0</v>
      </c>
      <c r="P705" s="301">
        <v>0</v>
      </c>
      <c r="Q705" s="301">
        <v>0</v>
      </c>
      <c r="R705" s="292">
        <v>-2325</v>
      </c>
      <c r="S705" s="251">
        <v>0</v>
      </c>
      <c r="T705" s="250">
        <v>0</v>
      </c>
      <c r="U705" s="250">
        <v>0</v>
      </c>
      <c r="V705" s="250">
        <v>0</v>
      </c>
    </row>
    <row r="706" spans="2:22">
      <c r="B706" s="15">
        <f t="shared" si="26"/>
        <v>5</v>
      </c>
      <c r="C706" s="249" t="s">
        <v>1314</v>
      </c>
      <c r="D706" s="254">
        <v>1</v>
      </c>
      <c r="E706" s="250">
        <f>20666*1.125-0.25</f>
        <v>23249</v>
      </c>
      <c r="F706" s="247" t="s">
        <v>961</v>
      </c>
      <c r="G706" s="233">
        <v>40207</v>
      </c>
      <c r="H706" s="228" t="s">
        <v>895</v>
      </c>
      <c r="I706" s="300">
        <v>42032</v>
      </c>
      <c r="J706" s="301">
        <v>1826</v>
      </c>
      <c r="K706" s="301">
        <v>1523</v>
      </c>
      <c r="L706" s="301">
        <v>303</v>
      </c>
      <c r="M706" s="301">
        <v>1162</v>
      </c>
      <c r="N706" s="301">
        <v>17482</v>
      </c>
      <c r="O706" s="292">
        <v>0</v>
      </c>
      <c r="P706" s="301">
        <v>0</v>
      </c>
      <c r="Q706" s="301">
        <v>0</v>
      </c>
      <c r="R706" s="292">
        <v>-1162</v>
      </c>
      <c r="S706" s="251">
        <v>0</v>
      </c>
      <c r="T706" s="250">
        <v>0</v>
      </c>
      <c r="U706" s="250">
        <v>0</v>
      </c>
      <c r="V706" s="250">
        <v>0</v>
      </c>
    </row>
    <row r="707" spans="2:22">
      <c r="B707" s="15">
        <f t="shared" si="26"/>
        <v>6</v>
      </c>
      <c r="C707" s="249" t="s">
        <v>1315</v>
      </c>
      <c r="D707" s="254">
        <v>6</v>
      </c>
      <c r="E707" s="250">
        <f>45000*1.125</f>
        <v>50625</v>
      </c>
      <c r="F707" s="247" t="s">
        <v>961</v>
      </c>
      <c r="G707" s="233">
        <v>40207</v>
      </c>
      <c r="H707" s="228" t="s">
        <v>895</v>
      </c>
      <c r="I707" s="300">
        <v>42032</v>
      </c>
      <c r="J707" s="301">
        <v>1826</v>
      </c>
      <c r="K707" s="301">
        <v>1523</v>
      </c>
      <c r="L707" s="301">
        <v>303</v>
      </c>
      <c r="M707" s="301">
        <v>2531</v>
      </c>
      <c r="N707" s="301">
        <v>38067</v>
      </c>
      <c r="O707" s="292">
        <v>0</v>
      </c>
      <c r="P707" s="301">
        <v>0</v>
      </c>
      <c r="Q707" s="301">
        <v>0</v>
      </c>
      <c r="R707" s="292">
        <v>-2531</v>
      </c>
      <c r="S707" s="251">
        <v>0</v>
      </c>
      <c r="T707" s="250">
        <v>0</v>
      </c>
      <c r="U707" s="250">
        <v>0</v>
      </c>
      <c r="V707" s="250">
        <v>0</v>
      </c>
    </row>
    <row r="708" spans="2:22">
      <c r="B708" s="15">
        <f t="shared" si="26"/>
        <v>7</v>
      </c>
      <c r="C708" s="249" t="s">
        <v>1316</v>
      </c>
      <c r="D708" s="254">
        <v>2</v>
      </c>
      <c r="E708" s="250">
        <f>38000*1.125</f>
        <v>42750</v>
      </c>
      <c r="F708" s="247" t="s">
        <v>961</v>
      </c>
      <c r="G708" s="233">
        <v>40207</v>
      </c>
      <c r="H708" s="228" t="s">
        <v>895</v>
      </c>
      <c r="I708" s="300">
        <v>42032</v>
      </c>
      <c r="J708" s="301">
        <v>1826</v>
      </c>
      <c r="K708" s="301">
        <v>1523</v>
      </c>
      <c r="L708" s="301">
        <v>303</v>
      </c>
      <c r="M708" s="301">
        <v>2138</v>
      </c>
      <c r="N708" s="301">
        <v>32144</v>
      </c>
      <c r="O708" s="292">
        <v>0</v>
      </c>
      <c r="P708" s="301">
        <v>0</v>
      </c>
      <c r="Q708" s="301">
        <v>0</v>
      </c>
      <c r="R708" s="292">
        <v>-2138</v>
      </c>
      <c r="S708" s="251">
        <v>0</v>
      </c>
      <c r="T708" s="250">
        <v>0</v>
      </c>
      <c r="U708" s="250">
        <v>0</v>
      </c>
      <c r="V708" s="250">
        <v>0</v>
      </c>
    </row>
    <row r="709" spans="2:22">
      <c r="B709" s="15">
        <f t="shared" si="26"/>
        <v>8</v>
      </c>
      <c r="C709" s="249" t="s">
        <v>1317</v>
      </c>
      <c r="D709" s="254">
        <v>2</v>
      </c>
      <c r="E709" s="250">
        <f>38000*1.125</f>
        <v>42750</v>
      </c>
      <c r="F709" s="247" t="s">
        <v>961</v>
      </c>
      <c r="G709" s="233">
        <v>40207</v>
      </c>
      <c r="H709" s="228" t="s">
        <v>895</v>
      </c>
      <c r="I709" s="300">
        <v>42032</v>
      </c>
      <c r="J709" s="301">
        <v>1826</v>
      </c>
      <c r="K709" s="301">
        <v>1523</v>
      </c>
      <c r="L709" s="301">
        <v>303</v>
      </c>
      <c r="M709" s="301">
        <v>2138</v>
      </c>
      <c r="N709" s="301">
        <v>32144</v>
      </c>
      <c r="O709" s="292">
        <v>0</v>
      </c>
      <c r="P709" s="301">
        <v>0</v>
      </c>
      <c r="Q709" s="301">
        <v>0</v>
      </c>
      <c r="R709" s="292">
        <v>-2138</v>
      </c>
      <c r="S709" s="251">
        <v>0</v>
      </c>
      <c r="T709" s="250">
        <v>0</v>
      </c>
      <c r="U709" s="250">
        <v>0</v>
      </c>
      <c r="V709" s="250">
        <v>0</v>
      </c>
    </row>
    <row r="710" spans="2:22">
      <c r="B710" s="15">
        <f t="shared" si="26"/>
        <v>9</v>
      </c>
      <c r="C710" s="249" t="s">
        <v>1318</v>
      </c>
      <c r="D710" s="254">
        <v>1</v>
      </c>
      <c r="E710" s="250">
        <f>12000*1.125</f>
        <v>13500</v>
      </c>
      <c r="F710" s="247" t="s">
        <v>961</v>
      </c>
      <c r="G710" s="233">
        <v>40207</v>
      </c>
      <c r="H710" s="228" t="s">
        <v>895</v>
      </c>
      <c r="I710" s="300">
        <v>42032</v>
      </c>
      <c r="J710" s="301">
        <v>1826</v>
      </c>
      <c r="K710" s="301">
        <v>1523</v>
      </c>
      <c r="L710" s="301">
        <v>303</v>
      </c>
      <c r="M710" s="301">
        <v>675</v>
      </c>
      <c r="N710" s="301">
        <v>10152</v>
      </c>
      <c r="O710" s="292">
        <v>0</v>
      </c>
      <c r="P710" s="301">
        <v>0</v>
      </c>
      <c r="Q710" s="301">
        <v>0</v>
      </c>
      <c r="R710" s="292">
        <v>-675</v>
      </c>
      <c r="S710" s="251">
        <v>0</v>
      </c>
      <c r="T710" s="250">
        <v>0</v>
      </c>
      <c r="U710" s="250">
        <v>0</v>
      </c>
      <c r="V710" s="250">
        <v>0</v>
      </c>
    </row>
    <row r="711" spans="2:22">
      <c r="B711" s="15">
        <f t="shared" si="26"/>
        <v>10</v>
      </c>
      <c r="C711" s="249" t="s">
        <v>1319</v>
      </c>
      <c r="D711" s="254">
        <v>1</v>
      </c>
      <c r="E711" s="250">
        <f>95000*1.125</f>
        <v>106875</v>
      </c>
      <c r="F711" s="247" t="s">
        <v>961</v>
      </c>
      <c r="G711" s="233">
        <v>40207</v>
      </c>
      <c r="H711" s="228" t="s">
        <v>895</v>
      </c>
      <c r="I711" s="300">
        <v>42032</v>
      </c>
      <c r="J711" s="301">
        <v>1826</v>
      </c>
      <c r="K711" s="301">
        <v>1523</v>
      </c>
      <c r="L711" s="301">
        <v>303</v>
      </c>
      <c r="M711" s="301">
        <v>5344</v>
      </c>
      <c r="N711" s="301">
        <v>80361</v>
      </c>
      <c r="O711" s="292">
        <v>0</v>
      </c>
      <c r="P711" s="301">
        <v>0</v>
      </c>
      <c r="Q711" s="301">
        <v>0</v>
      </c>
      <c r="R711" s="292">
        <v>-5344</v>
      </c>
      <c r="S711" s="251">
        <v>0</v>
      </c>
      <c r="T711" s="250">
        <v>0</v>
      </c>
      <c r="U711" s="250">
        <v>0</v>
      </c>
      <c r="V711" s="250">
        <v>0</v>
      </c>
    </row>
    <row r="712" spans="2:22">
      <c r="B712" s="15">
        <f t="shared" si="26"/>
        <v>11</v>
      </c>
      <c r="C712" s="249" t="s">
        <v>1320</v>
      </c>
      <c r="D712" s="254">
        <v>1</v>
      </c>
      <c r="E712" s="250">
        <f>55000*1.125</f>
        <v>61875</v>
      </c>
      <c r="F712" s="247" t="s">
        <v>961</v>
      </c>
      <c r="G712" s="233">
        <v>40207</v>
      </c>
      <c r="H712" s="228" t="s">
        <v>895</v>
      </c>
      <c r="I712" s="300">
        <v>42032</v>
      </c>
      <c r="J712" s="301">
        <v>1826</v>
      </c>
      <c r="K712" s="301">
        <v>1523</v>
      </c>
      <c r="L712" s="301">
        <v>303</v>
      </c>
      <c r="M712" s="301">
        <v>3094</v>
      </c>
      <c r="N712" s="301">
        <v>46524</v>
      </c>
      <c r="O712" s="292">
        <v>0</v>
      </c>
      <c r="P712" s="301">
        <v>0</v>
      </c>
      <c r="Q712" s="301">
        <v>0</v>
      </c>
      <c r="R712" s="292">
        <v>-3094</v>
      </c>
      <c r="S712" s="251">
        <v>0</v>
      </c>
      <c r="T712" s="250">
        <v>0</v>
      </c>
      <c r="U712" s="250">
        <v>0</v>
      </c>
      <c r="V712" s="250">
        <v>0</v>
      </c>
    </row>
    <row r="713" spans="2:22">
      <c r="B713" s="15">
        <f t="shared" si="26"/>
        <v>12</v>
      </c>
      <c r="C713" s="249" t="s">
        <v>1321</v>
      </c>
      <c r="D713" s="254">
        <v>1</v>
      </c>
      <c r="E713" s="250">
        <f>28000*1.125</f>
        <v>31500</v>
      </c>
      <c r="F713" s="247" t="s">
        <v>961</v>
      </c>
      <c r="G713" s="233">
        <v>40207</v>
      </c>
      <c r="H713" s="228" t="s">
        <v>895</v>
      </c>
      <c r="I713" s="300">
        <v>42032</v>
      </c>
      <c r="J713" s="301">
        <v>1826</v>
      </c>
      <c r="K713" s="301">
        <v>1523</v>
      </c>
      <c r="L713" s="301">
        <v>303</v>
      </c>
      <c r="M713" s="301">
        <v>1575</v>
      </c>
      <c r="N713" s="301">
        <v>23687</v>
      </c>
      <c r="O713" s="292">
        <v>0</v>
      </c>
      <c r="P713" s="301">
        <v>0</v>
      </c>
      <c r="Q713" s="301">
        <v>0</v>
      </c>
      <c r="R713" s="292">
        <v>-1575</v>
      </c>
      <c r="S713" s="251">
        <v>0</v>
      </c>
      <c r="T713" s="250">
        <v>0</v>
      </c>
      <c r="U713" s="250">
        <v>0</v>
      </c>
      <c r="V713" s="250">
        <v>0</v>
      </c>
    </row>
    <row r="714" spans="2:22">
      <c r="B714" s="15">
        <f t="shared" si="26"/>
        <v>13</v>
      </c>
      <c r="C714" s="249" t="s">
        <v>1322</v>
      </c>
      <c r="D714" s="254">
        <v>3</v>
      </c>
      <c r="E714" s="250">
        <f>15000*1.125</f>
        <v>16875</v>
      </c>
      <c r="F714" s="247" t="s">
        <v>961</v>
      </c>
      <c r="G714" s="233">
        <v>40207</v>
      </c>
      <c r="H714" s="228" t="s">
        <v>895</v>
      </c>
      <c r="I714" s="300">
        <v>42032</v>
      </c>
      <c r="J714" s="301">
        <v>1826</v>
      </c>
      <c r="K714" s="301">
        <v>1523</v>
      </c>
      <c r="L714" s="301">
        <v>303</v>
      </c>
      <c r="M714" s="301">
        <v>844</v>
      </c>
      <c r="N714" s="301">
        <v>12689</v>
      </c>
      <c r="O714" s="292">
        <v>0</v>
      </c>
      <c r="P714" s="301">
        <v>0</v>
      </c>
      <c r="Q714" s="301">
        <v>0</v>
      </c>
      <c r="R714" s="292">
        <v>-844</v>
      </c>
      <c r="S714" s="251">
        <v>0</v>
      </c>
      <c r="T714" s="250">
        <v>0</v>
      </c>
      <c r="U714" s="250">
        <v>0</v>
      </c>
      <c r="V714" s="250">
        <v>0</v>
      </c>
    </row>
    <row r="715" spans="2:22" ht="27">
      <c r="B715" s="15">
        <f t="shared" si="26"/>
        <v>14</v>
      </c>
      <c r="C715" s="249" t="s">
        <v>942</v>
      </c>
      <c r="D715" s="230" t="s">
        <v>1100</v>
      </c>
      <c r="E715" s="250">
        <v>2000</v>
      </c>
      <c r="F715" s="370" t="s">
        <v>752</v>
      </c>
      <c r="G715" s="233">
        <v>40407</v>
      </c>
      <c r="H715" s="228" t="s">
        <v>160</v>
      </c>
      <c r="I715" s="300">
        <v>42232</v>
      </c>
      <c r="J715" s="301">
        <v>1826</v>
      </c>
      <c r="K715" s="301">
        <v>1323</v>
      </c>
      <c r="L715" s="301">
        <v>503</v>
      </c>
      <c r="M715" s="301">
        <v>100</v>
      </c>
      <c r="N715" s="301">
        <v>1472</v>
      </c>
      <c r="O715" s="292">
        <v>0</v>
      </c>
      <c r="P715" s="301">
        <v>504</v>
      </c>
      <c r="Q715" s="301">
        <v>138</v>
      </c>
      <c r="R715" s="292">
        <v>404</v>
      </c>
      <c r="S715" s="251">
        <v>0</v>
      </c>
      <c r="T715" s="250">
        <v>0</v>
      </c>
      <c r="U715" s="250">
        <v>504</v>
      </c>
      <c r="V715" s="250">
        <v>0</v>
      </c>
    </row>
    <row r="716" spans="2:22">
      <c r="B716" s="15">
        <f t="shared" si="26"/>
        <v>15</v>
      </c>
      <c r="C716" s="249" t="s">
        <v>832</v>
      </c>
      <c r="D716" s="230" t="s">
        <v>1100</v>
      </c>
      <c r="E716" s="250">
        <v>11000</v>
      </c>
      <c r="F716" s="370" t="s">
        <v>646</v>
      </c>
      <c r="G716" s="233">
        <v>40407</v>
      </c>
      <c r="H716" s="228" t="s">
        <v>160</v>
      </c>
      <c r="I716" s="300">
        <v>42232</v>
      </c>
      <c r="J716" s="301">
        <v>1826</v>
      </c>
      <c r="K716" s="301">
        <v>1323</v>
      </c>
      <c r="L716" s="301">
        <v>503</v>
      </c>
      <c r="M716" s="301">
        <v>550</v>
      </c>
      <c r="N716" s="301">
        <v>8557</v>
      </c>
      <c r="O716" s="292">
        <v>0</v>
      </c>
      <c r="P716" s="301">
        <v>2898</v>
      </c>
      <c r="Q716" s="301">
        <v>138</v>
      </c>
      <c r="R716" s="292">
        <v>2348</v>
      </c>
      <c r="S716" s="251">
        <v>0</v>
      </c>
      <c r="T716" s="250">
        <v>0</v>
      </c>
      <c r="U716" s="250">
        <v>2898</v>
      </c>
      <c r="V716" s="250">
        <v>0</v>
      </c>
    </row>
    <row r="717" spans="2:22" ht="81">
      <c r="B717" s="15">
        <f t="shared" si="26"/>
        <v>16</v>
      </c>
      <c r="C717" s="249" t="s">
        <v>1099</v>
      </c>
      <c r="D717" s="230" t="s">
        <v>1100</v>
      </c>
      <c r="E717" s="250">
        <v>83612</v>
      </c>
      <c r="F717" s="370" t="s">
        <v>1101</v>
      </c>
      <c r="G717" s="233">
        <v>40407</v>
      </c>
      <c r="H717" s="228" t="s">
        <v>160</v>
      </c>
      <c r="I717" s="300">
        <v>42232</v>
      </c>
      <c r="J717" s="301">
        <v>1826</v>
      </c>
      <c r="K717" s="301">
        <v>1323</v>
      </c>
      <c r="L717" s="301">
        <v>503</v>
      </c>
      <c r="M717" s="301">
        <v>4181</v>
      </c>
      <c r="N717" s="301">
        <v>65047</v>
      </c>
      <c r="O717" s="292">
        <v>0</v>
      </c>
      <c r="P717" s="301">
        <v>22027</v>
      </c>
      <c r="Q717" s="301">
        <v>138</v>
      </c>
      <c r="R717" s="292">
        <v>17846</v>
      </c>
      <c r="S717" s="251">
        <v>0</v>
      </c>
      <c r="T717" s="250">
        <v>0</v>
      </c>
      <c r="U717" s="250">
        <v>22027</v>
      </c>
      <c r="V717" s="250">
        <v>0</v>
      </c>
    </row>
    <row r="718" spans="2:22" ht="54">
      <c r="B718" s="15">
        <f t="shared" si="26"/>
        <v>17</v>
      </c>
      <c r="C718" s="249" t="s">
        <v>305</v>
      </c>
      <c r="D718" s="254" t="s">
        <v>1100</v>
      </c>
      <c r="E718" s="250">
        <v>75263</v>
      </c>
      <c r="F718" s="373" t="s">
        <v>306</v>
      </c>
      <c r="G718" s="233">
        <v>40590</v>
      </c>
      <c r="H718" s="249" t="s">
        <v>368</v>
      </c>
      <c r="I718" s="300">
        <v>42415</v>
      </c>
      <c r="J718" s="301">
        <v>1826</v>
      </c>
      <c r="K718" s="301">
        <v>1140</v>
      </c>
      <c r="L718" s="301">
        <v>686</v>
      </c>
      <c r="M718" s="301">
        <v>3763</v>
      </c>
      <c r="N718" s="301">
        <v>60343</v>
      </c>
      <c r="O718" s="292">
        <v>0</v>
      </c>
      <c r="P718" s="301">
        <v>31999</v>
      </c>
      <c r="Q718" s="301">
        <v>321</v>
      </c>
      <c r="R718" s="292">
        <v>28236</v>
      </c>
      <c r="S718" s="251">
        <v>0</v>
      </c>
      <c r="T718" s="250">
        <v>0</v>
      </c>
      <c r="U718" s="250">
        <v>31999</v>
      </c>
      <c r="V718" s="250">
        <v>0</v>
      </c>
    </row>
    <row r="719" spans="2:22">
      <c r="B719" s="15">
        <f t="shared" si="26"/>
        <v>18</v>
      </c>
      <c r="C719" s="249" t="s">
        <v>307</v>
      </c>
      <c r="D719" s="254">
        <v>1</v>
      </c>
      <c r="E719" s="250">
        <v>5500</v>
      </c>
      <c r="F719" s="373" t="s">
        <v>308</v>
      </c>
      <c r="G719" s="233">
        <v>40611</v>
      </c>
      <c r="H719" s="249" t="s">
        <v>368</v>
      </c>
      <c r="I719" s="300">
        <v>42437</v>
      </c>
      <c r="J719" s="301">
        <v>1827</v>
      </c>
      <c r="K719" s="301">
        <v>1119</v>
      </c>
      <c r="L719" s="301">
        <v>708</v>
      </c>
      <c r="M719" s="301">
        <v>275</v>
      </c>
      <c r="N719" s="301">
        <v>4425</v>
      </c>
      <c r="O719" s="292">
        <v>0</v>
      </c>
      <c r="P719" s="301">
        <v>2419</v>
      </c>
      <c r="Q719" s="301">
        <v>343</v>
      </c>
      <c r="R719" s="292">
        <v>2144</v>
      </c>
      <c r="S719" s="251">
        <v>0</v>
      </c>
      <c r="T719" s="250">
        <v>0</v>
      </c>
      <c r="U719" s="250">
        <v>2419</v>
      </c>
      <c r="V719" s="250">
        <v>0</v>
      </c>
    </row>
    <row r="720" spans="2:22">
      <c r="B720" s="15">
        <f t="shared" si="26"/>
        <v>19</v>
      </c>
      <c r="C720" s="249" t="s">
        <v>2820</v>
      </c>
      <c r="D720" s="254">
        <v>6</v>
      </c>
      <c r="E720" s="250">
        <v>14790</v>
      </c>
      <c r="F720" s="373" t="s">
        <v>2821</v>
      </c>
      <c r="G720" s="233">
        <v>42157</v>
      </c>
      <c r="H720" s="249" t="s">
        <v>368</v>
      </c>
      <c r="I720" s="300">
        <v>43983</v>
      </c>
      <c r="J720" s="301">
        <v>1827</v>
      </c>
      <c r="K720" s="301">
        <v>0</v>
      </c>
      <c r="L720" s="301">
        <v>1827</v>
      </c>
      <c r="M720" s="301">
        <v>740</v>
      </c>
      <c r="N720" s="301">
        <v>14050</v>
      </c>
      <c r="O720" s="292">
        <v>0</v>
      </c>
      <c r="P720" s="301">
        <v>14790</v>
      </c>
      <c r="Q720" s="301">
        <v>1827</v>
      </c>
      <c r="R720" s="292">
        <v>14051</v>
      </c>
      <c r="S720" s="251">
        <v>0</v>
      </c>
      <c r="T720" s="250">
        <v>0</v>
      </c>
      <c r="U720" s="250">
        <v>14790</v>
      </c>
      <c r="V720" s="250">
        <v>0</v>
      </c>
    </row>
    <row r="721" spans="2:22">
      <c r="B721" s="15">
        <v>20</v>
      </c>
      <c r="C721" s="249" t="s">
        <v>4325</v>
      </c>
      <c r="D721" s="254">
        <v>1</v>
      </c>
      <c r="E721" s="250">
        <v>2790</v>
      </c>
      <c r="F721" s="373" t="s">
        <v>4326</v>
      </c>
      <c r="G721" s="233">
        <v>43473</v>
      </c>
      <c r="H721" s="249" t="s">
        <v>368</v>
      </c>
      <c r="I721" s="300">
        <v>45298</v>
      </c>
      <c r="J721" s="301">
        <v>1826</v>
      </c>
      <c r="K721" s="301">
        <v>0</v>
      </c>
      <c r="L721" s="301">
        <v>1826</v>
      </c>
      <c r="M721" s="301">
        <v>140</v>
      </c>
      <c r="N721" s="301">
        <v>2650</v>
      </c>
      <c r="O721" s="292">
        <v>0</v>
      </c>
      <c r="P721" s="292">
        <v>2790</v>
      </c>
      <c r="Q721" s="301">
        <v>1826</v>
      </c>
      <c r="R721" s="301">
        <v>2651</v>
      </c>
      <c r="S721" s="292">
        <v>0</v>
      </c>
      <c r="T721" s="251">
        <v>0</v>
      </c>
      <c r="U721" s="250">
        <v>2790</v>
      </c>
      <c r="V721" s="250">
        <v>0</v>
      </c>
    </row>
    <row r="722" spans="2:22">
      <c r="B722" s="15"/>
      <c r="C722" s="249"/>
      <c r="D722" s="254"/>
      <c r="E722" s="250"/>
      <c r="F722" s="247"/>
      <c r="G722" s="233"/>
      <c r="H722" s="249"/>
      <c r="I722" s="300"/>
      <c r="J722" s="301"/>
      <c r="K722" s="301"/>
      <c r="L722" s="301"/>
      <c r="M722" s="301"/>
      <c r="N722" s="301"/>
      <c r="O722" s="292"/>
      <c r="P722" s="301">
        <v>0</v>
      </c>
      <c r="Q722" s="301"/>
      <c r="R722" s="292"/>
      <c r="S722" s="251"/>
      <c r="T722" s="250"/>
      <c r="U722" s="250"/>
      <c r="V722" s="250"/>
    </row>
    <row r="723" spans="2:22" ht="14.25">
      <c r="B723" s="108" t="s">
        <v>209</v>
      </c>
      <c r="C723" s="229"/>
      <c r="D723" s="230"/>
      <c r="E723" s="252"/>
      <c r="F723" s="254"/>
      <c r="G723" s="230"/>
      <c r="H723" s="228"/>
      <c r="I723" s="301"/>
      <c r="J723" s="301"/>
      <c r="K723" s="301"/>
      <c r="L723" s="301"/>
      <c r="M723" s="301"/>
      <c r="N723" s="301"/>
      <c r="O723" s="292"/>
      <c r="P723" s="301">
        <v>0</v>
      </c>
      <c r="Q723" s="301"/>
      <c r="R723" s="292"/>
      <c r="S723" s="272"/>
      <c r="T723" s="250"/>
      <c r="U723" s="250"/>
      <c r="V723" s="250"/>
    </row>
    <row r="724" spans="2:22" ht="27">
      <c r="B724" s="15">
        <v>1</v>
      </c>
      <c r="C724" s="249" t="s">
        <v>210</v>
      </c>
      <c r="D724" s="254">
        <v>2</v>
      </c>
      <c r="E724" s="345">
        <v>22275</v>
      </c>
      <c r="F724" s="247">
        <v>1</v>
      </c>
      <c r="G724" s="233">
        <v>40114</v>
      </c>
      <c r="H724" s="228" t="s">
        <v>282</v>
      </c>
      <c r="I724" s="300">
        <v>41939</v>
      </c>
      <c r="J724" s="301">
        <v>1826</v>
      </c>
      <c r="K724" s="301">
        <v>1616</v>
      </c>
      <c r="L724" s="301">
        <v>210</v>
      </c>
      <c r="M724" s="301">
        <v>1114</v>
      </c>
      <c r="N724" s="301">
        <v>16479</v>
      </c>
      <c r="O724" s="292">
        <v>0</v>
      </c>
      <c r="P724" s="301">
        <v>0</v>
      </c>
      <c r="Q724" s="301">
        <v>0</v>
      </c>
      <c r="R724" s="292">
        <v>-1114</v>
      </c>
      <c r="S724" s="251">
        <v>0</v>
      </c>
      <c r="T724" s="250">
        <v>0</v>
      </c>
      <c r="U724" s="250">
        <v>0</v>
      </c>
      <c r="V724" s="250">
        <v>0</v>
      </c>
    </row>
    <row r="725" spans="2:22" ht="67.5">
      <c r="B725" s="15">
        <v>2</v>
      </c>
      <c r="C725" s="228" t="s">
        <v>2057</v>
      </c>
      <c r="D725" s="230" t="s">
        <v>314</v>
      </c>
      <c r="E725" s="250">
        <v>4635614</v>
      </c>
      <c r="F725" s="254" t="s">
        <v>2058</v>
      </c>
      <c r="G725" s="233">
        <v>41284</v>
      </c>
      <c r="H725" s="228" t="s">
        <v>368</v>
      </c>
      <c r="I725" s="300">
        <v>43109</v>
      </c>
      <c r="J725" s="301">
        <v>1826</v>
      </c>
      <c r="K725" s="301">
        <v>446</v>
      </c>
      <c r="L725" s="301">
        <v>1380</v>
      </c>
      <c r="M725" s="301">
        <v>231781</v>
      </c>
      <c r="N725" s="301">
        <v>4134777</v>
      </c>
      <c r="O725" s="292">
        <v>0</v>
      </c>
      <c r="P725" s="301">
        <v>3272939</v>
      </c>
      <c r="Q725" s="301">
        <v>1015</v>
      </c>
      <c r="R725" s="292">
        <v>3041158</v>
      </c>
      <c r="S725" s="251">
        <v>0</v>
      </c>
      <c r="T725" s="250">
        <v>0</v>
      </c>
      <c r="U725" s="250">
        <v>3272939</v>
      </c>
      <c r="V725" s="250">
        <v>0</v>
      </c>
    </row>
    <row r="726" spans="2:22">
      <c r="B726" s="15">
        <v>3</v>
      </c>
      <c r="C726" s="228" t="s">
        <v>2199</v>
      </c>
      <c r="D726" s="230">
        <v>3</v>
      </c>
      <c r="E726" s="250">
        <f>29050+5200</f>
        <v>34250</v>
      </c>
      <c r="F726" s="254" t="s">
        <v>2200</v>
      </c>
      <c r="G726" s="233">
        <v>41425</v>
      </c>
      <c r="H726" s="228" t="s">
        <v>79</v>
      </c>
      <c r="I726" s="300">
        <v>43250</v>
      </c>
      <c r="J726" s="301">
        <v>1826</v>
      </c>
      <c r="K726" s="301">
        <v>305</v>
      </c>
      <c r="L726" s="301">
        <v>1521</v>
      </c>
      <c r="M726" s="301">
        <v>1713</v>
      </c>
      <c r="N726" s="301">
        <v>31178</v>
      </c>
      <c r="O726" s="292">
        <v>0</v>
      </c>
      <c r="P726" s="301">
        <v>25409</v>
      </c>
      <c r="Q726" s="301">
        <v>1156</v>
      </c>
      <c r="R726" s="292">
        <v>23697</v>
      </c>
      <c r="S726" s="251">
        <v>0</v>
      </c>
      <c r="T726" s="250">
        <v>0</v>
      </c>
      <c r="U726" s="250">
        <v>25409</v>
      </c>
      <c r="V726" s="250">
        <v>0</v>
      </c>
    </row>
    <row r="727" spans="2:22">
      <c r="B727" s="15">
        <v>4</v>
      </c>
      <c r="C727" s="228" t="s">
        <v>2199</v>
      </c>
      <c r="D727" s="230">
        <v>1</v>
      </c>
      <c r="E727" s="250">
        <v>90950</v>
      </c>
      <c r="F727" s="254" t="s">
        <v>2239</v>
      </c>
      <c r="G727" s="233">
        <v>41461</v>
      </c>
      <c r="H727" s="228" t="s">
        <v>368</v>
      </c>
      <c r="I727" s="300">
        <v>43286</v>
      </c>
      <c r="J727" s="301">
        <v>1826</v>
      </c>
      <c r="K727" s="301">
        <v>269</v>
      </c>
      <c r="L727" s="301">
        <v>1557</v>
      </c>
      <c r="M727" s="301">
        <v>4548</v>
      </c>
      <c r="N727" s="301">
        <v>83218</v>
      </c>
      <c r="O727" s="292">
        <v>0</v>
      </c>
      <c r="P727" s="301">
        <v>68258</v>
      </c>
      <c r="Q727" s="301">
        <v>1192</v>
      </c>
      <c r="R727" s="292">
        <v>63711</v>
      </c>
      <c r="S727" s="251">
        <v>0</v>
      </c>
      <c r="T727" s="250">
        <v>0</v>
      </c>
      <c r="U727" s="250">
        <v>68258</v>
      </c>
      <c r="V727" s="250">
        <v>0</v>
      </c>
    </row>
    <row r="728" spans="2:22">
      <c r="B728" s="15">
        <v>5</v>
      </c>
      <c r="C728" s="228" t="s">
        <v>2199</v>
      </c>
      <c r="D728" s="230">
        <v>1</v>
      </c>
      <c r="E728" s="250">
        <v>16350</v>
      </c>
      <c r="F728" s="254" t="s">
        <v>2241</v>
      </c>
      <c r="G728" s="233">
        <v>41512</v>
      </c>
      <c r="H728" s="228" t="s">
        <v>160</v>
      </c>
      <c r="I728" s="300">
        <v>43337</v>
      </c>
      <c r="J728" s="301">
        <v>1826</v>
      </c>
      <c r="K728" s="301">
        <v>218</v>
      </c>
      <c r="L728" s="301">
        <v>1608</v>
      </c>
      <c r="M728" s="301">
        <v>818</v>
      </c>
      <c r="N728" s="301">
        <v>15068</v>
      </c>
      <c r="O728" s="292">
        <v>0</v>
      </c>
      <c r="P728" s="301">
        <v>12466</v>
      </c>
      <c r="Q728" s="301">
        <v>1243</v>
      </c>
      <c r="R728" s="292">
        <v>11649</v>
      </c>
      <c r="S728" s="251">
        <v>0</v>
      </c>
      <c r="T728" s="250">
        <v>0</v>
      </c>
      <c r="U728" s="250">
        <v>12466</v>
      </c>
      <c r="V728" s="250">
        <v>0</v>
      </c>
    </row>
    <row r="729" spans="2:22">
      <c r="B729" s="15">
        <v>6</v>
      </c>
      <c r="C729" s="228" t="s">
        <v>2240</v>
      </c>
      <c r="D729" s="230">
        <v>1</v>
      </c>
      <c r="E729" s="250">
        <v>21050</v>
      </c>
      <c r="F729" s="254" t="s">
        <v>2242</v>
      </c>
      <c r="G729" s="233">
        <v>41461</v>
      </c>
      <c r="H729" s="228" t="s">
        <v>160</v>
      </c>
      <c r="I729" s="300">
        <v>43286</v>
      </c>
      <c r="J729" s="301">
        <v>1826</v>
      </c>
      <c r="K729" s="301">
        <v>269</v>
      </c>
      <c r="L729" s="301">
        <v>1557</v>
      </c>
      <c r="M729" s="301">
        <v>1053</v>
      </c>
      <c r="N729" s="301">
        <v>19260</v>
      </c>
      <c r="O729" s="292">
        <v>0</v>
      </c>
      <c r="P729" s="301">
        <v>15798</v>
      </c>
      <c r="Q729" s="301">
        <v>1192</v>
      </c>
      <c r="R729" s="292">
        <v>14746</v>
      </c>
      <c r="S729" s="251">
        <v>0</v>
      </c>
      <c r="T729" s="250">
        <v>0</v>
      </c>
      <c r="U729" s="250">
        <v>15798</v>
      </c>
      <c r="V729" s="250">
        <v>0</v>
      </c>
    </row>
    <row r="730" spans="2:22" ht="27">
      <c r="B730" s="15">
        <v>7</v>
      </c>
      <c r="C730" s="228" t="s">
        <v>2287</v>
      </c>
      <c r="D730" s="230">
        <v>1</v>
      </c>
      <c r="E730" s="250">
        <v>15500</v>
      </c>
      <c r="F730" s="254" t="s">
        <v>2288</v>
      </c>
      <c r="G730" s="233">
        <v>41642</v>
      </c>
      <c r="H730" s="228" t="s">
        <v>368</v>
      </c>
      <c r="I730" s="300">
        <v>43467</v>
      </c>
      <c r="J730" s="301">
        <v>1826</v>
      </c>
      <c r="K730" s="301">
        <v>88</v>
      </c>
      <c r="L730" s="301">
        <v>1738</v>
      </c>
      <c r="M730" s="301">
        <v>775</v>
      </c>
      <c r="N730" s="301">
        <v>14547</v>
      </c>
      <c r="O730" s="292">
        <v>0</v>
      </c>
      <c r="P730" s="301">
        <v>12267</v>
      </c>
      <c r="Q730" s="301">
        <v>1373</v>
      </c>
      <c r="R730" s="292">
        <v>11492</v>
      </c>
      <c r="S730" s="251">
        <v>0</v>
      </c>
      <c r="T730" s="250">
        <v>0</v>
      </c>
      <c r="U730" s="250">
        <v>12267</v>
      </c>
      <c r="V730" s="250">
        <v>0</v>
      </c>
    </row>
    <row r="731" spans="2:22" ht="27">
      <c r="B731" s="15">
        <f>+B730+1</f>
        <v>8</v>
      </c>
      <c r="C731" s="228" t="s">
        <v>2510</v>
      </c>
      <c r="D731" s="230">
        <v>1</v>
      </c>
      <c r="E731" s="250">
        <v>57900</v>
      </c>
      <c r="F731" s="254" t="s">
        <v>2511</v>
      </c>
      <c r="G731" s="233">
        <v>41895</v>
      </c>
      <c r="H731" s="228" t="s">
        <v>368</v>
      </c>
      <c r="I731" s="300">
        <v>43720</v>
      </c>
      <c r="J731" s="301">
        <v>1826</v>
      </c>
      <c r="K731" s="301">
        <v>0</v>
      </c>
      <c r="L731" s="301">
        <v>1826</v>
      </c>
      <c r="M731" s="301">
        <v>2895</v>
      </c>
      <c r="N731" s="301">
        <v>55005</v>
      </c>
      <c r="O731" s="292">
        <v>0</v>
      </c>
      <c r="P731" s="301">
        <v>51875</v>
      </c>
      <c r="Q731" s="301">
        <v>1626</v>
      </c>
      <c r="R731" s="292">
        <v>48980</v>
      </c>
      <c r="S731" s="251">
        <v>0</v>
      </c>
      <c r="T731" s="250">
        <v>0</v>
      </c>
      <c r="U731" s="250">
        <v>51875</v>
      </c>
      <c r="V731" s="250">
        <v>0</v>
      </c>
    </row>
    <row r="732" spans="2:22">
      <c r="B732" s="15">
        <f t="shared" ref="B732:B744" si="27">+B731+1</f>
        <v>9</v>
      </c>
      <c r="C732" s="228" t="s">
        <v>2518</v>
      </c>
      <c r="D732" s="230">
        <v>1</v>
      </c>
      <c r="E732" s="250">
        <v>144300</v>
      </c>
      <c r="F732" s="254" t="s">
        <v>2519</v>
      </c>
      <c r="G732" s="233">
        <v>41851</v>
      </c>
      <c r="H732" s="228" t="s">
        <v>368</v>
      </c>
      <c r="I732" s="300">
        <v>43676</v>
      </c>
      <c r="J732" s="301">
        <v>1826</v>
      </c>
      <c r="K732" s="301">
        <v>0</v>
      </c>
      <c r="L732" s="301">
        <v>1826</v>
      </c>
      <c r="M732" s="301">
        <v>7215</v>
      </c>
      <c r="N732" s="301">
        <v>137085</v>
      </c>
      <c r="O732" s="292">
        <v>0</v>
      </c>
      <c r="P732" s="301">
        <v>125982</v>
      </c>
      <c r="Q732" s="301">
        <v>1582</v>
      </c>
      <c r="R732" s="292">
        <v>118767</v>
      </c>
      <c r="S732" s="251">
        <v>0</v>
      </c>
      <c r="T732" s="250">
        <v>0</v>
      </c>
      <c r="U732" s="250">
        <v>125982</v>
      </c>
      <c r="V732" s="250">
        <v>0</v>
      </c>
    </row>
    <row r="733" spans="2:22" ht="27">
      <c r="B733" s="15">
        <f t="shared" si="27"/>
        <v>10</v>
      </c>
      <c r="C733" s="228" t="s">
        <v>2573</v>
      </c>
      <c r="D733" s="230">
        <v>1</v>
      </c>
      <c r="E733" s="250">
        <f>148950+127600</f>
        <v>276550</v>
      </c>
      <c r="F733" s="254" t="s">
        <v>2574</v>
      </c>
      <c r="G733" s="233">
        <v>41926</v>
      </c>
      <c r="H733" s="228" t="s">
        <v>368</v>
      </c>
      <c r="I733" s="300">
        <v>43751</v>
      </c>
      <c r="J733" s="301">
        <v>1826</v>
      </c>
      <c r="K733" s="301">
        <v>0</v>
      </c>
      <c r="L733" s="301">
        <v>1826</v>
      </c>
      <c r="M733" s="301">
        <v>13828</v>
      </c>
      <c r="N733" s="301">
        <v>262722</v>
      </c>
      <c r="O733" s="292">
        <v>0</v>
      </c>
      <c r="P733" s="301">
        <v>252235</v>
      </c>
      <c r="Q733" s="301">
        <v>1657</v>
      </c>
      <c r="R733" s="292">
        <v>238408</v>
      </c>
      <c r="S733" s="251">
        <v>0</v>
      </c>
      <c r="T733" s="250">
        <v>0</v>
      </c>
      <c r="U733" s="250">
        <v>252235</v>
      </c>
      <c r="V733" s="250">
        <v>0</v>
      </c>
    </row>
    <row r="734" spans="2:22" ht="40.5">
      <c r="B734" s="15">
        <f t="shared" si="27"/>
        <v>11</v>
      </c>
      <c r="C734" s="228" t="s">
        <v>2575</v>
      </c>
      <c r="D734" s="230">
        <v>4</v>
      </c>
      <c r="E734" s="250">
        <v>269050</v>
      </c>
      <c r="F734" s="254" t="s">
        <v>2576</v>
      </c>
      <c r="G734" s="233">
        <v>41941</v>
      </c>
      <c r="H734" s="228" t="s">
        <v>368</v>
      </c>
      <c r="I734" s="300">
        <v>43766</v>
      </c>
      <c r="J734" s="301">
        <v>1826</v>
      </c>
      <c r="K734" s="301">
        <v>0</v>
      </c>
      <c r="L734" s="301">
        <v>1826</v>
      </c>
      <c r="M734" s="301">
        <v>13453</v>
      </c>
      <c r="N734" s="301">
        <v>255597</v>
      </c>
      <c r="O734" s="292">
        <v>0</v>
      </c>
      <c r="P734" s="301">
        <v>247494</v>
      </c>
      <c r="Q734" s="301">
        <v>1672</v>
      </c>
      <c r="R734" s="292">
        <v>234042</v>
      </c>
      <c r="S734" s="251">
        <v>0</v>
      </c>
      <c r="T734" s="250">
        <v>0</v>
      </c>
      <c r="U734" s="250">
        <v>247494</v>
      </c>
      <c r="V734" s="250">
        <v>0</v>
      </c>
    </row>
    <row r="735" spans="2:22" ht="40.5">
      <c r="B735" s="15">
        <f t="shared" si="27"/>
        <v>12</v>
      </c>
      <c r="C735" s="228" t="s">
        <v>2577</v>
      </c>
      <c r="D735" s="230">
        <v>2</v>
      </c>
      <c r="E735" s="250">
        <v>173700</v>
      </c>
      <c r="F735" s="254" t="s">
        <v>2578</v>
      </c>
      <c r="G735" s="233">
        <v>41941</v>
      </c>
      <c r="H735" s="228" t="s">
        <v>368</v>
      </c>
      <c r="I735" s="300">
        <v>43766</v>
      </c>
      <c r="J735" s="301">
        <v>1826</v>
      </c>
      <c r="K735" s="301">
        <v>0</v>
      </c>
      <c r="L735" s="301">
        <v>1826</v>
      </c>
      <c r="M735" s="301">
        <v>8685</v>
      </c>
      <c r="N735" s="301">
        <v>165015</v>
      </c>
      <c r="O735" s="292">
        <v>0</v>
      </c>
      <c r="P735" s="301">
        <v>159783</v>
      </c>
      <c r="Q735" s="301">
        <v>1672</v>
      </c>
      <c r="R735" s="292">
        <v>151098</v>
      </c>
      <c r="S735" s="251">
        <v>0</v>
      </c>
      <c r="T735" s="250">
        <v>0</v>
      </c>
      <c r="U735" s="250">
        <v>159783</v>
      </c>
      <c r="V735" s="250">
        <v>0</v>
      </c>
    </row>
    <row r="736" spans="2:22" ht="27">
      <c r="B736" s="15">
        <f t="shared" si="27"/>
        <v>13</v>
      </c>
      <c r="C736" s="228" t="s">
        <v>2579</v>
      </c>
      <c r="D736" s="230" t="s">
        <v>314</v>
      </c>
      <c r="E736" s="250">
        <v>59650</v>
      </c>
      <c r="F736" s="254" t="s">
        <v>2580</v>
      </c>
      <c r="G736" s="233">
        <v>41941</v>
      </c>
      <c r="H736" s="228" t="s">
        <v>368</v>
      </c>
      <c r="I736" s="300">
        <v>43766</v>
      </c>
      <c r="J736" s="301">
        <v>1826</v>
      </c>
      <c r="K736" s="301">
        <v>0</v>
      </c>
      <c r="L736" s="301">
        <v>1826</v>
      </c>
      <c r="M736" s="301">
        <v>2983</v>
      </c>
      <c r="N736" s="301">
        <v>56667</v>
      </c>
      <c r="O736" s="292">
        <v>0</v>
      </c>
      <c r="P736" s="301">
        <v>54871</v>
      </c>
      <c r="Q736" s="301">
        <v>1672</v>
      </c>
      <c r="R736" s="292">
        <v>51889</v>
      </c>
      <c r="S736" s="251">
        <v>0</v>
      </c>
      <c r="T736" s="250">
        <v>0</v>
      </c>
      <c r="U736" s="250">
        <v>54871</v>
      </c>
      <c r="V736" s="250">
        <v>0</v>
      </c>
    </row>
    <row r="737" spans="2:22">
      <c r="B737" s="15">
        <f t="shared" si="27"/>
        <v>14</v>
      </c>
      <c r="C737" s="228" t="s">
        <v>2581</v>
      </c>
      <c r="D737" s="230" t="s">
        <v>314</v>
      </c>
      <c r="E737" s="250">
        <v>106000</v>
      </c>
      <c r="F737" s="254" t="s">
        <v>2582</v>
      </c>
      <c r="G737" s="233">
        <v>41955</v>
      </c>
      <c r="H737" s="228" t="s">
        <v>368</v>
      </c>
      <c r="I737" s="300">
        <v>43780</v>
      </c>
      <c r="J737" s="301">
        <v>1826</v>
      </c>
      <c r="K737" s="301">
        <v>0</v>
      </c>
      <c r="L737" s="301">
        <v>1826</v>
      </c>
      <c r="M737" s="301">
        <v>5300</v>
      </c>
      <c r="N737" s="301">
        <v>100700</v>
      </c>
      <c r="O737" s="292">
        <v>0</v>
      </c>
      <c r="P737" s="301">
        <v>98279</v>
      </c>
      <c r="Q737" s="301">
        <v>1686</v>
      </c>
      <c r="R737" s="292">
        <v>92979</v>
      </c>
      <c r="S737" s="251">
        <v>0</v>
      </c>
      <c r="T737" s="250">
        <v>0</v>
      </c>
      <c r="U737" s="250">
        <v>98279</v>
      </c>
      <c r="V737" s="250">
        <v>0</v>
      </c>
    </row>
    <row r="738" spans="2:22" ht="40.5">
      <c r="B738" s="15">
        <f t="shared" si="27"/>
        <v>15</v>
      </c>
      <c r="C738" s="228" t="s">
        <v>2752</v>
      </c>
      <c r="D738" s="230">
        <v>2</v>
      </c>
      <c r="E738" s="250">
        <v>258311</v>
      </c>
      <c r="F738" s="254" t="s">
        <v>2750</v>
      </c>
      <c r="G738" s="233">
        <v>42005</v>
      </c>
      <c r="H738" s="228" t="s">
        <v>368</v>
      </c>
      <c r="I738" s="300">
        <v>43830</v>
      </c>
      <c r="J738" s="301">
        <v>1826</v>
      </c>
      <c r="K738" s="301">
        <v>0</v>
      </c>
      <c r="L738" s="301">
        <v>1826</v>
      </c>
      <c r="M738" s="301">
        <v>12916</v>
      </c>
      <c r="N738" s="301">
        <v>245395</v>
      </c>
      <c r="O738" s="292">
        <v>0</v>
      </c>
      <c r="P738" s="301">
        <v>246216</v>
      </c>
      <c r="Q738" s="301">
        <v>1736</v>
      </c>
      <c r="R738" s="292">
        <v>233300</v>
      </c>
      <c r="S738" s="251">
        <v>0</v>
      </c>
      <c r="T738" s="250">
        <v>0</v>
      </c>
      <c r="U738" s="250">
        <v>246216</v>
      </c>
      <c r="V738" s="250">
        <v>0</v>
      </c>
    </row>
    <row r="739" spans="2:22" ht="40.5">
      <c r="B739" s="15">
        <f t="shared" si="27"/>
        <v>16</v>
      </c>
      <c r="C739" s="228" t="s">
        <v>2752</v>
      </c>
      <c r="D739" s="230">
        <v>2</v>
      </c>
      <c r="E739" s="250">
        <v>124460</v>
      </c>
      <c r="F739" s="254" t="s">
        <v>2750</v>
      </c>
      <c r="G739" s="233">
        <v>42005</v>
      </c>
      <c r="H739" s="228" t="s">
        <v>368</v>
      </c>
      <c r="I739" s="300">
        <v>43830</v>
      </c>
      <c r="J739" s="301">
        <v>1826</v>
      </c>
      <c r="K739" s="301">
        <v>0</v>
      </c>
      <c r="L739" s="301">
        <v>1826</v>
      </c>
      <c r="M739" s="301">
        <v>6223</v>
      </c>
      <c r="N739" s="301">
        <v>118237</v>
      </c>
      <c r="O739" s="292">
        <v>0</v>
      </c>
      <c r="P739" s="301">
        <v>118632</v>
      </c>
      <c r="Q739" s="301">
        <v>1736</v>
      </c>
      <c r="R739" s="292">
        <v>112409</v>
      </c>
      <c r="S739" s="251">
        <v>0</v>
      </c>
      <c r="T739" s="250">
        <v>0</v>
      </c>
      <c r="U739" s="250">
        <v>118632</v>
      </c>
      <c r="V739" s="250">
        <v>0</v>
      </c>
    </row>
    <row r="740" spans="2:22" ht="27">
      <c r="B740" s="15">
        <f t="shared" si="27"/>
        <v>17</v>
      </c>
      <c r="C740" s="228" t="s">
        <v>2753</v>
      </c>
      <c r="D740" s="230">
        <v>4</v>
      </c>
      <c r="E740" s="250">
        <v>27000</v>
      </c>
      <c r="F740" s="254" t="s">
        <v>2751</v>
      </c>
      <c r="G740" s="233">
        <v>42005</v>
      </c>
      <c r="H740" s="228" t="s">
        <v>368</v>
      </c>
      <c r="I740" s="300">
        <v>43830</v>
      </c>
      <c r="J740" s="301">
        <v>1826</v>
      </c>
      <c r="K740" s="301">
        <v>0</v>
      </c>
      <c r="L740" s="301">
        <v>1826</v>
      </c>
      <c r="M740" s="301">
        <v>1350</v>
      </c>
      <c r="N740" s="301">
        <v>25650</v>
      </c>
      <c r="O740" s="292">
        <v>0</v>
      </c>
      <c r="P740" s="301">
        <v>25736</v>
      </c>
      <c r="Q740" s="301">
        <v>1736</v>
      </c>
      <c r="R740" s="292">
        <v>24386</v>
      </c>
      <c r="S740" s="251">
        <v>0</v>
      </c>
      <c r="T740" s="250">
        <v>0</v>
      </c>
      <c r="U740" s="250">
        <v>25736</v>
      </c>
      <c r="V740" s="250">
        <v>0</v>
      </c>
    </row>
    <row r="741" spans="2:22" ht="27">
      <c r="B741" s="15">
        <f t="shared" si="27"/>
        <v>18</v>
      </c>
      <c r="C741" s="228" t="s">
        <v>2762</v>
      </c>
      <c r="D741" s="230" t="s">
        <v>314</v>
      </c>
      <c r="E741" s="250">
        <v>14128</v>
      </c>
      <c r="F741" s="254" t="s">
        <v>2763</v>
      </c>
      <c r="G741" s="233">
        <v>42005</v>
      </c>
      <c r="H741" s="228" t="s">
        <v>368</v>
      </c>
      <c r="I741" s="300">
        <v>43830</v>
      </c>
      <c r="J741" s="301">
        <v>1826</v>
      </c>
      <c r="K741" s="301">
        <v>0</v>
      </c>
      <c r="L741" s="301">
        <v>1826</v>
      </c>
      <c r="M741" s="301">
        <v>706</v>
      </c>
      <c r="N741" s="301">
        <v>13422</v>
      </c>
      <c r="O741" s="292">
        <v>0</v>
      </c>
      <c r="P741" s="301">
        <v>13466</v>
      </c>
      <c r="Q741" s="301">
        <v>1736</v>
      </c>
      <c r="R741" s="292">
        <v>12760</v>
      </c>
      <c r="S741" s="251">
        <v>0</v>
      </c>
      <c r="T741" s="250">
        <v>0</v>
      </c>
      <c r="U741" s="250">
        <v>13466</v>
      </c>
      <c r="V741" s="250">
        <v>0</v>
      </c>
    </row>
    <row r="742" spans="2:22" ht="27">
      <c r="B742" s="15">
        <f t="shared" si="27"/>
        <v>19</v>
      </c>
      <c r="C742" s="228" t="s">
        <v>2764</v>
      </c>
      <c r="D742" s="230">
        <v>10</v>
      </c>
      <c r="E742" s="250">
        <v>56014</v>
      </c>
      <c r="F742" s="254" t="s">
        <v>2765</v>
      </c>
      <c r="G742" s="233">
        <v>42005</v>
      </c>
      <c r="H742" s="228" t="s">
        <v>368</v>
      </c>
      <c r="I742" s="300">
        <v>43830</v>
      </c>
      <c r="J742" s="301">
        <v>1826</v>
      </c>
      <c r="K742" s="301">
        <v>0</v>
      </c>
      <c r="L742" s="301">
        <v>1826</v>
      </c>
      <c r="M742" s="301">
        <v>2801</v>
      </c>
      <c r="N742" s="301">
        <v>53213</v>
      </c>
      <c r="O742" s="292">
        <v>0</v>
      </c>
      <c r="P742" s="301">
        <v>53391</v>
      </c>
      <c r="Q742" s="301">
        <v>1736</v>
      </c>
      <c r="R742" s="292">
        <v>50590</v>
      </c>
      <c r="S742" s="251">
        <v>0</v>
      </c>
      <c r="T742" s="250">
        <v>0</v>
      </c>
      <c r="U742" s="250">
        <v>53391</v>
      </c>
      <c r="V742" s="250">
        <v>0</v>
      </c>
    </row>
    <row r="743" spans="2:22" ht="27">
      <c r="B743" s="15">
        <f t="shared" si="27"/>
        <v>20</v>
      </c>
      <c r="C743" s="228" t="s">
        <v>2769</v>
      </c>
      <c r="D743" s="230">
        <v>10</v>
      </c>
      <c r="E743" s="250">
        <v>13629</v>
      </c>
      <c r="F743" s="254" t="s">
        <v>2768</v>
      </c>
      <c r="G743" s="233">
        <v>42005</v>
      </c>
      <c r="H743" s="228" t="s">
        <v>368</v>
      </c>
      <c r="I743" s="300">
        <v>43830</v>
      </c>
      <c r="J743" s="301">
        <v>1826</v>
      </c>
      <c r="K743" s="301">
        <v>0</v>
      </c>
      <c r="L743" s="301">
        <v>1826</v>
      </c>
      <c r="M743" s="301">
        <v>681</v>
      </c>
      <c r="N743" s="301">
        <v>12948</v>
      </c>
      <c r="O743" s="292">
        <v>0</v>
      </c>
      <c r="P743" s="301">
        <v>12991</v>
      </c>
      <c r="Q743" s="301">
        <v>1736</v>
      </c>
      <c r="R743" s="292">
        <v>12310</v>
      </c>
      <c r="S743" s="251">
        <v>0</v>
      </c>
      <c r="T743" s="250">
        <v>0</v>
      </c>
      <c r="U743" s="250">
        <v>12991</v>
      </c>
      <c r="V743" s="250">
        <v>0</v>
      </c>
    </row>
    <row r="744" spans="2:22" ht="27">
      <c r="B744" s="15">
        <f t="shared" si="27"/>
        <v>21</v>
      </c>
      <c r="C744" s="228" t="s">
        <v>2766</v>
      </c>
      <c r="D744" s="230">
        <v>2</v>
      </c>
      <c r="E744" s="250">
        <v>13190</v>
      </c>
      <c r="F744" s="254" t="s">
        <v>2767</v>
      </c>
      <c r="G744" s="233">
        <v>42005</v>
      </c>
      <c r="H744" s="228" t="s">
        <v>368</v>
      </c>
      <c r="I744" s="300">
        <v>43830</v>
      </c>
      <c r="J744" s="301">
        <v>1826</v>
      </c>
      <c r="K744" s="301">
        <v>0</v>
      </c>
      <c r="L744" s="301">
        <v>1826</v>
      </c>
      <c r="M744" s="301">
        <v>660</v>
      </c>
      <c r="N744" s="301">
        <v>12530</v>
      </c>
      <c r="O744" s="292">
        <v>0</v>
      </c>
      <c r="P744" s="301">
        <v>12572</v>
      </c>
      <c r="Q744" s="301">
        <v>1736</v>
      </c>
      <c r="R744" s="292">
        <v>11913</v>
      </c>
      <c r="S744" s="251">
        <v>0</v>
      </c>
      <c r="T744" s="250">
        <v>0</v>
      </c>
      <c r="U744" s="250">
        <v>12572</v>
      </c>
      <c r="V744" s="250">
        <v>0</v>
      </c>
    </row>
    <row r="745" spans="2:22" ht="27">
      <c r="B745" s="143">
        <v>22</v>
      </c>
      <c r="C745" s="388" t="s">
        <v>2545</v>
      </c>
      <c r="D745" s="388">
        <v>1</v>
      </c>
      <c r="E745" s="389">
        <v>313400</v>
      </c>
      <c r="F745" s="388" t="s">
        <v>2546</v>
      </c>
      <c r="G745" s="390">
        <v>41941</v>
      </c>
      <c r="H745" s="388" t="s">
        <v>368</v>
      </c>
      <c r="I745" s="270">
        <v>43766</v>
      </c>
      <c r="J745" s="242">
        <v>1826</v>
      </c>
      <c r="K745" s="242">
        <v>0</v>
      </c>
      <c r="L745" s="242">
        <v>1826</v>
      </c>
      <c r="M745" s="242">
        <v>15670</v>
      </c>
      <c r="N745" s="242">
        <v>297730</v>
      </c>
      <c r="O745" s="242"/>
      <c r="P745" s="242">
        <v>288290</v>
      </c>
      <c r="Q745" s="242">
        <v>1672</v>
      </c>
      <c r="R745" s="242">
        <v>272620</v>
      </c>
      <c r="S745" s="393">
        <v>0</v>
      </c>
      <c r="T745" s="389">
        <v>0</v>
      </c>
      <c r="U745" s="389">
        <v>288290</v>
      </c>
      <c r="V745" s="392">
        <v>0</v>
      </c>
    </row>
    <row r="746" spans="2:22" ht="40.5">
      <c r="B746" s="143">
        <v>23</v>
      </c>
      <c r="C746" s="388" t="s">
        <v>2547</v>
      </c>
      <c r="D746" s="388" t="s">
        <v>220</v>
      </c>
      <c r="E746" s="389">
        <v>347400</v>
      </c>
      <c r="F746" s="388" t="s">
        <v>2548</v>
      </c>
      <c r="G746" s="390">
        <v>41941</v>
      </c>
      <c r="H746" s="388" t="s">
        <v>368</v>
      </c>
      <c r="I746" s="270">
        <v>43766</v>
      </c>
      <c r="J746" s="242">
        <v>1826</v>
      </c>
      <c r="K746" s="242">
        <v>0</v>
      </c>
      <c r="L746" s="242">
        <v>1826</v>
      </c>
      <c r="M746" s="242">
        <v>17370</v>
      </c>
      <c r="N746" s="242">
        <v>330030</v>
      </c>
      <c r="O746" s="242"/>
      <c r="P746" s="242">
        <v>319566</v>
      </c>
      <c r="Q746" s="242">
        <v>1672</v>
      </c>
      <c r="R746" s="242">
        <v>302196</v>
      </c>
      <c r="S746" s="393">
        <v>0</v>
      </c>
      <c r="T746" s="389">
        <v>0</v>
      </c>
      <c r="U746" s="389">
        <v>319566</v>
      </c>
      <c r="V746" s="392">
        <v>0</v>
      </c>
    </row>
    <row r="747" spans="2:22">
      <c r="B747" s="143">
        <v>24</v>
      </c>
      <c r="C747" s="388" t="s">
        <v>2549</v>
      </c>
      <c r="D747" s="388"/>
      <c r="E747" s="389">
        <v>224050</v>
      </c>
      <c r="F747" s="388" t="s">
        <v>2550</v>
      </c>
      <c r="G747" s="390">
        <v>41941</v>
      </c>
      <c r="H747" s="388" t="s">
        <v>368</v>
      </c>
      <c r="I747" s="270">
        <v>43766</v>
      </c>
      <c r="J747" s="242">
        <v>1826</v>
      </c>
      <c r="K747" s="242">
        <v>0</v>
      </c>
      <c r="L747" s="242">
        <v>1826</v>
      </c>
      <c r="M747" s="242">
        <v>11203</v>
      </c>
      <c r="N747" s="242">
        <v>212847</v>
      </c>
      <c r="O747" s="242"/>
      <c r="P747" s="242">
        <v>206099</v>
      </c>
      <c r="Q747" s="242">
        <v>1672</v>
      </c>
      <c r="R747" s="242">
        <v>194897</v>
      </c>
      <c r="S747" s="393">
        <v>0</v>
      </c>
      <c r="T747" s="389">
        <v>0</v>
      </c>
      <c r="U747" s="389">
        <v>206099</v>
      </c>
      <c r="V747" s="392">
        <v>0</v>
      </c>
    </row>
    <row r="748" spans="2:22">
      <c r="B748" s="143">
        <v>25</v>
      </c>
      <c r="C748" s="388" t="s">
        <v>2551</v>
      </c>
      <c r="D748" s="388"/>
      <c r="E748" s="389">
        <v>72000</v>
      </c>
      <c r="F748" s="388" t="s">
        <v>2552</v>
      </c>
      <c r="G748" s="390">
        <v>41941</v>
      </c>
      <c r="H748" s="388" t="s">
        <v>368</v>
      </c>
      <c r="I748" s="270">
        <v>43766</v>
      </c>
      <c r="J748" s="242">
        <v>1826</v>
      </c>
      <c r="K748" s="242">
        <v>0</v>
      </c>
      <c r="L748" s="242">
        <v>1826</v>
      </c>
      <c r="M748" s="242">
        <v>3600</v>
      </c>
      <c r="N748" s="242">
        <v>68400</v>
      </c>
      <c r="O748" s="242"/>
      <c r="P748" s="242">
        <v>66231</v>
      </c>
      <c r="Q748" s="242">
        <v>1672</v>
      </c>
      <c r="R748" s="242">
        <v>62631</v>
      </c>
      <c r="S748" s="393">
        <v>0</v>
      </c>
      <c r="T748" s="389">
        <v>0</v>
      </c>
      <c r="U748" s="389">
        <v>66231</v>
      </c>
      <c r="V748" s="392">
        <v>0</v>
      </c>
    </row>
    <row r="749" spans="2:22" ht="40.5">
      <c r="B749" s="143">
        <v>26</v>
      </c>
      <c r="C749" s="388" t="s">
        <v>2954</v>
      </c>
      <c r="D749" s="388" t="s">
        <v>314</v>
      </c>
      <c r="E749" s="389">
        <v>250150</v>
      </c>
      <c r="F749" s="388" t="s">
        <v>2955</v>
      </c>
      <c r="G749" s="390">
        <v>42227</v>
      </c>
      <c r="H749" s="388" t="s">
        <v>368</v>
      </c>
      <c r="I749" s="270">
        <v>44053</v>
      </c>
      <c r="J749" s="242">
        <v>1827</v>
      </c>
      <c r="K749" s="242">
        <v>0</v>
      </c>
      <c r="L749" s="242">
        <v>1827</v>
      </c>
      <c r="M749" s="242">
        <v>12508</v>
      </c>
      <c r="N749" s="242">
        <v>237642</v>
      </c>
      <c r="O749" s="242"/>
      <c r="P749" s="242">
        <v>250150</v>
      </c>
      <c r="Q749" s="242">
        <v>1827</v>
      </c>
      <c r="R749" s="242">
        <v>237643</v>
      </c>
      <c r="S749" s="393">
        <v>0</v>
      </c>
      <c r="T749" s="389">
        <v>0</v>
      </c>
      <c r="U749" s="389">
        <v>250150</v>
      </c>
      <c r="V749" s="392">
        <v>0</v>
      </c>
    </row>
    <row r="750" spans="2:22">
      <c r="B750" s="143">
        <v>27</v>
      </c>
      <c r="C750" s="388" t="s">
        <v>2959</v>
      </c>
      <c r="D750" s="388" t="s">
        <v>314</v>
      </c>
      <c r="E750" s="389">
        <v>208400</v>
      </c>
      <c r="F750" s="388" t="s">
        <v>2960</v>
      </c>
      <c r="G750" s="390">
        <v>42224</v>
      </c>
      <c r="H750" s="388" t="s">
        <v>368</v>
      </c>
      <c r="I750" s="270">
        <v>44050</v>
      </c>
      <c r="J750" s="242">
        <v>1827</v>
      </c>
      <c r="K750" s="242">
        <v>0</v>
      </c>
      <c r="L750" s="242">
        <v>1827</v>
      </c>
      <c r="M750" s="242">
        <v>10420</v>
      </c>
      <c r="N750" s="242">
        <v>197980</v>
      </c>
      <c r="O750" s="242"/>
      <c r="P750" s="242">
        <v>208400</v>
      </c>
      <c r="Q750" s="242">
        <v>1827</v>
      </c>
      <c r="R750" s="242">
        <v>197980</v>
      </c>
      <c r="S750" s="393">
        <v>0</v>
      </c>
      <c r="T750" s="389">
        <v>0</v>
      </c>
      <c r="U750" s="389">
        <v>208400</v>
      </c>
      <c r="V750" s="392">
        <v>0</v>
      </c>
    </row>
    <row r="751" spans="2:22">
      <c r="B751" s="143">
        <v>28</v>
      </c>
      <c r="C751" s="388" t="s">
        <v>2959</v>
      </c>
      <c r="D751" s="388" t="s">
        <v>314</v>
      </c>
      <c r="E751" s="389">
        <v>149400</v>
      </c>
      <c r="F751" s="388" t="s">
        <v>2961</v>
      </c>
      <c r="G751" s="390">
        <v>42224</v>
      </c>
      <c r="H751" s="388" t="s">
        <v>368</v>
      </c>
      <c r="I751" s="270">
        <v>44050</v>
      </c>
      <c r="J751" s="242">
        <v>1827</v>
      </c>
      <c r="K751" s="242">
        <v>0</v>
      </c>
      <c r="L751" s="242">
        <v>1827</v>
      </c>
      <c r="M751" s="242">
        <v>7470</v>
      </c>
      <c r="N751" s="242">
        <v>141930</v>
      </c>
      <c r="O751" s="242"/>
      <c r="P751" s="242">
        <v>149400</v>
      </c>
      <c r="Q751" s="242">
        <v>1827</v>
      </c>
      <c r="R751" s="242">
        <v>141930</v>
      </c>
      <c r="S751" s="393">
        <v>0</v>
      </c>
      <c r="T751" s="389">
        <v>0</v>
      </c>
      <c r="U751" s="389">
        <v>149400</v>
      </c>
      <c r="V751" s="392">
        <v>0</v>
      </c>
    </row>
    <row r="752" spans="2:22" ht="27">
      <c r="B752" s="143">
        <v>29</v>
      </c>
      <c r="C752" s="388" t="s">
        <v>4353</v>
      </c>
      <c r="D752" s="388">
        <v>17</v>
      </c>
      <c r="E752" s="389">
        <v>87207</v>
      </c>
      <c r="F752" s="388" t="s">
        <v>4354</v>
      </c>
      <c r="G752" s="390">
        <v>43648</v>
      </c>
      <c r="H752" s="388" t="s">
        <v>368</v>
      </c>
      <c r="I752" s="270">
        <v>45474</v>
      </c>
      <c r="J752" s="242">
        <v>1827</v>
      </c>
      <c r="K752" s="242">
        <v>0</v>
      </c>
      <c r="L752" s="242">
        <v>1827</v>
      </c>
      <c r="M752" s="242">
        <v>4360</v>
      </c>
      <c r="N752" s="242">
        <v>82847</v>
      </c>
      <c r="O752" s="242"/>
      <c r="P752" s="242">
        <v>87207</v>
      </c>
      <c r="Q752" s="242">
        <v>1827</v>
      </c>
      <c r="R752" s="242">
        <v>82847</v>
      </c>
      <c r="S752" s="391">
        <v>365</v>
      </c>
      <c r="T752" s="389">
        <v>16551</v>
      </c>
      <c r="U752" s="389">
        <v>45527</v>
      </c>
      <c r="V752" s="392">
        <v>41680</v>
      </c>
    </row>
    <row r="753" spans="2:22" ht="27">
      <c r="B753" s="143">
        <v>30</v>
      </c>
      <c r="C753" s="388" t="s">
        <v>4377</v>
      </c>
      <c r="D753" s="388">
        <v>1</v>
      </c>
      <c r="E753" s="389">
        <v>43000</v>
      </c>
      <c r="F753" s="388" t="s">
        <v>4378</v>
      </c>
      <c r="G753" s="390">
        <v>43718</v>
      </c>
      <c r="H753" s="388" t="s">
        <v>368</v>
      </c>
      <c r="I753" s="270">
        <v>45544</v>
      </c>
      <c r="J753" s="242">
        <v>1827</v>
      </c>
      <c r="K753" s="242">
        <v>0</v>
      </c>
      <c r="L753" s="242">
        <v>1827</v>
      </c>
      <c r="M753" s="242">
        <v>2150</v>
      </c>
      <c r="N753" s="242">
        <v>40850</v>
      </c>
      <c r="O753" s="242"/>
      <c r="P753" s="242">
        <v>43000</v>
      </c>
      <c r="Q753" s="242">
        <v>1827</v>
      </c>
      <c r="R753" s="242">
        <v>40850</v>
      </c>
      <c r="S753" s="391">
        <v>365</v>
      </c>
      <c r="T753" s="389">
        <v>8161</v>
      </c>
      <c r="U753" s="389">
        <v>20883</v>
      </c>
      <c r="V753" s="392">
        <v>22117</v>
      </c>
    </row>
    <row r="754" spans="2:22" ht="81">
      <c r="B754" s="143">
        <v>31</v>
      </c>
      <c r="C754" s="388" t="s">
        <v>4463</v>
      </c>
      <c r="D754" s="388">
        <v>20</v>
      </c>
      <c r="E754" s="389">
        <v>183665</v>
      </c>
      <c r="F754" s="388" t="s">
        <v>4464</v>
      </c>
      <c r="G754" s="390">
        <v>44145</v>
      </c>
      <c r="H754" s="388" t="s">
        <v>368</v>
      </c>
      <c r="I754" s="270">
        <v>45970</v>
      </c>
      <c r="J754" s="242">
        <v>1826</v>
      </c>
      <c r="K754" s="242">
        <v>0</v>
      </c>
      <c r="L754" s="242">
        <v>1826</v>
      </c>
      <c r="M754" s="242">
        <v>9183</v>
      </c>
      <c r="N754" s="242">
        <v>174482</v>
      </c>
      <c r="O754" s="242"/>
      <c r="P754" s="242">
        <v>183665</v>
      </c>
      <c r="Q754" s="242">
        <v>1826</v>
      </c>
      <c r="R754" s="242">
        <v>174482</v>
      </c>
      <c r="S754" s="391">
        <v>365</v>
      </c>
      <c r="T754" s="389">
        <v>34877</v>
      </c>
      <c r="U754" s="389">
        <v>48446</v>
      </c>
      <c r="V754" s="392">
        <v>135219</v>
      </c>
    </row>
    <row r="755" spans="2:22" ht="27">
      <c r="B755" s="143">
        <v>32</v>
      </c>
      <c r="C755" s="388" t="s">
        <v>4477</v>
      </c>
      <c r="D755" s="388">
        <v>8</v>
      </c>
      <c r="E755" s="389">
        <v>135820</v>
      </c>
      <c r="F755" s="388" t="s">
        <v>4476</v>
      </c>
      <c r="G755" s="390">
        <v>44172</v>
      </c>
      <c r="H755" s="388" t="s">
        <v>368</v>
      </c>
      <c r="I755" s="270">
        <v>45997</v>
      </c>
      <c r="J755" s="242">
        <v>1826</v>
      </c>
      <c r="K755" s="242">
        <v>0</v>
      </c>
      <c r="L755" s="242">
        <v>1826</v>
      </c>
      <c r="M755" s="242">
        <v>6791</v>
      </c>
      <c r="N755" s="242">
        <v>129029</v>
      </c>
      <c r="O755" s="242"/>
      <c r="P755" s="242">
        <v>135820</v>
      </c>
      <c r="Q755" s="242">
        <v>1826</v>
      </c>
      <c r="R755" s="242">
        <v>129029</v>
      </c>
      <c r="S755" s="391">
        <v>365</v>
      </c>
      <c r="T755" s="389">
        <v>25792</v>
      </c>
      <c r="U755" s="389">
        <v>33918</v>
      </c>
      <c r="V755" s="392">
        <v>101902</v>
      </c>
    </row>
    <row r="756" spans="2:22">
      <c r="B756" s="143"/>
      <c r="C756" s="228"/>
      <c r="D756" s="230"/>
      <c r="E756" s="250"/>
      <c r="F756" s="254"/>
      <c r="G756" s="233"/>
      <c r="H756" s="228"/>
      <c r="I756" s="300"/>
      <c r="J756" s="301"/>
      <c r="K756" s="301"/>
      <c r="L756" s="301"/>
      <c r="M756" s="301"/>
      <c r="N756" s="301"/>
      <c r="O756" s="292"/>
      <c r="P756" s="301"/>
      <c r="Q756" s="301"/>
      <c r="R756" s="292"/>
      <c r="S756" s="251"/>
      <c r="T756" s="250"/>
      <c r="U756" s="250"/>
      <c r="V756" s="250"/>
    </row>
    <row r="757" spans="2:22" ht="14.25">
      <c r="B757" s="386" t="s">
        <v>4547</v>
      </c>
      <c r="C757" s="388"/>
      <c r="D757" s="388"/>
      <c r="E757" s="389"/>
      <c r="F757" s="388"/>
      <c r="G757" s="390"/>
      <c r="H757" s="388"/>
      <c r="I757" s="270"/>
      <c r="J757" s="242"/>
      <c r="K757" s="242"/>
      <c r="L757" s="242"/>
      <c r="M757" s="242"/>
      <c r="N757" s="242"/>
      <c r="O757" s="242"/>
      <c r="P757" s="242"/>
      <c r="Q757" s="242"/>
      <c r="R757" s="391"/>
      <c r="S757" s="389"/>
      <c r="T757" s="389"/>
      <c r="U757" s="392"/>
      <c r="V757" s="250"/>
    </row>
    <row r="758" spans="2:22">
      <c r="B758" s="387">
        <v>1</v>
      </c>
      <c r="C758" s="388" t="s">
        <v>4548</v>
      </c>
      <c r="D758" s="388">
        <v>1</v>
      </c>
      <c r="E758" s="389">
        <f>19068+1716+1716</f>
        <v>22500</v>
      </c>
      <c r="F758" s="388" t="s">
        <v>4549</v>
      </c>
      <c r="G758" s="390">
        <v>44254</v>
      </c>
      <c r="H758" s="388" t="s">
        <v>895</v>
      </c>
      <c r="I758" s="270">
        <v>46079</v>
      </c>
      <c r="J758" s="242">
        <v>1826</v>
      </c>
      <c r="K758" s="242">
        <v>0</v>
      </c>
      <c r="L758" s="242">
        <v>1826</v>
      </c>
      <c r="M758" s="242">
        <v>1125</v>
      </c>
      <c r="N758" s="242">
        <v>21375</v>
      </c>
      <c r="O758" s="242"/>
      <c r="P758" s="242">
        <v>22500</v>
      </c>
      <c r="Q758" s="242">
        <v>1826</v>
      </c>
      <c r="R758" s="242">
        <v>21375</v>
      </c>
      <c r="S758" s="391">
        <v>365</v>
      </c>
      <c r="T758" s="389">
        <v>4273</v>
      </c>
      <c r="U758" s="389">
        <v>4659</v>
      </c>
      <c r="V758" s="392">
        <v>17841</v>
      </c>
    </row>
    <row r="759" spans="2:22">
      <c r="B759" s="143"/>
      <c r="C759" s="228"/>
      <c r="D759" s="230"/>
      <c r="E759" s="250"/>
      <c r="F759" s="254"/>
      <c r="G759" s="233"/>
      <c r="H759" s="228"/>
      <c r="I759" s="300"/>
      <c r="J759" s="301"/>
      <c r="K759" s="301"/>
      <c r="L759" s="301"/>
      <c r="M759" s="301"/>
      <c r="N759" s="301"/>
      <c r="O759" s="292"/>
      <c r="P759" s="301"/>
      <c r="Q759" s="301"/>
      <c r="R759" s="292"/>
      <c r="S759" s="251"/>
      <c r="T759" s="250"/>
      <c r="U759" s="250"/>
      <c r="V759" s="250"/>
    </row>
    <row r="760" spans="2:22" ht="14.25">
      <c r="B760" s="110" t="s">
        <v>962</v>
      </c>
      <c r="C760" s="229"/>
      <c r="D760" s="230"/>
      <c r="E760" s="252"/>
      <c r="F760" s="254"/>
      <c r="G760" s="230"/>
      <c r="H760" s="228"/>
      <c r="I760" s="301"/>
      <c r="J760" s="301"/>
      <c r="K760" s="301"/>
      <c r="L760" s="301"/>
      <c r="M760" s="301"/>
      <c r="N760" s="301"/>
      <c r="O760" s="292"/>
      <c r="P760" s="301">
        <v>0</v>
      </c>
      <c r="Q760" s="301"/>
      <c r="R760" s="292"/>
      <c r="S760" s="272"/>
      <c r="T760" s="250"/>
      <c r="U760" s="250"/>
      <c r="V760" s="250"/>
    </row>
    <row r="761" spans="2:22">
      <c r="B761" s="15">
        <v>1</v>
      </c>
      <c r="C761" s="249" t="s">
        <v>704</v>
      </c>
      <c r="D761" s="254">
        <v>1</v>
      </c>
      <c r="E761" s="345">
        <v>9990</v>
      </c>
      <c r="F761" s="254" t="s">
        <v>42</v>
      </c>
      <c r="G761" s="233">
        <v>40035</v>
      </c>
      <c r="H761" s="228" t="s">
        <v>282</v>
      </c>
      <c r="I761" s="300">
        <v>41860</v>
      </c>
      <c r="J761" s="301">
        <v>1826</v>
      </c>
      <c r="K761" s="301">
        <v>1695</v>
      </c>
      <c r="L761" s="301">
        <v>131</v>
      </c>
      <c r="M761" s="301">
        <v>500</v>
      </c>
      <c r="N761" s="301">
        <v>7286</v>
      </c>
      <c r="O761" s="292">
        <v>0</v>
      </c>
      <c r="P761" s="301">
        <v>0</v>
      </c>
      <c r="Q761" s="301">
        <v>0</v>
      </c>
      <c r="R761" s="292">
        <v>-500</v>
      </c>
      <c r="S761" s="251">
        <v>0</v>
      </c>
      <c r="T761" s="250">
        <v>0</v>
      </c>
      <c r="U761" s="250">
        <v>0</v>
      </c>
      <c r="V761" s="250">
        <v>0</v>
      </c>
    </row>
    <row r="762" spans="2:22">
      <c r="B762" s="15">
        <f t="shared" ref="B762:B766" si="28">+B761+1</f>
        <v>2</v>
      </c>
      <c r="C762" s="249" t="s">
        <v>2030</v>
      </c>
      <c r="D762" s="254">
        <v>1</v>
      </c>
      <c r="E762" s="345">
        <v>3500</v>
      </c>
      <c r="F762" s="254" t="s">
        <v>2022</v>
      </c>
      <c r="G762" s="233">
        <v>41333</v>
      </c>
      <c r="H762" s="228" t="s">
        <v>368</v>
      </c>
      <c r="I762" s="301">
        <v>0</v>
      </c>
      <c r="J762" s="301">
        <v>0</v>
      </c>
      <c r="K762" s="301">
        <v>0</v>
      </c>
      <c r="L762" s="301">
        <v>0</v>
      </c>
      <c r="M762" s="301">
        <v>0</v>
      </c>
      <c r="N762" s="301">
        <v>0</v>
      </c>
      <c r="O762" s="292">
        <v>0</v>
      </c>
      <c r="P762" s="301">
        <v>0</v>
      </c>
      <c r="Q762" s="301">
        <v>0</v>
      </c>
      <c r="R762" s="292">
        <v>-175</v>
      </c>
      <c r="S762" s="251">
        <v>0</v>
      </c>
      <c r="T762" s="250">
        <v>0</v>
      </c>
      <c r="U762" s="250">
        <v>0</v>
      </c>
      <c r="V762" s="250">
        <v>0</v>
      </c>
    </row>
    <row r="763" spans="2:22" ht="27">
      <c r="B763" s="15">
        <f t="shared" si="28"/>
        <v>3</v>
      </c>
      <c r="C763" s="249" t="s">
        <v>2090</v>
      </c>
      <c r="D763" s="254">
        <v>1</v>
      </c>
      <c r="E763" s="345">
        <v>45773</v>
      </c>
      <c r="F763" s="254" t="s">
        <v>2089</v>
      </c>
      <c r="G763" s="233">
        <v>41375</v>
      </c>
      <c r="H763" s="228" t="s">
        <v>368</v>
      </c>
      <c r="I763" s="300">
        <v>43200</v>
      </c>
      <c r="J763" s="301">
        <v>1826</v>
      </c>
      <c r="K763" s="301">
        <v>355</v>
      </c>
      <c r="L763" s="301">
        <v>1471</v>
      </c>
      <c r="M763" s="301">
        <v>2289</v>
      </c>
      <c r="N763" s="301">
        <v>41369</v>
      </c>
      <c r="O763" s="292">
        <v>0</v>
      </c>
      <c r="P763" s="301">
        <v>33393</v>
      </c>
      <c r="Q763" s="301">
        <v>1106</v>
      </c>
      <c r="R763" s="292">
        <v>31104</v>
      </c>
      <c r="S763" s="251">
        <v>0</v>
      </c>
      <c r="T763" s="250">
        <v>0</v>
      </c>
      <c r="U763" s="250">
        <v>33393</v>
      </c>
      <c r="V763" s="250">
        <v>0</v>
      </c>
    </row>
    <row r="764" spans="2:22" ht="27">
      <c r="B764" s="15">
        <f t="shared" si="28"/>
        <v>4</v>
      </c>
      <c r="C764" s="249" t="s">
        <v>2198</v>
      </c>
      <c r="D764" s="254">
        <v>1</v>
      </c>
      <c r="E764" s="345">
        <v>3027</v>
      </c>
      <c r="F764" s="254" t="s">
        <v>42</v>
      </c>
      <c r="G764" s="233">
        <v>41375</v>
      </c>
      <c r="H764" s="228" t="s">
        <v>368</v>
      </c>
      <c r="I764" s="300">
        <v>43200</v>
      </c>
      <c r="J764" s="301">
        <v>1826</v>
      </c>
      <c r="K764" s="301">
        <v>355</v>
      </c>
      <c r="L764" s="301">
        <v>1471</v>
      </c>
      <c r="M764" s="301">
        <v>151</v>
      </c>
      <c r="N764" s="301">
        <v>2736</v>
      </c>
      <c r="O764" s="292">
        <v>0</v>
      </c>
      <c r="P764" s="301">
        <v>2208</v>
      </c>
      <c r="Q764" s="301">
        <v>1106</v>
      </c>
      <c r="R764" s="292">
        <v>2057</v>
      </c>
      <c r="S764" s="251">
        <v>0</v>
      </c>
      <c r="T764" s="250">
        <v>0</v>
      </c>
      <c r="U764" s="250">
        <v>2208</v>
      </c>
      <c r="V764" s="250">
        <v>0</v>
      </c>
    </row>
    <row r="765" spans="2:22" ht="40.5">
      <c r="B765" s="15">
        <f t="shared" si="28"/>
        <v>5</v>
      </c>
      <c r="C765" s="249" t="s">
        <v>2218</v>
      </c>
      <c r="D765" s="254">
        <v>1</v>
      </c>
      <c r="E765" s="345">
        <v>5590</v>
      </c>
      <c r="F765" s="254" t="s">
        <v>42</v>
      </c>
      <c r="G765" s="233">
        <v>41464</v>
      </c>
      <c r="H765" s="228" t="s">
        <v>368</v>
      </c>
      <c r="I765" s="300">
        <v>43289</v>
      </c>
      <c r="J765" s="301">
        <v>1826</v>
      </c>
      <c r="K765" s="301">
        <v>266</v>
      </c>
      <c r="L765" s="301">
        <v>1560</v>
      </c>
      <c r="M765" s="301">
        <v>280</v>
      </c>
      <c r="N765" s="301">
        <v>5116</v>
      </c>
      <c r="O765" s="292">
        <v>0</v>
      </c>
      <c r="P765" s="301">
        <v>4199</v>
      </c>
      <c r="Q765" s="301">
        <v>1195</v>
      </c>
      <c r="R765" s="292">
        <v>3920</v>
      </c>
      <c r="S765" s="251">
        <v>0</v>
      </c>
      <c r="T765" s="250">
        <v>0</v>
      </c>
      <c r="U765" s="250">
        <v>4199</v>
      </c>
      <c r="V765" s="250">
        <v>0</v>
      </c>
    </row>
    <row r="766" spans="2:22" ht="27">
      <c r="B766" s="15">
        <f t="shared" si="28"/>
        <v>6</v>
      </c>
      <c r="C766" s="249" t="s">
        <v>2247</v>
      </c>
      <c r="D766" s="254">
        <v>1</v>
      </c>
      <c r="E766" s="345">
        <v>131176</v>
      </c>
      <c r="F766" s="254" t="s">
        <v>2248</v>
      </c>
      <c r="G766" s="233">
        <v>41499</v>
      </c>
      <c r="H766" s="228" t="s">
        <v>368</v>
      </c>
      <c r="I766" s="300">
        <v>43324</v>
      </c>
      <c r="J766" s="301">
        <v>1826</v>
      </c>
      <c r="K766" s="301">
        <v>231</v>
      </c>
      <c r="L766" s="301">
        <v>1595</v>
      </c>
      <c r="M766" s="301">
        <v>6559</v>
      </c>
      <c r="N766" s="301">
        <v>120674</v>
      </c>
      <c r="O766" s="292">
        <v>0</v>
      </c>
      <c r="P766" s="301">
        <v>99618</v>
      </c>
      <c r="Q766" s="301">
        <v>1230</v>
      </c>
      <c r="R766" s="292">
        <v>93059</v>
      </c>
      <c r="S766" s="251">
        <v>0</v>
      </c>
      <c r="T766" s="250">
        <v>0</v>
      </c>
      <c r="U766" s="250">
        <v>99618</v>
      </c>
      <c r="V766" s="250">
        <v>0</v>
      </c>
    </row>
    <row r="767" spans="2:22">
      <c r="B767" s="15">
        <v>7</v>
      </c>
      <c r="C767" s="388" t="s">
        <v>2633</v>
      </c>
      <c r="D767" s="388">
        <v>1</v>
      </c>
      <c r="E767" s="389">
        <v>10500</v>
      </c>
      <c r="F767" s="388">
        <v>298</v>
      </c>
      <c r="G767" s="390">
        <v>43026</v>
      </c>
      <c r="H767" s="388" t="s">
        <v>119</v>
      </c>
      <c r="I767" s="270">
        <v>44851</v>
      </c>
      <c r="J767" s="242">
        <v>1826</v>
      </c>
      <c r="K767" s="242">
        <v>0</v>
      </c>
      <c r="L767" s="242">
        <v>1826</v>
      </c>
      <c r="M767" s="242">
        <v>525</v>
      </c>
      <c r="N767" s="242">
        <v>9975</v>
      </c>
      <c r="O767" s="242"/>
      <c r="P767" s="242">
        <v>10500</v>
      </c>
      <c r="Q767" s="242">
        <v>1826</v>
      </c>
      <c r="R767" s="242">
        <v>9975</v>
      </c>
      <c r="S767" s="391">
        <v>365</v>
      </c>
      <c r="T767" s="389">
        <v>1994</v>
      </c>
      <c r="U767" s="389">
        <v>8882</v>
      </c>
      <c r="V767" s="392">
        <v>1618</v>
      </c>
    </row>
    <row r="768" spans="2:22" ht="27">
      <c r="B768" s="15">
        <v>8</v>
      </c>
      <c r="C768" s="388" t="s">
        <v>4468</v>
      </c>
      <c r="D768" s="388">
        <v>6</v>
      </c>
      <c r="E768" s="389">
        <v>34800</v>
      </c>
      <c r="F768" s="388" t="s">
        <v>4467</v>
      </c>
      <c r="G768" s="390">
        <v>44152</v>
      </c>
      <c r="H768" s="388" t="s">
        <v>368</v>
      </c>
      <c r="I768" s="270">
        <v>45977</v>
      </c>
      <c r="J768" s="242">
        <v>1826</v>
      </c>
      <c r="K768" s="242">
        <v>0</v>
      </c>
      <c r="L768" s="242">
        <v>1826</v>
      </c>
      <c r="M768" s="242">
        <v>1740</v>
      </c>
      <c r="N768" s="242">
        <v>33060</v>
      </c>
      <c r="O768" s="242"/>
      <c r="P768" s="242">
        <v>34800</v>
      </c>
      <c r="Q768" s="242">
        <v>1826</v>
      </c>
      <c r="R768" s="242">
        <v>33060</v>
      </c>
      <c r="S768" s="391">
        <v>365</v>
      </c>
      <c r="T768" s="389">
        <v>6608</v>
      </c>
      <c r="U768" s="389">
        <v>9052</v>
      </c>
      <c r="V768" s="392">
        <v>25748</v>
      </c>
    </row>
    <row r="769" spans="2:22">
      <c r="B769" s="15">
        <v>9</v>
      </c>
      <c r="C769" s="388" t="s">
        <v>4589</v>
      </c>
      <c r="D769" s="388">
        <v>1</v>
      </c>
      <c r="E769" s="389">
        <v>15590</v>
      </c>
      <c r="F769" s="388" t="s">
        <v>4590</v>
      </c>
      <c r="G769" s="390">
        <v>44364</v>
      </c>
      <c r="H769" s="388" t="s">
        <v>895</v>
      </c>
      <c r="I769" s="270">
        <v>46189</v>
      </c>
      <c r="J769" s="242">
        <v>1826</v>
      </c>
      <c r="K769" s="242">
        <v>0</v>
      </c>
      <c r="L769" s="242">
        <v>1826</v>
      </c>
      <c r="M769" s="242">
        <v>780</v>
      </c>
      <c r="N769" s="242">
        <v>14810</v>
      </c>
      <c r="O769" s="242"/>
      <c r="P769" s="242">
        <v>15590</v>
      </c>
      <c r="Q769" s="242">
        <v>1826</v>
      </c>
      <c r="R769" s="242">
        <v>14811</v>
      </c>
      <c r="S769" s="391">
        <v>288</v>
      </c>
      <c r="T769" s="389">
        <v>2459</v>
      </c>
      <c r="U769" s="389">
        <v>2459</v>
      </c>
      <c r="V769" s="392">
        <v>13131</v>
      </c>
    </row>
    <row r="770" spans="2:22">
      <c r="B770" s="15"/>
      <c r="C770" s="249"/>
      <c r="D770" s="254"/>
      <c r="E770" s="345"/>
      <c r="F770" s="254"/>
      <c r="G770" s="233"/>
      <c r="H770" s="228"/>
      <c r="I770" s="300"/>
      <c r="J770" s="301"/>
      <c r="K770" s="301"/>
      <c r="L770" s="301"/>
      <c r="M770" s="301"/>
      <c r="N770" s="301"/>
      <c r="O770" s="292"/>
      <c r="P770" s="301">
        <v>0</v>
      </c>
      <c r="Q770" s="301"/>
      <c r="R770" s="292"/>
      <c r="S770" s="251"/>
      <c r="T770" s="250"/>
      <c r="U770" s="250"/>
      <c r="V770" s="250"/>
    </row>
    <row r="771" spans="2:22" ht="14.25">
      <c r="B771" s="385" t="s">
        <v>4417</v>
      </c>
      <c r="C771" s="388"/>
      <c r="D771" s="388"/>
      <c r="E771" s="389"/>
      <c r="F771" s="388"/>
      <c r="G771" s="390"/>
      <c r="H771" s="388"/>
      <c r="I771" s="270"/>
      <c r="J771" s="242"/>
      <c r="K771" s="242"/>
      <c r="L771" s="242"/>
      <c r="M771" s="242"/>
      <c r="N771" s="242"/>
      <c r="O771" s="242"/>
      <c r="P771" s="242"/>
      <c r="Q771" s="242"/>
      <c r="R771" s="391"/>
      <c r="S771" s="389"/>
      <c r="T771" s="389"/>
      <c r="U771" s="392"/>
      <c r="V771" s="250"/>
    </row>
    <row r="772" spans="2:22">
      <c r="B772" s="384">
        <v>1</v>
      </c>
      <c r="C772" s="388" t="s">
        <v>4418</v>
      </c>
      <c r="D772" s="388">
        <v>1</v>
      </c>
      <c r="E772" s="389">
        <v>10400</v>
      </c>
      <c r="F772" s="388" t="s">
        <v>4419</v>
      </c>
      <c r="G772" s="390">
        <v>43975</v>
      </c>
      <c r="H772" s="388" t="s">
        <v>368</v>
      </c>
      <c r="I772" s="270">
        <v>45800</v>
      </c>
      <c r="J772" s="242">
        <v>1826</v>
      </c>
      <c r="K772" s="242">
        <v>0</v>
      </c>
      <c r="L772" s="242">
        <v>1826</v>
      </c>
      <c r="M772" s="242">
        <v>520</v>
      </c>
      <c r="N772" s="242">
        <v>9880</v>
      </c>
      <c r="O772" s="242"/>
      <c r="P772" s="242">
        <v>10400</v>
      </c>
      <c r="Q772" s="242">
        <v>1826</v>
      </c>
      <c r="R772" s="242">
        <v>9880</v>
      </c>
      <c r="S772" s="391">
        <v>365</v>
      </c>
      <c r="T772" s="389">
        <v>1975</v>
      </c>
      <c r="U772" s="389">
        <v>3663</v>
      </c>
      <c r="V772" s="392">
        <v>6737</v>
      </c>
    </row>
    <row r="773" spans="2:22" ht="27">
      <c r="B773" s="384">
        <f>+B772+1</f>
        <v>2</v>
      </c>
      <c r="C773" s="388" t="s">
        <v>4420</v>
      </c>
      <c r="D773" s="388">
        <v>5</v>
      </c>
      <c r="E773" s="389">
        <v>24024</v>
      </c>
      <c r="F773" s="388" t="s">
        <v>4421</v>
      </c>
      <c r="G773" s="390">
        <v>43975</v>
      </c>
      <c r="H773" s="388" t="s">
        <v>368</v>
      </c>
      <c r="I773" s="270">
        <v>45800</v>
      </c>
      <c r="J773" s="242">
        <v>1826</v>
      </c>
      <c r="K773" s="242">
        <v>0</v>
      </c>
      <c r="L773" s="242">
        <v>1826</v>
      </c>
      <c r="M773" s="242">
        <v>1201</v>
      </c>
      <c r="N773" s="242">
        <v>22823</v>
      </c>
      <c r="O773" s="242"/>
      <c r="P773" s="242">
        <v>24024</v>
      </c>
      <c r="Q773" s="242">
        <v>1826</v>
      </c>
      <c r="R773" s="242">
        <v>22823</v>
      </c>
      <c r="S773" s="391">
        <v>365</v>
      </c>
      <c r="T773" s="389">
        <v>4562</v>
      </c>
      <c r="U773" s="389">
        <v>8462</v>
      </c>
      <c r="V773" s="392">
        <v>15562</v>
      </c>
    </row>
    <row r="774" spans="2:22">
      <c r="B774" s="143"/>
      <c r="C774" s="249"/>
      <c r="D774" s="254"/>
      <c r="E774" s="345"/>
      <c r="F774" s="254"/>
      <c r="G774" s="233"/>
      <c r="H774" s="228"/>
      <c r="I774" s="300"/>
      <c r="J774" s="301"/>
      <c r="K774" s="301"/>
      <c r="L774" s="301"/>
      <c r="M774" s="301"/>
      <c r="N774" s="301"/>
      <c r="O774" s="292"/>
      <c r="P774" s="301"/>
      <c r="Q774" s="301"/>
      <c r="R774" s="292"/>
      <c r="S774" s="251"/>
      <c r="T774" s="250"/>
      <c r="U774" s="250"/>
      <c r="V774" s="250"/>
    </row>
    <row r="775" spans="2:22" ht="14.25">
      <c r="B775" s="109" t="s">
        <v>936</v>
      </c>
      <c r="C775" s="229"/>
      <c r="D775" s="230"/>
      <c r="E775" s="252"/>
      <c r="F775" s="254"/>
      <c r="G775" s="230"/>
      <c r="H775" s="228"/>
      <c r="I775" s="301"/>
      <c r="J775" s="301"/>
      <c r="K775" s="301"/>
      <c r="L775" s="301"/>
      <c r="M775" s="301"/>
      <c r="N775" s="301"/>
      <c r="O775" s="292"/>
      <c r="P775" s="301">
        <v>0</v>
      </c>
      <c r="Q775" s="301"/>
      <c r="R775" s="292"/>
      <c r="S775" s="272"/>
      <c r="T775" s="250"/>
      <c r="U775" s="250"/>
      <c r="V775" s="250"/>
    </row>
    <row r="776" spans="2:22">
      <c r="B776" s="39">
        <v>1</v>
      </c>
      <c r="C776" s="249" t="s">
        <v>937</v>
      </c>
      <c r="D776" s="254">
        <v>1</v>
      </c>
      <c r="E776" s="250">
        <v>22854</v>
      </c>
      <c r="F776" s="247" t="s">
        <v>647</v>
      </c>
      <c r="G776" s="233">
        <v>40367</v>
      </c>
      <c r="H776" s="228" t="s">
        <v>895</v>
      </c>
      <c r="I776" s="300">
        <v>42192</v>
      </c>
      <c r="J776" s="301">
        <v>1826</v>
      </c>
      <c r="K776" s="301">
        <v>1363</v>
      </c>
      <c r="L776" s="301">
        <v>463</v>
      </c>
      <c r="M776" s="301">
        <v>1143</v>
      </c>
      <c r="N776" s="301">
        <v>17658</v>
      </c>
      <c r="O776" s="292">
        <v>0</v>
      </c>
      <c r="P776" s="301">
        <v>4881</v>
      </c>
      <c r="Q776" s="301">
        <v>98</v>
      </c>
      <c r="R776" s="292">
        <v>3738</v>
      </c>
      <c r="S776" s="251">
        <v>0</v>
      </c>
      <c r="T776" s="250">
        <v>0</v>
      </c>
      <c r="U776" s="250">
        <v>4881</v>
      </c>
      <c r="V776" s="250">
        <v>0</v>
      </c>
    </row>
    <row r="777" spans="2:22">
      <c r="B777" s="39">
        <v>2</v>
      </c>
      <c r="C777" s="249" t="s">
        <v>882</v>
      </c>
      <c r="D777" s="254">
        <v>1</v>
      </c>
      <c r="E777" s="250">
        <v>6162</v>
      </c>
      <c r="F777" s="247" t="s">
        <v>537</v>
      </c>
      <c r="G777" s="233">
        <v>40458</v>
      </c>
      <c r="H777" s="228" t="s">
        <v>187</v>
      </c>
      <c r="I777" s="300">
        <v>42283</v>
      </c>
      <c r="J777" s="301">
        <v>1826</v>
      </c>
      <c r="K777" s="301">
        <v>1272</v>
      </c>
      <c r="L777" s="301">
        <v>554</v>
      </c>
      <c r="M777" s="301">
        <v>308</v>
      </c>
      <c r="N777" s="301">
        <v>4833</v>
      </c>
      <c r="O777" s="292">
        <v>0</v>
      </c>
      <c r="P777" s="301">
        <v>1957</v>
      </c>
      <c r="Q777" s="301">
        <v>189</v>
      </c>
      <c r="R777" s="292">
        <v>1649</v>
      </c>
      <c r="S777" s="251">
        <v>0</v>
      </c>
      <c r="T777" s="250">
        <v>0</v>
      </c>
      <c r="U777" s="250">
        <v>1957</v>
      </c>
      <c r="V777" s="250">
        <v>0</v>
      </c>
    </row>
    <row r="778" spans="2:22" ht="27">
      <c r="B778" s="39">
        <v>3</v>
      </c>
      <c r="C778" s="249" t="s">
        <v>999</v>
      </c>
      <c r="D778" s="254">
        <v>1</v>
      </c>
      <c r="E778" s="250">
        <v>22072</v>
      </c>
      <c r="F778" s="247" t="s">
        <v>67</v>
      </c>
      <c r="G778" s="233">
        <v>40485</v>
      </c>
      <c r="H778" s="228" t="s">
        <v>282</v>
      </c>
      <c r="I778" s="300">
        <v>42310</v>
      </c>
      <c r="J778" s="301">
        <v>1826</v>
      </c>
      <c r="K778" s="301">
        <v>1245</v>
      </c>
      <c r="L778" s="301">
        <v>581</v>
      </c>
      <c r="M778" s="301">
        <v>1104</v>
      </c>
      <c r="N778" s="301">
        <v>17394</v>
      </c>
      <c r="O778" s="292">
        <v>0</v>
      </c>
      <c r="P778" s="301">
        <v>7571</v>
      </c>
      <c r="Q778" s="301">
        <v>216</v>
      </c>
      <c r="R778" s="292">
        <v>6467</v>
      </c>
      <c r="S778" s="251">
        <v>0</v>
      </c>
      <c r="T778" s="250">
        <v>0</v>
      </c>
      <c r="U778" s="250">
        <v>7571</v>
      </c>
      <c r="V778" s="250">
        <v>0</v>
      </c>
    </row>
    <row r="779" spans="2:22" ht="14.25">
      <c r="B779" s="109" t="s">
        <v>1032</v>
      </c>
      <c r="C779" s="229"/>
      <c r="D779" s="230"/>
      <c r="E779" s="252"/>
      <c r="F779" s="254"/>
      <c r="G779" s="233"/>
      <c r="H779" s="228"/>
      <c r="I779" s="301"/>
      <c r="J779" s="301"/>
      <c r="K779" s="301"/>
      <c r="L779" s="301"/>
      <c r="M779" s="301"/>
      <c r="N779" s="301"/>
      <c r="O779" s="292"/>
      <c r="P779" s="301">
        <v>0</v>
      </c>
      <c r="Q779" s="301"/>
      <c r="R779" s="292"/>
      <c r="S779" s="272"/>
      <c r="T779" s="250"/>
      <c r="U779" s="250"/>
      <c r="V779" s="250"/>
    </row>
    <row r="780" spans="2:22">
      <c r="B780" s="39">
        <v>1</v>
      </c>
      <c r="C780" s="249" t="s">
        <v>8</v>
      </c>
      <c r="D780" s="254">
        <v>1</v>
      </c>
      <c r="E780" s="250">
        <v>2310</v>
      </c>
      <c r="F780" s="247" t="s">
        <v>9</v>
      </c>
      <c r="G780" s="233">
        <v>40445</v>
      </c>
      <c r="H780" s="228" t="s">
        <v>282</v>
      </c>
      <c r="I780" s="301">
        <v>0</v>
      </c>
      <c r="J780" s="301">
        <v>0</v>
      </c>
      <c r="K780" s="301">
        <v>0</v>
      </c>
      <c r="L780" s="301">
        <v>0</v>
      </c>
      <c r="M780" s="301">
        <v>0</v>
      </c>
      <c r="N780" s="301">
        <v>0</v>
      </c>
      <c r="O780" s="292">
        <v>0</v>
      </c>
      <c r="P780" s="301">
        <v>0</v>
      </c>
      <c r="Q780" s="301">
        <v>0</v>
      </c>
      <c r="R780" s="292">
        <v>-116</v>
      </c>
      <c r="S780" s="251">
        <v>0</v>
      </c>
      <c r="T780" s="250">
        <v>0</v>
      </c>
      <c r="U780" s="250">
        <v>0</v>
      </c>
      <c r="V780" s="250">
        <v>0</v>
      </c>
    </row>
    <row r="781" spans="2:22">
      <c r="B781" s="39">
        <v>2</v>
      </c>
      <c r="C781" s="249" t="s">
        <v>94</v>
      </c>
      <c r="D781" s="254">
        <v>2</v>
      </c>
      <c r="E781" s="250">
        <v>5481</v>
      </c>
      <c r="F781" s="247" t="s">
        <v>95</v>
      </c>
      <c r="G781" s="233">
        <v>40624</v>
      </c>
      <c r="H781" s="228" t="s">
        <v>161</v>
      </c>
      <c r="I781" s="301">
        <v>0</v>
      </c>
      <c r="J781" s="301">
        <v>0</v>
      </c>
      <c r="K781" s="301">
        <v>0</v>
      </c>
      <c r="L781" s="301">
        <v>0</v>
      </c>
      <c r="M781" s="301">
        <v>0</v>
      </c>
      <c r="N781" s="301">
        <v>0</v>
      </c>
      <c r="O781" s="292">
        <v>0</v>
      </c>
      <c r="P781" s="301">
        <v>0</v>
      </c>
      <c r="Q781" s="301">
        <v>0</v>
      </c>
      <c r="R781" s="292">
        <v>-274</v>
      </c>
      <c r="S781" s="251">
        <v>0</v>
      </c>
      <c r="T781" s="250">
        <v>0</v>
      </c>
      <c r="U781" s="250">
        <v>0</v>
      </c>
      <c r="V781" s="250">
        <v>0</v>
      </c>
    </row>
    <row r="782" spans="2:22">
      <c r="B782" s="39">
        <v>3</v>
      </c>
      <c r="C782" s="249" t="s">
        <v>1816</v>
      </c>
      <c r="D782" s="254">
        <v>1</v>
      </c>
      <c r="E782" s="250">
        <v>3363</v>
      </c>
      <c r="F782" s="237" t="s">
        <v>1817</v>
      </c>
      <c r="G782" s="233">
        <v>41045</v>
      </c>
      <c r="H782" s="228" t="s">
        <v>119</v>
      </c>
      <c r="I782" s="301">
        <v>0</v>
      </c>
      <c r="J782" s="301">
        <v>0</v>
      </c>
      <c r="K782" s="301">
        <v>0</v>
      </c>
      <c r="L782" s="301">
        <v>0</v>
      </c>
      <c r="M782" s="301">
        <v>0</v>
      </c>
      <c r="N782" s="301">
        <v>0</v>
      </c>
      <c r="O782" s="292">
        <v>0</v>
      </c>
      <c r="P782" s="301">
        <v>0</v>
      </c>
      <c r="Q782" s="301">
        <v>0</v>
      </c>
      <c r="R782" s="292">
        <v>-168</v>
      </c>
      <c r="S782" s="251">
        <v>0</v>
      </c>
      <c r="T782" s="250">
        <v>0</v>
      </c>
      <c r="U782" s="250">
        <v>0</v>
      </c>
      <c r="V782" s="250">
        <v>0</v>
      </c>
    </row>
    <row r="783" spans="2:22">
      <c r="B783" s="39">
        <v>4</v>
      </c>
      <c r="C783" s="249" t="s">
        <v>2149</v>
      </c>
      <c r="D783" s="254">
        <v>1</v>
      </c>
      <c r="E783" s="250">
        <v>3363</v>
      </c>
      <c r="F783" s="237" t="s">
        <v>2150</v>
      </c>
      <c r="G783" s="233">
        <v>41375</v>
      </c>
      <c r="H783" s="228" t="s">
        <v>368</v>
      </c>
      <c r="I783" s="301">
        <v>0</v>
      </c>
      <c r="J783" s="301">
        <v>0</v>
      </c>
      <c r="K783" s="301">
        <v>0</v>
      </c>
      <c r="L783" s="301">
        <v>0</v>
      </c>
      <c r="M783" s="301">
        <v>0</v>
      </c>
      <c r="N783" s="301">
        <v>0</v>
      </c>
      <c r="O783" s="292">
        <v>0</v>
      </c>
      <c r="P783" s="301">
        <v>0</v>
      </c>
      <c r="Q783" s="301">
        <v>0</v>
      </c>
      <c r="R783" s="292">
        <v>-168</v>
      </c>
      <c r="S783" s="251">
        <v>0</v>
      </c>
      <c r="T783" s="250">
        <v>0</v>
      </c>
      <c r="U783" s="250">
        <v>0</v>
      </c>
      <c r="V783" s="250">
        <v>0</v>
      </c>
    </row>
    <row r="784" spans="2:22">
      <c r="B784" s="15">
        <f>+B783+1</f>
        <v>5</v>
      </c>
      <c r="C784" s="249" t="s">
        <v>2696</v>
      </c>
      <c r="D784" s="275">
        <v>1</v>
      </c>
      <c r="E784" s="231">
        <f>853+6</f>
        <v>859</v>
      </c>
      <c r="F784" s="367" t="s">
        <v>2679</v>
      </c>
      <c r="G784" s="342">
        <v>42005</v>
      </c>
      <c r="H784" s="228" t="s">
        <v>368</v>
      </c>
      <c r="I784" s="300">
        <v>43830</v>
      </c>
      <c r="J784" s="301">
        <v>1826</v>
      </c>
      <c r="K784" s="301">
        <v>0</v>
      </c>
      <c r="L784" s="301">
        <v>1826</v>
      </c>
      <c r="M784" s="301">
        <v>43</v>
      </c>
      <c r="N784" s="301">
        <v>816</v>
      </c>
      <c r="O784" s="292">
        <v>0</v>
      </c>
      <c r="P784" s="301">
        <v>819</v>
      </c>
      <c r="Q784" s="301">
        <v>1736</v>
      </c>
      <c r="R784" s="292">
        <v>776</v>
      </c>
      <c r="S784" s="251">
        <v>0</v>
      </c>
      <c r="T784" s="250">
        <v>0</v>
      </c>
      <c r="U784" s="250">
        <v>819</v>
      </c>
      <c r="V784" s="250">
        <v>0</v>
      </c>
    </row>
    <row r="785" spans="2:22" ht="14.25">
      <c r="B785" s="109" t="s">
        <v>457</v>
      </c>
      <c r="C785" s="229"/>
      <c r="D785" s="230"/>
      <c r="E785" s="252"/>
      <c r="F785" s="254"/>
      <c r="G785" s="233"/>
      <c r="H785" s="228"/>
      <c r="I785" s="301"/>
      <c r="J785" s="301"/>
      <c r="K785" s="301"/>
      <c r="L785" s="301"/>
      <c r="M785" s="301"/>
      <c r="N785" s="301"/>
      <c r="O785" s="292"/>
      <c r="P785" s="301">
        <v>0</v>
      </c>
      <c r="Q785" s="301"/>
      <c r="R785" s="292"/>
      <c r="S785" s="272"/>
      <c r="T785" s="250"/>
      <c r="U785" s="250"/>
      <c r="V785" s="250"/>
    </row>
    <row r="786" spans="2:22" ht="67.5">
      <c r="B786" s="39">
        <v>1</v>
      </c>
      <c r="C786" s="249" t="s">
        <v>714</v>
      </c>
      <c r="D786" s="254" t="s">
        <v>555</v>
      </c>
      <c r="E786" s="231">
        <v>7176</v>
      </c>
      <c r="F786" s="247" t="s">
        <v>715</v>
      </c>
      <c r="G786" s="238">
        <v>40449</v>
      </c>
      <c r="H786" s="239" t="s">
        <v>368</v>
      </c>
      <c r="I786" s="300">
        <v>42274</v>
      </c>
      <c r="J786" s="301">
        <v>1826</v>
      </c>
      <c r="K786" s="301">
        <v>1281</v>
      </c>
      <c r="L786" s="301">
        <v>545</v>
      </c>
      <c r="M786" s="301">
        <v>359</v>
      </c>
      <c r="N786" s="301">
        <v>5620</v>
      </c>
      <c r="O786" s="292">
        <v>0</v>
      </c>
      <c r="P786" s="301">
        <v>2215</v>
      </c>
      <c r="Q786" s="301">
        <v>180</v>
      </c>
      <c r="R786" s="292">
        <v>1856</v>
      </c>
      <c r="S786" s="251">
        <v>0</v>
      </c>
      <c r="T786" s="250">
        <v>0</v>
      </c>
      <c r="U786" s="250">
        <v>2215</v>
      </c>
      <c r="V786" s="250">
        <v>0</v>
      </c>
    </row>
    <row r="787" spans="2:22">
      <c r="B787" s="39">
        <v>2</v>
      </c>
      <c r="C787" s="249" t="s">
        <v>2131</v>
      </c>
      <c r="D787" s="254"/>
      <c r="E787" s="231">
        <v>56755</v>
      </c>
      <c r="F787" s="237" t="s">
        <v>42</v>
      </c>
      <c r="G787" s="238">
        <v>40960</v>
      </c>
      <c r="H787" s="239"/>
      <c r="I787" s="300">
        <v>42786</v>
      </c>
      <c r="J787" s="301">
        <v>1827</v>
      </c>
      <c r="K787" s="301">
        <v>770</v>
      </c>
      <c r="L787" s="301">
        <v>1057</v>
      </c>
      <c r="M787" s="301">
        <v>2838</v>
      </c>
      <c r="N787" s="301">
        <v>48230</v>
      </c>
      <c r="O787" s="292">
        <v>0</v>
      </c>
      <c r="P787" s="301">
        <v>34413</v>
      </c>
      <c r="Q787" s="301">
        <v>692</v>
      </c>
      <c r="R787" s="292">
        <v>31575</v>
      </c>
      <c r="S787" s="251">
        <v>0</v>
      </c>
      <c r="T787" s="250">
        <v>0</v>
      </c>
      <c r="U787" s="250">
        <v>34413</v>
      </c>
      <c r="V787" s="250">
        <v>0</v>
      </c>
    </row>
    <row r="788" spans="2:22">
      <c r="B788" s="39">
        <v>3</v>
      </c>
      <c r="C788" s="249" t="s">
        <v>2132</v>
      </c>
      <c r="D788" s="254">
        <v>1</v>
      </c>
      <c r="E788" s="231">
        <v>1127100</v>
      </c>
      <c r="F788" s="237" t="s">
        <v>2133</v>
      </c>
      <c r="G788" s="238">
        <v>41396</v>
      </c>
      <c r="H788" s="239" t="s">
        <v>368</v>
      </c>
      <c r="I788" s="300">
        <v>43221</v>
      </c>
      <c r="J788" s="301">
        <v>1826</v>
      </c>
      <c r="K788" s="301">
        <v>334</v>
      </c>
      <c r="L788" s="301">
        <v>1492</v>
      </c>
      <c r="M788" s="301">
        <v>56355</v>
      </c>
      <c r="N788" s="301">
        <v>1021755</v>
      </c>
      <c r="O788" s="292">
        <v>0</v>
      </c>
      <c r="P788" s="301">
        <v>828150</v>
      </c>
      <c r="Q788" s="301">
        <v>1127</v>
      </c>
      <c r="R788" s="292">
        <v>771795</v>
      </c>
      <c r="S788" s="251">
        <v>0</v>
      </c>
      <c r="T788" s="250">
        <v>0</v>
      </c>
      <c r="U788" s="250">
        <v>828150</v>
      </c>
      <c r="V788" s="250">
        <v>0</v>
      </c>
    </row>
    <row r="789" spans="2:22">
      <c r="B789" s="39">
        <v>4</v>
      </c>
      <c r="C789" s="249" t="s">
        <v>2134</v>
      </c>
      <c r="D789" s="254">
        <v>1</v>
      </c>
      <c r="E789" s="231">
        <v>143970</v>
      </c>
      <c r="F789" s="237" t="s">
        <v>2135</v>
      </c>
      <c r="G789" s="238">
        <v>41383</v>
      </c>
      <c r="H789" s="239" t="s">
        <v>368</v>
      </c>
      <c r="I789" s="300">
        <v>43208</v>
      </c>
      <c r="J789" s="301">
        <v>1826</v>
      </c>
      <c r="K789" s="301">
        <v>347</v>
      </c>
      <c r="L789" s="301">
        <v>1479</v>
      </c>
      <c r="M789" s="301">
        <v>7199</v>
      </c>
      <c r="N789" s="301">
        <v>130270</v>
      </c>
      <c r="O789" s="292">
        <v>0</v>
      </c>
      <c r="P789" s="301">
        <v>105320</v>
      </c>
      <c r="Q789" s="301">
        <v>1114</v>
      </c>
      <c r="R789" s="292">
        <v>98122</v>
      </c>
      <c r="S789" s="251">
        <v>0</v>
      </c>
      <c r="T789" s="250">
        <v>0</v>
      </c>
      <c r="U789" s="250">
        <v>105320</v>
      </c>
      <c r="V789" s="250">
        <v>0</v>
      </c>
    </row>
    <row r="790" spans="2:22">
      <c r="B790" s="39">
        <v>5</v>
      </c>
      <c r="C790" s="249" t="s">
        <v>2136</v>
      </c>
      <c r="D790" s="254">
        <v>1</v>
      </c>
      <c r="E790" s="231">
        <v>23484</v>
      </c>
      <c r="F790" s="237" t="s">
        <v>2137</v>
      </c>
      <c r="G790" s="238">
        <v>41381</v>
      </c>
      <c r="H790" s="239" t="s">
        <v>368</v>
      </c>
      <c r="I790" s="300">
        <v>43206</v>
      </c>
      <c r="J790" s="301">
        <v>1826</v>
      </c>
      <c r="K790" s="301">
        <v>349</v>
      </c>
      <c r="L790" s="301">
        <v>1477</v>
      </c>
      <c r="M790" s="301">
        <v>1174</v>
      </c>
      <c r="N790" s="301">
        <v>21243</v>
      </c>
      <c r="O790" s="292">
        <v>0</v>
      </c>
      <c r="P790" s="301">
        <v>17167</v>
      </c>
      <c r="Q790" s="301">
        <v>1112</v>
      </c>
      <c r="R790" s="292">
        <v>15993</v>
      </c>
      <c r="S790" s="251">
        <v>0</v>
      </c>
      <c r="T790" s="250">
        <v>0</v>
      </c>
      <c r="U790" s="250">
        <v>17167</v>
      </c>
      <c r="V790" s="250">
        <v>0</v>
      </c>
    </row>
    <row r="791" spans="2:22" ht="27">
      <c r="B791" s="39">
        <v>6</v>
      </c>
      <c r="C791" s="249" t="s">
        <v>2138</v>
      </c>
      <c r="D791" s="254">
        <v>1</v>
      </c>
      <c r="E791" s="231">
        <v>29096</v>
      </c>
      <c r="F791" s="237" t="s">
        <v>2139</v>
      </c>
      <c r="G791" s="238">
        <v>41427</v>
      </c>
      <c r="H791" s="239" t="s">
        <v>368</v>
      </c>
      <c r="I791" s="300">
        <v>43252</v>
      </c>
      <c r="J791" s="301">
        <v>1826</v>
      </c>
      <c r="K791" s="301">
        <v>303</v>
      </c>
      <c r="L791" s="301">
        <v>1523</v>
      </c>
      <c r="M791" s="301">
        <v>1455</v>
      </c>
      <c r="N791" s="301">
        <v>26494</v>
      </c>
      <c r="O791" s="292">
        <v>0</v>
      </c>
      <c r="P791" s="301">
        <v>21599</v>
      </c>
      <c r="Q791" s="301">
        <v>1158</v>
      </c>
      <c r="R791" s="292">
        <v>20144</v>
      </c>
      <c r="S791" s="251">
        <v>0</v>
      </c>
      <c r="T791" s="250">
        <v>0</v>
      </c>
      <c r="U791" s="250">
        <v>21599</v>
      </c>
      <c r="V791" s="250">
        <v>0</v>
      </c>
    </row>
    <row r="792" spans="2:22" ht="27">
      <c r="B792" s="39">
        <v>7</v>
      </c>
      <c r="C792" s="249" t="s">
        <v>2140</v>
      </c>
      <c r="D792" s="254">
        <v>1</v>
      </c>
      <c r="E792" s="231">
        <v>4463</v>
      </c>
      <c r="F792" s="237" t="s">
        <v>2130</v>
      </c>
      <c r="G792" s="238">
        <v>41393</v>
      </c>
      <c r="H792" s="239" t="s">
        <v>368</v>
      </c>
      <c r="I792" s="301">
        <v>0</v>
      </c>
      <c r="J792" s="301">
        <v>0</v>
      </c>
      <c r="K792" s="301">
        <v>0</v>
      </c>
      <c r="L792" s="301">
        <v>0</v>
      </c>
      <c r="M792" s="301">
        <v>0</v>
      </c>
      <c r="N792" s="301">
        <v>0</v>
      </c>
      <c r="O792" s="292">
        <v>0</v>
      </c>
      <c r="P792" s="301">
        <v>0</v>
      </c>
      <c r="Q792" s="301">
        <v>0</v>
      </c>
      <c r="R792" s="292">
        <v>-223</v>
      </c>
      <c r="S792" s="251">
        <v>0</v>
      </c>
      <c r="T792" s="250">
        <v>0</v>
      </c>
      <c r="U792" s="250">
        <v>0</v>
      </c>
      <c r="V792" s="250">
        <v>0</v>
      </c>
    </row>
    <row r="793" spans="2:22" ht="27">
      <c r="B793" s="39">
        <v>8</v>
      </c>
      <c r="C793" s="249" t="s">
        <v>2428</v>
      </c>
      <c r="D793" s="254">
        <v>1</v>
      </c>
      <c r="E793" s="231">
        <v>25194</v>
      </c>
      <c r="F793" s="237" t="s">
        <v>2429</v>
      </c>
      <c r="G793" s="238">
        <v>41797</v>
      </c>
      <c r="H793" s="239" t="s">
        <v>368</v>
      </c>
      <c r="I793" s="300">
        <v>43622</v>
      </c>
      <c r="J793" s="301">
        <v>1826</v>
      </c>
      <c r="K793" s="301">
        <v>0</v>
      </c>
      <c r="L793" s="301">
        <v>1826</v>
      </c>
      <c r="M793" s="301">
        <v>1260</v>
      </c>
      <c r="N793" s="301">
        <v>23934</v>
      </c>
      <c r="O793" s="292">
        <v>0</v>
      </c>
      <c r="P793" s="301">
        <v>21288</v>
      </c>
      <c r="Q793" s="301">
        <v>1528</v>
      </c>
      <c r="R793" s="292">
        <v>20028</v>
      </c>
      <c r="S793" s="251">
        <v>0</v>
      </c>
      <c r="T793" s="250">
        <v>0</v>
      </c>
      <c r="U793" s="250">
        <v>21288</v>
      </c>
      <c r="V793" s="250">
        <v>0</v>
      </c>
    </row>
    <row r="794" spans="2:22">
      <c r="B794" s="39">
        <v>9</v>
      </c>
      <c r="C794" s="249" t="s">
        <v>2514</v>
      </c>
      <c r="D794" s="254">
        <v>1</v>
      </c>
      <c r="E794" s="231">
        <v>7350</v>
      </c>
      <c r="F794" s="237" t="s">
        <v>2515</v>
      </c>
      <c r="G794" s="238">
        <v>41836</v>
      </c>
      <c r="H794" s="239" t="s">
        <v>368</v>
      </c>
      <c r="I794" s="300">
        <v>43661</v>
      </c>
      <c r="J794" s="301">
        <v>1826</v>
      </c>
      <c r="K794" s="301">
        <v>0</v>
      </c>
      <c r="L794" s="301">
        <v>1826</v>
      </c>
      <c r="M794" s="301">
        <v>368</v>
      </c>
      <c r="N794" s="301">
        <v>6982</v>
      </c>
      <c r="O794" s="292">
        <v>0</v>
      </c>
      <c r="P794" s="301">
        <v>6360</v>
      </c>
      <c r="Q794" s="301">
        <v>1567</v>
      </c>
      <c r="R794" s="292">
        <v>5993</v>
      </c>
      <c r="S794" s="251">
        <v>0</v>
      </c>
      <c r="T794" s="250">
        <v>0</v>
      </c>
      <c r="U794" s="250">
        <v>6360</v>
      </c>
      <c r="V794" s="250">
        <v>0</v>
      </c>
    </row>
    <row r="795" spans="2:22">
      <c r="B795" s="39">
        <v>10</v>
      </c>
      <c r="C795" s="249" t="s">
        <v>2516</v>
      </c>
      <c r="D795" s="254">
        <v>1</v>
      </c>
      <c r="E795" s="231">
        <v>42609</v>
      </c>
      <c r="F795" s="237" t="s">
        <v>2517</v>
      </c>
      <c r="G795" s="238">
        <v>41837</v>
      </c>
      <c r="H795" s="239" t="s">
        <v>368</v>
      </c>
      <c r="I795" s="300">
        <v>43662</v>
      </c>
      <c r="J795" s="301">
        <v>1826</v>
      </c>
      <c r="K795" s="301">
        <v>0</v>
      </c>
      <c r="L795" s="301">
        <v>1826</v>
      </c>
      <c r="M795" s="301">
        <v>2130</v>
      </c>
      <c r="N795" s="301">
        <v>40479</v>
      </c>
      <c r="O795" s="292">
        <v>0</v>
      </c>
      <c r="P795" s="301">
        <v>36890</v>
      </c>
      <c r="Q795" s="301">
        <v>1568</v>
      </c>
      <c r="R795" s="292">
        <v>34760</v>
      </c>
      <c r="S795" s="251">
        <v>0</v>
      </c>
      <c r="T795" s="250">
        <v>0</v>
      </c>
      <c r="U795" s="250">
        <v>36890</v>
      </c>
      <c r="V795" s="250">
        <v>0</v>
      </c>
    </row>
    <row r="796" spans="2:22">
      <c r="B796" s="39">
        <v>11</v>
      </c>
      <c r="C796" s="249" t="s">
        <v>2865</v>
      </c>
      <c r="D796" s="254">
        <v>1</v>
      </c>
      <c r="E796" s="231">
        <v>3570</v>
      </c>
      <c r="F796" s="237">
        <v>15</v>
      </c>
      <c r="G796" s="238">
        <v>42095</v>
      </c>
      <c r="H796" s="239" t="s">
        <v>368</v>
      </c>
      <c r="I796" s="300">
        <v>43921</v>
      </c>
      <c r="J796" s="301">
        <v>1827</v>
      </c>
      <c r="K796" s="301">
        <v>0</v>
      </c>
      <c r="L796" s="301">
        <v>1827</v>
      </c>
      <c r="M796" s="301">
        <v>179</v>
      </c>
      <c r="N796" s="301">
        <v>3391</v>
      </c>
      <c r="O796" s="292">
        <v>0</v>
      </c>
      <c r="P796" s="301">
        <v>3570</v>
      </c>
      <c r="Q796" s="301">
        <v>1827</v>
      </c>
      <c r="R796" s="292">
        <v>3392</v>
      </c>
      <c r="S796" s="251">
        <v>0</v>
      </c>
      <c r="T796" s="250">
        <v>0</v>
      </c>
      <c r="U796" s="250">
        <v>3570</v>
      </c>
      <c r="V796" s="250">
        <v>0</v>
      </c>
    </row>
    <row r="797" spans="2:22" ht="40.5">
      <c r="B797" s="39">
        <v>12</v>
      </c>
      <c r="C797" s="249" t="s">
        <v>2866</v>
      </c>
      <c r="D797" s="254">
        <v>1</v>
      </c>
      <c r="E797" s="231">
        <v>20747</v>
      </c>
      <c r="F797" s="237" t="s">
        <v>2868</v>
      </c>
      <c r="G797" s="238">
        <v>42095</v>
      </c>
      <c r="H797" s="239" t="s">
        <v>368</v>
      </c>
      <c r="I797" s="300">
        <v>43921</v>
      </c>
      <c r="J797" s="301">
        <v>1827</v>
      </c>
      <c r="K797" s="301">
        <v>0</v>
      </c>
      <c r="L797" s="301">
        <v>1827</v>
      </c>
      <c r="M797" s="301">
        <v>1037</v>
      </c>
      <c r="N797" s="301">
        <v>19710</v>
      </c>
      <c r="O797" s="292">
        <v>0</v>
      </c>
      <c r="P797" s="301">
        <v>20747</v>
      </c>
      <c r="Q797" s="301">
        <v>1827</v>
      </c>
      <c r="R797" s="292">
        <v>19710</v>
      </c>
      <c r="S797" s="251">
        <v>0</v>
      </c>
      <c r="T797" s="250">
        <v>0</v>
      </c>
      <c r="U797" s="250">
        <v>20747</v>
      </c>
      <c r="V797" s="250">
        <v>0</v>
      </c>
    </row>
    <row r="798" spans="2:22" ht="27">
      <c r="B798" s="39">
        <v>13</v>
      </c>
      <c r="C798" s="249" t="s">
        <v>2867</v>
      </c>
      <c r="D798" s="254">
        <v>1</v>
      </c>
      <c r="E798" s="231">
        <v>42609</v>
      </c>
      <c r="F798" s="237" t="s">
        <v>2869</v>
      </c>
      <c r="G798" s="238">
        <v>42153</v>
      </c>
      <c r="H798" s="239" t="s">
        <v>368</v>
      </c>
      <c r="I798" s="300">
        <v>43979</v>
      </c>
      <c r="J798" s="301">
        <v>1827</v>
      </c>
      <c r="K798" s="301">
        <v>0</v>
      </c>
      <c r="L798" s="301">
        <v>1827</v>
      </c>
      <c r="M798" s="301">
        <v>2130</v>
      </c>
      <c r="N798" s="301">
        <v>40479</v>
      </c>
      <c r="O798" s="292">
        <v>0</v>
      </c>
      <c r="P798" s="301">
        <v>42609</v>
      </c>
      <c r="Q798" s="301">
        <v>1827</v>
      </c>
      <c r="R798" s="292">
        <v>40479</v>
      </c>
      <c r="S798" s="251">
        <v>0</v>
      </c>
      <c r="T798" s="250">
        <v>0</v>
      </c>
      <c r="U798" s="250">
        <v>42609</v>
      </c>
      <c r="V798" s="250">
        <v>0</v>
      </c>
    </row>
    <row r="799" spans="2:22">
      <c r="B799" s="39">
        <v>14</v>
      </c>
      <c r="C799" s="249" t="s">
        <v>3893</v>
      </c>
      <c r="D799" s="254">
        <v>1</v>
      </c>
      <c r="E799" s="231">
        <v>34628</v>
      </c>
      <c r="F799" s="237" t="s">
        <v>3894</v>
      </c>
      <c r="G799" s="238">
        <v>42509</v>
      </c>
      <c r="H799" s="239" t="s">
        <v>368</v>
      </c>
      <c r="I799" s="300">
        <v>44334</v>
      </c>
      <c r="J799" s="301">
        <v>1826</v>
      </c>
      <c r="K799" s="301">
        <v>0</v>
      </c>
      <c r="L799" s="301">
        <v>1826</v>
      </c>
      <c r="M799" s="301">
        <v>1731</v>
      </c>
      <c r="N799" s="301">
        <v>32897</v>
      </c>
      <c r="O799" s="292">
        <v>0</v>
      </c>
      <c r="P799" s="292">
        <v>34628</v>
      </c>
      <c r="Q799" s="301">
        <v>1826</v>
      </c>
      <c r="R799" s="301">
        <v>32897</v>
      </c>
      <c r="S799" s="292">
        <v>48</v>
      </c>
      <c r="T799" s="251">
        <v>2595</v>
      </c>
      <c r="U799" s="250">
        <v>34628</v>
      </c>
      <c r="V799" s="250">
        <v>0</v>
      </c>
    </row>
    <row r="800" spans="2:22">
      <c r="B800" s="39"/>
      <c r="C800" s="249"/>
      <c r="D800" s="254"/>
      <c r="E800" s="231"/>
      <c r="F800" s="237"/>
      <c r="G800" s="238"/>
      <c r="H800" s="239"/>
      <c r="I800" s="300"/>
      <c r="J800" s="301"/>
      <c r="K800" s="301"/>
      <c r="L800" s="301"/>
      <c r="M800" s="301"/>
      <c r="N800" s="301"/>
      <c r="O800" s="292"/>
      <c r="P800" s="301">
        <v>0</v>
      </c>
      <c r="Q800" s="301"/>
      <c r="R800" s="292"/>
      <c r="S800" s="251"/>
      <c r="T800" s="250"/>
      <c r="U800" s="250"/>
      <c r="V800" s="250"/>
    </row>
    <row r="801" spans="2:22" ht="14.25">
      <c r="B801" s="104" t="s">
        <v>1398</v>
      </c>
      <c r="C801" s="239"/>
      <c r="D801" s="234"/>
      <c r="E801" s="231"/>
      <c r="F801" s="237"/>
      <c r="G801" s="238"/>
      <c r="H801" s="239"/>
      <c r="I801" s="301"/>
      <c r="J801" s="301"/>
      <c r="K801" s="301"/>
      <c r="L801" s="301"/>
      <c r="M801" s="301"/>
      <c r="N801" s="301"/>
      <c r="O801" s="292"/>
      <c r="P801" s="301">
        <v>0</v>
      </c>
      <c r="Q801" s="301"/>
      <c r="R801" s="292"/>
      <c r="S801" s="272"/>
      <c r="T801" s="250"/>
      <c r="U801" s="250"/>
      <c r="V801" s="250"/>
    </row>
    <row r="802" spans="2:22">
      <c r="B802" s="39">
        <v>1</v>
      </c>
      <c r="C802" s="249" t="s">
        <v>1399</v>
      </c>
      <c r="D802" s="254">
        <v>4</v>
      </c>
      <c r="E802" s="231">
        <v>11580</v>
      </c>
      <c r="F802" s="247" t="s">
        <v>1400</v>
      </c>
      <c r="G802" s="238">
        <v>40821</v>
      </c>
      <c r="H802" s="239" t="s">
        <v>368</v>
      </c>
      <c r="I802" s="301">
        <v>0</v>
      </c>
      <c r="J802" s="301">
        <v>0</v>
      </c>
      <c r="K802" s="301">
        <v>0</v>
      </c>
      <c r="L802" s="301">
        <v>0</v>
      </c>
      <c r="M802" s="301">
        <v>0</v>
      </c>
      <c r="N802" s="301">
        <v>0</v>
      </c>
      <c r="O802" s="292">
        <v>0</v>
      </c>
      <c r="P802" s="301">
        <v>0</v>
      </c>
      <c r="Q802" s="301">
        <v>0</v>
      </c>
      <c r="R802" s="292">
        <v>-579</v>
      </c>
      <c r="S802" s="251">
        <v>0</v>
      </c>
      <c r="T802" s="250">
        <v>0</v>
      </c>
      <c r="U802" s="250">
        <v>0</v>
      </c>
      <c r="V802" s="250">
        <v>0</v>
      </c>
    </row>
    <row r="803" spans="2:22" ht="40.5">
      <c r="B803" s="39">
        <v>2</v>
      </c>
      <c r="C803" s="249" t="s">
        <v>1467</v>
      </c>
      <c r="D803" s="254">
        <v>2</v>
      </c>
      <c r="E803" s="231">
        <v>49665</v>
      </c>
      <c r="F803" s="247" t="s">
        <v>1466</v>
      </c>
      <c r="G803" s="238">
        <v>40882</v>
      </c>
      <c r="H803" s="239" t="s">
        <v>368</v>
      </c>
      <c r="I803" s="300">
        <v>42708</v>
      </c>
      <c r="J803" s="301">
        <v>1827</v>
      </c>
      <c r="K803" s="301">
        <v>848</v>
      </c>
      <c r="L803" s="301">
        <v>979</v>
      </c>
      <c r="M803" s="301">
        <v>2483</v>
      </c>
      <c r="N803" s="301">
        <v>41703</v>
      </c>
      <c r="O803" s="292">
        <v>0</v>
      </c>
      <c r="P803" s="301">
        <v>28638</v>
      </c>
      <c r="Q803" s="301">
        <v>614</v>
      </c>
      <c r="R803" s="292">
        <v>26155</v>
      </c>
      <c r="S803" s="251">
        <v>0</v>
      </c>
      <c r="T803" s="250">
        <v>0</v>
      </c>
      <c r="U803" s="250">
        <v>28638</v>
      </c>
      <c r="V803" s="250">
        <v>0</v>
      </c>
    </row>
    <row r="804" spans="2:22">
      <c r="B804" s="39">
        <v>3</v>
      </c>
      <c r="C804" s="249" t="s">
        <v>1468</v>
      </c>
      <c r="D804" s="254">
        <v>1</v>
      </c>
      <c r="E804" s="231">
        <v>2100</v>
      </c>
      <c r="F804" s="247" t="s">
        <v>1469</v>
      </c>
      <c r="G804" s="238">
        <v>40882</v>
      </c>
      <c r="H804" s="239" t="s">
        <v>368</v>
      </c>
      <c r="I804" s="300">
        <v>42708</v>
      </c>
      <c r="J804" s="301">
        <v>1827</v>
      </c>
      <c r="K804" s="301">
        <v>848</v>
      </c>
      <c r="L804" s="301">
        <v>979</v>
      </c>
      <c r="M804" s="301">
        <v>105</v>
      </c>
      <c r="N804" s="301">
        <v>1763</v>
      </c>
      <c r="O804" s="292">
        <v>0</v>
      </c>
      <c r="P804" s="301">
        <v>1211</v>
      </c>
      <c r="Q804" s="301">
        <v>614</v>
      </c>
      <c r="R804" s="292">
        <v>1106</v>
      </c>
      <c r="S804" s="251">
        <v>0</v>
      </c>
      <c r="T804" s="250">
        <v>0</v>
      </c>
      <c r="U804" s="250">
        <v>1211</v>
      </c>
      <c r="V804" s="250">
        <v>0</v>
      </c>
    </row>
    <row r="805" spans="2:22" ht="40.5">
      <c r="B805" s="99">
        <v>4</v>
      </c>
      <c r="C805" s="249" t="s">
        <v>1776</v>
      </c>
      <c r="D805" s="237">
        <v>1</v>
      </c>
      <c r="E805" s="231">
        <v>14188</v>
      </c>
      <c r="F805" s="237" t="s">
        <v>42</v>
      </c>
      <c r="G805" s="238">
        <v>40996</v>
      </c>
      <c r="H805" s="239" t="s">
        <v>368</v>
      </c>
      <c r="I805" s="300">
        <v>42821</v>
      </c>
      <c r="J805" s="301">
        <v>1826</v>
      </c>
      <c r="K805" s="301">
        <v>734</v>
      </c>
      <c r="L805" s="301">
        <v>1092</v>
      </c>
      <c r="M805" s="301">
        <v>709</v>
      </c>
      <c r="N805" s="301">
        <v>12124</v>
      </c>
      <c r="O805" s="292">
        <v>0</v>
      </c>
      <c r="P805" s="301">
        <v>8781</v>
      </c>
      <c r="Q805" s="301">
        <v>727</v>
      </c>
      <c r="R805" s="292">
        <v>8072</v>
      </c>
      <c r="S805" s="251">
        <v>0</v>
      </c>
      <c r="T805" s="250">
        <v>0</v>
      </c>
      <c r="U805" s="250">
        <v>8781</v>
      </c>
      <c r="V805" s="250">
        <v>0</v>
      </c>
    </row>
    <row r="806" spans="2:22">
      <c r="B806" s="39">
        <f>+B805+1</f>
        <v>5</v>
      </c>
      <c r="C806" s="249" t="s">
        <v>2584</v>
      </c>
      <c r="D806" s="254">
        <v>1</v>
      </c>
      <c r="E806" s="231">
        <v>63045</v>
      </c>
      <c r="F806" s="247" t="s">
        <v>2583</v>
      </c>
      <c r="G806" s="238">
        <v>41939</v>
      </c>
      <c r="H806" s="239" t="s">
        <v>368</v>
      </c>
      <c r="I806" s="300">
        <v>43764</v>
      </c>
      <c r="J806" s="301">
        <v>1826</v>
      </c>
      <c r="K806" s="301">
        <v>0</v>
      </c>
      <c r="L806" s="301">
        <v>1826</v>
      </c>
      <c r="M806" s="301">
        <v>3152</v>
      </c>
      <c r="N806" s="301">
        <v>59893</v>
      </c>
      <c r="O806" s="292">
        <v>0</v>
      </c>
      <c r="P806" s="301">
        <v>57928</v>
      </c>
      <c r="Q806" s="301">
        <v>1670</v>
      </c>
      <c r="R806" s="292">
        <v>54776</v>
      </c>
      <c r="S806" s="251">
        <v>0</v>
      </c>
      <c r="T806" s="250">
        <v>0</v>
      </c>
      <c r="U806" s="250">
        <v>57928</v>
      </c>
      <c r="V806" s="250">
        <v>0</v>
      </c>
    </row>
    <row r="807" spans="2:22">
      <c r="B807" s="39">
        <f>+B806+1</f>
        <v>6</v>
      </c>
      <c r="C807" s="249" t="s">
        <v>2585</v>
      </c>
      <c r="D807" s="254">
        <v>1</v>
      </c>
      <c r="E807" s="231">
        <v>3200</v>
      </c>
      <c r="F807" s="247" t="s">
        <v>2586</v>
      </c>
      <c r="G807" s="238">
        <v>41940</v>
      </c>
      <c r="H807" s="239" t="s">
        <v>368</v>
      </c>
      <c r="I807" s="300">
        <v>43765</v>
      </c>
      <c r="J807" s="301">
        <v>1826</v>
      </c>
      <c r="K807" s="301">
        <v>0</v>
      </c>
      <c r="L807" s="301">
        <v>1826</v>
      </c>
      <c r="M807" s="301">
        <v>160</v>
      </c>
      <c r="N807" s="301">
        <v>3040</v>
      </c>
      <c r="O807" s="292">
        <v>0</v>
      </c>
      <c r="P807" s="301">
        <v>2942</v>
      </c>
      <c r="Q807" s="301">
        <v>1671</v>
      </c>
      <c r="R807" s="292">
        <v>2782</v>
      </c>
      <c r="S807" s="251">
        <v>0</v>
      </c>
      <c r="T807" s="250">
        <v>0</v>
      </c>
      <c r="U807" s="250">
        <v>2942</v>
      </c>
      <c r="V807" s="250">
        <v>0</v>
      </c>
    </row>
    <row r="808" spans="2:22" ht="14.25">
      <c r="B808" s="100" t="s">
        <v>1918</v>
      </c>
      <c r="C808" s="244"/>
      <c r="D808" s="234"/>
      <c r="E808" s="231"/>
      <c r="F808" s="237"/>
      <c r="G808" s="238"/>
      <c r="H808" s="239"/>
      <c r="I808" s="301"/>
      <c r="J808" s="301"/>
      <c r="K808" s="301"/>
      <c r="L808" s="301"/>
      <c r="M808" s="301"/>
      <c r="N808" s="301"/>
      <c r="O808" s="292"/>
      <c r="P808" s="301">
        <v>0</v>
      </c>
      <c r="Q808" s="301"/>
      <c r="R808" s="292"/>
      <c r="S808" s="272"/>
      <c r="T808" s="250"/>
      <c r="U808" s="250"/>
      <c r="V808" s="250"/>
    </row>
    <row r="809" spans="2:22">
      <c r="B809" s="15">
        <v>1</v>
      </c>
      <c r="C809" s="249" t="s">
        <v>2694</v>
      </c>
      <c r="D809" s="275">
        <v>1</v>
      </c>
      <c r="E809" s="250">
        <f>2194+17</f>
        <v>2211</v>
      </c>
      <c r="F809" s="367" t="s">
        <v>2679</v>
      </c>
      <c r="G809" s="342">
        <v>42005</v>
      </c>
      <c r="H809" s="228" t="s">
        <v>368</v>
      </c>
      <c r="I809" s="300">
        <v>43830</v>
      </c>
      <c r="J809" s="301">
        <v>1826</v>
      </c>
      <c r="K809" s="301">
        <v>0</v>
      </c>
      <c r="L809" s="301">
        <v>1826</v>
      </c>
      <c r="M809" s="301">
        <v>111</v>
      </c>
      <c r="N809" s="301">
        <v>2100</v>
      </c>
      <c r="O809" s="292">
        <v>0</v>
      </c>
      <c r="P809" s="301">
        <v>2107</v>
      </c>
      <c r="Q809" s="301">
        <v>1736</v>
      </c>
      <c r="R809" s="292">
        <v>1996</v>
      </c>
      <c r="S809" s="251">
        <v>0</v>
      </c>
      <c r="T809" s="250">
        <v>0</v>
      </c>
      <c r="U809" s="250">
        <v>2107</v>
      </c>
      <c r="V809" s="250">
        <v>0</v>
      </c>
    </row>
    <row r="810" spans="2:22">
      <c r="B810" s="15">
        <f>+B809+1</f>
        <v>2</v>
      </c>
      <c r="C810" s="249" t="s">
        <v>2695</v>
      </c>
      <c r="D810" s="275">
        <v>2</v>
      </c>
      <c r="E810" s="231">
        <f>1832+14</f>
        <v>1846</v>
      </c>
      <c r="F810" s="367" t="s">
        <v>2679</v>
      </c>
      <c r="G810" s="342">
        <v>42005</v>
      </c>
      <c r="H810" s="228" t="s">
        <v>368</v>
      </c>
      <c r="I810" s="300">
        <v>43830</v>
      </c>
      <c r="J810" s="301">
        <v>1826</v>
      </c>
      <c r="K810" s="301">
        <v>0</v>
      </c>
      <c r="L810" s="301">
        <v>1826</v>
      </c>
      <c r="M810" s="301">
        <v>92</v>
      </c>
      <c r="N810" s="301">
        <v>1754</v>
      </c>
      <c r="O810" s="292">
        <v>0</v>
      </c>
      <c r="P810" s="301">
        <v>1760</v>
      </c>
      <c r="Q810" s="301">
        <v>1736</v>
      </c>
      <c r="R810" s="292">
        <v>1668</v>
      </c>
      <c r="S810" s="251">
        <v>0</v>
      </c>
      <c r="T810" s="250">
        <v>0</v>
      </c>
      <c r="U810" s="250">
        <v>1760</v>
      </c>
      <c r="V810" s="250">
        <v>0</v>
      </c>
    </row>
    <row r="811" spans="2:22" ht="14.25">
      <c r="B811" s="100" t="s">
        <v>2162</v>
      </c>
      <c r="C811" s="244"/>
      <c r="D811" s="234"/>
      <c r="E811" s="231"/>
      <c r="F811" s="237"/>
      <c r="G811" s="238"/>
      <c r="H811" s="239"/>
      <c r="I811" s="301"/>
      <c r="J811" s="301"/>
      <c r="K811" s="301"/>
      <c r="L811" s="301"/>
      <c r="M811" s="301"/>
      <c r="N811" s="301"/>
      <c r="O811" s="292"/>
      <c r="P811" s="301">
        <v>0</v>
      </c>
      <c r="Q811" s="301"/>
      <c r="R811" s="292"/>
      <c r="S811" s="272"/>
      <c r="T811" s="250"/>
      <c r="U811" s="250"/>
      <c r="V811" s="250"/>
    </row>
    <row r="812" spans="2:22" ht="27">
      <c r="B812" s="39">
        <v>1</v>
      </c>
      <c r="C812" s="239" t="s">
        <v>2163</v>
      </c>
      <c r="D812" s="234">
        <v>4</v>
      </c>
      <c r="E812" s="231">
        <v>13506</v>
      </c>
      <c r="F812" s="349" t="s">
        <v>2164</v>
      </c>
      <c r="G812" s="238">
        <v>41379</v>
      </c>
      <c r="H812" s="239" t="s">
        <v>368</v>
      </c>
      <c r="I812" s="301">
        <v>0</v>
      </c>
      <c r="J812" s="301">
        <v>0</v>
      </c>
      <c r="K812" s="301">
        <v>0</v>
      </c>
      <c r="L812" s="301">
        <v>0</v>
      </c>
      <c r="M812" s="301">
        <v>0</v>
      </c>
      <c r="N812" s="301">
        <v>0</v>
      </c>
      <c r="O812" s="292">
        <v>0</v>
      </c>
      <c r="P812" s="301">
        <v>0</v>
      </c>
      <c r="Q812" s="301">
        <v>0</v>
      </c>
      <c r="R812" s="292">
        <v>-675</v>
      </c>
      <c r="S812" s="251">
        <v>0</v>
      </c>
      <c r="T812" s="250">
        <v>0</v>
      </c>
      <c r="U812" s="250">
        <v>0</v>
      </c>
      <c r="V812" s="250">
        <v>0</v>
      </c>
    </row>
    <row r="813" spans="2:22">
      <c r="B813" s="99">
        <v>2</v>
      </c>
      <c r="C813" s="239" t="s">
        <v>2265</v>
      </c>
      <c r="D813" s="234">
        <v>6</v>
      </c>
      <c r="E813" s="231">
        <v>20260</v>
      </c>
      <c r="F813" s="349" t="s">
        <v>2266</v>
      </c>
      <c r="G813" s="238">
        <v>41537</v>
      </c>
      <c r="H813" s="239" t="s">
        <v>368</v>
      </c>
      <c r="I813" s="301">
        <v>0</v>
      </c>
      <c r="J813" s="301">
        <v>0</v>
      </c>
      <c r="K813" s="301">
        <v>0</v>
      </c>
      <c r="L813" s="301">
        <v>0</v>
      </c>
      <c r="M813" s="301">
        <v>0</v>
      </c>
      <c r="N813" s="301">
        <v>0</v>
      </c>
      <c r="O813" s="292">
        <v>0</v>
      </c>
      <c r="P813" s="301">
        <v>0</v>
      </c>
      <c r="Q813" s="301">
        <v>0</v>
      </c>
      <c r="R813" s="292">
        <v>-1013</v>
      </c>
      <c r="S813" s="251">
        <v>0</v>
      </c>
      <c r="T813" s="250">
        <v>0</v>
      </c>
      <c r="U813" s="250">
        <v>0</v>
      </c>
      <c r="V813" s="250">
        <v>0</v>
      </c>
    </row>
    <row r="814" spans="2:22" ht="14.25">
      <c r="B814" s="98" t="s">
        <v>2267</v>
      </c>
      <c r="C814" s="244"/>
      <c r="D814" s="234"/>
      <c r="E814" s="231"/>
      <c r="F814" s="237"/>
      <c r="G814" s="238"/>
      <c r="H814" s="239"/>
      <c r="I814" s="301"/>
      <c r="J814" s="301"/>
      <c r="K814" s="301"/>
      <c r="L814" s="301"/>
      <c r="M814" s="301"/>
      <c r="N814" s="301"/>
      <c r="O814" s="292"/>
      <c r="P814" s="301">
        <v>0</v>
      </c>
      <c r="Q814" s="301"/>
      <c r="R814" s="292"/>
      <c r="S814" s="272"/>
      <c r="T814" s="250"/>
      <c r="U814" s="250"/>
      <c r="V814" s="250"/>
    </row>
    <row r="815" spans="2:22" ht="67.5">
      <c r="B815" s="39">
        <v>1</v>
      </c>
      <c r="C815" s="239" t="s">
        <v>2537</v>
      </c>
      <c r="D815" s="234" t="s">
        <v>314</v>
      </c>
      <c r="E815" s="231">
        <v>2638080</v>
      </c>
      <c r="F815" s="349" t="s">
        <v>2268</v>
      </c>
      <c r="G815" s="238">
        <v>41548</v>
      </c>
      <c r="H815" s="239" t="s">
        <v>368</v>
      </c>
      <c r="I815" s="300">
        <v>43373</v>
      </c>
      <c r="J815" s="301">
        <v>1826</v>
      </c>
      <c r="K815" s="301">
        <v>182</v>
      </c>
      <c r="L815" s="301">
        <v>1644</v>
      </c>
      <c r="M815" s="301">
        <v>131904</v>
      </c>
      <c r="N815" s="301">
        <v>2443693</v>
      </c>
      <c r="O815" s="292">
        <v>0</v>
      </c>
      <c r="P815" s="301">
        <v>2033050</v>
      </c>
      <c r="Q815" s="301">
        <v>1279</v>
      </c>
      <c r="R815" s="292">
        <v>1901146</v>
      </c>
      <c r="S815" s="251">
        <v>0</v>
      </c>
      <c r="T815" s="250">
        <v>0</v>
      </c>
      <c r="U815" s="250">
        <v>2033050</v>
      </c>
      <c r="V815" s="250">
        <v>0</v>
      </c>
    </row>
    <row r="816" spans="2:22" ht="27">
      <c r="B816" s="39">
        <f>+B815+1</f>
        <v>2</v>
      </c>
      <c r="C816" s="239" t="s">
        <v>2587</v>
      </c>
      <c r="D816" s="234" t="s">
        <v>314</v>
      </c>
      <c r="E816" s="231">
        <v>51640</v>
      </c>
      <c r="F816" s="349" t="s">
        <v>2588</v>
      </c>
      <c r="G816" s="238">
        <v>41962</v>
      </c>
      <c r="H816" s="239" t="s">
        <v>368</v>
      </c>
      <c r="I816" s="300">
        <v>43787</v>
      </c>
      <c r="J816" s="301">
        <v>1826</v>
      </c>
      <c r="K816" s="301">
        <v>0</v>
      </c>
      <c r="L816" s="301">
        <v>1826</v>
      </c>
      <c r="M816" s="301">
        <v>2582</v>
      </c>
      <c r="N816" s="301">
        <v>49058</v>
      </c>
      <c r="O816" s="292">
        <v>0</v>
      </c>
      <c r="P816" s="301">
        <v>48067</v>
      </c>
      <c r="Q816" s="301">
        <v>1693</v>
      </c>
      <c r="R816" s="292">
        <v>45485</v>
      </c>
      <c r="S816" s="251">
        <v>0</v>
      </c>
      <c r="T816" s="250">
        <v>0</v>
      </c>
      <c r="U816" s="250">
        <v>48067</v>
      </c>
      <c r="V816" s="250">
        <v>0</v>
      </c>
    </row>
    <row r="817" spans="2:22" ht="27">
      <c r="B817" s="39">
        <f>+B816+1</f>
        <v>3</v>
      </c>
      <c r="C817" s="239" t="s">
        <v>2759</v>
      </c>
      <c r="D817" s="234">
        <v>1</v>
      </c>
      <c r="E817" s="231">
        <v>65179.12</v>
      </c>
      <c r="F817" s="349" t="s">
        <v>445</v>
      </c>
      <c r="G817" s="238">
        <v>40589</v>
      </c>
      <c r="H817" s="239" t="s">
        <v>368</v>
      </c>
      <c r="I817" s="300">
        <v>42414</v>
      </c>
      <c r="J817" s="301">
        <v>1826</v>
      </c>
      <c r="K817" s="301">
        <v>1416</v>
      </c>
      <c r="L817" s="301">
        <v>410</v>
      </c>
      <c r="M817" s="301">
        <v>3259</v>
      </c>
      <c r="N817" s="301">
        <v>61920.12</v>
      </c>
      <c r="O817" s="292">
        <v>0</v>
      </c>
      <c r="P817" s="301">
        <v>10045.120000000003</v>
      </c>
      <c r="Q817" s="301">
        <v>45</v>
      </c>
      <c r="R817" s="292">
        <v>6786</v>
      </c>
      <c r="S817" s="251">
        <v>0</v>
      </c>
      <c r="T817" s="250">
        <v>0</v>
      </c>
      <c r="U817" s="250">
        <v>10045</v>
      </c>
      <c r="V817" s="250">
        <v>0.12000000000261934</v>
      </c>
    </row>
    <row r="818" spans="2:22">
      <c r="B818" s="39"/>
      <c r="C818" s="239"/>
      <c r="D818" s="234"/>
      <c r="E818" s="231"/>
      <c r="F818" s="349"/>
      <c r="G818" s="238"/>
      <c r="H818" s="239"/>
      <c r="I818" s="300"/>
      <c r="J818" s="301"/>
      <c r="K818" s="301"/>
      <c r="L818" s="301"/>
      <c r="M818" s="301"/>
      <c r="N818" s="301"/>
      <c r="O818" s="292"/>
      <c r="P818" s="301"/>
      <c r="Q818" s="301"/>
      <c r="R818" s="292"/>
      <c r="S818" s="251"/>
      <c r="T818" s="250"/>
      <c r="U818" s="250"/>
      <c r="V818" s="250"/>
    </row>
    <row r="819" spans="2:22" ht="14.25">
      <c r="B819" s="385" t="s">
        <v>4086</v>
      </c>
      <c r="C819" s="388"/>
      <c r="D819" s="388"/>
      <c r="E819" s="389"/>
      <c r="F819" s="388"/>
      <c r="G819" s="390"/>
      <c r="H819" s="388"/>
      <c r="I819" s="270"/>
      <c r="J819" s="242"/>
      <c r="K819" s="242"/>
      <c r="L819" s="242"/>
      <c r="M819" s="242"/>
      <c r="N819" s="242"/>
      <c r="O819" s="242"/>
      <c r="P819" s="242"/>
      <c r="Q819" s="242"/>
      <c r="R819" s="391"/>
      <c r="S819" s="389"/>
      <c r="T819" s="389"/>
      <c r="U819" s="392"/>
      <c r="V819" s="250"/>
    </row>
    <row r="820" spans="2:22">
      <c r="B820" s="39">
        <v>1</v>
      </c>
      <c r="C820" s="239" t="s">
        <v>4087</v>
      </c>
      <c r="D820" s="234">
        <v>1</v>
      </c>
      <c r="E820" s="231">
        <v>2500</v>
      </c>
      <c r="F820" s="349">
        <v>315</v>
      </c>
      <c r="G820" s="238">
        <v>43026</v>
      </c>
      <c r="H820" s="239" t="s">
        <v>368</v>
      </c>
      <c r="I820" s="300">
        <v>44851</v>
      </c>
      <c r="J820" s="301">
        <v>1826</v>
      </c>
      <c r="K820" s="301">
        <v>0</v>
      </c>
      <c r="L820" s="301">
        <v>1826</v>
      </c>
      <c r="M820" s="301">
        <v>125</v>
      </c>
      <c r="N820" s="301">
        <v>2375</v>
      </c>
      <c r="O820" s="292"/>
      <c r="P820" s="292">
        <v>2500</v>
      </c>
      <c r="Q820" s="301">
        <v>1826</v>
      </c>
      <c r="R820" s="301">
        <v>2375</v>
      </c>
      <c r="S820" s="292">
        <v>0</v>
      </c>
      <c r="T820" s="251">
        <v>0</v>
      </c>
      <c r="U820" s="250">
        <v>2500</v>
      </c>
      <c r="V820" s="250">
        <v>0</v>
      </c>
    </row>
    <row r="821" spans="2:22">
      <c r="B821" s="39">
        <v>2</v>
      </c>
      <c r="C821" s="239" t="s">
        <v>4087</v>
      </c>
      <c r="D821" s="234">
        <v>1</v>
      </c>
      <c r="E821" s="231">
        <v>2500</v>
      </c>
      <c r="F821" s="349">
        <v>1411</v>
      </c>
      <c r="G821" s="238">
        <v>43493</v>
      </c>
      <c r="H821" s="239" t="s">
        <v>368</v>
      </c>
      <c r="I821" s="300">
        <v>45318</v>
      </c>
      <c r="J821" s="301">
        <v>1826</v>
      </c>
      <c r="K821" s="301">
        <v>0</v>
      </c>
      <c r="L821" s="301">
        <v>1826</v>
      </c>
      <c r="M821" s="301">
        <v>125</v>
      </c>
      <c r="N821" s="301">
        <v>2375</v>
      </c>
      <c r="O821" s="292"/>
      <c r="P821" s="292">
        <v>2500</v>
      </c>
      <c r="Q821" s="301">
        <v>1826</v>
      </c>
      <c r="R821" s="301">
        <v>2375</v>
      </c>
      <c r="S821" s="292">
        <v>0</v>
      </c>
      <c r="T821" s="251">
        <v>0</v>
      </c>
      <c r="U821" s="250">
        <v>2500</v>
      </c>
      <c r="V821" s="250">
        <v>0</v>
      </c>
    </row>
    <row r="822" spans="2:22">
      <c r="B822" s="39">
        <v>3</v>
      </c>
      <c r="C822" s="239" t="s">
        <v>4087</v>
      </c>
      <c r="D822" s="234">
        <v>1</v>
      </c>
      <c r="E822" s="231">
        <v>2700</v>
      </c>
      <c r="F822" s="349">
        <v>174</v>
      </c>
      <c r="G822" s="238">
        <v>43819</v>
      </c>
      <c r="H822" s="239" t="s">
        <v>368</v>
      </c>
      <c r="I822" s="300">
        <v>45645</v>
      </c>
      <c r="J822" s="301">
        <v>1827</v>
      </c>
      <c r="K822" s="301">
        <v>0</v>
      </c>
      <c r="L822" s="301">
        <v>1827</v>
      </c>
      <c r="M822" s="301">
        <v>135</v>
      </c>
      <c r="N822" s="301">
        <v>2565</v>
      </c>
      <c r="O822" s="292"/>
      <c r="P822" s="292">
        <v>2700</v>
      </c>
      <c r="Q822" s="301">
        <v>1827</v>
      </c>
      <c r="R822" s="301">
        <v>2565</v>
      </c>
      <c r="S822" s="292">
        <v>0</v>
      </c>
      <c r="T822" s="251">
        <v>0</v>
      </c>
      <c r="U822" s="250">
        <v>2700</v>
      </c>
      <c r="V822" s="250">
        <v>0</v>
      </c>
    </row>
    <row r="823" spans="2:22">
      <c r="B823" s="39">
        <v>3</v>
      </c>
      <c r="C823" s="239" t="s">
        <v>4087</v>
      </c>
      <c r="D823" s="234">
        <v>1</v>
      </c>
      <c r="E823" s="231">
        <v>2500</v>
      </c>
      <c r="F823" s="349">
        <v>2711</v>
      </c>
      <c r="G823" s="238">
        <v>43827</v>
      </c>
      <c r="H823" s="239" t="s">
        <v>368</v>
      </c>
      <c r="I823" s="300">
        <v>45653</v>
      </c>
      <c r="J823" s="301">
        <v>1827</v>
      </c>
      <c r="K823" s="301">
        <v>0</v>
      </c>
      <c r="L823" s="301">
        <v>1827</v>
      </c>
      <c r="M823" s="301">
        <v>125</v>
      </c>
      <c r="N823" s="301">
        <v>2375</v>
      </c>
      <c r="O823" s="292"/>
      <c r="P823" s="292">
        <v>2500</v>
      </c>
      <c r="Q823" s="301">
        <v>1827</v>
      </c>
      <c r="R823" s="301">
        <v>2375</v>
      </c>
      <c r="S823" s="292">
        <v>0</v>
      </c>
      <c r="T823" s="251">
        <v>0</v>
      </c>
      <c r="U823" s="250">
        <v>2500</v>
      </c>
      <c r="V823" s="250">
        <v>0</v>
      </c>
    </row>
    <row r="824" spans="2:22">
      <c r="B824" s="39"/>
      <c r="C824" s="45"/>
      <c r="D824" s="8"/>
      <c r="E824" s="46"/>
      <c r="F824" s="48"/>
      <c r="G824" s="17"/>
      <c r="H824" s="45"/>
      <c r="I824" s="201"/>
      <c r="J824" s="201"/>
      <c r="K824" s="201"/>
      <c r="L824" s="201"/>
      <c r="M824" s="201"/>
      <c r="N824" s="201"/>
      <c r="O824" s="75"/>
      <c r="P824" s="201"/>
      <c r="Q824" s="201"/>
      <c r="R824" s="75"/>
      <c r="S824" s="41"/>
      <c r="T824" s="24"/>
      <c r="U824" s="24"/>
      <c r="V824" s="24"/>
    </row>
    <row r="825" spans="2:22">
      <c r="B825" s="39"/>
      <c r="C825" s="45"/>
      <c r="D825" s="8"/>
      <c r="E825" s="46"/>
      <c r="F825" s="48"/>
      <c r="G825" s="17"/>
      <c r="H825" s="45"/>
      <c r="I825" s="201"/>
      <c r="J825" s="201"/>
      <c r="K825" s="201"/>
      <c r="L825" s="201"/>
      <c r="M825" s="201"/>
      <c r="N825" s="201"/>
      <c r="O825" s="75"/>
      <c r="P825" s="201"/>
      <c r="Q825" s="201"/>
      <c r="R825" s="75"/>
      <c r="S825" s="41"/>
      <c r="T825" s="24"/>
      <c r="U825" s="24"/>
      <c r="V825" s="24"/>
    </row>
    <row r="826" spans="2:22" ht="15" thickBot="1">
      <c r="B826" s="356"/>
      <c r="C826" s="303" t="s">
        <v>627</v>
      </c>
      <c r="D826" s="357"/>
      <c r="E826" s="358">
        <f>SUBTOTAL(9,E8:E825)</f>
        <v>96178415.609999999</v>
      </c>
      <c r="F826" s="359"/>
      <c r="G826" s="360"/>
      <c r="H826" s="221"/>
      <c r="I826" s="361"/>
      <c r="J826" s="361"/>
      <c r="K826" s="361"/>
      <c r="L826" s="361"/>
      <c r="M826" s="362">
        <f>SUBTOTAL(9,M8:M825)</f>
        <v>4735704</v>
      </c>
      <c r="N826" s="361"/>
      <c r="O826" s="362">
        <f>SUBTOTAL(9,O8:O825)</f>
        <v>780807.18597260269</v>
      </c>
      <c r="P826" s="362">
        <f>SUM(P6:P825)+129</f>
        <v>58662828.984685913</v>
      </c>
      <c r="Q826" s="362"/>
      <c r="R826" s="362">
        <f>SUBTOTAL(9,R8:R825)</f>
        <v>54321293</v>
      </c>
      <c r="S826" s="357"/>
      <c r="T826" s="358">
        <f>SUBTOTAL(9,T8:T825)</f>
        <v>643561</v>
      </c>
      <c r="U826" s="358">
        <f>SUBTOTAL(9,U8:U825)</f>
        <v>57334718.5</v>
      </c>
      <c r="V826" s="358">
        <f>SUBTOTAL(9,V8:V825)</f>
        <v>1327981.4846859123</v>
      </c>
    </row>
    <row r="827" spans="2:22" ht="14.25" thickTop="1">
      <c r="E827" s="11">
        <f>90496992.61+5681423-E826</f>
        <v>0</v>
      </c>
      <c r="P827" s="34">
        <f>53072587.05+5590243-P826</f>
        <v>1.0653140842914581</v>
      </c>
      <c r="T827" s="11">
        <f>4990+638571-T826</f>
        <v>0</v>
      </c>
      <c r="U827" s="11">
        <f>53072455.5+4262263-U826</f>
        <v>0</v>
      </c>
      <c r="V827" s="363">
        <f>1.48468591208359+1327980-V826</f>
        <v>0</v>
      </c>
    </row>
    <row r="828" spans="2:22">
      <c r="P828" s="34"/>
      <c r="Q828" s="34"/>
      <c r="S828" s="34"/>
    </row>
  </sheetData>
  <autoFilter ref="A5:R825"/>
  <mergeCells count="2">
    <mergeCell ref="S3:V3"/>
    <mergeCell ref="S4:V4"/>
  </mergeCells>
  <phoneticPr fontId="43" type="noConversion"/>
  <printOptions horizontalCentered="1"/>
  <pageMargins left="0" right="0" top="0.25" bottom="0" header="0.5" footer="0.5"/>
  <pageSetup paperSize="9"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
  <sheetViews>
    <sheetView workbookViewId="0">
      <selection activeCell="J3" sqref="J3:L9"/>
    </sheetView>
  </sheetViews>
  <sheetFormatPr defaultRowHeight="14.25"/>
  <cols>
    <col min="1" max="1" width="9" style="544"/>
    <col min="2" max="2" width="27.875" style="544" bestFit="1" customWidth="1"/>
    <col min="3" max="3" width="25" style="547" bestFit="1" customWidth="1"/>
    <col min="4" max="4" width="14.625" style="547" bestFit="1" customWidth="1"/>
    <col min="5" max="5" width="7.625" style="547" bestFit="1" customWidth="1"/>
    <col min="6" max="10" width="9" style="544"/>
    <col min="11" max="11" width="23" style="544" customWidth="1"/>
    <col min="12" max="12" width="41.25" style="544" customWidth="1"/>
    <col min="13" max="16384" width="9" style="544"/>
  </cols>
  <sheetData>
    <row r="1" spans="2:12" ht="15">
      <c r="B1" s="548"/>
      <c r="C1" s="549" t="s">
        <v>4703</v>
      </c>
      <c r="D1" s="549"/>
      <c r="E1" s="549"/>
    </row>
    <row r="2" spans="2:12" ht="15.75" thickBot="1">
      <c r="B2" s="548" t="s">
        <v>655</v>
      </c>
      <c r="C2" s="549" t="s">
        <v>4698</v>
      </c>
      <c r="D2" s="549" t="s">
        <v>4699</v>
      </c>
      <c r="E2" s="549" t="s">
        <v>754</v>
      </c>
    </row>
    <row r="3" spans="2:12" ht="30.75" thickBot="1">
      <c r="B3" s="545" t="s">
        <v>4697</v>
      </c>
      <c r="C3" s="546">
        <v>0</v>
      </c>
      <c r="D3" s="546">
        <v>0</v>
      </c>
      <c r="E3" s="546">
        <v>324</v>
      </c>
      <c r="J3" s="568" t="s">
        <v>4722</v>
      </c>
      <c r="K3" s="568" t="s">
        <v>4723</v>
      </c>
      <c r="L3" s="568" t="s">
        <v>4724</v>
      </c>
    </row>
    <row r="4" spans="2:12" ht="29.25" thickBot="1">
      <c r="B4" s="545" t="s">
        <v>4700</v>
      </c>
      <c r="C4" s="546">
        <v>9445</v>
      </c>
      <c r="D4" s="546">
        <v>2139</v>
      </c>
      <c r="E4" s="546">
        <f>SUM(C4:D4)</f>
        <v>11584</v>
      </c>
      <c r="J4" s="569" t="s">
        <v>4725</v>
      </c>
      <c r="K4" s="569" t="s">
        <v>4726</v>
      </c>
      <c r="L4" s="569" t="s">
        <v>4727</v>
      </c>
    </row>
    <row r="5" spans="2:12" ht="86.25" thickBot="1">
      <c r="B5" s="545" t="s">
        <v>4701</v>
      </c>
      <c r="C5" s="546">
        <v>924</v>
      </c>
      <c r="D5" s="546">
        <v>35</v>
      </c>
      <c r="E5" s="546">
        <f t="shared" ref="E5:E6" si="0">SUM(C5:D5)</f>
        <v>959</v>
      </c>
      <c r="J5" s="569" t="s">
        <v>4728</v>
      </c>
      <c r="K5" s="569" t="s">
        <v>4729</v>
      </c>
      <c r="L5" s="569" t="s">
        <v>4730</v>
      </c>
    </row>
    <row r="6" spans="2:12" ht="86.25" thickBot="1">
      <c r="B6" s="545" t="s">
        <v>4702</v>
      </c>
      <c r="C6" s="546">
        <v>5676</v>
      </c>
      <c r="D6" s="546">
        <v>2399</v>
      </c>
      <c r="E6" s="546">
        <f t="shared" si="0"/>
        <v>8075</v>
      </c>
      <c r="J6" s="569" t="s">
        <v>4731</v>
      </c>
      <c r="K6" s="569" t="s">
        <v>4732</v>
      </c>
      <c r="L6" s="569" t="s">
        <v>4730</v>
      </c>
    </row>
    <row r="7" spans="2:12" ht="86.25" thickBot="1">
      <c r="B7" s="542" t="s">
        <v>754</v>
      </c>
      <c r="C7" s="543">
        <f>SUM(C3:C6)</f>
        <v>16045</v>
      </c>
      <c r="D7" s="543">
        <f t="shared" ref="D7:E7" si="1">SUM(D3:D6)</f>
        <v>4573</v>
      </c>
      <c r="E7" s="543">
        <f t="shared" si="1"/>
        <v>20942</v>
      </c>
      <c r="J7" s="569" t="s">
        <v>4733</v>
      </c>
      <c r="K7" s="569" t="s">
        <v>4734</v>
      </c>
      <c r="L7" s="569" t="s">
        <v>4730</v>
      </c>
    </row>
    <row r="8" spans="2:12" ht="29.25" thickBot="1">
      <c r="J8" s="569" t="s">
        <v>4735</v>
      </c>
      <c r="K8" s="569" t="s">
        <v>4726</v>
      </c>
      <c r="L8" s="569" t="s">
        <v>4727</v>
      </c>
    </row>
    <row r="9" spans="2:12" ht="29.25" thickBot="1">
      <c r="J9" s="569" t="s">
        <v>4736</v>
      </c>
      <c r="K9" s="569" t="s">
        <v>4726</v>
      </c>
      <c r="L9" s="569" t="s">
        <v>4727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16"/>
  <sheetViews>
    <sheetView workbookViewId="0">
      <pane xSplit="3" ySplit="5" topLeftCell="D171" activePane="bottomRight" state="frozen"/>
      <selection pane="topRight" activeCell="H1" sqref="H1"/>
      <selection pane="bottomLeft" activeCell="A6" sqref="A6"/>
      <selection pane="bottomRight" activeCell="E171" sqref="E171"/>
    </sheetView>
  </sheetViews>
  <sheetFormatPr defaultColWidth="9" defaultRowHeight="13.5"/>
  <cols>
    <col min="1" max="1" width="3.25" style="5" customWidth="1"/>
    <col min="2" max="2" width="4.25" style="5" customWidth="1"/>
    <col min="3" max="3" width="25.375" style="20" customWidth="1"/>
    <col min="4" max="4" width="5.5" style="9" customWidth="1"/>
    <col min="5" max="5" width="10.125" style="3" customWidth="1"/>
    <col min="6" max="6" width="14.875" style="29" customWidth="1"/>
    <col min="7" max="7" width="9" style="5" customWidth="1"/>
    <col min="8" max="8" width="10.875" style="20" customWidth="1"/>
    <col min="9" max="9" width="8.25" style="5" customWidth="1"/>
    <col min="10" max="10" width="7.375" style="5" customWidth="1"/>
    <col min="11" max="11" width="6.5" style="5" customWidth="1"/>
    <col min="12" max="12" width="7" style="5" customWidth="1"/>
    <col min="13" max="13" width="7.125" style="5" customWidth="1"/>
    <col min="14" max="14" width="7.625" style="5" customWidth="1"/>
    <col min="15" max="15" width="8.375" style="5" customWidth="1"/>
    <col min="16" max="16" width="11.375" style="5" customWidth="1"/>
    <col min="17" max="17" width="6.25" style="5" customWidth="1"/>
    <col min="18" max="18" width="9.5" style="5" customWidth="1"/>
    <col min="19" max="19" width="4.875" style="5" customWidth="1"/>
    <col min="20" max="20" width="8.5" style="3" customWidth="1"/>
    <col min="21" max="21" width="9.75" style="3" customWidth="1"/>
    <col min="22" max="22" width="7.875" style="3" bestFit="1" customWidth="1"/>
    <col min="23" max="16384" width="9" style="5"/>
  </cols>
  <sheetData>
    <row r="1" spans="1:22">
      <c r="A1" s="12"/>
      <c r="B1" s="12"/>
      <c r="C1" s="219"/>
      <c r="D1" s="220"/>
      <c r="F1" s="181"/>
      <c r="G1" s="12"/>
      <c r="H1" s="219"/>
      <c r="I1" s="111"/>
      <c r="J1" s="263"/>
      <c r="K1" s="22"/>
      <c r="L1" s="22"/>
      <c r="M1" s="22"/>
      <c r="N1" s="22"/>
      <c r="O1" s="42"/>
    </row>
    <row r="2" spans="1:22" ht="14.25">
      <c r="B2" s="19" t="s">
        <v>436</v>
      </c>
      <c r="I2" s="111"/>
      <c r="J2" s="112"/>
      <c r="K2" s="22"/>
      <c r="L2" s="22"/>
      <c r="M2" s="22"/>
      <c r="N2" s="22"/>
      <c r="O2" s="42"/>
    </row>
    <row r="3" spans="1:22" ht="14.25">
      <c r="O3" s="12"/>
      <c r="S3" s="619">
        <v>44651</v>
      </c>
      <c r="T3" s="620"/>
      <c r="U3" s="620"/>
      <c r="V3" s="620"/>
    </row>
    <row r="4" spans="1:22" ht="14.25">
      <c r="B4" s="19" t="s">
        <v>4648</v>
      </c>
      <c r="O4" s="12"/>
      <c r="S4" s="610" t="s">
        <v>4570</v>
      </c>
      <c r="T4" s="610"/>
      <c r="U4" s="610"/>
      <c r="V4" s="610"/>
    </row>
    <row r="5" spans="1:22" ht="36" customHeight="1">
      <c r="B5" s="82" t="s">
        <v>56</v>
      </c>
      <c r="C5" s="82" t="s">
        <v>397</v>
      </c>
      <c r="D5" s="82" t="s">
        <v>398</v>
      </c>
      <c r="E5" s="85" t="s">
        <v>2623</v>
      </c>
      <c r="F5" s="82" t="s">
        <v>400</v>
      </c>
      <c r="G5" s="82" t="s">
        <v>401</v>
      </c>
      <c r="H5" s="82" t="s">
        <v>402</v>
      </c>
      <c r="I5" s="205" t="s">
        <v>2471</v>
      </c>
      <c r="J5" s="205" t="s">
        <v>2470</v>
      </c>
      <c r="K5" s="205" t="s">
        <v>2468</v>
      </c>
      <c r="L5" s="205" t="s">
        <v>2469</v>
      </c>
      <c r="M5" s="205" t="s">
        <v>2473</v>
      </c>
      <c r="N5" s="205" t="s">
        <v>2472</v>
      </c>
      <c r="O5" s="214" t="s">
        <v>2475</v>
      </c>
      <c r="P5" s="189" t="s">
        <v>4050</v>
      </c>
      <c r="Q5" s="215" t="s">
        <v>3883</v>
      </c>
      <c r="R5" s="215" t="s">
        <v>3024</v>
      </c>
      <c r="S5" s="95" t="s">
        <v>403</v>
      </c>
      <c r="T5" s="85" t="s">
        <v>405</v>
      </c>
      <c r="U5" s="85" t="s">
        <v>3886</v>
      </c>
      <c r="V5" s="85" t="s">
        <v>404</v>
      </c>
    </row>
    <row r="6" spans="1:22" s="22" customFormat="1" ht="14.25">
      <c r="B6" s="32" t="s">
        <v>998</v>
      </c>
      <c r="C6" s="57"/>
      <c r="D6" s="53"/>
      <c r="E6" s="101"/>
      <c r="F6" s="78"/>
      <c r="G6" s="53"/>
      <c r="H6" s="57"/>
      <c r="I6" s="25"/>
      <c r="J6" s="15" t="s">
        <v>2229</v>
      </c>
      <c r="K6" s="49" t="s">
        <v>2229</v>
      </c>
      <c r="L6" s="49" t="s">
        <v>2229</v>
      </c>
      <c r="M6" s="15" t="s">
        <v>2478</v>
      </c>
      <c r="N6" s="15" t="s">
        <v>2478</v>
      </c>
      <c r="O6" s="15" t="s">
        <v>2478</v>
      </c>
      <c r="P6" s="25"/>
      <c r="Q6" s="25"/>
      <c r="R6" s="25"/>
      <c r="S6" s="102"/>
      <c r="T6" s="102"/>
      <c r="U6" s="102"/>
      <c r="V6" s="102"/>
    </row>
    <row r="7" spans="1:22" s="22" customFormat="1" ht="14.25">
      <c r="B7" s="32" t="s">
        <v>628</v>
      </c>
      <c r="C7" s="32"/>
      <c r="D7" s="21"/>
      <c r="E7" s="24"/>
      <c r="F7" s="15"/>
      <c r="G7" s="15"/>
      <c r="H7" s="25"/>
      <c r="I7" s="25"/>
      <c r="J7" s="25"/>
      <c r="K7" s="25"/>
      <c r="L7" s="25"/>
      <c r="M7" s="25"/>
      <c r="N7" s="25"/>
      <c r="O7" s="25"/>
      <c r="P7" s="25"/>
      <c r="Q7" s="25"/>
      <c r="R7" s="25"/>
      <c r="S7" s="24"/>
      <c r="T7" s="24"/>
      <c r="U7" s="24"/>
      <c r="V7" s="24"/>
    </row>
    <row r="8" spans="1:22" s="22" customFormat="1" ht="27">
      <c r="B8" s="15">
        <v>1</v>
      </c>
      <c r="C8" s="249" t="s">
        <v>995</v>
      </c>
      <c r="D8" s="254"/>
      <c r="E8" s="250">
        <v>23602</v>
      </c>
      <c r="F8" s="254" t="s">
        <v>43</v>
      </c>
      <c r="G8" s="233">
        <v>40400</v>
      </c>
      <c r="H8" s="228" t="s">
        <v>160</v>
      </c>
      <c r="I8" s="270">
        <v>42591</v>
      </c>
      <c r="J8" s="242">
        <v>2192</v>
      </c>
      <c r="K8" s="242">
        <v>1330</v>
      </c>
      <c r="L8" s="242">
        <v>862</v>
      </c>
      <c r="M8" s="242">
        <v>1180</v>
      </c>
      <c r="N8" s="242">
        <v>8492</v>
      </c>
      <c r="O8" s="242">
        <v>0</v>
      </c>
      <c r="P8" s="242">
        <v>6076</v>
      </c>
      <c r="Q8" s="242">
        <v>497</v>
      </c>
      <c r="R8" s="242">
        <v>4896</v>
      </c>
      <c r="S8" s="320">
        <v>0</v>
      </c>
      <c r="T8" s="250">
        <v>0</v>
      </c>
      <c r="U8" s="250">
        <v>6076</v>
      </c>
      <c r="V8" s="250">
        <v>0</v>
      </c>
    </row>
    <row r="9" spans="1:22" s="22" customFormat="1" ht="40.5">
      <c r="B9" s="15">
        <f t="shared" ref="B9:B11" si="0">+B8+1</f>
        <v>2</v>
      </c>
      <c r="C9" s="249" t="s">
        <v>996</v>
      </c>
      <c r="D9" s="230">
        <v>1</v>
      </c>
      <c r="E9" s="250">
        <v>30656</v>
      </c>
      <c r="F9" s="254" t="s">
        <v>604</v>
      </c>
      <c r="G9" s="233">
        <v>40420</v>
      </c>
      <c r="H9" s="228" t="s">
        <v>160</v>
      </c>
      <c r="I9" s="270">
        <v>42611</v>
      </c>
      <c r="J9" s="242">
        <v>2192</v>
      </c>
      <c r="K9" s="242">
        <v>1310</v>
      </c>
      <c r="L9" s="242">
        <v>882</v>
      </c>
      <c r="M9" s="242">
        <v>1533</v>
      </c>
      <c r="N9" s="242">
        <v>11301</v>
      </c>
      <c r="O9" s="242">
        <v>0</v>
      </c>
      <c r="P9" s="242">
        <v>8157</v>
      </c>
      <c r="Q9" s="242">
        <v>517</v>
      </c>
      <c r="R9" s="242">
        <v>6624</v>
      </c>
      <c r="S9" s="320">
        <v>0</v>
      </c>
      <c r="T9" s="250">
        <v>0</v>
      </c>
      <c r="U9" s="250">
        <v>8157</v>
      </c>
      <c r="V9" s="250">
        <v>0</v>
      </c>
    </row>
    <row r="10" spans="1:22" s="22" customFormat="1" ht="27">
      <c r="B10" s="15">
        <f t="shared" si="0"/>
        <v>3</v>
      </c>
      <c r="C10" s="249" t="s">
        <v>2031</v>
      </c>
      <c r="D10" s="230">
        <v>2</v>
      </c>
      <c r="E10" s="250">
        <v>7000</v>
      </c>
      <c r="F10" s="254" t="s">
        <v>2022</v>
      </c>
      <c r="G10" s="233">
        <v>41333</v>
      </c>
      <c r="H10" s="228" t="s">
        <v>368</v>
      </c>
      <c r="I10" s="241">
        <v>0</v>
      </c>
      <c r="J10" s="241">
        <v>0</v>
      </c>
      <c r="K10" s="241">
        <v>0</v>
      </c>
      <c r="L10" s="241">
        <v>0</v>
      </c>
      <c r="M10" s="242">
        <v>0</v>
      </c>
      <c r="N10" s="242">
        <v>0</v>
      </c>
      <c r="O10" s="242">
        <v>0</v>
      </c>
      <c r="P10" s="242">
        <v>0</v>
      </c>
      <c r="Q10" s="242">
        <v>0</v>
      </c>
      <c r="R10" s="242">
        <v>-350</v>
      </c>
      <c r="S10" s="320">
        <v>0</v>
      </c>
      <c r="T10" s="250">
        <v>0</v>
      </c>
      <c r="U10" s="250">
        <v>0</v>
      </c>
      <c r="V10" s="250">
        <v>0</v>
      </c>
    </row>
    <row r="11" spans="1:22" s="22" customFormat="1">
      <c r="B11" s="15">
        <f t="shared" si="0"/>
        <v>4</v>
      </c>
      <c r="C11" s="249" t="s">
        <v>2033</v>
      </c>
      <c r="D11" s="230">
        <v>6</v>
      </c>
      <c r="E11" s="250">
        <f>2200*6</f>
        <v>13200</v>
      </c>
      <c r="F11" s="254" t="s">
        <v>2022</v>
      </c>
      <c r="G11" s="233">
        <v>41333</v>
      </c>
      <c r="H11" s="228" t="s">
        <v>368</v>
      </c>
      <c r="I11" s="241">
        <v>0</v>
      </c>
      <c r="J11" s="241">
        <v>0</v>
      </c>
      <c r="K11" s="241">
        <v>0</v>
      </c>
      <c r="L11" s="241">
        <v>0</v>
      </c>
      <c r="M11" s="242">
        <v>0</v>
      </c>
      <c r="N11" s="242">
        <v>0</v>
      </c>
      <c r="O11" s="242">
        <v>0</v>
      </c>
      <c r="P11" s="242">
        <v>0</v>
      </c>
      <c r="Q11" s="242">
        <v>0</v>
      </c>
      <c r="R11" s="242">
        <v>-660</v>
      </c>
      <c r="S11" s="320">
        <v>0</v>
      </c>
      <c r="T11" s="250">
        <v>0</v>
      </c>
      <c r="U11" s="250">
        <v>0</v>
      </c>
      <c r="V11" s="250">
        <v>0</v>
      </c>
    </row>
    <row r="12" spans="1:22" s="22" customFormat="1">
      <c r="B12" s="15">
        <f t="shared" ref="B12:B20" si="1">+B11+1</f>
        <v>5</v>
      </c>
      <c r="C12" s="249" t="s">
        <v>2032</v>
      </c>
      <c r="D12" s="230">
        <v>1</v>
      </c>
      <c r="E12" s="250">
        <v>5200</v>
      </c>
      <c r="F12" s="254" t="s">
        <v>2022</v>
      </c>
      <c r="G12" s="233">
        <v>41333</v>
      </c>
      <c r="H12" s="228" t="s">
        <v>368</v>
      </c>
      <c r="I12" s="270">
        <v>43523</v>
      </c>
      <c r="J12" s="242">
        <v>2191</v>
      </c>
      <c r="K12" s="242">
        <v>397</v>
      </c>
      <c r="L12" s="242">
        <v>1794</v>
      </c>
      <c r="M12" s="242">
        <v>260</v>
      </c>
      <c r="N12" s="242">
        <v>4023</v>
      </c>
      <c r="O12" s="242">
        <v>0</v>
      </c>
      <c r="P12" s="242">
        <v>3464</v>
      </c>
      <c r="Q12" s="242">
        <v>1429</v>
      </c>
      <c r="R12" s="242">
        <v>3204</v>
      </c>
      <c r="S12" s="320">
        <v>0</v>
      </c>
      <c r="T12" s="250">
        <v>0</v>
      </c>
      <c r="U12" s="250">
        <v>3464</v>
      </c>
      <c r="V12" s="250">
        <v>0</v>
      </c>
    </row>
    <row r="13" spans="1:22" s="22" customFormat="1" ht="27">
      <c r="B13" s="15">
        <f t="shared" si="1"/>
        <v>6</v>
      </c>
      <c r="C13" s="249" t="s">
        <v>2190</v>
      </c>
      <c r="D13" s="230">
        <v>1</v>
      </c>
      <c r="E13" s="250">
        <f>125758</f>
        <v>125758</v>
      </c>
      <c r="F13" s="254" t="s">
        <v>2189</v>
      </c>
      <c r="G13" s="233">
        <v>41404</v>
      </c>
      <c r="H13" s="228" t="s">
        <v>368</v>
      </c>
      <c r="I13" s="270">
        <v>43594</v>
      </c>
      <c r="J13" s="242">
        <v>2191</v>
      </c>
      <c r="K13" s="242">
        <v>326</v>
      </c>
      <c r="L13" s="242">
        <v>1865</v>
      </c>
      <c r="M13" s="242">
        <v>6288</v>
      </c>
      <c r="N13" s="242">
        <v>101263</v>
      </c>
      <c r="O13" s="242">
        <v>0</v>
      </c>
      <c r="P13" s="242">
        <v>87733</v>
      </c>
      <c r="Q13" s="242">
        <v>1500</v>
      </c>
      <c r="R13" s="242">
        <v>81445</v>
      </c>
      <c r="S13" s="320">
        <v>0</v>
      </c>
      <c r="T13" s="250">
        <v>0</v>
      </c>
      <c r="U13" s="250">
        <v>87733</v>
      </c>
      <c r="V13" s="250">
        <v>0</v>
      </c>
    </row>
    <row r="14" spans="1:22" s="22" customFormat="1">
      <c r="B14" s="15">
        <f t="shared" si="1"/>
        <v>7</v>
      </c>
      <c r="C14" s="249" t="s">
        <v>2219</v>
      </c>
      <c r="D14" s="230" t="s">
        <v>314</v>
      </c>
      <c r="E14" s="250">
        <v>5940</v>
      </c>
      <c r="F14" s="254" t="s">
        <v>2220</v>
      </c>
      <c r="G14" s="233">
        <v>41458</v>
      </c>
      <c r="H14" s="228" t="s">
        <v>368</v>
      </c>
      <c r="I14" s="270">
        <v>43648</v>
      </c>
      <c r="J14" s="242">
        <v>2191</v>
      </c>
      <c r="K14" s="242">
        <v>272</v>
      </c>
      <c r="L14" s="242">
        <v>1919</v>
      </c>
      <c r="M14" s="242">
        <v>297</v>
      </c>
      <c r="N14" s="242">
        <v>4925</v>
      </c>
      <c r="O14" s="242">
        <v>0</v>
      </c>
      <c r="P14" s="242">
        <v>4285</v>
      </c>
      <c r="Q14" s="242">
        <v>1554</v>
      </c>
      <c r="R14" s="242">
        <v>3988</v>
      </c>
      <c r="S14" s="320">
        <v>0</v>
      </c>
      <c r="T14" s="250">
        <v>0</v>
      </c>
      <c r="U14" s="250">
        <v>4285</v>
      </c>
      <c r="V14" s="250">
        <v>0</v>
      </c>
    </row>
    <row r="15" spans="1:22" s="22" customFormat="1">
      <c r="B15" s="15">
        <f t="shared" si="1"/>
        <v>8</v>
      </c>
      <c r="C15" s="249" t="s">
        <v>2250</v>
      </c>
      <c r="D15" s="230">
        <v>1</v>
      </c>
      <c r="E15" s="250">
        <v>5200</v>
      </c>
      <c r="F15" s="254" t="s">
        <v>2251</v>
      </c>
      <c r="G15" s="233">
        <v>41502</v>
      </c>
      <c r="H15" s="228" t="s">
        <v>368</v>
      </c>
      <c r="I15" s="270">
        <v>42597</v>
      </c>
      <c r="J15" s="242">
        <v>1096</v>
      </c>
      <c r="K15" s="242">
        <v>228</v>
      </c>
      <c r="L15" s="242">
        <v>868</v>
      </c>
      <c r="M15" s="242">
        <v>260</v>
      </c>
      <c r="N15" s="242">
        <v>4413</v>
      </c>
      <c r="O15" s="242">
        <v>0</v>
      </c>
      <c r="P15" s="242">
        <v>2817</v>
      </c>
      <c r="Q15" s="242">
        <v>503</v>
      </c>
      <c r="R15" s="242">
        <v>2557</v>
      </c>
      <c r="S15" s="320">
        <v>0</v>
      </c>
      <c r="T15" s="250">
        <v>0</v>
      </c>
      <c r="U15" s="250">
        <v>2817</v>
      </c>
      <c r="V15" s="250">
        <v>0</v>
      </c>
    </row>
    <row r="16" spans="1:22" s="22" customFormat="1" ht="40.5">
      <c r="B16" s="15">
        <f t="shared" si="1"/>
        <v>9</v>
      </c>
      <c r="C16" s="249" t="s">
        <v>2275</v>
      </c>
      <c r="D16" s="230" t="s">
        <v>314</v>
      </c>
      <c r="E16" s="250">
        <v>109988</v>
      </c>
      <c r="F16" s="254" t="s">
        <v>2276</v>
      </c>
      <c r="G16" s="233">
        <v>41563</v>
      </c>
      <c r="H16" s="228" t="s">
        <v>161</v>
      </c>
      <c r="I16" s="270">
        <v>43753</v>
      </c>
      <c r="J16" s="242">
        <v>2191</v>
      </c>
      <c r="K16" s="242">
        <v>167</v>
      </c>
      <c r="L16" s="242">
        <v>2024</v>
      </c>
      <c r="M16" s="242">
        <v>5499</v>
      </c>
      <c r="N16" s="242">
        <v>96332</v>
      </c>
      <c r="O16" s="242">
        <v>0</v>
      </c>
      <c r="P16" s="242">
        <v>84459</v>
      </c>
      <c r="Q16" s="242">
        <v>1659</v>
      </c>
      <c r="R16" s="242">
        <v>78960</v>
      </c>
      <c r="S16" s="320">
        <v>0</v>
      </c>
      <c r="T16" s="250">
        <v>0</v>
      </c>
      <c r="U16" s="250">
        <v>84459</v>
      </c>
      <c r="V16" s="250">
        <v>0</v>
      </c>
    </row>
    <row r="17" spans="2:22" s="22" customFormat="1" ht="54">
      <c r="B17" s="15">
        <f t="shared" si="1"/>
        <v>10</v>
      </c>
      <c r="C17" s="249" t="s">
        <v>2520</v>
      </c>
      <c r="D17" s="230" t="s">
        <v>887</v>
      </c>
      <c r="E17" s="250">
        <v>36480</v>
      </c>
      <c r="F17" s="379" t="s">
        <v>2521</v>
      </c>
      <c r="G17" s="233">
        <v>41895</v>
      </c>
      <c r="H17" s="228" t="s">
        <v>368</v>
      </c>
      <c r="I17" s="270">
        <v>44086</v>
      </c>
      <c r="J17" s="242">
        <v>2192</v>
      </c>
      <c r="K17" s="242">
        <v>0</v>
      </c>
      <c r="L17" s="242">
        <v>2192</v>
      </c>
      <c r="M17" s="242">
        <v>1824</v>
      </c>
      <c r="N17" s="242">
        <v>34656</v>
      </c>
      <c r="O17" s="242">
        <v>0</v>
      </c>
      <c r="P17" s="242">
        <v>33318</v>
      </c>
      <c r="Q17" s="242">
        <v>1992</v>
      </c>
      <c r="R17" s="242">
        <v>31494</v>
      </c>
      <c r="S17" s="320">
        <v>0</v>
      </c>
      <c r="T17" s="250">
        <v>0</v>
      </c>
      <c r="U17" s="250">
        <v>33318</v>
      </c>
      <c r="V17" s="250">
        <v>0</v>
      </c>
    </row>
    <row r="18" spans="2:22" s="22" customFormat="1" ht="40.5">
      <c r="B18" s="15">
        <f t="shared" si="1"/>
        <v>11</v>
      </c>
      <c r="C18" s="249" t="s">
        <v>2524</v>
      </c>
      <c r="D18" s="230" t="s">
        <v>314</v>
      </c>
      <c r="E18" s="250">
        <v>790239</v>
      </c>
      <c r="F18" s="249" t="s">
        <v>2526</v>
      </c>
      <c r="G18" s="233">
        <v>41892</v>
      </c>
      <c r="H18" s="228" t="s">
        <v>368</v>
      </c>
      <c r="I18" s="270">
        <v>44083</v>
      </c>
      <c r="J18" s="242">
        <v>2192</v>
      </c>
      <c r="K18" s="242">
        <v>0</v>
      </c>
      <c r="L18" s="242">
        <v>2192</v>
      </c>
      <c r="M18" s="242">
        <v>39512</v>
      </c>
      <c r="N18" s="242">
        <v>750727</v>
      </c>
      <c r="O18" s="242">
        <v>0</v>
      </c>
      <c r="P18" s="242">
        <v>721057</v>
      </c>
      <c r="Q18" s="242">
        <v>1990</v>
      </c>
      <c r="R18" s="242">
        <v>681545</v>
      </c>
      <c r="S18" s="320">
        <v>0</v>
      </c>
      <c r="T18" s="250">
        <v>0</v>
      </c>
      <c r="U18" s="250">
        <v>721057</v>
      </c>
      <c r="V18" s="250">
        <v>0</v>
      </c>
    </row>
    <row r="19" spans="2:22" s="22" customFormat="1" ht="27">
      <c r="B19" s="15">
        <f t="shared" si="1"/>
        <v>12</v>
      </c>
      <c r="C19" s="249" t="s">
        <v>2525</v>
      </c>
      <c r="D19" s="230" t="s">
        <v>314</v>
      </c>
      <c r="E19" s="250">
        <v>44832</v>
      </c>
      <c r="F19" s="249" t="s">
        <v>2526</v>
      </c>
      <c r="G19" s="233">
        <v>41892</v>
      </c>
      <c r="H19" s="228" t="s">
        <v>368</v>
      </c>
      <c r="I19" s="270">
        <v>44083</v>
      </c>
      <c r="J19" s="242">
        <v>2192</v>
      </c>
      <c r="K19" s="242">
        <v>0</v>
      </c>
      <c r="L19" s="242">
        <v>2192</v>
      </c>
      <c r="M19" s="242">
        <v>2242</v>
      </c>
      <c r="N19" s="242">
        <v>42590</v>
      </c>
      <c r="O19" s="242">
        <v>0</v>
      </c>
      <c r="P19" s="242">
        <v>40907</v>
      </c>
      <c r="Q19" s="242">
        <v>1990</v>
      </c>
      <c r="R19" s="242">
        <v>38665</v>
      </c>
      <c r="S19" s="320">
        <v>0</v>
      </c>
      <c r="T19" s="250">
        <v>0</v>
      </c>
      <c r="U19" s="250">
        <v>40907</v>
      </c>
      <c r="V19" s="250">
        <v>0</v>
      </c>
    </row>
    <row r="20" spans="2:22" s="22" customFormat="1" ht="54">
      <c r="B20" s="15">
        <f t="shared" si="1"/>
        <v>13</v>
      </c>
      <c r="C20" s="249" t="s">
        <v>2527</v>
      </c>
      <c r="D20" s="230" t="s">
        <v>314</v>
      </c>
      <c r="E20" s="250">
        <f>393750+20224</f>
        <v>413974</v>
      </c>
      <c r="F20" s="249" t="s">
        <v>2528</v>
      </c>
      <c r="G20" s="233">
        <v>41892</v>
      </c>
      <c r="H20" s="228" t="s">
        <v>368</v>
      </c>
      <c r="I20" s="270">
        <v>44083</v>
      </c>
      <c r="J20" s="242">
        <v>2192</v>
      </c>
      <c r="K20" s="242">
        <v>0</v>
      </c>
      <c r="L20" s="242">
        <v>2192</v>
      </c>
      <c r="M20" s="242">
        <v>20699</v>
      </c>
      <c r="N20" s="242">
        <v>393275</v>
      </c>
      <c r="O20" s="242">
        <v>0</v>
      </c>
      <c r="P20" s="242">
        <v>377732</v>
      </c>
      <c r="Q20" s="242">
        <v>1990</v>
      </c>
      <c r="R20" s="242">
        <v>357033</v>
      </c>
      <c r="S20" s="320">
        <v>0</v>
      </c>
      <c r="T20" s="250">
        <v>0</v>
      </c>
      <c r="U20" s="250">
        <v>377732</v>
      </c>
      <c r="V20" s="250">
        <v>0</v>
      </c>
    </row>
    <row r="21" spans="2:22" s="22" customFormat="1">
      <c r="B21" s="15">
        <v>14</v>
      </c>
      <c r="C21" s="279" t="s">
        <v>2141</v>
      </c>
      <c r="D21" s="308">
        <v>1</v>
      </c>
      <c r="E21" s="337">
        <v>9912</v>
      </c>
      <c r="F21" s="310" t="s">
        <v>4096</v>
      </c>
      <c r="G21" s="233">
        <v>43095</v>
      </c>
      <c r="H21" s="279" t="s">
        <v>368</v>
      </c>
      <c r="I21" s="270">
        <v>45285</v>
      </c>
      <c r="J21" s="242">
        <v>2191</v>
      </c>
      <c r="K21" s="242">
        <v>0</v>
      </c>
      <c r="L21" s="242">
        <v>2191</v>
      </c>
      <c r="M21" s="242">
        <v>496</v>
      </c>
      <c r="N21" s="242">
        <v>9416</v>
      </c>
      <c r="O21" s="242"/>
      <c r="P21" s="242">
        <v>9912</v>
      </c>
      <c r="Q21" s="242">
        <v>2191</v>
      </c>
      <c r="R21" s="242">
        <v>9416</v>
      </c>
      <c r="S21" s="320">
        <v>0</v>
      </c>
      <c r="T21" s="250">
        <v>0</v>
      </c>
      <c r="U21" s="250">
        <v>9912</v>
      </c>
      <c r="V21" s="250">
        <v>0</v>
      </c>
    </row>
    <row r="22" spans="2:22" s="22" customFormat="1" ht="40.5">
      <c r="B22" s="15">
        <v>15</v>
      </c>
      <c r="C22" s="279" t="s">
        <v>4406</v>
      </c>
      <c r="D22" s="308">
        <v>1</v>
      </c>
      <c r="E22" s="337">
        <f>891278</f>
        <v>891278</v>
      </c>
      <c r="F22" s="310" t="s">
        <v>4407</v>
      </c>
      <c r="G22" s="233">
        <v>43556</v>
      </c>
      <c r="H22" s="279" t="s">
        <v>368</v>
      </c>
      <c r="I22" s="270">
        <v>45747</v>
      </c>
      <c r="J22" s="242">
        <v>2192</v>
      </c>
      <c r="K22" s="242">
        <v>0</v>
      </c>
      <c r="L22" s="242">
        <v>2192</v>
      </c>
      <c r="M22" s="242">
        <v>44564</v>
      </c>
      <c r="N22" s="242">
        <v>846714</v>
      </c>
      <c r="O22" s="242"/>
      <c r="P22" s="242">
        <v>891278</v>
      </c>
      <c r="Q22" s="242">
        <v>2192</v>
      </c>
      <c r="R22" s="242">
        <v>846714</v>
      </c>
      <c r="S22" s="320">
        <v>365</v>
      </c>
      <c r="T22" s="250">
        <v>140990</v>
      </c>
      <c r="U22" s="250">
        <v>422970</v>
      </c>
      <c r="V22" s="250">
        <v>468308</v>
      </c>
    </row>
    <row r="23" spans="2:22" s="22" customFormat="1" ht="40.5">
      <c r="B23" s="15">
        <v>16</v>
      </c>
      <c r="C23" s="279" t="s">
        <v>4406</v>
      </c>
      <c r="D23" s="308">
        <v>1</v>
      </c>
      <c r="E23" s="337">
        <v>390816</v>
      </c>
      <c r="F23" s="310" t="s">
        <v>4408</v>
      </c>
      <c r="G23" s="233">
        <v>43556</v>
      </c>
      <c r="H23" s="279" t="s">
        <v>368</v>
      </c>
      <c r="I23" s="270">
        <v>45747</v>
      </c>
      <c r="J23" s="242">
        <v>2192</v>
      </c>
      <c r="K23" s="242">
        <v>0</v>
      </c>
      <c r="L23" s="242">
        <v>2192</v>
      </c>
      <c r="M23" s="242">
        <v>19541</v>
      </c>
      <c r="N23" s="242">
        <v>371275</v>
      </c>
      <c r="O23" s="242"/>
      <c r="P23" s="242">
        <v>390816</v>
      </c>
      <c r="Q23" s="242">
        <v>2192</v>
      </c>
      <c r="R23" s="242">
        <v>371275</v>
      </c>
      <c r="S23" s="320">
        <v>365</v>
      </c>
      <c r="T23" s="250">
        <v>61823</v>
      </c>
      <c r="U23" s="250">
        <v>185469</v>
      </c>
      <c r="V23" s="250">
        <v>205347</v>
      </c>
    </row>
    <row r="24" spans="2:22" s="22" customFormat="1">
      <c r="B24" s="15"/>
      <c r="C24" s="249"/>
      <c r="D24" s="230"/>
      <c r="E24" s="250"/>
      <c r="F24" s="249"/>
      <c r="G24" s="233"/>
      <c r="H24" s="228"/>
      <c r="I24" s="270"/>
      <c r="J24" s="242"/>
      <c r="K24" s="242"/>
      <c r="L24" s="242"/>
      <c r="M24" s="242"/>
      <c r="N24" s="242"/>
      <c r="O24" s="242"/>
      <c r="P24" s="242">
        <v>0</v>
      </c>
      <c r="Q24" s="242"/>
      <c r="R24" s="242"/>
      <c r="S24" s="320"/>
      <c r="T24" s="250"/>
      <c r="U24" s="250"/>
      <c r="V24" s="250"/>
    </row>
    <row r="25" spans="2:22" s="22" customFormat="1" ht="14.25">
      <c r="B25" s="32" t="s">
        <v>1084</v>
      </c>
      <c r="C25" s="228"/>
      <c r="D25" s="230"/>
      <c r="E25" s="250"/>
      <c r="F25" s="253"/>
      <c r="G25" s="230"/>
      <c r="H25" s="228"/>
      <c r="I25" s="228"/>
      <c r="J25" s="228"/>
      <c r="K25" s="228"/>
      <c r="L25" s="228"/>
      <c r="M25" s="228"/>
      <c r="N25" s="228"/>
      <c r="O25" s="242"/>
      <c r="P25" s="242"/>
      <c r="Q25" s="228"/>
      <c r="R25" s="228"/>
      <c r="S25" s="250"/>
      <c r="T25" s="250"/>
      <c r="U25" s="250"/>
      <c r="V25" s="250"/>
    </row>
    <row r="26" spans="2:22" s="22" customFormat="1" ht="27">
      <c r="B26" s="15">
        <v>1</v>
      </c>
      <c r="C26" s="249" t="s">
        <v>825</v>
      </c>
      <c r="D26" s="230">
        <v>15</v>
      </c>
      <c r="E26" s="250">
        <v>422136</v>
      </c>
      <c r="F26" s="379">
        <v>153205</v>
      </c>
      <c r="G26" s="233">
        <v>39786</v>
      </c>
      <c r="H26" s="228" t="s">
        <v>282</v>
      </c>
      <c r="I26" s="270">
        <v>40880</v>
      </c>
      <c r="J26" s="242">
        <v>1095</v>
      </c>
      <c r="K26" s="242">
        <v>1944</v>
      </c>
      <c r="L26" s="242">
        <v>-849</v>
      </c>
      <c r="M26" s="242">
        <v>0</v>
      </c>
      <c r="N26" s="242">
        <v>0</v>
      </c>
      <c r="O26" s="242">
        <v>57869.991833424661</v>
      </c>
      <c r="P26" s="242">
        <v>0</v>
      </c>
      <c r="Q26" s="242">
        <v>-849</v>
      </c>
      <c r="R26" s="242">
        <v>-21107</v>
      </c>
      <c r="S26" s="320">
        <v>0</v>
      </c>
      <c r="T26" s="250">
        <v>0</v>
      </c>
      <c r="U26" s="250">
        <v>0</v>
      </c>
      <c r="V26" s="250">
        <v>0</v>
      </c>
    </row>
    <row r="27" spans="2:22" s="22" customFormat="1">
      <c r="B27" s="15">
        <f>+B26+1</f>
        <v>2</v>
      </c>
      <c r="C27" s="249" t="s">
        <v>826</v>
      </c>
      <c r="D27" s="230">
        <v>15</v>
      </c>
      <c r="E27" s="250">
        <v>474903</v>
      </c>
      <c r="F27" s="379">
        <v>229482</v>
      </c>
      <c r="G27" s="233">
        <v>39975</v>
      </c>
      <c r="H27" s="228" t="s">
        <v>602</v>
      </c>
      <c r="I27" s="270">
        <v>41070</v>
      </c>
      <c r="J27" s="242">
        <v>1096</v>
      </c>
      <c r="K27" s="242">
        <v>1755</v>
      </c>
      <c r="L27" s="242">
        <v>-659</v>
      </c>
      <c r="M27" s="242">
        <v>0</v>
      </c>
      <c r="N27" s="242">
        <v>0</v>
      </c>
      <c r="O27" s="242">
        <v>104966</v>
      </c>
      <c r="P27" s="242">
        <v>0</v>
      </c>
      <c r="Q27" s="242">
        <v>-659</v>
      </c>
      <c r="R27" s="242">
        <v>-23745</v>
      </c>
      <c r="S27" s="320">
        <v>0</v>
      </c>
      <c r="T27" s="250">
        <v>0</v>
      </c>
      <c r="U27" s="250">
        <v>0</v>
      </c>
      <c r="V27" s="250">
        <v>0</v>
      </c>
    </row>
    <row r="28" spans="2:22" s="22" customFormat="1">
      <c r="B28" s="15">
        <f t="shared" ref="B28:B85" si="2">+B27+1</f>
        <v>3</v>
      </c>
      <c r="C28" s="249" t="s">
        <v>2822</v>
      </c>
      <c r="D28" s="230">
        <v>1</v>
      </c>
      <c r="E28" s="250">
        <v>240211</v>
      </c>
      <c r="F28" s="379" t="s">
        <v>827</v>
      </c>
      <c r="G28" s="233">
        <v>40037</v>
      </c>
      <c r="H28" s="228" t="s">
        <v>602</v>
      </c>
      <c r="I28" s="270">
        <v>42227</v>
      </c>
      <c r="J28" s="242">
        <v>2191</v>
      </c>
      <c r="K28" s="242">
        <v>1693</v>
      </c>
      <c r="L28" s="242">
        <v>498</v>
      </c>
      <c r="M28" s="242">
        <v>12011</v>
      </c>
      <c r="N28" s="242">
        <v>47697</v>
      </c>
      <c r="O28" s="242">
        <v>0</v>
      </c>
      <c r="P28" s="242">
        <v>24749</v>
      </c>
      <c r="Q28" s="242">
        <v>133</v>
      </c>
      <c r="R28" s="242">
        <v>12738</v>
      </c>
      <c r="S28" s="320">
        <v>0</v>
      </c>
      <c r="T28" s="250">
        <v>0</v>
      </c>
      <c r="U28" s="250">
        <v>24749</v>
      </c>
      <c r="V28" s="250">
        <v>0</v>
      </c>
    </row>
    <row r="29" spans="2:22" s="22" customFormat="1">
      <c r="B29" s="15">
        <f t="shared" si="2"/>
        <v>4</v>
      </c>
      <c r="C29" s="249" t="s">
        <v>828</v>
      </c>
      <c r="D29" s="230">
        <v>35</v>
      </c>
      <c r="E29" s="250">
        <v>1108107</v>
      </c>
      <c r="F29" s="379">
        <v>263292</v>
      </c>
      <c r="G29" s="233">
        <v>40037</v>
      </c>
      <c r="H29" s="228" t="s">
        <v>602</v>
      </c>
      <c r="I29" s="270">
        <v>41132</v>
      </c>
      <c r="J29" s="242">
        <v>1096</v>
      </c>
      <c r="K29" s="242">
        <v>1693</v>
      </c>
      <c r="L29" s="242">
        <v>-597</v>
      </c>
      <c r="M29" s="242">
        <v>0</v>
      </c>
      <c r="N29" s="242">
        <v>0</v>
      </c>
      <c r="O29" s="242">
        <v>275439</v>
      </c>
      <c r="P29" s="242">
        <v>0</v>
      </c>
      <c r="Q29" s="242">
        <v>-597</v>
      </c>
      <c r="R29" s="242">
        <v>-55405</v>
      </c>
      <c r="S29" s="320">
        <v>0</v>
      </c>
      <c r="T29" s="250">
        <v>0</v>
      </c>
      <c r="U29" s="250">
        <v>0</v>
      </c>
      <c r="V29" s="250">
        <v>0</v>
      </c>
    </row>
    <row r="30" spans="2:22" s="22" customFormat="1">
      <c r="B30" s="15">
        <f t="shared" si="2"/>
        <v>5</v>
      </c>
      <c r="C30" s="249" t="s">
        <v>828</v>
      </c>
      <c r="D30" s="230">
        <v>70</v>
      </c>
      <c r="E30" s="250">
        <v>2216214</v>
      </c>
      <c r="F30" s="379">
        <v>285656</v>
      </c>
      <c r="G30" s="233">
        <v>40086</v>
      </c>
      <c r="H30" s="228" t="s">
        <v>895</v>
      </c>
      <c r="I30" s="270">
        <v>41181</v>
      </c>
      <c r="J30" s="242">
        <v>1096</v>
      </c>
      <c r="K30" s="242">
        <v>1644</v>
      </c>
      <c r="L30" s="242">
        <v>-548</v>
      </c>
      <c r="M30" s="242">
        <v>0</v>
      </c>
      <c r="N30" s="242">
        <v>0</v>
      </c>
      <c r="O30" s="242">
        <v>599106</v>
      </c>
      <c r="P30" s="242">
        <v>0</v>
      </c>
      <c r="Q30" s="242">
        <v>-548</v>
      </c>
      <c r="R30" s="242">
        <v>-110811</v>
      </c>
      <c r="S30" s="320">
        <v>0</v>
      </c>
      <c r="T30" s="250">
        <v>0</v>
      </c>
      <c r="U30" s="250">
        <v>0</v>
      </c>
      <c r="V30" s="250">
        <v>0</v>
      </c>
    </row>
    <row r="31" spans="2:22" s="22" customFormat="1">
      <c r="B31" s="15">
        <f t="shared" si="2"/>
        <v>6</v>
      </c>
      <c r="C31" s="249" t="s">
        <v>1349</v>
      </c>
      <c r="D31" s="230">
        <v>4</v>
      </c>
      <c r="E31" s="250">
        <v>285196</v>
      </c>
      <c r="F31" s="379">
        <v>377424</v>
      </c>
      <c r="G31" s="233">
        <v>40187</v>
      </c>
      <c r="H31" s="228" t="s">
        <v>602</v>
      </c>
      <c r="I31" s="270">
        <v>41282</v>
      </c>
      <c r="J31" s="242">
        <v>1096</v>
      </c>
      <c r="K31" s="242">
        <v>1543</v>
      </c>
      <c r="L31" s="242">
        <v>-447</v>
      </c>
      <c r="M31" s="242">
        <v>0</v>
      </c>
      <c r="N31" s="242">
        <v>0</v>
      </c>
      <c r="O31" s="242">
        <v>89889</v>
      </c>
      <c r="P31" s="242">
        <v>0</v>
      </c>
      <c r="Q31" s="242">
        <v>-447</v>
      </c>
      <c r="R31" s="242">
        <v>-14260</v>
      </c>
      <c r="S31" s="320">
        <v>0</v>
      </c>
      <c r="T31" s="250">
        <v>0</v>
      </c>
      <c r="U31" s="250">
        <v>0</v>
      </c>
      <c r="V31" s="250">
        <v>0</v>
      </c>
    </row>
    <row r="32" spans="2:22" s="22" customFormat="1">
      <c r="B32" s="15">
        <f t="shared" si="2"/>
        <v>7</v>
      </c>
      <c r="C32" s="249" t="s">
        <v>1348</v>
      </c>
      <c r="D32" s="230">
        <v>2</v>
      </c>
      <c r="E32" s="250">
        <v>156087</v>
      </c>
      <c r="F32" s="379" t="s">
        <v>916</v>
      </c>
      <c r="G32" s="233">
        <v>40201</v>
      </c>
      <c r="H32" s="228" t="s">
        <v>602</v>
      </c>
      <c r="I32" s="270">
        <v>41296</v>
      </c>
      <c r="J32" s="242">
        <v>1096</v>
      </c>
      <c r="K32" s="242">
        <v>1529</v>
      </c>
      <c r="L32" s="242">
        <v>-433</v>
      </c>
      <c r="M32" s="242">
        <v>0</v>
      </c>
      <c r="N32" s="242">
        <v>0</v>
      </c>
      <c r="O32" s="242">
        <v>50166</v>
      </c>
      <c r="P32" s="242">
        <v>0</v>
      </c>
      <c r="Q32" s="242">
        <v>-433</v>
      </c>
      <c r="R32" s="242">
        <v>-7804</v>
      </c>
      <c r="S32" s="320">
        <v>0</v>
      </c>
      <c r="T32" s="250">
        <v>0</v>
      </c>
      <c r="U32" s="250">
        <v>0</v>
      </c>
      <c r="V32" s="250">
        <v>0</v>
      </c>
    </row>
    <row r="33" spans="2:22" s="22" customFormat="1" ht="27">
      <c r="B33" s="15">
        <f t="shared" si="2"/>
        <v>8</v>
      </c>
      <c r="C33" s="249" t="s">
        <v>1347</v>
      </c>
      <c r="D33" s="230">
        <v>10</v>
      </c>
      <c r="E33" s="250">
        <v>354486</v>
      </c>
      <c r="F33" s="379" t="s">
        <v>1020</v>
      </c>
      <c r="G33" s="233">
        <v>40245</v>
      </c>
      <c r="H33" s="228" t="s">
        <v>602</v>
      </c>
      <c r="I33" s="270">
        <v>41340</v>
      </c>
      <c r="J33" s="242">
        <v>1096</v>
      </c>
      <c r="K33" s="242">
        <v>1485</v>
      </c>
      <c r="L33" s="242">
        <v>-389</v>
      </c>
      <c r="M33" s="242">
        <v>0</v>
      </c>
      <c r="N33" s="242">
        <v>0</v>
      </c>
      <c r="O33" s="242">
        <v>120859</v>
      </c>
      <c r="P33" s="242">
        <v>0</v>
      </c>
      <c r="Q33" s="242">
        <v>-389</v>
      </c>
      <c r="R33" s="242">
        <v>-17724</v>
      </c>
      <c r="S33" s="320">
        <v>0</v>
      </c>
      <c r="T33" s="250">
        <v>0</v>
      </c>
      <c r="U33" s="250">
        <v>0</v>
      </c>
      <c r="V33" s="250">
        <v>0</v>
      </c>
    </row>
    <row r="34" spans="2:22" s="22" customFormat="1">
      <c r="B34" s="15">
        <f t="shared" si="2"/>
        <v>9</v>
      </c>
      <c r="C34" s="249" t="s">
        <v>1346</v>
      </c>
      <c r="D34" s="230">
        <v>25</v>
      </c>
      <c r="E34" s="250">
        <v>886215</v>
      </c>
      <c r="F34" s="379" t="s">
        <v>727</v>
      </c>
      <c r="G34" s="233">
        <v>40242</v>
      </c>
      <c r="H34" s="228" t="s">
        <v>368</v>
      </c>
      <c r="I34" s="270">
        <v>41337</v>
      </c>
      <c r="J34" s="242">
        <v>1096</v>
      </c>
      <c r="K34" s="242">
        <v>1488</v>
      </c>
      <c r="L34" s="242">
        <v>-392</v>
      </c>
      <c r="M34" s="242">
        <v>0</v>
      </c>
      <c r="N34" s="242">
        <v>0</v>
      </c>
      <c r="O34" s="242">
        <v>300967</v>
      </c>
      <c r="P34" s="242">
        <v>0</v>
      </c>
      <c r="Q34" s="242">
        <v>-392</v>
      </c>
      <c r="R34" s="242">
        <v>-44311</v>
      </c>
      <c r="S34" s="320">
        <v>0</v>
      </c>
      <c r="T34" s="250">
        <v>0</v>
      </c>
      <c r="U34" s="250">
        <v>0</v>
      </c>
      <c r="V34" s="250">
        <v>0</v>
      </c>
    </row>
    <row r="35" spans="2:22" s="22" customFormat="1">
      <c r="B35" s="15">
        <f t="shared" si="2"/>
        <v>10</v>
      </c>
      <c r="C35" s="249" t="s">
        <v>1345</v>
      </c>
      <c r="D35" s="230">
        <f>2-1</f>
        <v>1</v>
      </c>
      <c r="E35" s="250">
        <f>164020/2</f>
        <v>82010</v>
      </c>
      <c r="F35" s="379" t="s">
        <v>728</v>
      </c>
      <c r="G35" s="233">
        <v>40262</v>
      </c>
      <c r="H35" s="228" t="s">
        <v>895</v>
      </c>
      <c r="I35" s="270">
        <v>41357</v>
      </c>
      <c r="J35" s="242">
        <v>1096</v>
      </c>
      <c r="K35" s="242">
        <v>1468</v>
      </c>
      <c r="L35" s="242">
        <v>-372</v>
      </c>
      <c r="M35" s="242">
        <v>0</v>
      </c>
      <c r="N35" s="242">
        <v>0</v>
      </c>
      <c r="O35" s="242">
        <v>28578.5</v>
      </c>
      <c r="P35" s="242">
        <v>0</v>
      </c>
      <c r="Q35" s="242">
        <v>-372</v>
      </c>
      <c r="R35" s="242">
        <v>-4101</v>
      </c>
      <c r="S35" s="320">
        <v>0</v>
      </c>
      <c r="T35" s="250">
        <v>0</v>
      </c>
      <c r="U35" s="250">
        <v>0</v>
      </c>
      <c r="V35" s="250">
        <v>0</v>
      </c>
    </row>
    <row r="36" spans="2:22" s="22" customFormat="1" ht="27">
      <c r="B36" s="15">
        <f t="shared" si="2"/>
        <v>11</v>
      </c>
      <c r="C36" s="249" t="s">
        <v>696</v>
      </c>
      <c r="D36" s="230">
        <v>20</v>
      </c>
      <c r="E36" s="250">
        <v>805190</v>
      </c>
      <c r="F36" s="379" t="s">
        <v>932</v>
      </c>
      <c r="G36" s="233">
        <v>40428</v>
      </c>
      <c r="H36" s="228" t="s">
        <v>160</v>
      </c>
      <c r="I36" s="270">
        <v>41523</v>
      </c>
      <c r="J36" s="242">
        <v>1096</v>
      </c>
      <c r="K36" s="242">
        <v>1302</v>
      </c>
      <c r="L36" s="242">
        <v>-206</v>
      </c>
      <c r="M36" s="242">
        <v>0</v>
      </c>
      <c r="N36" s="242">
        <v>0</v>
      </c>
      <c r="O36" s="242">
        <v>340319</v>
      </c>
      <c r="P36" s="242">
        <v>0</v>
      </c>
      <c r="Q36" s="242">
        <v>-206</v>
      </c>
      <c r="R36" s="242">
        <v>-40260</v>
      </c>
      <c r="S36" s="320">
        <v>0</v>
      </c>
      <c r="T36" s="250">
        <v>0</v>
      </c>
      <c r="U36" s="250">
        <v>0</v>
      </c>
      <c r="V36" s="250">
        <v>0</v>
      </c>
    </row>
    <row r="37" spans="2:22" s="22" customFormat="1" ht="27">
      <c r="B37" s="15">
        <f t="shared" si="2"/>
        <v>12</v>
      </c>
      <c r="C37" s="249" t="s">
        <v>933</v>
      </c>
      <c r="D37" s="230">
        <v>2</v>
      </c>
      <c r="E37" s="250">
        <v>141864</v>
      </c>
      <c r="F37" s="379" t="s">
        <v>934</v>
      </c>
      <c r="G37" s="233">
        <v>40428</v>
      </c>
      <c r="H37" s="228" t="s">
        <v>160</v>
      </c>
      <c r="I37" s="270">
        <v>41523</v>
      </c>
      <c r="J37" s="242">
        <v>1096</v>
      </c>
      <c r="K37" s="242">
        <v>1302</v>
      </c>
      <c r="L37" s="242">
        <v>-206</v>
      </c>
      <c r="M37" s="242">
        <v>0</v>
      </c>
      <c r="N37" s="242">
        <v>0</v>
      </c>
      <c r="O37" s="242">
        <v>59961</v>
      </c>
      <c r="P37" s="242">
        <v>0</v>
      </c>
      <c r="Q37" s="242">
        <v>-206</v>
      </c>
      <c r="R37" s="242">
        <v>-7093</v>
      </c>
      <c r="S37" s="320">
        <v>0</v>
      </c>
      <c r="T37" s="250">
        <v>0</v>
      </c>
      <c r="U37" s="250">
        <v>0</v>
      </c>
      <c r="V37" s="250">
        <v>0</v>
      </c>
    </row>
    <row r="38" spans="2:22" s="22" customFormat="1" ht="54.75">
      <c r="B38" s="15">
        <f t="shared" si="2"/>
        <v>13</v>
      </c>
      <c r="C38" s="249" t="s">
        <v>2823</v>
      </c>
      <c r="D38" s="230">
        <v>1</v>
      </c>
      <c r="E38" s="250">
        <v>273820</v>
      </c>
      <c r="F38" s="379" t="s">
        <v>42</v>
      </c>
      <c r="G38" s="233">
        <v>40508</v>
      </c>
      <c r="H38" s="228" t="s">
        <v>282</v>
      </c>
      <c r="I38" s="270">
        <v>42699</v>
      </c>
      <c r="J38" s="242">
        <v>2192</v>
      </c>
      <c r="K38" s="242">
        <v>1222</v>
      </c>
      <c r="L38" s="242">
        <v>970</v>
      </c>
      <c r="M38" s="242">
        <v>13691</v>
      </c>
      <c r="N38" s="242">
        <v>111648</v>
      </c>
      <c r="O38" s="242">
        <v>0</v>
      </c>
      <c r="P38" s="242">
        <v>83327</v>
      </c>
      <c r="Q38" s="242">
        <v>605</v>
      </c>
      <c r="R38" s="242">
        <v>69636</v>
      </c>
      <c r="S38" s="320">
        <v>0</v>
      </c>
      <c r="T38" s="250">
        <v>0</v>
      </c>
      <c r="U38" s="250">
        <v>83327</v>
      </c>
      <c r="V38" s="250">
        <v>0</v>
      </c>
    </row>
    <row r="39" spans="2:22" s="22" customFormat="1" ht="27">
      <c r="B39" s="15">
        <f t="shared" si="2"/>
        <v>14</v>
      </c>
      <c r="C39" s="249" t="s">
        <v>795</v>
      </c>
      <c r="D39" s="230">
        <v>35</v>
      </c>
      <c r="E39" s="250">
        <v>1465060</v>
      </c>
      <c r="F39" s="379" t="s">
        <v>796</v>
      </c>
      <c r="G39" s="233">
        <v>40521</v>
      </c>
      <c r="H39" s="228" t="s">
        <v>368</v>
      </c>
      <c r="I39" s="270">
        <v>41616</v>
      </c>
      <c r="J39" s="242">
        <v>1096</v>
      </c>
      <c r="K39" s="242">
        <v>1209</v>
      </c>
      <c r="L39" s="242">
        <v>-113</v>
      </c>
      <c r="M39" s="242">
        <v>0</v>
      </c>
      <c r="N39" s="242">
        <v>0</v>
      </c>
      <c r="O39" s="242">
        <v>679079</v>
      </c>
      <c r="P39" s="242">
        <v>0</v>
      </c>
      <c r="Q39" s="242">
        <v>-113</v>
      </c>
      <c r="R39" s="242">
        <v>-73253</v>
      </c>
      <c r="S39" s="320">
        <v>0</v>
      </c>
      <c r="T39" s="250">
        <v>0</v>
      </c>
      <c r="U39" s="250">
        <v>0</v>
      </c>
      <c r="V39" s="250">
        <v>0</v>
      </c>
    </row>
    <row r="40" spans="2:22" s="22" customFormat="1" ht="27">
      <c r="B40" s="15">
        <f t="shared" si="2"/>
        <v>15</v>
      </c>
      <c r="C40" s="249" t="s">
        <v>2824</v>
      </c>
      <c r="D40" s="230">
        <v>1</v>
      </c>
      <c r="E40" s="250">
        <v>291046</v>
      </c>
      <c r="F40" s="379" t="s">
        <v>384</v>
      </c>
      <c r="G40" s="233">
        <v>40530</v>
      </c>
      <c r="H40" s="239" t="s">
        <v>4365</v>
      </c>
      <c r="I40" s="270">
        <v>42721</v>
      </c>
      <c r="J40" s="242">
        <v>2192</v>
      </c>
      <c r="K40" s="242">
        <v>1200</v>
      </c>
      <c r="L40" s="242">
        <v>992</v>
      </c>
      <c r="M40" s="242">
        <v>14552</v>
      </c>
      <c r="N40" s="242">
        <v>121515</v>
      </c>
      <c r="O40" s="242">
        <v>0</v>
      </c>
      <c r="P40" s="242">
        <v>91356</v>
      </c>
      <c r="Q40" s="242">
        <v>627</v>
      </c>
      <c r="R40" s="242">
        <v>76804</v>
      </c>
      <c r="S40" s="320">
        <v>0</v>
      </c>
      <c r="T40" s="250">
        <v>0</v>
      </c>
      <c r="U40" s="250">
        <v>91356</v>
      </c>
      <c r="V40" s="250">
        <v>0</v>
      </c>
    </row>
    <row r="41" spans="2:22" s="22" customFormat="1" ht="27">
      <c r="B41" s="15">
        <f t="shared" si="2"/>
        <v>16</v>
      </c>
      <c r="C41" s="249" t="s">
        <v>443</v>
      </c>
      <c r="D41" s="230">
        <v>10</v>
      </c>
      <c r="E41" s="250">
        <v>697718</v>
      </c>
      <c r="F41" s="379" t="s">
        <v>442</v>
      </c>
      <c r="G41" s="233">
        <v>40539</v>
      </c>
      <c r="H41" s="228" t="s">
        <v>368</v>
      </c>
      <c r="I41" s="270">
        <v>41634</v>
      </c>
      <c r="J41" s="242">
        <v>1096</v>
      </c>
      <c r="K41" s="242">
        <v>1191</v>
      </c>
      <c r="L41" s="242">
        <v>-95</v>
      </c>
      <c r="M41" s="242">
        <v>0</v>
      </c>
      <c r="N41" s="242">
        <v>0</v>
      </c>
      <c r="O41" s="242">
        <v>328979</v>
      </c>
      <c r="P41" s="242">
        <v>0</v>
      </c>
      <c r="Q41" s="242">
        <v>-95</v>
      </c>
      <c r="R41" s="242">
        <v>-34886</v>
      </c>
      <c r="S41" s="320">
        <v>0</v>
      </c>
      <c r="T41" s="250">
        <v>0</v>
      </c>
      <c r="U41" s="250">
        <v>0</v>
      </c>
      <c r="V41" s="250">
        <v>0</v>
      </c>
    </row>
    <row r="42" spans="2:22" s="22" customFormat="1" ht="27">
      <c r="B42" s="15">
        <f t="shared" si="2"/>
        <v>17</v>
      </c>
      <c r="C42" s="249" t="s">
        <v>444</v>
      </c>
      <c r="D42" s="230">
        <f t="shared" ref="D42:D45" si="3">5-4</f>
        <v>1</v>
      </c>
      <c r="E42" s="250">
        <f>+ROUND(314407/5,)+1</f>
        <v>62882</v>
      </c>
      <c r="F42" s="379" t="s">
        <v>3846</v>
      </c>
      <c r="G42" s="233">
        <v>40539</v>
      </c>
      <c r="H42" s="228" t="s">
        <v>368</v>
      </c>
      <c r="I42" s="270">
        <v>41634</v>
      </c>
      <c r="J42" s="242">
        <v>1096</v>
      </c>
      <c r="K42" s="242">
        <v>1191</v>
      </c>
      <c r="L42" s="242">
        <v>-95</v>
      </c>
      <c r="M42" s="242">
        <v>0</v>
      </c>
      <c r="N42" s="242">
        <v>0</v>
      </c>
      <c r="O42" s="242">
        <v>29650</v>
      </c>
      <c r="P42" s="242">
        <v>-1</v>
      </c>
      <c r="Q42" s="242">
        <v>-95</v>
      </c>
      <c r="R42" s="242">
        <v>-3144</v>
      </c>
      <c r="S42" s="320">
        <v>0</v>
      </c>
      <c r="T42" s="250">
        <v>0</v>
      </c>
      <c r="U42" s="250">
        <v>0</v>
      </c>
      <c r="V42" s="250">
        <v>0</v>
      </c>
    </row>
    <row r="43" spans="2:22" s="22" customFormat="1" ht="27">
      <c r="B43" s="15">
        <f t="shared" si="2"/>
        <v>18</v>
      </c>
      <c r="C43" s="249" t="s">
        <v>444</v>
      </c>
      <c r="D43" s="230">
        <f t="shared" si="3"/>
        <v>1</v>
      </c>
      <c r="E43" s="250">
        <f>+ROUND(314407/5,)+1</f>
        <v>62882</v>
      </c>
      <c r="F43" s="379" t="s">
        <v>3846</v>
      </c>
      <c r="G43" s="233">
        <v>40539</v>
      </c>
      <c r="H43" s="228" t="s">
        <v>368</v>
      </c>
      <c r="I43" s="270">
        <v>41634</v>
      </c>
      <c r="J43" s="242">
        <v>1096</v>
      </c>
      <c r="K43" s="242">
        <v>1191</v>
      </c>
      <c r="L43" s="242">
        <v>-95</v>
      </c>
      <c r="M43" s="242">
        <v>0</v>
      </c>
      <c r="N43" s="242">
        <v>0</v>
      </c>
      <c r="O43" s="242">
        <v>29649</v>
      </c>
      <c r="P43" s="242">
        <v>1</v>
      </c>
      <c r="Q43" s="242">
        <v>-95</v>
      </c>
      <c r="R43" s="242">
        <v>-3144</v>
      </c>
      <c r="S43" s="320">
        <v>0</v>
      </c>
      <c r="T43" s="250">
        <v>0</v>
      </c>
      <c r="U43" s="250">
        <v>0</v>
      </c>
      <c r="V43" s="250">
        <v>0</v>
      </c>
    </row>
    <row r="44" spans="2:22" s="22" customFormat="1" ht="27">
      <c r="B44" s="15">
        <f t="shared" si="2"/>
        <v>19</v>
      </c>
      <c r="C44" s="249" t="s">
        <v>444</v>
      </c>
      <c r="D44" s="230">
        <f t="shared" si="3"/>
        <v>1</v>
      </c>
      <c r="E44" s="250">
        <f>+ROUND(314407/5,)</f>
        <v>62881</v>
      </c>
      <c r="F44" s="379" t="s">
        <v>3846</v>
      </c>
      <c r="G44" s="233">
        <v>40539</v>
      </c>
      <c r="H44" s="228" t="s">
        <v>368</v>
      </c>
      <c r="I44" s="270">
        <v>41634</v>
      </c>
      <c r="J44" s="242">
        <v>1096</v>
      </c>
      <c r="K44" s="242">
        <v>1191</v>
      </c>
      <c r="L44" s="242">
        <v>-95</v>
      </c>
      <c r="M44" s="242">
        <v>0</v>
      </c>
      <c r="N44" s="242">
        <v>0</v>
      </c>
      <c r="O44" s="242">
        <v>29649</v>
      </c>
      <c r="P44" s="242">
        <v>0</v>
      </c>
      <c r="Q44" s="242">
        <v>-95</v>
      </c>
      <c r="R44" s="242">
        <v>-3144</v>
      </c>
      <c r="S44" s="320">
        <v>0</v>
      </c>
      <c r="T44" s="250">
        <v>0</v>
      </c>
      <c r="U44" s="250">
        <v>0</v>
      </c>
      <c r="V44" s="250">
        <v>0</v>
      </c>
    </row>
    <row r="45" spans="2:22" s="22" customFormat="1" ht="27">
      <c r="B45" s="15">
        <f t="shared" si="2"/>
        <v>20</v>
      </c>
      <c r="C45" s="249" t="s">
        <v>444</v>
      </c>
      <c r="D45" s="230">
        <f t="shared" si="3"/>
        <v>1</v>
      </c>
      <c r="E45" s="250">
        <f>+ROUND(314407/5,)</f>
        <v>62881</v>
      </c>
      <c r="F45" s="379" t="s">
        <v>3846</v>
      </c>
      <c r="G45" s="233">
        <v>40539</v>
      </c>
      <c r="H45" s="228" t="s">
        <v>368</v>
      </c>
      <c r="I45" s="270">
        <v>41634</v>
      </c>
      <c r="J45" s="242">
        <v>1096</v>
      </c>
      <c r="K45" s="242">
        <v>1191</v>
      </c>
      <c r="L45" s="242">
        <v>-95</v>
      </c>
      <c r="M45" s="242">
        <v>0</v>
      </c>
      <c r="N45" s="242">
        <v>0</v>
      </c>
      <c r="O45" s="242">
        <v>29649</v>
      </c>
      <c r="P45" s="242">
        <v>0</v>
      </c>
      <c r="Q45" s="242">
        <v>-95</v>
      </c>
      <c r="R45" s="242">
        <v>-3144</v>
      </c>
      <c r="S45" s="320">
        <v>0</v>
      </c>
      <c r="T45" s="250">
        <v>0</v>
      </c>
      <c r="U45" s="250">
        <v>0</v>
      </c>
      <c r="V45" s="250">
        <v>0</v>
      </c>
    </row>
    <row r="46" spans="2:22" s="22" customFormat="1" ht="27">
      <c r="B46" s="15">
        <f t="shared" si="2"/>
        <v>21</v>
      </c>
      <c r="C46" s="249" t="s">
        <v>797</v>
      </c>
      <c r="D46" s="230">
        <v>40</v>
      </c>
      <c r="E46" s="250">
        <v>1674354</v>
      </c>
      <c r="F46" s="379" t="s">
        <v>798</v>
      </c>
      <c r="G46" s="233">
        <v>40576</v>
      </c>
      <c r="H46" s="228" t="s">
        <v>368</v>
      </c>
      <c r="I46" s="270">
        <v>41671</v>
      </c>
      <c r="J46" s="242">
        <v>1096</v>
      </c>
      <c r="K46" s="242">
        <v>1154</v>
      </c>
      <c r="L46" s="242">
        <v>-58</v>
      </c>
      <c r="M46" s="242">
        <v>0</v>
      </c>
      <c r="N46" s="242">
        <v>0</v>
      </c>
      <c r="O46" s="242">
        <v>816987</v>
      </c>
      <c r="P46" s="242">
        <v>0</v>
      </c>
      <c r="Q46" s="242">
        <v>-58</v>
      </c>
      <c r="R46" s="242">
        <v>-83718</v>
      </c>
      <c r="S46" s="320">
        <v>0</v>
      </c>
      <c r="T46" s="250">
        <v>0</v>
      </c>
      <c r="U46" s="250">
        <v>0</v>
      </c>
      <c r="V46" s="250">
        <v>0</v>
      </c>
    </row>
    <row r="47" spans="2:22" s="22" customFormat="1" ht="27">
      <c r="B47" s="15">
        <f t="shared" si="2"/>
        <v>22</v>
      </c>
      <c r="C47" s="249" t="s">
        <v>120</v>
      </c>
      <c r="D47" s="230">
        <v>6</v>
      </c>
      <c r="E47" s="250">
        <v>404808</v>
      </c>
      <c r="F47" s="379" t="s">
        <v>121</v>
      </c>
      <c r="G47" s="233">
        <v>40611</v>
      </c>
      <c r="H47" s="228" t="s">
        <v>895</v>
      </c>
      <c r="I47" s="270">
        <v>41706</v>
      </c>
      <c r="J47" s="242">
        <v>1096</v>
      </c>
      <c r="K47" s="242">
        <v>1119</v>
      </c>
      <c r="L47" s="242">
        <v>-23</v>
      </c>
      <c r="M47" s="242">
        <v>0</v>
      </c>
      <c r="N47" s="242">
        <v>0</v>
      </c>
      <c r="O47" s="242">
        <v>203817</v>
      </c>
      <c r="P47" s="242">
        <v>0</v>
      </c>
      <c r="Q47" s="242">
        <v>-23</v>
      </c>
      <c r="R47" s="242">
        <v>-20240</v>
      </c>
      <c r="S47" s="320">
        <v>0</v>
      </c>
      <c r="T47" s="250">
        <v>0</v>
      </c>
      <c r="U47" s="250">
        <v>0</v>
      </c>
      <c r="V47" s="250">
        <v>0</v>
      </c>
    </row>
    <row r="48" spans="2:22" s="22" customFormat="1" ht="27">
      <c r="B48" s="15">
        <f t="shared" si="2"/>
        <v>23</v>
      </c>
      <c r="C48" s="249" t="s">
        <v>120</v>
      </c>
      <c r="D48" s="230">
        <v>6</v>
      </c>
      <c r="E48" s="250">
        <v>404808</v>
      </c>
      <c r="F48" s="379" t="s">
        <v>122</v>
      </c>
      <c r="G48" s="233">
        <v>40609</v>
      </c>
      <c r="H48" s="228" t="s">
        <v>368</v>
      </c>
      <c r="I48" s="270">
        <v>41704</v>
      </c>
      <c r="J48" s="242">
        <v>1096</v>
      </c>
      <c r="K48" s="242">
        <v>1121</v>
      </c>
      <c r="L48" s="242">
        <v>-25</v>
      </c>
      <c r="M48" s="242">
        <v>0</v>
      </c>
      <c r="N48" s="242">
        <v>0</v>
      </c>
      <c r="O48" s="242">
        <v>203458</v>
      </c>
      <c r="P48" s="242">
        <v>0</v>
      </c>
      <c r="Q48" s="242">
        <v>-25</v>
      </c>
      <c r="R48" s="242">
        <v>-20240</v>
      </c>
      <c r="S48" s="320">
        <v>0</v>
      </c>
      <c r="T48" s="250">
        <v>0</v>
      </c>
      <c r="U48" s="250">
        <v>0</v>
      </c>
      <c r="V48" s="250">
        <v>0</v>
      </c>
    </row>
    <row r="49" spans="2:22" s="22" customFormat="1" ht="27">
      <c r="B49" s="15">
        <f t="shared" si="2"/>
        <v>24</v>
      </c>
      <c r="C49" s="249" t="s">
        <v>299</v>
      </c>
      <c r="D49" s="230">
        <v>10</v>
      </c>
      <c r="E49" s="250">
        <f>ROUND(837177/20*10,0)</f>
        <v>418589</v>
      </c>
      <c r="F49" s="379" t="s">
        <v>301</v>
      </c>
      <c r="G49" s="233">
        <v>40515</v>
      </c>
      <c r="H49" s="228" t="s">
        <v>368</v>
      </c>
      <c r="I49" s="270">
        <v>41610</v>
      </c>
      <c r="J49" s="242">
        <v>1096</v>
      </c>
      <c r="K49" s="242">
        <v>1215</v>
      </c>
      <c r="L49" s="242">
        <v>-119</v>
      </c>
      <c r="M49" s="242">
        <v>0</v>
      </c>
      <c r="N49" s="242">
        <v>0</v>
      </c>
      <c r="O49" s="242">
        <v>192908</v>
      </c>
      <c r="P49" s="242">
        <v>0</v>
      </c>
      <c r="Q49" s="242">
        <v>-119</v>
      </c>
      <c r="R49" s="242">
        <v>-20929</v>
      </c>
      <c r="S49" s="320">
        <v>0</v>
      </c>
      <c r="T49" s="250">
        <v>0</v>
      </c>
      <c r="U49" s="250">
        <v>0</v>
      </c>
      <c r="V49" s="250">
        <v>0</v>
      </c>
    </row>
    <row r="50" spans="2:22" s="22" customFormat="1" ht="27">
      <c r="B50" s="15">
        <f t="shared" si="2"/>
        <v>25</v>
      </c>
      <c r="C50" s="249" t="s">
        <v>300</v>
      </c>
      <c r="D50" s="230">
        <f>10-2</f>
        <v>8</v>
      </c>
      <c r="E50" s="266">
        <f>697718/10*8</f>
        <v>558174.4</v>
      </c>
      <c r="F50" s="379" t="s">
        <v>302</v>
      </c>
      <c r="G50" s="233">
        <v>40515</v>
      </c>
      <c r="H50" s="228" t="s">
        <v>895</v>
      </c>
      <c r="I50" s="270">
        <v>41610</v>
      </c>
      <c r="J50" s="242">
        <v>1096</v>
      </c>
      <c r="K50" s="242">
        <v>1215</v>
      </c>
      <c r="L50" s="242">
        <v>-119</v>
      </c>
      <c r="M50" s="242">
        <v>0</v>
      </c>
      <c r="N50" s="242">
        <v>0</v>
      </c>
      <c r="O50" s="242">
        <v>257233.6</v>
      </c>
      <c r="P50" s="242">
        <v>0</v>
      </c>
      <c r="Q50" s="242">
        <v>-119</v>
      </c>
      <c r="R50" s="242">
        <v>-27909</v>
      </c>
      <c r="S50" s="320">
        <v>0</v>
      </c>
      <c r="T50" s="250">
        <v>0</v>
      </c>
      <c r="U50" s="250">
        <v>0</v>
      </c>
      <c r="V50" s="250">
        <v>0</v>
      </c>
    </row>
    <row r="51" spans="2:22" s="22" customFormat="1">
      <c r="B51" s="15">
        <f t="shared" si="2"/>
        <v>26</v>
      </c>
      <c r="C51" s="249" t="s">
        <v>853</v>
      </c>
      <c r="D51" s="230">
        <v>1</v>
      </c>
      <c r="E51" s="250">
        <v>24811</v>
      </c>
      <c r="F51" s="379" t="s">
        <v>38</v>
      </c>
      <c r="G51" s="233">
        <v>40591</v>
      </c>
      <c r="H51" s="228" t="s">
        <v>187</v>
      </c>
      <c r="I51" s="270">
        <v>41686</v>
      </c>
      <c r="J51" s="242">
        <v>1096</v>
      </c>
      <c r="K51" s="242">
        <v>1139</v>
      </c>
      <c r="L51" s="242">
        <v>-43</v>
      </c>
      <c r="M51" s="242">
        <v>0</v>
      </c>
      <c r="N51" s="242">
        <v>0</v>
      </c>
      <c r="O51" s="242">
        <v>12271</v>
      </c>
      <c r="P51" s="242">
        <v>0</v>
      </c>
      <c r="Q51" s="242">
        <v>-43</v>
      </c>
      <c r="R51" s="242">
        <v>-1241</v>
      </c>
      <c r="S51" s="320">
        <v>0</v>
      </c>
      <c r="T51" s="250">
        <v>0</v>
      </c>
      <c r="U51" s="250">
        <v>0</v>
      </c>
      <c r="V51" s="250">
        <v>0</v>
      </c>
    </row>
    <row r="52" spans="2:22" s="22" customFormat="1" ht="54">
      <c r="B52" s="15">
        <f t="shared" si="2"/>
        <v>27</v>
      </c>
      <c r="C52" s="249" t="s">
        <v>684</v>
      </c>
      <c r="D52" s="230">
        <v>65</v>
      </c>
      <c r="E52" s="250">
        <v>2710501</v>
      </c>
      <c r="F52" s="379" t="s">
        <v>685</v>
      </c>
      <c r="G52" s="233">
        <v>40634</v>
      </c>
      <c r="H52" s="228" t="s">
        <v>368</v>
      </c>
      <c r="I52" s="270">
        <v>41729</v>
      </c>
      <c r="J52" s="242">
        <v>1096</v>
      </c>
      <c r="K52" s="242">
        <v>1096</v>
      </c>
      <c r="L52" s="242">
        <v>0</v>
      </c>
      <c r="M52" s="242">
        <v>0</v>
      </c>
      <c r="N52" s="242">
        <v>0</v>
      </c>
      <c r="O52" s="242">
        <v>1392385</v>
      </c>
      <c r="P52" s="242">
        <v>0</v>
      </c>
      <c r="Q52" s="242">
        <v>0</v>
      </c>
      <c r="R52" s="242">
        <v>-135525</v>
      </c>
      <c r="S52" s="320">
        <v>0</v>
      </c>
      <c r="T52" s="250">
        <v>0</v>
      </c>
      <c r="U52" s="250">
        <v>0</v>
      </c>
      <c r="V52" s="250">
        <v>0</v>
      </c>
    </row>
    <row r="53" spans="2:22" s="22" customFormat="1" ht="27">
      <c r="B53" s="15">
        <f t="shared" si="2"/>
        <v>28</v>
      </c>
      <c r="C53" s="249" t="s">
        <v>1192</v>
      </c>
      <c r="D53" s="230">
        <v>1</v>
      </c>
      <c r="E53" s="250">
        <v>39500</v>
      </c>
      <c r="F53" s="379" t="s">
        <v>414</v>
      </c>
      <c r="G53" s="233">
        <v>40667</v>
      </c>
      <c r="H53" s="228" t="s">
        <v>161</v>
      </c>
      <c r="I53" s="270">
        <v>41762</v>
      </c>
      <c r="J53" s="242">
        <v>1096</v>
      </c>
      <c r="K53" s="242">
        <v>1063</v>
      </c>
      <c r="L53" s="242">
        <v>33</v>
      </c>
      <c r="M53" s="242">
        <v>1975</v>
      </c>
      <c r="N53" s="242">
        <v>18894</v>
      </c>
      <c r="O53" s="242">
        <v>0</v>
      </c>
      <c r="P53" s="242">
        <v>0</v>
      </c>
      <c r="Q53" s="242">
        <v>0</v>
      </c>
      <c r="R53" s="242">
        <v>-1975</v>
      </c>
      <c r="S53" s="320">
        <v>0</v>
      </c>
      <c r="T53" s="250">
        <v>0</v>
      </c>
      <c r="U53" s="250">
        <v>0</v>
      </c>
      <c r="V53" s="250">
        <v>0</v>
      </c>
    </row>
    <row r="54" spans="2:22" s="22" customFormat="1">
      <c r="B54" s="15">
        <f t="shared" si="2"/>
        <v>29</v>
      </c>
      <c r="C54" s="249" t="s">
        <v>1195</v>
      </c>
      <c r="D54" s="230">
        <v>1</v>
      </c>
      <c r="E54" s="250">
        <f>4935</f>
        <v>4935</v>
      </c>
      <c r="F54" s="379" t="s">
        <v>42</v>
      </c>
      <c r="G54" s="233">
        <v>40694</v>
      </c>
      <c r="H54" s="228" t="s">
        <v>187</v>
      </c>
      <c r="I54" s="241">
        <v>0</v>
      </c>
      <c r="J54" s="241">
        <v>0</v>
      </c>
      <c r="K54" s="241">
        <v>0</v>
      </c>
      <c r="L54" s="241">
        <v>0</v>
      </c>
      <c r="M54" s="242">
        <v>0</v>
      </c>
      <c r="N54" s="242">
        <v>0</v>
      </c>
      <c r="O54" s="242">
        <v>0</v>
      </c>
      <c r="P54" s="242">
        <v>0</v>
      </c>
      <c r="Q54" s="242">
        <v>0</v>
      </c>
      <c r="R54" s="242">
        <v>-247</v>
      </c>
      <c r="S54" s="320">
        <v>0</v>
      </c>
      <c r="T54" s="250">
        <v>0</v>
      </c>
      <c r="U54" s="250">
        <v>0</v>
      </c>
      <c r="V54" s="250">
        <v>0</v>
      </c>
    </row>
    <row r="55" spans="2:22" s="22" customFormat="1">
      <c r="B55" s="15">
        <f t="shared" si="2"/>
        <v>30</v>
      </c>
      <c r="C55" s="249" t="s">
        <v>353</v>
      </c>
      <c r="D55" s="230">
        <v>5</v>
      </c>
      <c r="E55" s="250">
        <v>132656</v>
      </c>
      <c r="F55" s="379" t="s">
        <v>1196</v>
      </c>
      <c r="G55" s="233">
        <v>40662</v>
      </c>
      <c r="H55" s="228" t="s">
        <v>187</v>
      </c>
      <c r="I55" s="270">
        <v>41757</v>
      </c>
      <c r="J55" s="242">
        <v>1096</v>
      </c>
      <c r="K55" s="242">
        <v>1068</v>
      </c>
      <c r="L55" s="242">
        <v>28</v>
      </c>
      <c r="M55" s="242">
        <v>6633</v>
      </c>
      <c r="N55" s="242">
        <v>63157</v>
      </c>
      <c r="O55" s="242">
        <v>0</v>
      </c>
      <c r="P55" s="242">
        <v>0</v>
      </c>
      <c r="Q55" s="242">
        <v>0</v>
      </c>
      <c r="R55" s="242">
        <v>-6633</v>
      </c>
      <c r="S55" s="320">
        <v>0</v>
      </c>
      <c r="T55" s="250">
        <v>0</v>
      </c>
      <c r="U55" s="250">
        <v>0</v>
      </c>
      <c r="V55" s="250">
        <v>0</v>
      </c>
    </row>
    <row r="56" spans="2:22" s="22" customFormat="1">
      <c r="B56" s="15">
        <f t="shared" si="2"/>
        <v>31</v>
      </c>
      <c r="C56" s="249" t="s">
        <v>1275</v>
      </c>
      <c r="D56" s="230">
        <v>1</v>
      </c>
      <c r="E56" s="250">
        <v>25000</v>
      </c>
      <c r="F56" s="379" t="s">
        <v>1276</v>
      </c>
      <c r="G56" s="233">
        <v>40730</v>
      </c>
      <c r="H56" s="228" t="s">
        <v>368</v>
      </c>
      <c r="I56" s="270">
        <v>41825</v>
      </c>
      <c r="J56" s="242">
        <v>1096</v>
      </c>
      <c r="K56" s="242">
        <v>1000</v>
      </c>
      <c r="L56" s="242">
        <v>96</v>
      </c>
      <c r="M56" s="242">
        <v>1250</v>
      </c>
      <c r="N56" s="242">
        <v>12654</v>
      </c>
      <c r="O56" s="242">
        <v>0</v>
      </c>
      <c r="P56" s="242">
        <v>0</v>
      </c>
      <c r="Q56" s="242">
        <v>0</v>
      </c>
      <c r="R56" s="242">
        <v>-1250</v>
      </c>
      <c r="S56" s="320">
        <v>0</v>
      </c>
      <c r="T56" s="250">
        <v>0</v>
      </c>
      <c r="U56" s="250">
        <v>0</v>
      </c>
      <c r="V56" s="250">
        <v>0</v>
      </c>
    </row>
    <row r="57" spans="2:22" s="22" customFormat="1" ht="27">
      <c r="B57" s="15">
        <f t="shared" si="2"/>
        <v>32</v>
      </c>
      <c r="C57" s="249" t="s">
        <v>1350</v>
      </c>
      <c r="D57" s="230">
        <v>10</v>
      </c>
      <c r="E57" s="250">
        <v>290000</v>
      </c>
      <c r="F57" s="379" t="s">
        <v>1351</v>
      </c>
      <c r="G57" s="233">
        <v>40792</v>
      </c>
      <c r="H57" s="228" t="s">
        <v>895</v>
      </c>
      <c r="I57" s="270">
        <v>41887</v>
      </c>
      <c r="J57" s="242">
        <v>1096</v>
      </c>
      <c r="K57" s="242">
        <v>938</v>
      </c>
      <c r="L57" s="242">
        <v>158</v>
      </c>
      <c r="M57" s="242">
        <v>14500</v>
      </c>
      <c r="N57" s="242">
        <v>154767</v>
      </c>
      <c r="O57" s="242">
        <v>0</v>
      </c>
      <c r="P57" s="242">
        <v>0</v>
      </c>
      <c r="Q57" s="242">
        <v>0</v>
      </c>
      <c r="R57" s="242">
        <v>-14500</v>
      </c>
      <c r="S57" s="320">
        <v>0</v>
      </c>
      <c r="T57" s="250">
        <v>0</v>
      </c>
      <c r="U57" s="250">
        <v>0</v>
      </c>
      <c r="V57" s="250">
        <v>0</v>
      </c>
    </row>
    <row r="58" spans="2:22" s="22" customFormat="1" ht="27">
      <c r="B58" s="15">
        <f t="shared" si="2"/>
        <v>33</v>
      </c>
      <c r="C58" s="249" t="s">
        <v>1350</v>
      </c>
      <c r="D58" s="230">
        <v>1</v>
      </c>
      <c r="E58" s="250">
        <f>-290000/10</f>
        <v>-29000</v>
      </c>
      <c r="F58" s="379" t="s">
        <v>1351</v>
      </c>
      <c r="G58" s="233">
        <v>40792</v>
      </c>
      <c r="H58" s="228" t="s">
        <v>895</v>
      </c>
      <c r="I58" s="270">
        <v>41887</v>
      </c>
      <c r="J58" s="242">
        <v>1096</v>
      </c>
      <c r="K58" s="242">
        <v>938</v>
      </c>
      <c r="L58" s="242">
        <v>158</v>
      </c>
      <c r="M58" s="242">
        <v>-1450</v>
      </c>
      <c r="N58" s="242">
        <v>-16658</v>
      </c>
      <c r="O58" s="242">
        <v>0</v>
      </c>
      <c r="P58" s="242">
        <v>0</v>
      </c>
      <c r="Q58" s="242">
        <v>0</v>
      </c>
      <c r="R58" s="242">
        <v>1450</v>
      </c>
      <c r="S58" s="320">
        <v>0</v>
      </c>
      <c r="T58" s="250">
        <v>0</v>
      </c>
      <c r="U58" s="250">
        <v>0</v>
      </c>
      <c r="V58" s="250">
        <v>0</v>
      </c>
    </row>
    <row r="59" spans="2:22" s="22" customFormat="1" ht="27">
      <c r="B59" s="15">
        <f t="shared" si="2"/>
        <v>34</v>
      </c>
      <c r="C59" s="249" t="s">
        <v>1352</v>
      </c>
      <c r="D59" s="230">
        <v>10</v>
      </c>
      <c r="E59" s="250">
        <v>491499</v>
      </c>
      <c r="F59" s="379" t="s">
        <v>1353</v>
      </c>
      <c r="G59" s="233">
        <v>40775</v>
      </c>
      <c r="H59" s="228" t="s">
        <v>368</v>
      </c>
      <c r="I59" s="270">
        <v>41870</v>
      </c>
      <c r="J59" s="242">
        <v>1096</v>
      </c>
      <c r="K59" s="242">
        <v>955</v>
      </c>
      <c r="L59" s="242">
        <v>141</v>
      </c>
      <c r="M59" s="242">
        <v>24575</v>
      </c>
      <c r="N59" s="242">
        <v>258601</v>
      </c>
      <c r="O59" s="242">
        <v>0</v>
      </c>
      <c r="P59" s="242">
        <v>0</v>
      </c>
      <c r="Q59" s="242">
        <v>0</v>
      </c>
      <c r="R59" s="242">
        <v>-24575</v>
      </c>
      <c r="S59" s="320">
        <v>0</v>
      </c>
      <c r="T59" s="250">
        <v>0</v>
      </c>
      <c r="U59" s="250">
        <v>0</v>
      </c>
      <c r="V59" s="250">
        <v>0</v>
      </c>
    </row>
    <row r="60" spans="2:22" s="22" customFormat="1" ht="40.5">
      <c r="B60" s="15">
        <f t="shared" si="2"/>
        <v>35</v>
      </c>
      <c r="C60" s="249" t="s">
        <v>1430</v>
      </c>
      <c r="D60" s="230">
        <v>30</v>
      </c>
      <c r="E60" s="250">
        <v>870000</v>
      </c>
      <c r="F60" s="379" t="s">
        <v>1431</v>
      </c>
      <c r="G60" s="233">
        <v>40822</v>
      </c>
      <c r="H60" s="228" t="s">
        <v>368</v>
      </c>
      <c r="I60" s="270">
        <v>41917</v>
      </c>
      <c r="J60" s="242">
        <v>1096</v>
      </c>
      <c r="K60" s="242">
        <v>908</v>
      </c>
      <c r="L60" s="242">
        <v>188</v>
      </c>
      <c r="M60" s="242">
        <v>43500</v>
      </c>
      <c r="N60" s="242">
        <v>475859</v>
      </c>
      <c r="O60" s="242">
        <v>0</v>
      </c>
      <c r="P60" s="242">
        <v>0</v>
      </c>
      <c r="Q60" s="242">
        <v>-177</v>
      </c>
      <c r="R60" s="242">
        <v>-43500</v>
      </c>
      <c r="S60" s="320">
        <v>0</v>
      </c>
      <c r="T60" s="250">
        <v>0</v>
      </c>
      <c r="U60" s="250">
        <v>0</v>
      </c>
      <c r="V60" s="250">
        <v>0</v>
      </c>
    </row>
    <row r="61" spans="2:22" s="22" customFormat="1" ht="40.5">
      <c r="B61" s="15">
        <f t="shared" si="2"/>
        <v>36</v>
      </c>
      <c r="C61" s="249" t="s">
        <v>1430</v>
      </c>
      <c r="D61" s="230">
        <v>15</v>
      </c>
      <c r="E61" s="250">
        <v>435000</v>
      </c>
      <c r="F61" s="379" t="s">
        <v>1432</v>
      </c>
      <c r="G61" s="233">
        <v>40828</v>
      </c>
      <c r="H61" s="228" t="s">
        <v>895</v>
      </c>
      <c r="I61" s="270">
        <v>41923</v>
      </c>
      <c r="J61" s="242">
        <v>1096</v>
      </c>
      <c r="K61" s="242">
        <v>902</v>
      </c>
      <c r="L61" s="242">
        <v>194</v>
      </c>
      <c r="M61" s="242">
        <v>21750</v>
      </c>
      <c r="N61" s="242">
        <v>239085</v>
      </c>
      <c r="O61" s="242">
        <v>0</v>
      </c>
      <c r="P61" s="242">
        <v>0</v>
      </c>
      <c r="Q61" s="242">
        <v>-171</v>
      </c>
      <c r="R61" s="242">
        <v>-21750</v>
      </c>
      <c r="S61" s="320">
        <v>0</v>
      </c>
      <c r="T61" s="250">
        <v>0</v>
      </c>
      <c r="U61" s="250">
        <v>0</v>
      </c>
      <c r="V61" s="250">
        <v>0</v>
      </c>
    </row>
    <row r="62" spans="2:22" s="22" customFormat="1" ht="27">
      <c r="B62" s="15">
        <f t="shared" si="2"/>
        <v>37</v>
      </c>
      <c r="C62" s="249" t="s">
        <v>1433</v>
      </c>
      <c r="D62" s="230">
        <v>10</v>
      </c>
      <c r="E62" s="250">
        <v>497453</v>
      </c>
      <c r="F62" s="379" t="s">
        <v>1434</v>
      </c>
      <c r="G62" s="233">
        <v>40816</v>
      </c>
      <c r="H62" s="228" t="s">
        <v>895</v>
      </c>
      <c r="I62" s="270">
        <v>41911</v>
      </c>
      <c r="J62" s="242">
        <v>1096</v>
      </c>
      <c r="K62" s="242">
        <v>914</v>
      </c>
      <c r="L62" s="242">
        <v>182</v>
      </c>
      <c r="M62" s="242">
        <v>24873</v>
      </c>
      <c r="N62" s="242">
        <v>270767</v>
      </c>
      <c r="O62" s="242">
        <v>0</v>
      </c>
      <c r="P62" s="242">
        <v>0</v>
      </c>
      <c r="Q62" s="242">
        <v>0</v>
      </c>
      <c r="R62" s="242">
        <v>-24873</v>
      </c>
      <c r="S62" s="320">
        <v>0</v>
      </c>
      <c r="T62" s="250">
        <v>0</v>
      </c>
      <c r="U62" s="250">
        <v>0</v>
      </c>
      <c r="V62" s="250">
        <v>0</v>
      </c>
    </row>
    <row r="63" spans="2:22" s="22" customFormat="1" ht="27">
      <c r="B63" s="15">
        <f t="shared" si="2"/>
        <v>38</v>
      </c>
      <c r="C63" s="249" t="s">
        <v>2825</v>
      </c>
      <c r="D63" s="230">
        <v>1</v>
      </c>
      <c r="E63" s="250">
        <v>335000</v>
      </c>
      <c r="F63" s="379" t="s">
        <v>1435</v>
      </c>
      <c r="G63" s="233">
        <v>40835</v>
      </c>
      <c r="H63" s="228" t="s">
        <v>895</v>
      </c>
      <c r="I63" s="270">
        <v>43026</v>
      </c>
      <c r="J63" s="242">
        <v>2192</v>
      </c>
      <c r="K63" s="242">
        <v>895</v>
      </c>
      <c r="L63" s="242">
        <v>1297</v>
      </c>
      <c r="M63" s="242">
        <v>16750</v>
      </c>
      <c r="N63" s="242">
        <v>185161</v>
      </c>
      <c r="O63" s="242">
        <v>0</v>
      </c>
      <c r="P63" s="242">
        <v>149803</v>
      </c>
      <c r="Q63" s="242">
        <v>932</v>
      </c>
      <c r="R63" s="242">
        <v>133053</v>
      </c>
      <c r="S63" s="320">
        <v>0</v>
      </c>
      <c r="T63" s="250">
        <v>0</v>
      </c>
      <c r="U63" s="250">
        <v>149803</v>
      </c>
      <c r="V63" s="250">
        <v>0</v>
      </c>
    </row>
    <row r="64" spans="2:22" s="22" customFormat="1" ht="27">
      <c r="B64" s="15">
        <f t="shared" si="2"/>
        <v>39</v>
      </c>
      <c r="C64" s="249" t="s">
        <v>2826</v>
      </c>
      <c r="D64" s="230">
        <v>1</v>
      </c>
      <c r="E64" s="250">
        <v>335000</v>
      </c>
      <c r="F64" s="379" t="s">
        <v>1436</v>
      </c>
      <c r="G64" s="233">
        <v>40856</v>
      </c>
      <c r="H64" s="228" t="s">
        <v>368</v>
      </c>
      <c r="I64" s="270">
        <v>43047</v>
      </c>
      <c r="J64" s="242">
        <v>2192</v>
      </c>
      <c r="K64" s="242">
        <v>874</v>
      </c>
      <c r="L64" s="242">
        <v>1318</v>
      </c>
      <c r="M64" s="242">
        <v>16750</v>
      </c>
      <c r="N64" s="242">
        <v>188276</v>
      </c>
      <c r="O64" s="242">
        <v>0</v>
      </c>
      <c r="P64" s="242">
        <v>152886</v>
      </c>
      <c r="Q64" s="242">
        <v>953</v>
      </c>
      <c r="R64" s="242">
        <v>136136</v>
      </c>
      <c r="S64" s="320">
        <v>0</v>
      </c>
      <c r="T64" s="250">
        <v>0</v>
      </c>
      <c r="U64" s="250">
        <v>152886</v>
      </c>
      <c r="V64" s="250">
        <v>0</v>
      </c>
    </row>
    <row r="65" spans="2:22" s="22" customFormat="1" ht="27">
      <c r="B65" s="15">
        <f t="shared" si="2"/>
        <v>40</v>
      </c>
      <c r="C65" s="249" t="s">
        <v>1437</v>
      </c>
      <c r="D65" s="230">
        <v>4</v>
      </c>
      <c r="E65" s="250">
        <v>198981</v>
      </c>
      <c r="F65" s="379" t="s">
        <v>1438</v>
      </c>
      <c r="G65" s="233">
        <v>40856</v>
      </c>
      <c r="H65" s="228" t="s">
        <v>368</v>
      </c>
      <c r="I65" s="270">
        <v>41951</v>
      </c>
      <c r="J65" s="242">
        <v>1096</v>
      </c>
      <c r="K65" s="242">
        <v>874</v>
      </c>
      <c r="L65" s="242">
        <v>222</v>
      </c>
      <c r="M65" s="242">
        <v>9949</v>
      </c>
      <c r="N65" s="242">
        <v>111831</v>
      </c>
      <c r="O65" s="242">
        <v>0</v>
      </c>
      <c r="P65" s="242">
        <v>0</v>
      </c>
      <c r="Q65" s="242">
        <v>-143</v>
      </c>
      <c r="R65" s="242">
        <v>-9949</v>
      </c>
      <c r="S65" s="320">
        <v>0</v>
      </c>
      <c r="T65" s="250">
        <v>0</v>
      </c>
      <c r="U65" s="250">
        <v>0</v>
      </c>
      <c r="V65" s="250">
        <v>0</v>
      </c>
    </row>
    <row r="66" spans="2:22" s="22" customFormat="1" ht="27">
      <c r="B66" s="15">
        <f t="shared" si="2"/>
        <v>41</v>
      </c>
      <c r="C66" s="249" t="s">
        <v>2827</v>
      </c>
      <c r="D66" s="230">
        <v>1</v>
      </c>
      <c r="E66" s="250">
        <v>352078</v>
      </c>
      <c r="F66" s="379" t="s">
        <v>1690</v>
      </c>
      <c r="G66" s="233">
        <v>40939</v>
      </c>
      <c r="H66" s="228" t="s">
        <v>895</v>
      </c>
      <c r="I66" s="270">
        <v>43130</v>
      </c>
      <c r="J66" s="242">
        <v>2192</v>
      </c>
      <c r="K66" s="242">
        <v>791</v>
      </c>
      <c r="L66" s="242">
        <v>1401</v>
      </c>
      <c r="M66" s="242">
        <v>17604</v>
      </c>
      <c r="N66" s="242">
        <v>210818</v>
      </c>
      <c r="O66" s="242">
        <v>0</v>
      </c>
      <c r="P66" s="242">
        <v>173498</v>
      </c>
      <c r="Q66" s="242">
        <v>1036</v>
      </c>
      <c r="R66" s="242">
        <v>155894</v>
      </c>
      <c r="S66" s="320">
        <v>0</v>
      </c>
      <c r="T66" s="250">
        <v>0</v>
      </c>
      <c r="U66" s="250">
        <v>173498</v>
      </c>
      <c r="V66" s="250">
        <v>0</v>
      </c>
    </row>
    <row r="67" spans="2:22" s="22" customFormat="1" ht="27">
      <c r="B67" s="15">
        <f t="shared" si="2"/>
        <v>42</v>
      </c>
      <c r="C67" s="249" t="s">
        <v>2034</v>
      </c>
      <c r="D67" s="230">
        <v>10</v>
      </c>
      <c r="E67" s="250">
        <v>386230</v>
      </c>
      <c r="F67" s="379" t="s">
        <v>2035</v>
      </c>
      <c r="G67" s="233">
        <v>41346</v>
      </c>
      <c r="H67" s="228" t="s">
        <v>368</v>
      </c>
      <c r="I67" s="270">
        <v>42441</v>
      </c>
      <c r="J67" s="242">
        <v>1096</v>
      </c>
      <c r="K67" s="242">
        <v>384</v>
      </c>
      <c r="L67" s="242">
        <v>712</v>
      </c>
      <c r="M67" s="242">
        <v>19312</v>
      </c>
      <c r="N67" s="242">
        <v>301051</v>
      </c>
      <c r="O67" s="242">
        <v>0</v>
      </c>
      <c r="P67" s="242">
        <v>166032</v>
      </c>
      <c r="Q67" s="242">
        <v>347</v>
      </c>
      <c r="R67" s="242">
        <v>146721</v>
      </c>
      <c r="S67" s="320">
        <v>0</v>
      </c>
      <c r="T67" s="250">
        <v>0</v>
      </c>
      <c r="U67" s="250">
        <v>166032</v>
      </c>
      <c r="V67" s="250">
        <v>0</v>
      </c>
    </row>
    <row r="68" spans="2:22" s="22" customFormat="1" ht="27">
      <c r="B68" s="15">
        <f t="shared" si="2"/>
        <v>43</v>
      </c>
      <c r="C68" s="249" t="s">
        <v>2034</v>
      </c>
      <c r="D68" s="230">
        <v>10</v>
      </c>
      <c r="E68" s="250">
        <v>386230</v>
      </c>
      <c r="F68" s="379" t="s">
        <v>2036</v>
      </c>
      <c r="G68" s="233">
        <v>41346</v>
      </c>
      <c r="H68" s="228" t="s">
        <v>368</v>
      </c>
      <c r="I68" s="270">
        <v>42441</v>
      </c>
      <c r="J68" s="242">
        <v>1096</v>
      </c>
      <c r="K68" s="242">
        <v>384</v>
      </c>
      <c r="L68" s="242">
        <v>712</v>
      </c>
      <c r="M68" s="242">
        <v>19312</v>
      </c>
      <c r="N68" s="242">
        <v>301051</v>
      </c>
      <c r="O68" s="242">
        <v>0</v>
      </c>
      <c r="P68" s="242">
        <v>166032</v>
      </c>
      <c r="Q68" s="242">
        <v>347</v>
      </c>
      <c r="R68" s="242">
        <v>146721</v>
      </c>
      <c r="S68" s="320">
        <v>0</v>
      </c>
      <c r="T68" s="250">
        <v>0</v>
      </c>
      <c r="U68" s="250">
        <v>166032</v>
      </c>
      <c r="V68" s="250">
        <v>0</v>
      </c>
    </row>
    <row r="69" spans="2:22" s="22" customFormat="1" ht="27">
      <c r="B69" s="15">
        <f t="shared" si="2"/>
        <v>44</v>
      </c>
      <c r="C69" s="249" t="s">
        <v>2828</v>
      </c>
      <c r="D69" s="230">
        <v>1</v>
      </c>
      <c r="E69" s="250">
        <v>352800</v>
      </c>
      <c r="F69" s="379" t="s">
        <v>2037</v>
      </c>
      <c r="G69" s="233">
        <v>41356</v>
      </c>
      <c r="H69" s="228" t="s">
        <v>368</v>
      </c>
      <c r="I69" s="270">
        <v>43546</v>
      </c>
      <c r="J69" s="242">
        <v>2191</v>
      </c>
      <c r="K69" s="242">
        <v>374</v>
      </c>
      <c r="L69" s="242">
        <v>1817</v>
      </c>
      <c r="M69" s="242">
        <v>17640</v>
      </c>
      <c r="N69" s="242">
        <v>276561</v>
      </c>
      <c r="O69" s="242">
        <v>0</v>
      </c>
      <c r="P69" s="242">
        <v>238645</v>
      </c>
      <c r="Q69" s="242">
        <v>1452</v>
      </c>
      <c r="R69" s="242">
        <v>221005</v>
      </c>
      <c r="S69" s="320">
        <v>0</v>
      </c>
      <c r="T69" s="250">
        <v>0</v>
      </c>
      <c r="U69" s="250">
        <v>238645</v>
      </c>
      <c r="V69" s="250">
        <v>0</v>
      </c>
    </row>
    <row r="70" spans="2:22" s="22" customFormat="1" ht="27">
      <c r="B70" s="15">
        <f t="shared" si="2"/>
        <v>45</v>
      </c>
      <c r="C70" s="249" t="s">
        <v>2221</v>
      </c>
      <c r="D70" s="230">
        <v>15</v>
      </c>
      <c r="E70" s="250">
        <v>569772</v>
      </c>
      <c r="F70" s="379" t="s">
        <v>2222</v>
      </c>
      <c r="G70" s="233">
        <v>41472</v>
      </c>
      <c r="H70" s="228" t="s">
        <v>368</v>
      </c>
      <c r="I70" s="270">
        <v>42567</v>
      </c>
      <c r="J70" s="242">
        <v>1096</v>
      </c>
      <c r="K70" s="242">
        <v>258</v>
      </c>
      <c r="L70" s="242">
        <v>838</v>
      </c>
      <c r="M70" s="242">
        <v>28489</v>
      </c>
      <c r="N70" s="242">
        <v>475998</v>
      </c>
      <c r="O70" s="242">
        <v>0</v>
      </c>
      <c r="P70" s="242">
        <v>297161</v>
      </c>
      <c r="Q70" s="242">
        <v>473</v>
      </c>
      <c r="R70" s="242">
        <v>268672</v>
      </c>
      <c r="S70" s="320">
        <v>0</v>
      </c>
      <c r="T70" s="250">
        <v>0</v>
      </c>
      <c r="U70" s="250">
        <v>297161</v>
      </c>
      <c r="V70" s="250">
        <v>0</v>
      </c>
    </row>
    <row r="71" spans="2:22" s="22" customFormat="1" ht="27">
      <c r="B71" s="15">
        <f t="shared" si="2"/>
        <v>46</v>
      </c>
      <c r="C71" s="249" t="s">
        <v>2465</v>
      </c>
      <c r="D71" s="230">
        <v>10</v>
      </c>
      <c r="E71" s="250">
        <v>384552</v>
      </c>
      <c r="F71" s="379" t="s">
        <v>2225</v>
      </c>
      <c r="G71" s="233">
        <v>41467</v>
      </c>
      <c r="H71" s="228" t="s">
        <v>368</v>
      </c>
      <c r="I71" s="270">
        <v>42562</v>
      </c>
      <c r="J71" s="242">
        <v>1096</v>
      </c>
      <c r="K71" s="242">
        <v>263</v>
      </c>
      <c r="L71" s="242">
        <v>833</v>
      </c>
      <c r="M71" s="242">
        <v>19228</v>
      </c>
      <c r="N71" s="242">
        <v>320408</v>
      </c>
      <c r="O71" s="242">
        <v>0</v>
      </c>
      <c r="P71" s="242">
        <v>199241</v>
      </c>
      <c r="Q71" s="242">
        <v>468</v>
      </c>
      <c r="R71" s="242">
        <v>180013</v>
      </c>
      <c r="S71" s="320">
        <v>0</v>
      </c>
      <c r="T71" s="250">
        <v>0</v>
      </c>
      <c r="U71" s="250">
        <v>199241</v>
      </c>
      <c r="V71" s="250">
        <v>0</v>
      </c>
    </row>
    <row r="72" spans="2:22" s="22" customFormat="1" ht="27">
      <c r="B72" s="15">
        <f t="shared" si="2"/>
        <v>47</v>
      </c>
      <c r="C72" s="249" t="s">
        <v>2252</v>
      </c>
      <c r="D72" s="230">
        <v>1</v>
      </c>
      <c r="E72" s="250">
        <f>ROUND(385977/6*1,)-1</f>
        <v>64329</v>
      </c>
      <c r="F72" s="379" t="s">
        <v>2253</v>
      </c>
      <c r="G72" s="233">
        <v>41486</v>
      </c>
      <c r="H72" s="228" t="s">
        <v>368</v>
      </c>
      <c r="I72" s="270">
        <v>42581</v>
      </c>
      <c r="J72" s="242">
        <v>1096</v>
      </c>
      <c r="K72" s="242">
        <v>244</v>
      </c>
      <c r="L72" s="242">
        <v>852</v>
      </c>
      <c r="M72" s="242">
        <v>3216</v>
      </c>
      <c r="N72" s="242">
        <v>54142</v>
      </c>
      <c r="O72" s="242">
        <v>0</v>
      </c>
      <c r="P72" s="242">
        <v>34164</v>
      </c>
      <c r="Q72" s="242">
        <v>487</v>
      </c>
      <c r="R72" s="242">
        <v>30947</v>
      </c>
      <c r="S72" s="320">
        <v>0</v>
      </c>
      <c r="T72" s="250">
        <v>0</v>
      </c>
      <c r="U72" s="250">
        <v>34164</v>
      </c>
      <c r="V72" s="250">
        <v>0</v>
      </c>
    </row>
    <row r="73" spans="2:22" s="22" customFormat="1" ht="27">
      <c r="B73" s="15">
        <f t="shared" si="2"/>
        <v>48</v>
      </c>
      <c r="C73" s="249" t="s">
        <v>2252</v>
      </c>
      <c r="D73" s="230">
        <v>1</v>
      </c>
      <c r="E73" s="250">
        <f>ROUND(385977/6*1,)-1</f>
        <v>64329</v>
      </c>
      <c r="F73" s="379" t="s">
        <v>2253</v>
      </c>
      <c r="G73" s="233">
        <v>41486</v>
      </c>
      <c r="H73" s="228" t="s">
        <v>368</v>
      </c>
      <c r="I73" s="270">
        <v>42581</v>
      </c>
      <c r="J73" s="242">
        <v>1096</v>
      </c>
      <c r="K73" s="242">
        <v>244</v>
      </c>
      <c r="L73" s="242">
        <v>852</v>
      </c>
      <c r="M73" s="242">
        <v>3216</v>
      </c>
      <c r="N73" s="242">
        <v>54142</v>
      </c>
      <c r="O73" s="242">
        <v>0</v>
      </c>
      <c r="P73" s="242">
        <v>34163</v>
      </c>
      <c r="Q73" s="242">
        <v>487</v>
      </c>
      <c r="R73" s="242">
        <v>30946</v>
      </c>
      <c r="S73" s="320">
        <v>0</v>
      </c>
      <c r="T73" s="250">
        <v>0</v>
      </c>
      <c r="U73" s="250">
        <v>34163</v>
      </c>
      <c r="V73" s="250">
        <v>0</v>
      </c>
    </row>
    <row r="74" spans="2:22" s="22" customFormat="1" ht="27">
      <c r="B74" s="15">
        <f t="shared" si="2"/>
        <v>49</v>
      </c>
      <c r="C74" s="249" t="s">
        <v>2252</v>
      </c>
      <c r="D74" s="230">
        <v>1</v>
      </c>
      <c r="E74" s="250">
        <f>ROUND(385977/6*1,)</f>
        <v>64330</v>
      </c>
      <c r="F74" s="379" t="s">
        <v>2253</v>
      </c>
      <c r="G74" s="233">
        <v>41486</v>
      </c>
      <c r="H74" s="228" t="s">
        <v>368</v>
      </c>
      <c r="I74" s="270">
        <v>42581</v>
      </c>
      <c r="J74" s="242">
        <v>1096</v>
      </c>
      <c r="K74" s="242">
        <v>244</v>
      </c>
      <c r="L74" s="242">
        <v>852</v>
      </c>
      <c r="M74" s="242">
        <v>3217</v>
      </c>
      <c r="N74" s="242">
        <v>54142</v>
      </c>
      <c r="O74" s="242">
        <v>0</v>
      </c>
      <c r="P74" s="242">
        <v>34164</v>
      </c>
      <c r="Q74" s="242">
        <v>487</v>
      </c>
      <c r="R74" s="242">
        <v>30948</v>
      </c>
      <c r="S74" s="320">
        <v>0</v>
      </c>
      <c r="T74" s="250">
        <v>0</v>
      </c>
      <c r="U74" s="250">
        <v>34164</v>
      </c>
      <c r="V74" s="250">
        <v>0</v>
      </c>
    </row>
    <row r="75" spans="2:22" s="22" customFormat="1" ht="27">
      <c r="B75" s="15">
        <f t="shared" si="2"/>
        <v>50</v>
      </c>
      <c r="C75" s="249" t="s">
        <v>2252</v>
      </c>
      <c r="D75" s="230">
        <v>1</v>
      </c>
      <c r="E75" s="250">
        <f>ROUND(385977/6*1,)</f>
        <v>64330</v>
      </c>
      <c r="F75" s="379" t="s">
        <v>2253</v>
      </c>
      <c r="G75" s="233">
        <v>41486</v>
      </c>
      <c r="H75" s="228" t="s">
        <v>368</v>
      </c>
      <c r="I75" s="270">
        <v>42581</v>
      </c>
      <c r="J75" s="242">
        <v>1096</v>
      </c>
      <c r="K75" s="242">
        <v>244</v>
      </c>
      <c r="L75" s="242">
        <v>852</v>
      </c>
      <c r="M75" s="242">
        <v>3217</v>
      </c>
      <c r="N75" s="242">
        <v>54142</v>
      </c>
      <c r="O75" s="242">
        <v>0</v>
      </c>
      <c r="P75" s="242">
        <v>34164</v>
      </c>
      <c r="Q75" s="242">
        <v>487</v>
      </c>
      <c r="R75" s="242">
        <v>30948</v>
      </c>
      <c r="S75" s="320">
        <v>0</v>
      </c>
      <c r="T75" s="250">
        <v>0</v>
      </c>
      <c r="U75" s="250">
        <v>34164</v>
      </c>
      <c r="V75" s="250">
        <v>0</v>
      </c>
    </row>
    <row r="76" spans="2:22" s="22" customFormat="1" ht="27">
      <c r="B76" s="15">
        <f t="shared" si="2"/>
        <v>51</v>
      </c>
      <c r="C76" s="249" t="s">
        <v>2252</v>
      </c>
      <c r="D76" s="230">
        <v>1</v>
      </c>
      <c r="E76" s="250">
        <f>ROUND(385977/6*1,)</f>
        <v>64330</v>
      </c>
      <c r="F76" s="379" t="s">
        <v>2253</v>
      </c>
      <c r="G76" s="233">
        <v>41486</v>
      </c>
      <c r="H76" s="228" t="s">
        <v>368</v>
      </c>
      <c r="I76" s="270">
        <v>42581</v>
      </c>
      <c r="J76" s="242">
        <v>1096</v>
      </c>
      <c r="K76" s="242">
        <v>244</v>
      </c>
      <c r="L76" s="242">
        <v>852</v>
      </c>
      <c r="M76" s="242">
        <v>3217</v>
      </c>
      <c r="N76" s="242">
        <v>54142</v>
      </c>
      <c r="O76" s="242">
        <v>0</v>
      </c>
      <c r="P76" s="242">
        <v>34164</v>
      </c>
      <c r="Q76" s="242">
        <v>487</v>
      </c>
      <c r="R76" s="242">
        <v>30948</v>
      </c>
      <c r="S76" s="320">
        <v>0</v>
      </c>
      <c r="T76" s="250">
        <v>0</v>
      </c>
      <c r="U76" s="250">
        <v>34164</v>
      </c>
      <c r="V76" s="250">
        <v>0</v>
      </c>
    </row>
    <row r="77" spans="2:22" s="22" customFormat="1" ht="40.5">
      <c r="B77" s="15">
        <f t="shared" si="2"/>
        <v>52</v>
      </c>
      <c r="C77" s="249" t="s">
        <v>2279</v>
      </c>
      <c r="D77" s="230">
        <v>6</v>
      </c>
      <c r="E77" s="250">
        <v>493214</v>
      </c>
      <c r="F77" s="379" t="s">
        <v>2280</v>
      </c>
      <c r="G77" s="233">
        <v>41585</v>
      </c>
      <c r="H77" s="228" t="s">
        <v>895</v>
      </c>
      <c r="I77" s="270">
        <v>42680</v>
      </c>
      <c r="J77" s="242">
        <v>1096</v>
      </c>
      <c r="K77" s="242">
        <v>145</v>
      </c>
      <c r="L77" s="242">
        <v>951</v>
      </c>
      <c r="M77" s="242">
        <v>24661</v>
      </c>
      <c r="N77" s="242">
        <v>436792</v>
      </c>
      <c r="O77" s="242">
        <v>0</v>
      </c>
      <c r="P77" s="242">
        <v>293809</v>
      </c>
      <c r="Q77" s="242">
        <v>586</v>
      </c>
      <c r="R77" s="242">
        <v>269148</v>
      </c>
      <c r="S77" s="320">
        <v>0</v>
      </c>
      <c r="T77" s="250">
        <v>0</v>
      </c>
      <c r="U77" s="250">
        <v>293809</v>
      </c>
      <c r="V77" s="250">
        <v>0</v>
      </c>
    </row>
    <row r="78" spans="2:22" s="22" customFormat="1" ht="40.5">
      <c r="B78" s="15">
        <f t="shared" si="2"/>
        <v>53</v>
      </c>
      <c r="C78" s="249" t="s">
        <v>2829</v>
      </c>
      <c r="D78" s="230">
        <v>1</v>
      </c>
      <c r="E78" s="250">
        <v>369602</v>
      </c>
      <c r="F78" s="379" t="s">
        <v>2281</v>
      </c>
      <c r="G78" s="233">
        <v>41628</v>
      </c>
      <c r="H78" s="228" t="s">
        <v>368</v>
      </c>
      <c r="I78" s="270">
        <v>43818</v>
      </c>
      <c r="J78" s="242">
        <v>2191</v>
      </c>
      <c r="K78" s="242">
        <v>102</v>
      </c>
      <c r="L78" s="242">
        <v>2089</v>
      </c>
      <c r="M78" s="242">
        <v>18480</v>
      </c>
      <c r="N78" s="242">
        <v>334379</v>
      </c>
      <c r="O78" s="242">
        <v>0</v>
      </c>
      <c r="P78" s="242">
        <v>294435</v>
      </c>
      <c r="Q78" s="242">
        <v>1724</v>
      </c>
      <c r="R78" s="242">
        <v>275955</v>
      </c>
      <c r="S78" s="320">
        <v>0</v>
      </c>
      <c r="T78" s="250">
        <v>0</v>
      </c>
      <c r="U78" s="250">
        <v>294435</v>
      </c>
      <c r="V78" s="250">
        <v>0</v>
      </c>
    </row>
    <row r="79" spans="2:22" s="22" customFormat="1" ht="27">
      <c r="B79" s="15">
        <f t="shared" si="2"/>
        <v>54</v>
      </c>
      <c r="C79" s="249" t="s">
        <v>2830</v>
      </c>
      <c r="D79" s="230">
        <v>1</v>
      </c>
      <c r="E79" s="250">
        <v>392906</v>
      </c>
      <c r="F79" s="380" t="s">
        <v>2432</v>
      </c>
      <c r="G79" s="233">
        <v>41754</v>
      </c>
      <c r="H79" s="228" t="s">
        <v>368</v>
      </c>
      <c r="I79" s="270">
        <v>43945</v>
      </c>
      <c r="J79" s="242">
        <v>2192</v>
      </c>
      <c r="K79" s="242">
        <v>0</v>
      </c>
      <c r="L79" s="242">
        <v>2192</v>
      </c>
      <c r="M79" s="242">
        <v>19645</v>
      </c>
      <c r="N79" s="242">
        <v>373261</v>
      </c>
      <c r="O79" s="242">
        <v>0</v>
      </c>
      <c r="P79" s="242">
        <v>335010</v>
      </c>
      <c r="Q79" s="242">
        <v>1852</v>
      </c>
      <c r="R79" s="242">
        <v>315365</v>
      </c>
      <c r="S79" s="320">
        <v>0</v>
      </c>
      <c r="T79" s="250">
        <v>0</v>
      </c>
      <c r="U79" s="250">
        <v>335010</v>
      </c>
      <c r="V79" s="250">
        <v>0</v>
      </c>
    </row>
    <row r="80" spans="2:22" s="22" customFormat="1" ht="40.5">
      <c r="B80" s="15">
        <f t="shared" si="2"/>
        <v>55</v>
      </c>
      <c r="C80" s="249" t="s">
        <v>2831</v>
      </c>
      <c r="D80" s="230">
        <v>1</v>
      </c>
      <c r="E80" s="250">
        <v>227907</v>
      </c>
      <c r="F80" s="380" t="s">
        <v>2433</v>
      </c>
      <c r="G80" s="233">
        <v>41754</v>
      </c>
      <c r="H80" s="228" t="s">
        <v>368</v>
      </c>
      <c r="I80" s="270">
        <v>43945</v>
      </c>
      <c r="J80" s="242">
        <v>2192</v>
      </c>
      <c r="K80" s="242">
        <v>0</v>
      </c>
      <c r="L80" s="242">
        <v>2192</v>
      </c>
      <c r="M80" s="242">
        <v>11395</v>
      </c>
      <c r="N80" s="242">
        <v>216512</v>
      </c>
      <c r="O80" s="242">
        <v>0</v>
      </c>
      <c r="P80" s="242">
        <v>194324</v>
      </c>
      <c r="Q80" s="242">
        <v>1852</v>
      </c>
      <c r="R80" s="242">
        <v>182929</v>
      </c>
      <c r="S80" s="320">
        <v>0</v>
      </c>
      <c r="T80" s="250">
        <v>0</v>
      </c>
      <c r="U80" s="250">
        <v>194324</v>
      </c>
      <c r="V80" s="250">
        <v>0</v>
      </c>
    </row>
    <row r="81" spans="2:22" s="22" customFormat="1">
      <c r="B81" s="15">
        <f t="shared" si="2"/>
        <v>56</v>
      </c>
      <c r="C81" s="249" t="s">
        <v>2523</v>
      </c>
      <c r="D81" s="230">
        <v>2</v>
      </c>
      <c r="E81" s="250">
        <v>181555</v>
      </c>
      <c r="F81" s="380" t="s">
        <v>42</v>
      </c>
      <c r="G81" s="233">
        <v>41869</v>
      </c>
      <c r="H81" s="228" t="s">
        <v>368</v>
      </c>
      <c r="I81" s="270">
        <v>42964</v>
      </c>
      <c r="J81" s="242">
        <v>1096</v>
      </c>
      <c r="K81" s="242">
        <v>0</v>
      </c>
      <c r="L81" s="242">
        <v>1096</v>
      </c>
      <c r="M81" s="242">
        <v>9078</v>
      </c>
      <c r="N81" s="242">
        <v>172477</v>
      </c>
      <c r="O81" s="242">
        <v>0</v>
      </c>
      <c r="P81" s="242">
        <v>146147</v>
      </c>
      <c r="Q81" s="242">
        <v>871</v>
      </c>
      <c r="R81" s="242">
        <v>137069</v>
      </c>
      <c r="S81" s="320">
        <v>0</v>
      </c>
      <c r="T81" s="250">
        <v>0</v>
      </c>
      <c r="U81" s="250">
        <v>146147</v>
      </c>
      <c r="V81" s="250">
        <v>0</v>
      </c>
    </row>
    <row r="82" spans="2:22" s="22" customFormat="1" ht="27">
      <c r="B82" s="15">
        <f t="shared" si="2"/>
        <v>57</v>
      </c>
      <c r="C82" s="249" t="s">
        <v>2730</v>
      </c>
      <c r="D82" s="230">
        <v>1</v>
      </c>
      <c r="E82" s="250">
        <f>52614+401</f>
        <v>53015</v>
      </c>
      <c r="F82" s="228" t="s">
        <v>2679</v>
      </c>
      <c r="G82" s="233">
        <v>42005</v>
      </c>
      <c r="H82" s="228" t="s">
        <v>368</v>
      </c>
      <c r="I82" s="270">
        <v>43100</v>
      </c>
      <c r="J82" s="242">
        <v>1096</v>
      </c>
      <c r="K82" s="242">
        <v>0</v>
      </c>
      <c r="L82" s="242">
        <v>1096</v>
      </c>
      <c r="M82" s="242">
        <v>2651</v>
      </c>
      <c r="N82" s="242">
        <v>50364</v>
      </c>
      <c r="O82" s="242">
        <v>0</v>
      </c>
      <c r="P82" s="242">
        <v>48925</v>
      </c>
      <c r="Q82" s="242">
        <v>1007</v>
      </c>
      <c r="R82" s="242">
        <v>46274</v>
      </c>
      <c r="S82" s="320">
        <v>0</v>
      </c>
      <c r="T82" s="250">
        <v>0</v>
      </c>
      <c r="U82" s="250">
        <v>48925</v>
      </c>
      <c r="V82" s="250">
        <v>0</v>
      </c>
    </row>
    <row r="83" spans="2:22" s="22" customFormat="1" ht="27">
      <c r="B83" s="15">
        <f t="shared" si="2"/>
        <v>58</v>
      </c>
      <c r="C83" s="249" t="s">
        <v>2731</v>
      </c>
      <c r="D83" s="230">
        <v>1</v>
      </c>
      <c r="E83" s="250">
        <f>48736+371</f>
        <v>49107</v>
      </c>
      <c r="F83" s="228" t="s">
        <v>2679</v>
      </c>
      <c r="G83" s="233">
        <v>42005</v>
      </c>
      <c r="H83" s="228" t="s">
        <v>368</v>
      </c>
      <c r="I83" s="270">
        <v>43100</v>
      </c>
      <c r="J83" s="242">
        <v>1096</v>
      </c>
      <c r="K83" s="242">
        <v>0</v>
      </c>
      <c r="L83" s="242">
        <v>1096</v>
      </c>
      <c r="M83" s="242">
        <v>2455</v>
      </c>
      <c r="N83" s="242">
        <v>46652</v>
      </c>
      <c r="O83" s="242">
        <v>0</v>
      </c>
      <c r="P83" s="242">
        <v>45319</v>
      </c>
      <c r="Q83" s="242">
        <v>1007</v>
      </c>
      <c r="R83" s="242">
        <v>42864</v>
      </c>
      <c r="S83" s="320">
        <v>0</v>
      </c>
      <c r="T83" s="250">
        <v>0</v>
      </c>
      <c r="U83" s="250">
        <v>45319</v>
      </c>
      <c r="V83" s="250">
        <v>0</v>
      </c>
    </row>
    <row r="84" spans="2:22" s="22" customFormat="1" ht="27">
      <c r="B84" s="15">
        <f t="shared" si="2"/>
        <v>59</v>
      </c>
      <c r="C84" s="249" t="s">
        <v>2733</v>
      </c>
      <c r="D84" s="230">
        <v>1</v>
      </c>
      <c r="E84" s="250">
        <f>34318+262</f>
        <v>34580</v>
      </c>
      <c r="F84" s="228" t="s">
        <v>2679</v>
      </c>
      <c r="G84" s="233">
        <v>42005</v>
      </c>
      <c r="H84" s="228" t="s">
        <v>368</v>
      </c>
      <c r="I84" s="270">
        <v>43100</v>
      </c>
      <c r="J84" s="242">
        <v>1096</v>
      </c>
      <c r="K84" s="242">
        <v>0</v>
      </c>
      <c r="L84" s="242">
        <v>1096</v>
      </c>
      <c r="M84" s="242">
        <v>1729</v>
      </c>
      <c r="N84" s="242">
        <v>32851</v>
      </c>
      <c r="O84" s="242">
        <v>0</v>
      </c>
      <c r="P84" s="242">
        <v>31912</v>
      </c>
      <c r="Q84" s="242">
        <v>1007</v>
      </c>
      <c r="R84" s="242">
        <v>30183</v>
      </c>
      <c r="S84" s="320">
        <v>0</v>
      </c>
      <c r="T84" s="250">
        <v>0</v>
      </c>
      <c r="U84" s="250">
        <v>31912</v>
      </c>
      <c r="V84" s="250">
        <v>0</v>
      </c>
    </row>
    <row r="85" spans="2:22" s="22" customFormat="1" ht="27">
      <c r="B85" s="15">
        <f t="shared" si="2"/>
        <v>60</v>
      </c>
      <c r="C85" s="249" t="s">
        <v>4221</v>
      </c>
      <c r="D85" s="230">
        <v>1</v>
      </c>
      <c r="E85" s="250">
        <v>49230</v>
      </c>
      <c r="F85" s="228" t="s">
        <v>42</v>
      </c>
      <c r="G85" s="233">
        <v>43035</v>
      </c>
      <c r="H85" s="228" t="s">
        <v>187</v>
      </c>
      <c r="I85" s="270">
        <v>44130</v>
      </c>
      <c r="J85" s="242">
        <v>1096</v>
      </c>
      <c r="K85" s="242"/>
      <c r="L85" s="242">
        <v>1096</v>
      </c>
      <c r="M85" s="242">
        <v>2462</v>
      </c>
      <c r="N85" s="242">
        <v>46768</v>
      </c>
      <c r="O85" s="242"/>
      <c r="P85" s="242">
        <v>49230</v>
      </c>
      <c r="Q85" s="242">
        <v>1096</v>
      </c>
      <c r="R85" s="242">
        <v>46769</v>
      </c>
      <c r="S85" s="320">
        <v>0</v>
      </c>
      <c r="T85" s="250">
        <v>0</v>
      </c>
      <c r="U85" s="250">
        <v>49230</v>
      </c>
      <c r="V85" s="250">
        <v>0</v>
      </c>
    </row>
    <row r="86" spans="2:22" s="22" customFormat="1" ht="40.5">
      <c r="B86" s="15">
        <v>61</v>
      </c>
      <c r="C86" s="250" t="s">
        <v>3925</v>
      </c>
      <c r="D86" s="230">
        <v>1</v>
      </c>
      <c r="E86" s="250">
        <v>88500</v>
      </c>
      <c r="F86" s="397" t="s">
        <v>3926</v>
      </c>
      <c r="G86" s="233">
        <v>42772</v>
      </c>
      <c r="H86" s="375" t="s">
        <v>895</v>
      </c>
      <c r="I86" s="270">
        <v>43866</v>
      </c>
      <c r="J86" s="242">
        <v>1095</v>
      </c>
      <c r="K86" s="242">
        <v>0</v>
      </c>
      <c r="L86" s="242">
        <v>1095</v>
      </c>
      <c r="M86" s="242">
        <v>4425</v>
      </c>
      <c r="N86" s="242">
        <v>84075</v>
      </c>
      <c r="O86" s="242"/>
      <c r="P86" s="242">
        <v>88500</v>
      </c>
      <c r="Q86" s="242">
        <v>1095</v>
      </c>
      <c r="R86" s="242">
        <v>84075</v>
      </c>
      <c r="S86" s="320">
        <v>0</v>
      </c>
      <c r="T86" s="250">
        <v>0</v>
      </c>
      <c r="U86" s="250">
        <v>88500</v>
      </c>
      <c r="V86" s="250">
        <v>0</v>
      </c>
    </row>
    <row r="87" spans="2:22" s="22" customFormat="1" ht="40.5">
      <c r="B87" s="15">
        <v>62</v>
      </c>
      <c r="C87" s="250" t="s">
        <v>4058</v>
      </c>
      <c r="D87" s="230">
        <v>1</v>
      </c>
      <c r="E87" s="250">
        <v>91900</v>
      </c>
      <c r="F87" s="397" t="s">
        <v>4059</v>
      </c>
      <c r="G87" s="233">
        <v>42872</v>
      </c>
      <c r="H87" s="375" t="s">
        <v>368</v>
      </c>
      <c r="I87" s="270">
        <v>43967</v>
      </c>
      <c r="J87" s="242">
        <v>1096</v>
      </c>
      <c r="K87" s="242">
        <v>0</v>
      </c>
      <c r="L87" s="242">
        <v>1096</v>
      </c>
      <c r="M87" s="242">
        <v>4595</v>
      </c>
      <c r="N87" s="242">
        <v>87305</v>
      </c>
      <c r="O87" s="242"/>
      <c r="P87" s="242">
        <v>91900</v>
      </c>
      <c r="Q87" s="242">
        <v>1096</v>
      </c>
      <c r="R87" s="242">
        <v>87305</v>
      </c>
      <c r="S87" s="320">
        <v>0</v>
      </c>
      <c r="T87" s="250">
        <v>0</v>
      </c>
      <c r="U87" s="250">
        <v>91900</v>
      </c>
      <c r="V87" s="250">
        <v>0</v>
      </c>
    </row>
    <row r="88" spans="2:22" s="22" customFormat="1" ht="27">
      <c r="B88" s="15">
        <v>63</v>
      </c>
      <c r="C88" s="250" t="s">
        <v>4264</v>
      </c>
      <c r="D88" s="230">
        <v>1</v>
      </c>
      <c r="E88" s="250">
        <v>75990</v>
      </c>
      <c r="F88" s="397" t="s">
        <v>4265</v>
      </c>
      <c r="G88" s="233">
        <v>43177</v>
      </c>
      <c r="H88" s="375" t="s">
        <v>895</v>
      </c>
      <c r="I88" s="270">
        <v>44272</v>
      </c>
      <c r="J88" s="242">
        <v>1096</v>
      </c>
      <c r="K88" s="242">
        <v>0</v>
      </c>
      <c r="L88" s="242">
        <v>1096</v>
      </c>
      <c r="M88" s="242">
        <v>3800</v>
      </c>
      <c r="N88" s="242">
        <v>72190</v>
      </c>
      <c r="O88" s="242"/>
      <c r="P88" s="242">
        <v>75990</v>
      </c>
      <c r="Q88" s="242">
        <v>1096</v>
      </c>
      <c r="R88" s="242">
        <v>72191</v>
      </c>
      <c r="S88" s="320">
        <v>0</v>
      </c>
      <c r="T88" s="250">
        <v>0</v>
      </c>
      <c r="U88" s="250">
        <v>75990</v>
      </c>
      <c r="V88" s="250">
        <v>0</v>
      </c>
    </row>
    <row r="89" spans="2:22" s="22" customFormat="1" ht="27">
      <c r="B89" s="15">
        <v>64</v>
      </c>
      <c r="C89" s="250" t="s">
        <v>4266</v>
      </c>
      <c r="D89" s="230">
        <v>1</v>
      </c>
      <c r="E89" s="250">
        <v>5999</v>
      </c>
      <c r="F89" s="397" t="s">
        <v>4267</v>
      </c>
      <c r="G89" s="233">
        <v>43177</v>
      </c>
      <c r="H89" s="375" t="s">
        <v>895</v>
      </c>
      <c r="I89" s="270">
        <v>44272</v>
      </c>
      <c r="J89" s="242">
        <v>1096</v>
      </c>
      <c r="K89" s="242">
        <v>0</v>
      </c>
      <c r="L89" s="242">
        <v>1096</v>
      </c>
      <c r="M89" s="242">
        <v>300</v>
      </c>
      <c r="N89" s="242">
        <v>5699</v>
      </c>
      <c r="O89" s="242"/>
      <c r="P89" s="242">
        <v>5999</v>
      </c>
      <c r="Q89" s="242">
        <v>1096</v>
      </c>
      <c r="R89" s="242">
        <v>5699</v>
      </c>
      <c r="S89" s="320">
        <v>0</v>
      </c>
      <c r="T89" s="250">
        <v>0</v>
      </c>
      <c r="U89" s="250">
        <v>5999</v>
      </c>
      <c r="V89" s="250">
        <v>0</v>
      </c>
    </row>
    <row r="90" spans="2:22" s="22" customFormat="1">
      <c r="B90" s="15">
        <v>65</v>
      </c>
      <c r="C90" s="250" t="s">
        <v>4425</v>
      </c>
      <c r="D90" s="230">
        <v>1</v>
      </c>
      <c r="E90" s="250">
        <v>38000</v>
      </c>
      <c r="F90" s="397" t="s">
        <v>4424</v>
      </c>
      <c r="G90" s="233">
        <v>43957</v>
      </c>
      <c r="H90" s="375" t="s">
        <v>4433</v>
      </c>
      <c r="I90" s="270">
        <v>45051</v>
      </c>
      <c r="J90" s="242">
        <v>1095</v>
      </c>
      <c r="K90" s="242">
        <v>0</v>
      </c>
      <c r="L90" s="242">
        <v>1095</v>
      </c>
      <c r="M90" s="242">
        <v>1900</v>
      </c>
      <c r="N90" s="242">
        <v>36100</v>
      </c>
      <c r="O90" s="242"/>
      <c r="P90" s="242">
        <v>38000</v>
      </c>
      <c r="Q90" s="242">
        <v>1095</v>
      </c>
      <c r="R90" s="242">
        <v>36100</v>
      </c>
      <c r="S90" s="320">
        <v>365</v>
      </c>
      <c r="T90" s="250">
        <v>12033</v>
      </c>
      <c r="U90" s="250">
        <v>22912</v>
      </c>
      <c r="V90" s="250">
        <v>15088</v>
      </c>
    </row>
    <row r="91" spans="2:22" s="22" customFormat="1">
      <c r="B91" s="15">
        <v>66</v>
      </c>
      <c r="C91" s="250" t="s">
        <v>4431</v>
      </c>
      <c r="D91" s="230">
        <v>13</v>
      </c>
      <c r="E91" s="250">
        <v>978876</v>
      </c>
      <c r="F91" s="397" t="s">
        <v>4432</v>
      </c>
      <c r="G91" s="233">
        <v>43992</v>
      </c>
      <c r="H91" s="375" t="s">
        <v>895</v>
      </c>
      <c r="I91" s="270">
        <v>45086</v>
      </c>
      <c r="J91" s="242">
        <v>1095</v>
      </c>
      <c r="K91" s="242">
        <v>0</v>
      </c>
      <c r="L91" s="242">
        <v>1095</v>
      </c>
      <c r="M91" s="242">
        <v>48944</v>
      </c>
      <c r="N91" s="242">
        <v>929932</v>
      </c>
      <c r="O91" s="242"/>
      <c r="P91" s="242">
        <v>978876</v>
      </c>
      <c r="Q91" s="242">
        <v>1095</v>
      </c>
      <c r="R91" s="242">
        <v>929932</v>
      </c>
      <c r="S91" s="320">
        <v>365</v>
      </c>
      <c r="T91" s="250">
        <v>309977</v>
      </c>
      <c r="U91" s="250">
        <v>560507</v>
      </c>
      <c r="V91" s="250">
        <v>418369</v>
      </c>
    </row>
    <row r="92" spans="2:22" s="22" customFormat="1">
      <c r="B92" s="15">
        <v>67</v>
      </c>
      <c r="C92" s="250" t="s">
        <v>4434</v>
      </c>
      <c r="D92" s="230">
        <v>1</v>
      </c>
      <c r="E92" s="250">
        <f>(29661+5339)</f>
        <v>35000</v>
      </c>
      <c r="F92" s="397" t="s">
        <v>4435</v>
      </c>
      <c r="G92" s="233">
        <v>44062</v>
      </c>
      <c r="H92" s="375" t="s">
        <v>4436</v>
      </c>
      <c r="I92" s="270">
        <v>45156</v>
      </c>
      <c r="J92" s="242">
        <v>1095</v>
      </c>
      <c r="K92" s="242">
        <v>0</v>
      </c>
      <c r="L92" s="242">
        <v>1095</v>
      </c>
      <c r="M92" s="242">
        <v>1750</v>
      </c>
      <c r="N92" s="242">
        <v>33250</v>
      </c>
      <c r="O92" s="242"/>
      <c r="P92" s="242">
        <v>35000</v>
      </c>
      <c r="Q92" s="242">
        <v>1095</v>
      </c>
      <c r="R92" s="242">
        <v>33250</v>
      </c>
      <c r="S92" s="320">
        <v>365</v>
      </c>
      <c r="T92" s="250">
        <v>11083</v>
      </c>
      <c r="U92" s="250">
        <v>17915</v>
      </c>
      <c r="V92" s="250">
        <v>17085</v>
      </c>
    </row>
    <row r="93" spans="2:22" s="22" customFormat="1" ht="40.5">
      <c r="B93" s="15">
        <v>68</v>
      </c>
      <c r="C93" s="250" t="s">
        <v>4471</v>
      </c>
      <c r="D93" s="230">
        <v>1</v>
      </c>
      <c r="E93" s="250">
        <v>62498</v>
      </c>
      <c r="F93" s="397" t="s">
        <v>4472</v>
      </c>
      <c r="G93" s="233">
        <v>44186</v>
      </c>
      <c r="H93" s="375" t="s">
        <v>895</v>
      </c>
      <c r="I93" s="270">
        <v>45280</v>
      </c>
      <c r="J93" s="242">
        <v>1095</v>
      </c>
      <c r="K93" s="242">
        <v>0</v>
      </c>
      <c r="L93" s="242">
        <v>1095</v>
      </c>
      <c r="M93" s="242">
        <v>3125</v>
      </c>
      <c r="N93" s="242">
        <v>59373</v>
      </c>
      <c r="O93" s="242"/>
      <c r="P93" s="242">
        <v>62498</v>
      </c>
      <c r="Q93" s="242">
        <v>1095</v>
      </c>
      <c r="R93" s="242">
        <v>59373</v>
      </c>
      <c r="S93" s="320">
        <v>365</v>
      </c>
      <c r="T93" s="250">
        <v>19791</v>
      </c>
      <c r="U93" s="250">
        <v>25267</v>
      </c>
      <c r="V93" s="250">
        <v>37231</v>
      </c>
    </row>
    <row r="94" spans="2:22" s="22" customFormat="1" ht="27">
      <c r="B94" s="15">
        <v>69</v>
      </c>
      <c r="C94" s="250" t="s">
        <v>4577</v>
      </c>
      <c r="D94" s="230">
        <v>5</v>
      </c>
      <c r="E94" s="250">
        <v>387571</v>
      </c>
      <c r="F94" s="397" t="s">
        <v>4578</v>
      </c>
      <c r="G94" s="233">
        <v>44295</v>
      </c>
      <c r="H94" s="375" t="s">
        <v>895</v>
      </c>
      <c r="I94" s="270">
        <v>45390</v>
      </c>
      <c r="J94" s="242">
        <v>1096</v>
      </c>
      <c r="K94" s="242">
        <v>0</v>
      </c>
      <c r="L94" s="242">
        <v>1096</v>
      </c>
      <c r="M94" s="242">
        <v>19379</v>
      </c>
      <c r="N94" s="242">
        <v>368192</v>
      </c>
      <c r="O94" s="242"/>
      <c r="P94" s="242">
        <v>387571</v>
      </c>
      <c r="Q94" s="242">
        <v>1096</v>
      </c>
      <c r="R94" s="242">
        <v>368192</v>
      </c>
      <c r="S94" s="320">
        <v>357</v>
      </c>
      <c r="T94" s="250">
        <v>119931</v>
      </c>
      <c r="U94" s="250">
        <v>119931</v>
      </c>
      <c r="V94" s="250">
        <v>267640</v>
      </c>
    </row>
    <row r="95" spans="2:22" s="22" customFormat="1" ht="27">
      <c r="B95" s="15">
        <v>70</v>
      </c>
      <c r="C95" s="250" t="s">
        <v>4579</v>
      </c>
      <c r="D95" s="230">
        <v>1</v>
      </c>
      <c r="E95" s="250">
        <v>76498</v>
      </c>
      <c r="F95" s="397" t="s">
        <v>4580</v>
      </c>
      <c r="G95" s="233">
        <v>44324</v>
      </c>
      <c r="H95" s="375" t="s">
        <v>4581</v>
      </c>
      <c r="I95" s="270">
        <v>45419</v>
      </c>
      <c r="J95" s="242">
        <v>1096</v>
      </c>
      <c r="K95" s="242">
        <v>0</v>
      </c>
      <c r="L95" s="242">
        <v>1096</v>
      </c>
      <c r="M95" s="242">
        <v>3825</v>
      </c>
      <c r="N95" s="242">
        <v>72673</v>
      </c>
      <c r="O95" s="242"/>
      <c r="P95" s="242">
        <v>76498</v>
      </c>
      <c r="Q95" s="242">
        <v>1096</v>
      </c>
      <c r="R95" s="242">
        <v>72673</v>
      </c>
      <c r="S95" s="320">
        <v>328</v>
      </c>
      <c r="T95" s="250">
        <v>21749</v>
      </c>
      <c r="U95" s="250">
        <v>21749</v>
      </c>
      <c r="V95" s="250">
        <v>54749</v>
      </c>
    </row>
    <row r="96" spans="2:22" s="22" customFormat="1" ht="27">
      <c r="B96" s="15">
        <v>71</v>
      </c>
      <c r="C96" s="250" t="s">
        <v>4602</v>
      </c>
      <c r="D96" s="230">
        <v>1</v>
      </c>
      <c r="E96" s="250">
        <v>92630</v>
      </c>
      <c r="F96" s="397" t="s">
        <v>4603</v>
      </c>
      <c r="G96" s="233">
        <v>44431</v>
      </c>
      <c r="H96" s="375" t="s">
        <v>895</v>
      </c>
      <c r="I96" s="270">
        <v>45526</v>
      </c>
      <c r="J96" s="242">
        <v>1096</v>
      </c>
      <c r="K96" s="242">
        <v>0</v>
      </c>
      <c r="L96" s="242">
        <v>1096</v>
      </c>
      <c r="M96" s="242">
        <v>4632</v>
      </c>
      <c r="N96" s="242">
        <v>87998</v>
      </c>
      <c r="O96" s="242"/>
      <c r="P96" s="242">
        <v>92630</v>
      </c>
      <c r="Q96" s="242">
        <v>1096</v>
      </c>
      <c r="R96" s="242">
        <v>87999</v>
      </c>
      <c r="S96" s="320">
        <v>221</v>
      </c>
      <c r="T96" s="250">
        <v>17744</v>
      </c>
      <c r="U96" s="250">
        <v>17744</v>
      </c>
      <c r="V96" s="250">
        <v>74886</v>
      </c>
    </row>
    <row r="97" spans="2:22" s="22" customFormat="1" ht="27">
      <c r="B97" s="15">
        <v>72</v>
      </c>
      <c r="C97" s="250" t="s">
        <v>4608</v>
      </c>
      <c r="D97" s="230">
        <v>3</v>
      </c>
      <c r="E97" s="250">
        <v>224790</v>
      </c>
      <c r="F97" s="397" t="s">
        <v>4609</v>
      </c>
      <c r="G97" s="233">
        <v>44446</v>
      </c>
      <c r="H97" s="375" t="s">
        <v>895</v>
      </c>
      <c r="I97" s="270">
        <v>45541</v>
      </c>
      <c r="J97" s="242">
        <v>1096</v>
      </c>
      <c r="K97" s="242">
        <v>0</v>
      </c>
      <c r="L97" s="242">
        <v>1096</v>
      </c>
      <c r="M97" s="242">
        <v>11240</v>
      </c>
      <c r="N97" s="242">
        <v>213550</v>
      </c>
      <c r="O97" s="242"/>
      <c r="P97" s="242">
        <v>224790</v>
      </c>
      <c r="Q97" s="242">
        <v>1096</v>
      </c>
      <c r="R97" s="242">
        <v>213551</v>
      </c>
      <c r="S97" s="320">
        <v>206</v>
      </c>
      <c r="T97" s="250">
        <v>40138</v>
      </c>
      <c r="U97" s="250">
        <v>40138</v>
      </c>
      <c r="V97" s="250">
        <v>184652</v>
      </c>
    </row>
    <row r="98" spans="2:22" s="22" customFormat="1">
      <c r="B98" s="15">
        <v>73</v>
      </c>
      <c r="C98" s="250" t="s">
        <v>4602</v>
      </c>
      <c r="D98" s="230">
        <v>4</v>
      </c>
      <c r="E98" s="250">
        <f>ROUND(398250/5*4,)</f>
        <v>318600</v>
      </c>
      <c r="F98" s="397" t="s">
        <v>4630</v>
      </c>
      <c r="G98" s="233">
        <v>44547</v>
      </c>
      <c r="H98" s="375" t="s">
        <v>895</v>
      </c>
      <c r="I98" s="270">
        <v>45642</v>
      </c>
      <c r="J98" s="242">
        <v>1096</v>
      </c>
      <c r="K98" s="242">
        <v>0</v>
      </c>
      <c r="L98" s="242">
        <v>1096</v>
      </c>
      <c r="M98" s="242">
        <v>15930</v>
      </c>
      <c r="N98" s="242">
        <v>302670</v>
      </c>
      <c r="O98" s="242"/>
      <c r="P98" s="242">
        <v>318600</v>
      </c>
      <c r="Q98" s="242">
        <v>1096</v>
      </c>
      <c r="R98" s="242">
        <v>302670</v>
      </c>
      <c r="S98" s="320">
        <v>105</v>
      </c>
      <c r="T98" s="250">
        <v>28997</v>
      </c>
      <c r="U98" s="250">
        <v>28997</v>
      </c>
      <c r="V98" s="250">
        <v>289603</v>
      </c>
    </row>
    <row r="99" spans="2:22" s="22" customFormat="1">
      <c r="B99" s="15">
        <v>74</v>
      </c>
      <c r="C99" s="250" t="s">
        <v>4602</v>
      </c>
      <c r="D99" s="230">
        <v>1</v>
      </c>
      <c r="E99" s="250">
        <f>ROUND(398250/5*1,)</f>
        <v>79650</v>
      </c>
      <c r="F99" s="397" t="s">
        <v>4630</v>
      </c>
      <c r="G99" s="233">
        <v>44547</v>
      </c>
      <c r="H99" s="375" t="s">
        <v>895</v>
      </c>
      <c r="I99" s="270">
        <v>45642</v>
      </c>
      <c r="J99" s="242">
        <v>1096</v>
      </c>
      <c r="K99" s="242">
        <v>0</v>
      </c>
      <c r="L99" s="242">
        <v>1096</v>
      </c>
      <c r="M99" s="242">
        <v>3983</v>
      </c>
      <c r="N99" s="242">
        <v>75667</v>
      </c>
      <c r="O99" s="242"/>
      <c r="P99" s="242">
        <v>79650</v>
      </c>
      <c r="Q99" s="242">
        <v>1096</v>
      </c>
      <c r="R99" s="242">
        <v>75668</v>
      </c>
      <c r="S99" s="320">
        <v>105</v>
      </c>
      <c r="T99" s="250">
        <v>7249</v>
      </c>
      <c r="U99" s="250">
        <v>7249</v>
      </c>
      <c r="V99" s="250">
        <v>72401</v>
      </c>
    </row>
    <row r="100" spans="2:22" s="22" customFormat="1" ht="81">
      <c r="B100" s="15">
        <v>75</v>
      </c>
      <c r="C100" s="250" t="s">
        <v>4646</v>
      </c>
      <c r="D100" s="230">
        <v>5</v>
      </c>
      <c r="E100" s="250">
        <f>402062</f>
        <v>402062</v>
      </c>
      <c r="F100" s="397" t="s">
        <v>4647</v>
      </c>
      <c r="G100" s="233">
        <v>44639</v>
      </c>
      <c r="H100" s="375" t="s">
        <v>895</v>
      </c>
      <c r="I100" s="270">
        <v>45734</v>
      </c>
      <c r="J100" s="242">
        <v>1096</v>
      </c>
      <c r="K100" s="242">
        <v>0</v>
      </c>
      <c r="L100" s="242">
        <v>1096</v>
      </c>
      <c r="M100" s="242">
        <v>20103</v>
      </c>
      <c r="N100" s="242">
        <v>381959</v>
      </c>
      <c r="O100" s="242"/>
      <c r="P100" s="242">
        <v>402062</v>
      </c>
      <c r="Q100" s="242">
        <v>1096</v>
      </c>
      <c r="R100" s="242">
        <v>381959</v>
      </c>
      <c r="S100" s="320">
        <v>13</v>
      </c>
      <c r="T100" s="250">
        <v>4531</v>
      </c>
      <c r="U100" s="250">
        <v>4531</v>
      </c>
      <c r="V100" s="250">
        <v>397531</v>
      </c>
    </row>
    <row r="101" spans="2:22" s="22" customFormat="1">
      <c r="B101" s="15"/>
      <c r="C101" s="249"/>
      <c r="D101" s="230"/>
      <c r="E101" s="250"/>
      <c r="F101" s="228"/>
      <c r="G101" s="233"/>
      <c r="H101" s="228"/>
      <c r="I101" s="270"/>
      <c r="J101" s="242"/>
      <c r="K101" s="242"/>
      <c r="L101" s="242"/>
      <c r="M101" s="242"/>
      <c r="N101" s="242"/>
      <c r="O101" s="242"/>
      <c r="P101" s="242"/>
      <c r="Q101" s="242"/>
      <c r="R101" s="242"/>
      <c r="S101" s="320"/>
      <c r="T101" s="250"/>
      <c r="U101" s="250"/>
      <c r="V101" s="250"/>
    </row>
    <row r="102" spans="2:22" s="22" customFormat="1" ht="14.25">
      <c r="B102" s="32" t="s">
        <v>173</v>
      </c>
      <c r="C102" s="228"/>
      <c r="D102" s="230"/>
      <c r="E102" s="250"/>
      <c r="F102" s="230"/>
      <c r="G102" s="230"/>
      <c r="H102" s="228"/>
      <c r="I102" s="228"/>
      <c r="J102" s="228"/>
      <c r="K102" s="228"/>
      <c r="L102" s="228"/>
      <c r="M102" s="228"/>
      <c r="N102" s="228"/>
      <c r="O102" s="242"/>
      <c r="P102" s="242"/>
      <c r="Q102" s="228"/>
      <c r="R102" s="228"/>
      <c r="S102" s="250"/>
      <c r="T102" s="250"/>
      <c r="U102" s="250"/>
      <c r="V102" s="250"/>
    </row>
    <row r="103" spans="2:22" s="22" customFormat="1">
      <c r="B103" s="15">
        <v>1</v>
      </c>
      <c r="C103" s="249" t="s">
        <v>49</v>
      </c>
      <c r="D103" s="230">
        <v>1</v>
      </c>
      <c r="E103" s="250">
        <v>24400</v>
      </c>
      <c r="F103" s="230" t="s">
        <v>50</v>
      </c>
      <c r="G103" s="233">
        <v>39806</v>
      </c>
      <c r="H103" s="228" t="s">
        <v>884</v>
      </c>
      <c r="I103" s="270">
        <v>40900</v>
      </c>
      <c r="J103" s="242">
        <v>1095</v>
      </c>
      <c r="K103" s="242">
        <v>1924</v>
      </c>
      <c r="L103" s="242">
        <v>-829</v>
      </c>
      <c r="M103" s="242">
        <v>0</v>
      </c>
      <c r="N103" s="242">
        <v>0</v>
      </c>
      <c r="O103" s="242">
        <v>3564.0451506849313</v>
      </c>
      <c r="P103" s="242">
        <v>0</v>
      </c>
      <c r="Q103" s="242">
        <v>-829</v>
      </c>
      <c r="R103" s="242">
        <v>-1220</v>
      </c>
      <c r="S103" s="320">
        <v>0</v>
      </c>
      <c r="T103" s="250">
        <v>0</v>
      </c>
      <c r="U103" s="250">
        <v>0</v>
      </c>
      <c r="V103" s="250">
        <v>0</v>
      </c>
    </row>
    <row r="104" spans="2:22" s="22" customFormat="1" ht="27">
      <c r="B104" s="15">
        <f>+B103+1</f>
        <v>2</v>
      </c>
      <c r="C104" s="249" t="s">
        <v>2441</v>
      </c>
      <c r="D104" s="230">
        <v>1</v>
      </c>
      <c r="E104" s="250">
        <v>24128</v>
      </c>
      <c r="F104" s="230">
        <v>1020</v>
      </c>
      <c r="G104" s="233">
        <v>39956</v>
      </c>
      <c r="H104" s="228" t="s">
        <v>282</v>
      </c>
      <c r="I104" s="270">
        <v>41051</v>
      </c>
      <c r="J104" s="242">
        <v>1096</v>
      </c>
      <c r="K104" s="242">
        <v>1774</v>
      </c>
      <c r="L104" s="242">
        <v>-678</v>
      </c>
      <c r="M104" s="242">
        <v>0</v>
      </c>
      <c r="N104" s="242">
        <v>0</v>
      </c>
      <c r="O104" s="242">
        <v>5131</v>
      </c>
      <c r="P104" s="242">
        <v>0</v>
      </c>
      <c r="Q104" s="242">
        <v>-678</v>
      </c>
      <c r="R104" s="242">
        <v>-1206</v>
      </c>
      <c r="S104" s="320">
        <v>0</v>
      </c>
      <c r="T104" s="250">
        <v>0</v>
      </c>
      <c r="U104" s="250">
        <v>0</v>
      </c>
      <c r="V104" s="250">
        <v>0</v>
      </c>
    </row>
    <row r="105" spans="2:22" s="22" customFormat="1">
      <c r="B105" s="15">
        <f t="shared" ref="B105:B160" si="4">+B104+1</f>
        <v>3</v>
      </c>
      <c r="C105" s="249" t="s">
        <v>2442</v>
      </c>
      <c r="D105" s="230">
        <v>2</v>
      </c>
      <c r="E105" s="250">
        <v>52000</v>
      </c>
      <c r="F105" s="230">
        <v>90314</v>
      </c>
      <c r="G105" s="233">
        <v>40092</v>
      </c>
      <c r="H105" s="228" t="s">
        <v>895</v>
      </c>
      <c r="I105" s="270">
        <v>41187</v>
      </c>
      <c r="J105" s="242">
        <v>1096</v>
      </c>
      <c r="K105" s="242">
        <v>1638</v>
      </c>
      <c r="L105" s="242">
        <v>-542</v>
      </c>
      <c r="M105" s="242">
        <v>0</v>
      </c>
      <c r="N105" s="242">
        <v>0</v>
      </c>
      <c r="O105" s="242">
        <v>14195</v>
      </c>
      <c r="P105" s="242">
        <v>0</v>
      </c>
      <c r="Q105" s="242">
        <v>-542</v>
      </c>
      <c r="R105" s="242">
        <v>-2600</v>
      </c>
      <c r="S105" s="320">
        <v>0</v>
      </c>
      <c r="T105" s="250">
        <v>0</v>
      </c>
      <c r="U105" s="250">
        <v>0</v>
      </c>
      <c r="V105" s="250">
        <v>0</v>
      </c>
    </row>
    <row r="106" spans="2:22" s="22" customFormat="1">
      <c r="B106" s="15">
        <f t="shared" si="4"/>
        <v>4</v>
      </c>
      <c r="C106" s="249" t="s">
        <v>2443</v>
      </c>
      <c r="D106" s="230">
        <v>2</v>
      </c>
      <c r="E106" s="250">
        <v>572000</v>
      </c>
      <c r="F106" s="230">
        <v>90321</v>
      </c>
      <c r="G106" s="233">
        <v>40092</v>
      </c>
      <c r="H106" s="228" t="s">
        <v>895</v>
      </c>
      <c r="I106" s="270">
        <v>41187</v>
      </c>
      <c r="J106" s="242">
        <v>1096</v>
      </c>
      <c r="K106" s="242">
        <v>1638</v>
      </c>
      <c r="L106" s="242">
        <v>-542</v>
      </c>
      <c r="M106" s="242">
        <v>0</v>
      </c>
      <c r="N106" s="242">
        <v>0</v>
      </c>
      <c r="O106" s="242">
        <v>156150</v>
      </c>
      <c r="P106" s="242">
        <v>0</v>
      </c>
      <c r="Q106" s="242">
        <v>-542</v>
      </c>
      <c r="R106" s="242">
        <v>-28600</v>
      </c>
      <c r="S106" s="320">
        <v>0</v>
      </c>
      <c r="T106" s="250">
        <v>0</v>
      </c>
      <c r="U106" s="250">
        <v>0</v>
      </c>
      <c r="V106" s="250">
        <v>0</v>
      </c>
    </row>
    <row r="107" spans="2:22" s="22" customFormat="1">
      <c r="B107" s="15">
        <f t="shared" si="4"/>
        <v>5</v>
      </c>
      <c r="C107" s="249" t="s">
        <v>2444</v>
      </c>
      <c r="D107" s="230">
        <v>1</v>
      </c>
      <c r="E107" s="250">
        <v>92153</v>
      </c>
      <c r="F107" s="230"/>
      <c r="G107" s="233">
        <v>40221</v>
      </c>
      <c r="H107" s="228" t="s">
        <v>187</v>
      </c>
      <c r="I107" s="270">
        <v>41316</v>
      </c>
      <c r="J107" s="242">
        <v>1096</v>
      </c>
      <c r="K107" s="242">
        <v>1509</v>
      </c>
      <c r="L107" s="242">
        <v>-413</v>
      </c>
      <c r="M107" s="242">
        <v>0</v>
      </c>
      <c r="N107" s="242">
        <v>0</v>
      </c>
      <c r="O107" s="242">
        <v>30438</v>
      </c>
      <c r="P107" s="242">
        <v>0</v>
      </c>
      <c r="Q107" s="242">
        <v>-413</v>
      </c>
      <c r="R107" s="242">
        <v>-4608</v>
      </c>
      <c r="S107" s="320">
        <v>0</v>
      </c>
      <c r="T107" s="250">
        <v>0</v>
      </c>
      <c r="U107" s="250">
        <v>0</v>
      </c>
      <c r="V107" s="250">
        <v>0</v>
      </c>
    </row>
    <row r="108" spans="2:22" s="22" customFormat="1">
      <c r="B108" s="15">
        <f t="shared" si="4"/>
        <v>6</v>
      </c>
      <c r="C108" s="249" t="s">
        <v>2445</v>
      </c>
      <c r="D108" s="230">
        <v>2</v>
      </c>
      <c r="E108" s="250">
        <v>36654</v>
      </c>
      <c r="F108" s="230">
        <v>262814</v>
      </c>
      <c r="G108" s="233">
        <v>40166</v>
      </c>
      <c r="H108" s="228" t="s">
        <v>187</v>
      </c>
      <c r="I108" s="270">
        <v>41261</v>
      </c>
      <c r="J108" s="242">
        <v>1096</v>
      </c>
      <c r="K108" s="242">
        <v>1564</v>
      </c>
      <c r="L108" s="242">
        <v>-468</v>
      </c>
      <c r="M108" s="242">
        <v>0</v>
      </c>
      <c r="N108" s="242">
        <v>0</v>
      </c>
      <c r="O108" s="242">
        <v>11209</v>
      </c>
      <c r="P108" s="242">
        <v>0</v>
      </c>
      <c r="Q108" s="242">
        <v>-468</v>
      </c>
      <c r="R108" s="242">
        <v>-1833</v>
      </c>
      <c r="S108" s="320">
        <v>0</v>
      </c>
      <c r="T108" s="250">
        <v>0</v>
      </c>
      <c r="U108" s="250">
        <v>0</v>
      </c>
      <c r="V108" s="250">
        <v>0</v>
      </c>
    </row>
    <row r="109" spans="2:22" s="22" customFormat="1" ht="27">
      <c r="B109" s="15">
        <f t="shared" si="4"/>
        <v>7</v>
      </c>
      <c r="C109" s="249" t="s">
        <v>2447</v>
      </c>
      <c r="D109" s="230">
        <v>1</v>
      </c>
      <c r="E109" s="250">
        <v>186900</v>
      </c>
      <c r="F109" s="254" t="s">
        <v>625</v>
      </c>
      <c r="G109" s="233">
        <v>40443</v>
      </c>
      <c r="H109" s="249" t="s">
        <v>282</v>
      </c>
      <c r="I109" s="270">
        <v>41538</v>
      </c>
      <c r="J109" s="242">
        <v>1096</v>
      </c>
      <c r="K109" s="242">
        <v>1287</v>
      </c>
      <c r="L109" s="242">
        <v>-191</v>
      </c>
      <c r="M109" s="242">
        <v>0</v>
      </c>
      <c r="N109" s="242">
        <v>0</v>
      </c>
      <c r="O109" s="242">
        <v>80157</v>
      </c>
      <c r="P109" s="242">
        <v>0</v>
      </c>
      <c r="Q109" s="242">
        <v>-191</v>
      </c>
      <c r="R109" s="242">
        <v>-9345</v>
      </c>
      <c r="S109" s="320">
        <v>0</v>
      </c>
      <c r="T109" s="250">
        <v>0</v>
      </c>
      <c r="U109" s="250">
        <v>0</v>
      </c>
      <c r="V109" s="250">
        <v>0</v>
      </c>
    </row>
    <row r="110" spans="2:22" s="22" customFormat="1" ht="40.5">
      <c r="B110" s="15">
        <f t="shared" si="4"/>
        <v>8</v>
      </c>
      <c r="C110" s="249" t="s">
        <v>2448</v>
      </c>
      <c r="D110" s="230">
        <v>1</v>
      </c>
      <c r="E110" s="250">
        <v>761250</v>
      </c>
      <c r="F110" s="254" t="s">
        <v>464</v>
      </c>
      <c r="G110" s="233">
        <v>40507</v>
      </c>
      <c r="H110" s="249" t="s">
        <v>368</v>
      </c>
      <c r="I110" s="270">
        <v>41602</v>
      </c>
      <c r="J110" s="242">
        <v>1096</v>
      </c>
      <c r="K110" s="242">
        <v>1223</v>
      </c>
      <c r="L110" s="242">
        <v>-127</v>
      </c>
      <c r="M110" s="242">
        <v>0</v>
      </c>
      <c r="N110" s="242">
        <v>0</v>
      </c>
      <c r="O110" s="242">
        <v>348118</v>
      </c>
      <c r="P110" s="242">
        <v>0</v>
      </c>
      <c r="Q110" s="242">
        <v>-127</v>
      </c>
      <c r="R110" s="242">
        <v>-38063</v>
      </c>
      <c r="S110" s="320">
        <v>0</v>
      </c>
      <c r="T110" s="250">
        <v>0</v>
      </c>
      <c r="U110" s="250">
        <v>0</v>
      </c>
      <c r="V110" s="250">
        <v>0</v>
      </c>
    </row>
    <row r="111" spans="2:22" s="22" customFormat="1" ht="27">
      <c r="B111" s="15">
        <f t="shared" si="4"/>
        <v>9</v>
      </c>
      <c r="C111" s="249" t="s">
        <v>2446</v>
      </c>
      <c r="D111" s="230">
        <v>1</v>
      </c>
      <c r="E111" s="250">
        <v>21472</v>
      </c>
      <c r="F111" s="254" t="s">
        <v>123</v>
      </c>
      <c r="G111" s="233">
        <v>40607</v>
      </c>
      <c r="H111" s="228" t="s">
        <v>160</v>
      </c>
      <c r="I111" s="270">
        <v>41702</v>
      </c>
      <c r="J111" s="242">
        <v>1096</v>
      </c>
      <c r="K111" s="242">
        <v>1123</v>
      </c>
      <c r="L111" s="242">
        <v>-27</v>
      </c>
      <c r="M111" s="242">
        <v>0</v>
      </c>
      <c r="N111" s="242">
        <v>0</v>
      </c>
      <c r="O111" s="242">
        <v>10773</v>
      </c>
      <c r="P111" s="242">
        <v>0</v>
      </c>
      <c r="Q111" s="242">
        <v>-27</v>
      </c>
      <c r="R111" s="242">
        <v>-1074</v>
      </c>
      <c r="S111" s="320">
        <v>0</v>
      </c>
      <c r="T111" s="250">
        <v>0</v>
      </c>
      <c r="U111" s="250">
        <v>0</v>
      </c>
      <c r="V111" s="250">
        <v>0</v>
      </c>
    </row>
    <row r="112" spans="2:22" s="22" customFormat="1" ht="27">
      <c r="B112" s="15">
        <f t="shared" si="4"/>
        <v>10</v>
      </c>
      <c r="C112" s="249" t="s">
        <v>2446</v>
      </c>
      <c r="D112" s="230">
        <v>1</v>
      </c>
      <c r="E112" s="250">
        <v>21472</v>
      </c>
      <c r="F112" s="254" t="s">
        <v>124</v>
      </c>
      <c r="G112" s="233">
        <v>40607</v>
      </c>
      <c r="H112" s="228" t="s">
        <v>368</v>
      </c>
      <c r="I112" s="270">
        <v>41702</v>
      </c>
      <c r="J112" s="242">
        <v>1096</v>
      </c>
      <c r="K112" s="242">
        <v>1123</v>
      </c>
      <c r="L112" s="242">
        <v>-27</v>
      </c>
      <c r="M112" s="242">
        <v>0</v>
      </c>
      <c r="N112" s="242">
        <v>0</v>
      </c>
      <c r="O112" s="242">
        <v>10773</v>
      </c>
      <c r="P112" s="242">
        <v>0</v>
      </c>
      <c r="Q112" s="242">
        <v>-27</v>
      </c>
      <c r="R112" s="242">
        <v>-1074</v>
      </c>
      <c r="S112" s="320">
        <v>0</v>
      </c>
      <c r="T112" s="250">
        <v>0</v>
      </c>
      <c r="U112" s="250">
        <v>0</v>
      </c>
      <c r="V112" s="250">
        <v>0</v>
      </c>
    </row>
    <row r="113" spans="2:22" s="22" customFormat="1" ht="27">
      <c r="B113" s="15">
        <f t="shared" si="4"/>
        <v>11</v>
      </c>
      <c r="C113" s="249" t="s">
        <v>2449</v>
      </c>
      <c r="D113" s="230">
        <v>1</v>
      </c>
      <c r="E113" s="250">
        <v>7476</v>
      </c>
      <c r="F113" s="254" t="s">
        <v>385</v>
      </c>
      <c r="G113" s="233">
        <v>40612</v>
      </c>
      <c r="H113" s="239" t="s">
        <v>4365</v>
      </c>
      <c r="I113" s="270">
        <v>41707</v>
      </c>
      <c r="J113" s="242">
        <v>1096</v>
      </c>
      <c r="K113" s="242">
        <v>1118</v>
      </c>
      <c r="L113" s="242">
        <v>-22</v>
      </c>
      <c r="M113" s="242">
        <v>0</v>
      </c>
      <c r="N113" s="242">
        <v>0</v>
      </c>
      <c r="O113" s="242">
        <v>3767</v>
      </c>
      <c r="P113" s="242">
        <v>0</v>
      </c>
      <c r="Q113" s="242">
        <v>-22</v>
      </c>
      <c r="R113" s="242">
        <v>-374</v>
      </c>
      <c r="S113" s="320">
        <v>0</v>
      </c>
      <c r="T113" s="250">
        <v>0</v>
      </c>
      <c r="U113" s="250">
        <v>0</v>
      </c>
      <c r="V113" s="250">
        <v>0</v>
      </c>
    </row>
    <row r="114" spans="2:22" s="22" customFormat="1">
      <c r="B114" s="15">
        <f t="shared" si="4"/>
        <v>12</v>
      </c>
      <c r="C114" s="249" t="s">
        <v>2450</v>
      </c>
      <c r="D114" s="230">
        <v>1</v>
      </c>
      <c r="E114" s="250">
        <v>8000</v>
      </c>
      <c r="F114" s="254" t="s">
        <v>1008</v>
      </c>
      <c r="G114" s="233">
        <v>40589</v>
      </c>
      <c r="H114" s="228" t="s">
        <v>368</v>
      </c>
      <c r="I114" s="270">
        <v>41684</v>
      </c>
      <c r="J114" s="242">
        <v>1096</v>
      </c>
      <c r="K114" s="242">
        <v>1141</v>
      </c>
      <c r="L114" s="242">
        <v>-45</v>
      </c>
      <c r="M114" s="242">
        <v>0</v>
      </c>
      <c r="N114" s="242">
        <v>0</v>
      </c>
      <c r="O114" s="242">
        <v>3950</v>
      </c>
      <c r="P114" s="242">
        <v>0</v>
      </c>
      <c r="Q114" s="242">
        <v>-45</v>
      </c>
      <c r="R114" s="242">
        <v>-400</v>
      </c>
      <c r="S114" s="320">
        <v>0</v>
      </c>
      <c r="T114" s="250">
        <v>0</v>
      </c>
      <c r="U114" s="250">
        <v>0</v>
      </c>
      <c r="V114" s="250">
        <v>0</v>
      </c>
    </row>
    <row r="115" spans="2:22" s="22" customFormat="1">
      <c r="B115" s="15">
        <f t="shared" si="4"/>
        <v>13</v>
      </c>
      <c r="C115" s="249" t="s">
        <v>1197</v>
      </c>
      <c r="D115" s="230">
        <v>1</v>
      </c>
      <c r="E115" s="250">
        <v>2635</v>
      </c>
      <c r="F115" s="275" t="s">
        <v>1198</v>
      </c>
      <c r="G115" s="233">
        <v>40658</v>
      </c>
      <c r="H115" s="228" t="s">
        <v>187</v>
      </c>
      <c r="I115" s="241">
        <v>0</v>
      </c>
      <c r="J115" s="241">
        <v>0</v>
      </c>
      <c r="K115" s="241">
        <v>0</v>
      </c>
      <c r="L115" s="241">
        <v>0</v>
      </c>
      <c r="M115" s="242">
        <v>0</v>
      </c>
      <c r="N115" s="242">
        <v>0</v>
      </c>
      <c r="O115" s="242">
        <v>0</v>
      </c>
      <c r="P115" s="242">
        <v>0</v>
      </c>
      <c r="Q115" s="242">
        <v>0</v>
      </c>
      <c r="R115" s="242">
        <v>-132</v>
      </c>
      <c r="S115" s="320">
        <v>0</v>
      </c>
      <c r="T115" s="250">
        <v>0</v>
      </c>
      <c r="U115" s="250">
        <v>0</v>
      </c>
      <c r="V115" s="250">
        <v>0</v>
      </c>
    </row>
    <row r="116" spans="2:22" s="22" customFormat="1" ht="27">
      <c r="B116" s="15">
        <f t="shared" si="4"/>
        <v>14</v>
      </c>
      <c r="C116" s="228" t="s">
        <v>2451</v>
      </c>
      <c r="D116" s="230">
        <v>1</v>
      </c>
      <c r="E116" s="250">
        <v>231000</v>
      </c>
      <c r="F116" s="228" t="s">
        <v>1176</v>
      </c>
      <c r="G116" s="233">
        <v>40701</v>
      </c>
      <c r="H116" s="375" t="s">
        <v>1177</v>
      </c>
      <c r="I116" s="270">
        <v>41796</v>
      </c>
      <c r="J116" s="242">
        <v>1096</v>
      </c>
      <c r="K116" s="242">
        <v>1029</v>
      </c>
      <c r="L116" s="242">
        <v>67</v>
      </c>
      <c r="M116" s="242">
        <v>11550</v>
      </c>
      <c r="N116" s="242">
        <v>114073</v>
      </c>
      <c r="O116" s="242">
        <v>0</v>
      </c>
      <c r="P116" s="242">
        <v>0</v>
      </c>
      <c r="Q116" s="242">
        <v>0</v>
      </c>
      <c r="R116" s="242">
        <v>-11550</v>
      </c>
      <c r="S116" s="320">
        <v>0</v>
      </c>
      <c r="T116" s="250">
        <v>0</v>
      </c>
      <c r="U116" s="250">
        <v>0</v>
      </c>
      <c r="V116" s="250">
        <v>0</v>
      </c>
    </row>
    <row r="117" spans="2:22" s="22" customFormat="1" ht="27">
      <c r="B117" s="15">
        <f t="shared" si="4"/>
        <v>15</v>
      </c>
      <c r="C117" s="228" t="s">
        <v>2452</v>
      </c>
      <c r="D117" s="230">
        <v>1</v>
      </c>
      <c r="E117" s="250">
        <v>231000</v>
      </c>
      <c r="F117" s="228" t="s">
        <v>1178</v>
      </c>
      <c r="G117" s="233">
        <v>40701</v>
      </c>
      <c r="H117" s="375" t="s">
        <v>80</v>
      </c>
      <c r="I117" s="270">
        <v>41796</v>
      </c>
      <c r="J117" s="242">
        <v>1096</v>
      </c>
      <c r="K117" s="242">
        <v>1029</v>
      </c>
      <c r="L117" s="242">
        <v>67</v>
      </c>
      <c r="M117" s="242">
        <v>11550</v>
      </c>
      <c r="N117" s="242">
        <v>114073</v>
      </c>
      <c r="O117" s="242">
        <v>0</v>
      </c>
      <c r="P117" s="242">
        <v>0</v>
      </c>
      <c r="Q117" s="242">
        <v>0</v>
      </c>
      <c r="R117" s="242">
        <v>-11550</v>
      </c>
      <c r="S117" s="320">
        <v>0</v>
      </c>
      <c r="T117" s="250">
        <v>0</v>
      </c>
      <c r="U117" s="250">
        <v>0</v>
      </c>
      <c r="V117" s="250">
        <v>0</v>
      </c>
    </row>
    <row r="118" spans="2:22" s="22" customFormat="1" ht="81">
      <c r="B118" s="15">
        <f t="shared" si="4"/>
        <v>16</v>
      </c>
      <c r="C118" s="228" t="s">
        <v>2453</v>
      </c>
      <c r="D118" s="230">
        <v>2</v>
      </c>
      <c r="E118" s="250">
        <v>301875</v>
      </c>
      <c r="F118" s="228" t="s">
        <v>1243</v>
      </c>
      <c r="G118" s="233">
        <v>40689</v>
      </c>
      <c r="H118" s="375" t="s">
        <v>368</v>
      </c>
      <c r="I118" s="270">
        <v>41784</v>
      </c>
      <c r="J118" s="242">
        <v>1096</v>
      </c>
      <c r="K118" s="242">
        <v>1041</v>
      </c>
      <c r="L118" s="242">
        <v>55</v>
      </c>
      <c r="M118" s="242">
        <v>15094</v>
      </c>
      <c r="N118" s="242">
        <v>147467</v>
      </c>
      <c r="O118" s="242">
        <v>0</v>
      </c>
      <c r="P118" s="242">
        <v>0</v>
      </c>
      <c r="Q118" s="242">
        <v>0</v>
      </c>
      <c r="R118" s="242">
        <v>-15094</v>
      </c>
      <c r="S118" s="320">
        <v>0</v>
      </c>
      <c r="T118" s="250">
        <v>0</v>
      </c>
      <c r="U118" s="250">
        <v>0</v>
      </c>
      <c r="V118" s="250">
        <v>0</v>
      </c>
    </row>
    <row r="119" spans="2:22" s="22" customFormat="1">
      <c r="B119" s="15">
        <f t="shared" si="4"/>
        <v>17</v>
      </c>
      <c r="C119" s="228" t="s">
        <v>2454</v>
      </c>
      <c r="D119" s="230">
        <v>1</v>
      </c>
      <c r="E119" s="250">
        <v>10200</v>
      </c>
      <c r="F119" s="228" t="s">
        <v>1277</v>
      </c>
      <c r="G119" s="233">
        <v>40758</v>
      </c>
      <c r="H119" s="375" t="s">
        <v>1132</v>
      </c>
      <c r="I119" s="270">
        <v>41853</v>
      </c>
      <c r="J119" s="242">
        <v>1096</v>
      </c>
      <c r="K119" s="242">
        <v>972</v>
      </c>
      <c r="L119" s="242">
        <v>124</v>
      </c>
      <c r="M119" s="242">
        <v>510</v>
      </c>
      <c r="N119" s="242">
        <v>5290</v>
      </c>
      <c r="O119" s="242">
        <v>0</v>
      </c>
      <c r="P119" s="242">
        <v>0</v>
      </c>
      <c r="Q119" s="242">
        <v>0</v>
      </c>
      <c r="R119" s="242">
        <v>-510</v>
      </c>
      <c r="S119" s="320">
        <v>0</v>
      </c>
      <c r="T119" s="250">
        <v>0</v>
      </c>
      <c r="U119" s="250">
        <v>0</v>
      </c>
      <c r="V119" s="250">
        <v>0</v>
      </c>
    </row>
    <row r="120" spans="2:22" s="22" customFormat="1" ht="27">
      <c r="B120" s="15">
        <f t="shared" si="4"/>
        <v>18</v>
      </c>
      <c r="C120" s="228" t="s">
        <v>2455</v>
      </c>
      <c r="D120" s="230">
        <v>1</v>
      </c>
      <c r="E120" s="250">
        <v>10400</v>
      </c>
      <c r="F120" s="228" t="s">
        <v>1354</v>
      </c>
      <c r="G120" s="233">
        <v>40800</v>
      </c>
      <c r="H120" s="239" t="s">
        <v>4365</v>
      </c>
      <c r="I120" s="270">
        <v>41895</v>
      </c>
      <c r="J120" s="242">
        <v>1096</v>
      </c>
      <c r="K120" s="242">
        <v>930</v>
      </c>
      <c r="L120" s="242">
        <v>166</v>
      </c>
      <c r="M120" s="242">
        <v>520</v>
      </c>
      <c r="N120" s="242">
        <v>5587</v>
      </c>
      <c r="O120" s="242">
        <v>0</v>
      </c>
      <c r="P120" s="242">
        <v>0</v>
      </c>
      <c r="Q120" s="242">
        <v>0</v>
      </c>
      <c r="R120" s="242">
        <v>-520</v>
      </c>
      <c r="S120" s="320">
        <v>0</v>
      </c>
      <c r="T120" s="250">
        <v>0</v>
      </c>
      <c r="U120" s="250">
        <v>0</v>
      </c>
      <c r="V120" s="250">
        <v>0</v>
      </c>
    </row>
    <row r="121" spans="2:22" s="22" customFormat="1" ht="27">
      <c r="B121" s="15">
        <f t="shared" si="4"/>
        <v>19</v>
      </c>
      <c r="C121" s="228" t="s">
        <v>2456</v>
      </c>
      <c r="D121" s="230">
        <v>1</v>
      </c>
      <c r="E121" s="250">
        <v>16640</v>
      </c>
      <c r="F121" s="228" t="s">
        <v>1407</v>
      </c>
      <c r="G121" s="233">
        <v>40802</v>
      </c>
      <c r="H121" s="239" t="s">
        <v>4365</v>
      </c>
      <c r="I121" s="270">
        <v>41897</v>
      </c>
      <c r="J121" s="242">
        <v>1096</v>
      </c>
      <c r="K121" s="242">
        <v>928</v>
      </c>
      <c r="L121" s="242">
        <v>168</v>
      </c>
      <c r="M121" s="242">
        <v>832</v>
      </c>
      <c r="N121" s="242">
        <v>8954</v>
      </c>
      <c r="O121" s="242">
        <v>0</v>
      </c>
      <c r="P121" s="242">
        <v>0</v>
      </c>
      <c r="Q121" s="242">
        <v>0</v>
      </c>
      <c r="R121" s="242">
        <v>-832</v>
      </c>
      <c r="S121" s="320">
        <v>0</v>
      </c>
      <c r="T121" s="250">
        <v>0</v>
      </c>
      <c r="U121" s="250">
        <v>0</v>
      </c>
      <c r="V121" s="250">
        <v>0</v>
      </c>
    </row>
    <row r="122" spans="2:22" s="22" customFormat="1" ht="27">
      <c r="B122" s="15">
        <f t="shared" si="4"/>
        <v>20</v>
      </c>
      <c r="C122" s="228" t="s">
        <v>2457</v>
      </c>
      <c r="D122" s="230">
        <v>1</v>
      </c>
      <c r="E122" s="250">
        <v>15800</v>
      </c>
      <c r="F122" s="228" t="s">
        <v>1451</v>
      </c>
      <c r="G122" s="233">
        <v>40831</v>
      </c>
      <c r="H122" s="375" t="s">
        <v>160</v>
      </c>
      <c r="I122" s="270">
        <v>41926</v>
      </c>
      <c r="J122" s="242">
        <v>1096</v>
      </c>
      <c r="K122" s="242">
        <v>899</v>
      </c>
      <c r="L122" s="242">
        <v>197</v>
      </c>
      <c r="M122" s="242">
        <v>790</v>
      </c>
      <c r="N122" s="242">
        <v>8705</v>
      </c>
      <c r="O122" s="242">
        <v>0</v>
      </c>
      <c r="P122" s="242">
        <v>0</v>
      </c>
      <c r="Q122" s="242">
        <v>-168</v>
      </c>
      <c r="R122" s="242">
        <v>-790</v>
      </c>
      <c r="S122" s="320">
        <v>0</v>
      </c>
      <c r="T122" s="250">
        <v>0</v>
      </c>
      <c r="U122" s="250">
        <v>0</v>
      </c>
      <c r="V122" s="250">
        <v>0</v>
      </c>
    </row>
    <row r="123" spans="2:22" s="22" customFormat="1" ht="27">
      <c r="B123" s="15">
        <f t="shared" si="4"/>
        <v>21</v>
      </c>
      <c r="C123" s="228" t="s">
        <v>2458</v>
      </c>
      <c r="D123" s="230">
        <v>1</v>
      </c>
      <c r="E123" s="250">
        <v>15800</v>
      </c>
      <c r="F123" s="228" t="s">
        <v>1470</v>
      </c>
      <c r="G123" s="233">
        <v>40878</v>
      </c>
      <c r="H123" s="375" t="s">
        <v>368</v>
      </c>
      <c r="I123" s="270">
        <v>41973</v>
      </c>
      <c r="J123" s="242">
        <v>1096</v>
      </c>
      <c r="K123" s="242">
        <v>852</v>
      </c>
      <c r="L123" s="242">
        <v>244</v>
      </c>
      <c r="M123" s="242">
        <v>790</v>
      </c>
      <c r="N123" s="242">
        <v>9034</v>
      </c>
      <c r="O123" s="242">
        <v>0</v>
      </c>
      <c r="P123" s="242">
        <v>0</v>
      </c>
      <c r="Q123" s="242">
        <v>-121</v>
      </c>
      <c r="R123" s="242">
        <v>-790</v>
      </c>
      <c r="S123" s="320">
        <v>0</v>
      </c>
      <c r="T123" s="250">
        <v>0</v>
      </c>
      <c r="U123" s="250">
        <v>0</v>
      </c>
      <c r="V123" s="250">
        <v>0</v>
      </c>
    </row>
    <row r="124" spans="2:22" s="22" customFormat="1">
      <c r="B124" s="15">
        <f t="shared" si="4"/>
        <v>22</v>
      </c>
      <c r="C124" s="228" t="s">
        <v>2459</v>
      </c>
      <c r="D124" s="230">
        <v>1</v>
      </c>
      <c r="E124" s="250">
        <v>16000</v>
      </c>
      <c r="F124" s="228" t="s">
        <v>1471</v>
      </c>
      <c r="G124" s="233">
        <v>40908</v>
      </c>
      <c r="H124" s="239" t="s">
        <v>4365</v>
      </c>
      <c r="I124" s="270">
        <v>42003</v>
      </c>
      <c r="J124" s="242">
        <v>1096</v>
      </c>
      <c r="K124" s="242">
        <v>822</v>
      </c>
      <c r="L124" s="242">
        <v>274</v>
      </c>
      <c r="M124" s="242">
        <v>800</v>
      </c>
      <c r="N124" s="242">
        <v>9360</v>
      </c>
      <c r="O124" s="242">
        <v>0</v>
      </c>
      <c r="P124" s="242">
        <v>0</v>
      </c>
      <c r="Q124" s="242">
        <v>-91</v>
      </c>
      <c r="R124" s="242">
        <v>-800</v>
      </c>
      <c r="S124" s="320">
        <v>0</v>
      </c>
      <c r="T124" s="250">
        <v>0</v>
      </c>
      <c r="U124" s="250">
        <v>0</v>
      </c>
      <c r="V124" s="250">
        <v>0</v>
      </c>
    </row>
    <row r="125" spans="2:22" s="22" customFormat="1" ht="27">
      <c r="B125" s="15">
        <f t="shared" si="4"/>
        <v>23</v>
      </c>
      <c r="C125" s="228" t="s">
        <v>2460</v>
      </c>
      <c r="D125" s="230">
        <v>1</v>
      </c>
      <c r="E125" s="250">
        <v>15800</v>
      </c>
      <c r="F125" s="228" t="s">
        <v>1660</v>
      </c>
      <c r="G125" s="233">
        <v>40918</v>
      </c>
      <c r="H125" s="375" t="s">
        <v>368</v>
      </c>
      <c r="I125" s="270">
        <v>42013</v>
      </c>
      <c r="J125" s="242">
        <v>1096</v>
      </c>
      <c r="K125" s="242">
        <v>812</v>
      </c>
      <c r="L125" s="242">
        <v>284</v>
      </c>
      <c r="M125" s="242">
        <v>790</v>
      </c>
      <c r="N125" s="242">
        <v>9314</v>
      </c>
      <c r="O125" s="242">
        <v>0</v>
      </c>
      <c r="P125" s="242">
        <v>0</v>
      </c>
      <c r="Q125" s="242">
        <v>-81</v>
      </c>
      <c r="R125" s="242">
        <v>-790</v>
      </c>
      <c r="S125" s="320">
        <v>0</v>
      </c>
      <c r="T125" s="250">
        <v>0</v>
      </c>
      <c r="U125" s="250">
        <v>0</v>
      </c>
      <c r="V125" s="250">
        <v>0</v>
      </c>
    </row>
    <row r="126" spans="2:22" s="22" customFormat="1" ht="40.5">
      <c r="B126" s="15">
        <f t="shared" si="4"/>
        <v>24</v>
      </c>
      <c r="C126" s="228" t="s">
        <v>1672</v>
      </c>
      <c r="D126" s="230">
        <v>1</v>
      </c>
      <c r="E126" s="250">
        <v>8550</v>
      </c>
      <c r="F126" s="228" t="s">
        <v>1673</v>
      </c>
      <c r="G126" s="233">
        <v>40940</v>
      </c>
      <c r="H126" s="375" t="s">
        <v>161</v>
      </c>
      <c r="I126" s="270">
        <v>42035</v>
      </c>
      <c r="J126" s="242">
        <v>1096</v>
      </c>
      <c r="K126" s="242">
        <v>790</v>
      </c>
      <c r="L126" s="242">
        <v>306</v>
      </c>
      <c r="M126" s="242">
        <v>428</v>
      </c>
      <c r="N126" s="242">
        <v>5123</v>
      </c>
      <c r="O126" s="242">
        <v>0</v>
      </c>
      <c r="P126" s="242">
        <v>0</v>
      </c>
      <c r="Q126" s="242">
        <v>-59</v>
      </c>
      <c r="R126" s="242">
        <v>-428</v>
      </c>
      <c r="S126" s="320">
        <v>0</v>
      </c>
      <c r="T126" s="250">
        <v>0</v>
      </c>
      <c r="U126" s="250">
        <v>0</v>
      </c>
      <c r="V126" s="250">
        <v>0</v>
      </c>
    </row>
    <row r="127" spans="2:22" s="22" customFormat="1" ht="27">
      <c r="B127" s="15">
        <f t="shared" si="4"/>
        <v>25</v>
      </c>
      <c r="C127" s="228" t="s">
        <v>2461</v>
      </c>
      <c r="D127" s="230">
        <v>1</v>
      </c>
      <c r="E127" s="250">
        <v>10150</v>
      </c>
      <c r="F127" s="228" t="s">
        <v>1782</v>
      </c>
      <c r="G127" s="233">
        <v>40985</v>
      </c>
      <c r="H127" s="239" t="s">
        <v>4365</v>
      </c>
      <c r="I127" s="270">
        <v>42079</v>
      </c>
      <c r="J127" s="242">
        <v>1095</v>
      </c>
      <c r="K127" s="242">
        <v>745</v>
      </c>
      <c r="L127" s="242">
        <v>350</v>
      </c>
      <c r="M127" s="242">
        <v>508</v>
      </c>
      <c r="N127" s="242">
        <v>6285</v>
      </c>
      <c r="O127" s="242">
        <v>0</v>
      </c>
      <c r="P127" s="242">
        <v>0</v>
      </c>
      <c r="Q127" s="242">
        <v>-15</v>
      </c>
      <c r="R127" s="242">
        <v>-508</v>
      </c>
      <c r="S127" s="320">
        <v>0</v>
      </c>
      <c r="T127" s="250">
        <v>0</v>
      </c>
      <c r="U127" s="250">
        <v>0</v>
      </c>
      <c r="V127" s="250">
        <v>0</v>
      </c>
    </row>
    <row r="128" spans="2:22" s="22" customFormat="1" ht="27">
      <c r="B128" s="15">
        <f t="shared" si="4"/>
        <v>26</v>
      </c>
      <c r="C128" s="228" t="s">
        <v>1825</v>
      </c>
      <c r="D128" s="230">
        <v>1</v>
      </c>
      <c r="E128" s="250">
        <v>5750</v>
      </c>
      <c r="F128" s="228" t="s">
        <v>1826</v>
      </c>
      <c r="G128" s="233">
        <v>41031</v>
      </c>
      <c r="H128" s="239" t="s">
        <v>4365</v>
      </c>
      <c r="I128" s="270">
        <v>42125</v>
      </c>
      <c r="J128" s="242">
        <v>1095</v>
      </c>
      <c r="K128" s="242">
        <v>699</v>
      </c>
      <c r="L128" s="242">
        <v>396</v>
      </c>
      <c r="M128" s="242">
        <v>288</v>
      </c>
      <c r="N128" s="242">
        <v>3677</v>
      </c>
      <c r="O128" s="242">
        <v>0</v>
      </c>
      <c r="P128" s="242">
        <v>576</v>
      </c>
      <c r="Q128" s="242">
        <v>31</v>
      </c>
      <c r="R128" s="242">
        <v>289</v>
      </c>
      <c r="S128" s="320">
        <v>0</v>
      </c>
      <c r="T128" s="250">
        <v>0</v>
      </c>
      <c r="U128" s="250">
        <v>576</v>
      </c>
      <c r="V128" s="250">
        <v>0</v>
      </c>
    </row>
    <row r="129" spans="2:22" s="22" customFormat="1" ht="27">
      <c r="B129" s="15">
        <f t="shared" si="4"/>
        <v>27</v>
      </c>
      <c r="C129" s="228" t="s">
        <v>2462</v>
      </c>
      <c r="D129" s="230">
        <v>1</v>
      </c>
      <c r="E129" s="250">
        <v>231000</v>
      </c>
      <c r="F129" s="228" t="s">
        <v>1827</v>
      </c>
      <c r="G129" s="233">
        <v>41005</v>
      </c>
      <c r="H129" s="375" t="s">
        <v>368</v>
      </c>
      <c r="I129" s="270">
        <v>42099</v>
      </c>
      <c r="J129" s="242">
        <v>1095</v>
      </c>
      <c r="K129" s="242">
        <v>725</v>
      </c>
      <c r="L129" s="242">
        <v>370</v>
      </c>
      <c r="M129" s="242">
        <v>11550</v>
      </c>
      <c r="N129" s="242">
        <v>145073</v>
      </c>
      <c r="O129" s="242">
        <v>0</v>
      </c>
      <c r="P129" s="242">
        <v>13510</v>
      </c>
      <c r="Q129" s="242">
        <v>5</v>
      </c>
      <c r="R129" s="242">
        <v>1960</v>
      </c>
      <c r="S129" s="320">
        <v>0</v>
      </c>
      <c r="T129" s="250">
        <v>0</v>
      </c>
      <c r="U129" s="250">
        <v>13510</v>
      </c>
      <c r="V129" s="250">
        <v>0</v>
      </c>
    </row>
    <row r="130" spans="2:22" s="22" customFormat="1" ht="27">
      <c r="B130" s="15">
        <f t="shared" si="4"/>
        <v>28</v>
      </c>
      <c r="C130" s="228" t="s">
        <v>2463</v>
      </c>
      <c r="D130" s="230">
        <v>1</v>
      </c>
      <c r="E130" s="250">
        <v>16000</v>
      </c>
      <c r="F130" s="228" t="s">
        <v>1899</v>
      </c>
      <c r="G130" s="233">
        <v>41101</v>
      </c>
      <c r="H130" s="375" t="s">
        <v>368</v>
      </c>
      <c r="I130" s="270">
        <v>42195</v>
      </c>
      <c r="J130" s="242">
        <v>1095</v>
      </c>
      <c r="K130" s="242">
        <v>629</v>
      </c>
      <c r="L130" s="242">
        <v>466</v>
      </c>
      <c r="M130" s="242">
        <v>800</v>
      </c>
      <c r="N130" s="242">
        <v>10730</v>
      </c>
      <c r="O130" s="242">
        <v>0</v>
      </c>
      <c r="P130" s="242">
        <v>3126</v>
      </c>
      <c r="Q130" s="242">
        <v>101</v>
      </c>
      <c r="R130" s="242">
        <v>2326</v>
      </c>
      <c r="S130" s="320">
        <v>0</v>
      </c>
      <c r="T130" s="250">
        <v>0</v>
      </c>
      <c r="U130" s="250">
        <v>3126</v>
      </c>
      <c r="V130" s="250">
        <v>0</v>
      </c>
    </row>
    <row r="131" spans="2:22" s="22" customFormat="1" ht="27">
      <c r="B131" s="15">
        <f t="shared" si="4"/>
        <v>29</v>
      </c>
      <c r="C131" s="228" t="s">
        <v>2464</v>
      </c>
      <c r="D131" s="230">
        <v>2</v>
      </c>
      <c r="E131" s="250">
        <v>51000</v>
      </c>
      <c r="F131" s="228" t="s">
        <v>2022</v>
      </c>
      <c r="G131" s="233">
        <v>41333</v>
      </c>
      <c r="H131" s="375" t="s">
        <v>368</v>
      </c>
      <c r="I131" s="270">
        <v>42427</v>
      </c>
      <c r="J131" s="242">
        <v>1095</v>
      </c>
      <c r="K131" s="242">
        <v>397</v>
      </c>
      <c r="L131" s="242">
        <v>698</v>
      </c>
      <c r="M131" s="242">
        <v>2550</v>
      </c>
      <c r="N131" s="242">
        <v>39458</v>
      </c>
      <c r="O131" s="242">
        <v>0</v>
      </c>
      <c r="P131" s="242">
        <v>21375</v>
      </c>
      <c r="Q131" s="242">
        <v>333</v>
      </c>
      <c r="R131" s="242">
        <v>18825</v>
      </c>
      <c r="S131" s="320">
        <v>0</v>
      </c>
      <c r="T131" s="250">
        <v>0</v>
      </c>
      <c r="U131" s="250">
        <v>21375</v>
      </c>
      <c r="V131" s="250">
        <v>0</v>
      </c>
    </row>
    <row r="132" spans="2:22" s="22" customFormat="1" ht="27">
      <c r="B132" s="15">
        <f t="shared" si="4"/>
        <v>30</v>
      </c>
      <c r="C132" s="228" t="s">
        <v>2068</v>
      </c>
      <c r="D132" s="230">
        <v>1</v>
      </c>
      <c r="E132" s="250">
        <v>189000</v>
      </c>
      <c r="F132" s="228" t="s">
        <v>2069</v>
      </c>
      <c r="G132" s="233">
        <v>41355</v>
      </c>
      <c r="H132" s="375" t="s">
        <v>368</v>
      </c>
      <c r="I132" s="270">
        <v>42450</v>
      </c>
      <c r="J132" s="242">
        <v>1096</v>
      </c>
      <c r="K132" s="242">
        <v>375</v>
      </c>
      <c r="L132" s="242">
        <v>721</v>
      </c>
      <c r="M132" s="242">
        <v>9450</v>
      </c>
      <c r="N132" s="242">
        <v>148074</v>
      </c>
      <c r="O132" s="242">
        <v>0</v>
      </c>
      <c r="P132" s="242">
        <v>82563</v>
      </c>
      <c r="Q132" s="242">
        <v>356</v>
      </c>
      <c r="R132" s="242">
        <v>73113</v>
      </c>
      <c r="S132" s="320">
        <v>0</v>
      </c>
      <c r="T132" s="250">
        <v>0</v>
      </c>
      <c r="U132" s="250">
        <v>82563</v>
      </c>
      <c r="V132" s="250">
        <v>0</v>
      </c>
    </row>
    <row r="133" spans="2:22" s="22" customFormat="1" ht="27">
      <c r="B133" s="15">
        <f t="shared" si="4"/>
        <v>31</v>
      </c>
      <c r="C133" s="228" t="s">
        <v>2070</v>
      </c>
      <c r="D133" s="230">
        <v>1</v>
      </c>
      <c r="E133" s="250">
        <v>189000</v>
      </c>
      <c r="F133" s="228" t="s">
        <v>2071</v>
      </c>
      <c r="G133" s="233">
        <v>41349</v>
      </c>
      <c r="H133" s="375" t="s">
        <v>161</v>
      </c>
      <c r="I133" s="270">
        <v>42444</v>
      </c>
      <c r="J133" s="242">
        <v>1096</v>
      </c>
      <c r="K133" s="242">
        <v>381</v>
      </c>
      <c r="L133" s="242">
        <v>715</v>
      </c>
      <c r="M133" s="242">
        <v>9450</v>
      </c>
      <c r="N133" s="242">
        <v>147570</v>
      </c>
      <c r="O133" s="242">
        <v>0</v>
      </c>
      <c r="P133" s="242">
        <v>81687</v>
      </c>
      <c r="Q133" s="242">
        <v>350</v>
      </c>
      <c r="R133" s="242">
        <v>72237</v>
      </c>
      <c r="S133" s="320">
        <v>0</v>
      </c>
      <c r="T133" s="250">
        <v>0</v>
      </c>
      <c r="U133" s="250">
        <v>81687</v>
      </c>
      <c r="V133" s="250">
        <v>0</v>
      </c>
    </row>
    <row r="134" spans="2:22" s="22" customFormat="1">
      <c r="B134" s="15">
        <f t="shared" si="4"/>
        <v>32</v>
      </c>
      <c r="C134" s="228" t="s">
        <v>2173</v>
      </c>
      <c r="D134" s="230">
        <v>1</v>
      </c>
      <c r="E134" s="250">
        <v>4649</v>
      </c>
      <c r="F134" s="228" t="s">
        <v>2174</v>
      </c>
      <c r="G134" s="233">
        <v>41421</v>
      </c>
      <c r="H134" s="375" t="s">
        <v>161</v>
      </c>
      <c r="I134" s="270">
        <v>0</v>
      </c>
      <c r="J134" s="242">
        <v>0</v>
      </c>
      <c r="K134" s="242">
        <v>0</v>
      </c>
      <c r="L134" s="242">
        <v>0</v>
      </c>
      <c r="M134" s="242">
        <v>0</v>
      </c>
      <c r="N134" s="242">
        <v>0</v>
      </c>
      <c r="O134" s="242">
        <v>0</v>
      </c>
      <c r="P134" s="242">
        <v>0</v>
      </c>
      <c r="Q134" s="242">
        <v>0</v>
      </c>
      <c r="R134" s="242">
        <v>-232</v>
      </c>
      <c r="S134" s="320">
        <v>0</v>
      </c>
      <c r="T134" s="250">
        <v>0</v>
      </c>
      <c r="U134" s="250">
        <v>0</v>
      </c>
      <c r="V134" s="250">
        <v>0</v>
      </c>
    </row>
    <row r="135" spans="2:22" s="22" customFormat="1" ht="27">
      <c r="B135" s="15">
        <f t="shared" si="4"/>
        <v>33</v>
      </c>
      <c r="C135" s="228" t="s">
        <v>2175</v>
      </c>
      <c r="D135" s="230">
        <v>1</v>
      </c>
      <c r="E135" s="250">
        <v>99750</v>
      </c>
      <c r="F135" s="228" t="s">
        <v>2176</v>
      </c>
      <c r="G135" s="233">
        <v>41388</v>
      </c>
      <c r="H135" s="375" t="s">
        <v>368</v>
      </c>
      <c r="I135" s="270">
        <v>42483</v>
      </c>
      <c r="J135" s="242">
        <v>1096</v>
      </c>
      <c r="K135" s="242">
        <v>342</v>
      </c>
      <c r="L135" s="242">
        <v>754</v>
      </c>
      <c r="M135" s="242">
        <v>4988</v>
      </c>
      <c r="N135" s="242">
        <v>79611</v>
      </c>
      <c r="O135" s="242">
        <v>0</v>
      </c>
      <c r="P135" s="242">
        <v>46061</v>
      </c>
      <c r="Q135" s="242">
        <v>389</v>
      </c>
      <c r="R135" s="242">
        <v>41074</v>
      </c>
      <c r="S135" s="320">
        <v>0</v>
      </c>
      <c r="T135" s="250">
        <v>0</v>
      </c>
      <c r="U135" s="250">
        <v>46061</v>
      </c>
      <c r="V135" s="250">
        <v>0</v>
      </c>
    </row>
    <row r="136" spans="2:22" s="22" customFormat="1" ht="40.5">
      <c r="B136" s="15">
        <f t="shared" si="4"/>
        <v>34</v>
      </c>
      <c r="C136" s="228" t="s">
        <v>2177</v>
      </c>
      <c r="D136" s="230">
        <v>5</v>
      </c>
      <c r="E136" s="250">
        <v>20997</v>
      </c>
      <c r="F136" s="228" t="s">
        <v>2178</v>
      </c>
      <c r="G136" s="233">
        <v>41370</v>
      </c>
      <c r="H136" s="375" t="s">
        <v>161</v>
      </c>
      <c r="I136" s="270">
        <v>0</v>
      </c>
      <c r="J136" s="242">
        <v>0</v>
      </c>
      <c r="K136" s="242">
        <v>0</v>
      </c>
      <c r="L136" s="242">
        <v>0</v>
      </c>
      <c r="M136" s="242">
        <v>0</v>
      </c>
      <c r="N136" s="242">
        <v>0</v>
      </c>
      <c r="O136" s="242">
        <v>0</v>
      </c>
      <c r="P136" s="242">
        <v>0</v>
      </c>
      <c r="Q136" s="242">
        <v>0</v>
      </c>
      <c r="R136" s="242">
        <v>-1050</v>
      </c>
      <c r="S136" s="320">
        <v>0</v>
      </c>
      <c r="T136" s="250">
        <v>0</v>
      </c>
      <c r="U136" s="250">
        <v>0</v>
      </c>
      <c r="V136" s="250">
        <v>0</v>
      </c>
    </row>
    <row r="137" spans="2:22" s="22" customFormat="1" ht="27">
      <c r="B137" s="15">
        <f t="shared" si="4"/>
        <v>35</v>
      </c>
      <c r="C137" s="228" t="s">
        <v>2434</v>
      </c>
      <c r="D137" s="230">
        <v>1</v>
      </c>
      <c r="E137" s="250">
        <v>14200</v>
      </c>
      <c r="F137" s="228" t="s">
        <v>2183</v>
      </c>
      <c r="G137" s="233">
        <v>41444</v>
      </c>
      <c r="H137" s="375" t="s">
        <v>368</v>
      </c>
      <c r="I137" s="270">
        <v>42539</v>
      </c>
      <c r="J137" s="242">
        <v>1096</v>
      </c>
      <c r="K137" s="242">
        <v>286</v>
      </c>
      <c r="L137" s="242">
        <v>810</v>
      </c>
      <c r="M137" s="242">
        <v>710</v>
      </c>
      <c r="N137" s="242">
        <v>11686</v>
      </c>
      <c r="O137" s="242">
        <v>0</v>
      </c>
      <c r="P137" s="242">
        <v>7130</v>
      </c>
      <c r="Q137" s="242">
        <v>445</v>
      </c>
      <c r="R137" s="242">
        <v>6420</v>
      </c>
      <c r="S137" s="320">
        <v>0</v>
      </c>
      <c r="T137" s="250">
        <v>0</v>
      </c>
      <c r="U137" s="250">
        <v>7130</v>
      </c>
      <c r="V137" s="250">
        <v>0</v>
      </c>
    </row>
    <row r="138" spans="2:22" s="22" customFormat="1" ht="27">
      <c r="B138" s="15">
        <f t="shared" si="4"/>
        <v>36</v>
      </c>
      <c r="C138" s="228" t="s">
        <v>2205</v>
      </c>
      <c r="D138" s="230">
        <v>1</v>
      </c>
      <c r="E138" s="250">
        <v>42800</v>
      </c>
      <c r="F138" s="228" t="s">
        <v>2206</v>
      </c>
      <c r="G138" s="233">
        <v>41454</v>
      </c>
      <c r="H138" s="375" t="s">
        <v>368</v>
      </c>
      <c r="I138" s="270">
        <v>42549</v>
      </c>
      <c r="J138" s="242">
        <v>1096</v>
      </c>
      <c r="K138" s="242">
        <v>276</v>
      </c>
      <c r="L138" s="242">
        <v>820</v>
      </c>
      <c r="M138" s="242">
        <v>2140</v>
      </c>
      <c r="N138" s="242">
        <v>35414</v>
      </c>
      <c r="O138" s="242">
        <v>0</v>
      </c>
      <c r="P138" s="242">
        <v>21790</v>
      </c>
      <c r="Q138" s="242">
        <v>455</v>
      </c>
      <c r="R138" s="242">
        <v>19650</v>
      </c>
      <c r="S138" s="320">
        <v>0</v>
      </c>
      <c r="T138" s="250">
        <v>0</v>
      </c>
      <c r="U138" s="250">
        <v>21790</v>
      </c>
      <c r="V138" s="250">
        <v>0</v>
      </c>
    </row>
    <row r="139" spans="2:22" s="22" customFormat="1">
      <c r="B139" s="15">
        <f t="shared" si="4"/>
        <v>37</v>
      </c>
      <c r="C139" s="228" t="s">
        <v>2254</v>
      </c>
      <c r="D139" s="230">
        <v>1</v>
      </c>
      <c r="E139" s="250">
        <v>4649</v>
      </c>
      <c r="F139" s="228" t="s">
        <v>2255</v>
      </c>
      <c r="G139" s="233">
        <v>41506</v>
      </c>
      <c r="H139" s="375" t="s">
        <v>161</v>
      </c>
      <c r="I139" s="270">
        <v>0</v>
      </c>
      <c r="J139" s="242">
        <v>0</v>
      </c>
      <c r="K139" s="242">
        <v>0</v>
      </c>
      <c r="L139" s="242">
        <v>0</v>
      </c>
      <c r="M139" s="242">
        <v>0</v>
      </c>
      <c r="N139" s="242">
        <v>0</v>
      </c>
      <c r="O139" s="242">
        <v>0</v>
      </c>
      <c r="P139" s="242">
        <v>0</v>
      </c>
      <c r="Q139" s="242">
        <v>0</v>
      </c>
      <c r="R139" s="242">
        <v>-232</v>
      </c>
      <c r="S139" s="320">
        <v>0</v>
      </c>
      <c r="T139" s="250">
        <v>0</v>
      </c>
      <c r="U139" s="250">
        <v>0</v>
      </c>
      <c r="V139" s="250">
        <v>0</v>
      </c>
    </row>
    <row r="140" spans="2:22" s="22" customFormat="1">
      <c r="B140" s="15">
        <f t="shared" si="4"/>
        <v>38</v>
      </c>
      <c r="C140" s="228" t="s">
        <v>2254</v>
      </c>
      <c r="D140" s="230">
        <v>1</v>
      </c>
      <c r="E140" s="250">
        <v>5021</v>
      </c>
      <c r="F140" s="228" t="s">
        <v>2269</v>
      </c>
      <c r="G140" s="233">
        <v>41533</v>
      </c>
      <c r="H140" s="375" t="s">
        <v>161</v>
      </c>
      <c r="I140" s="270">
        <v>42628</v>
      </c>
      <c r="J140" s="242">
        <v>1096</v>
      </c>
      <c r="K140" s="242">
        <v>197</v>
      </c>
      <c r="L140" s="242">
        <v>899</v>
      </c>
      <c r="M140" s="242">
        <v>251</v>
      </c>
      <c r="N140" s="242">
        <v>4331</v>
      </c>
      <c r="O140" s="242">
        <v>0</v>
      </c>
      <c r="P140" s="242">
        <v>2824</v>
      </c>
      <c r="Q140" s="242">
        <v>534</v>
      </c>
      <c r="R140" s="242">
        <v>2573</v>
      </c>
      <c r="S140" s="320">
        <v>0</v>
      </c>
      <c r="T140" s="250">
        <v>0</v>
      </c>
      <c r="U140" s="250">
        <v>2824</v>
      </c>
      <c r="V140" s="250">
        <v>0</v>
      </c>
    </row>
    <row r="141" spans="2:22" s="22" customFormat="1" ht="27">
      <c r="B141" s="15">
        <f t="shared" si="4"/>
        <v>39</v>
      </c>
      <c r="C141" s="228" t="s">
        <v>2435</v>
      </c>
      <c r="D141" s="230">
        <v>1</v>
      </c>
      <c r="E141" s="250">
        <v>106875</v>
      </c>
      <c r="F141" s="228" t="s">
        <v>2282</v>
      </c>
      <c r="G141" s="233">
        <v>41626</v>
      </c>
      <c r="H141" s="375" t="s">
        <v>368</v>
      </c>
      <c r="I141" s="270">
        <v>42721</v>
      </c>
      <c r="J141" s="242">
        <v>1096</v>
      </c>
      <c r="K141" s="242">
        <v>104</v>
      </c>
      <c r="L141" s="242">
        <v>992</v>
      </c>
      <c r="M141" s="242">
        <v>5344</v>
      </c>
      <c r="N141" s="242">
        <v>96595</v>
      </c>
      <c r="O141" s="242">
        <v>0</v>
      </c>
      <c r="P141" s="242">
        <v>66397</v>
      </c>
      <c r="Q141" s="242">
        <v>627</v>
      </c>
      <c r="R141" s="242">
        <v>61053</v>
      </c>
      <c r="S141" s="320">
        <v>0</v>
      </c>
      <c r="T141" s="250">
        <v>0</v>
      </c>
      <c r="U141" s="250">
        <v>66397</v>
      </c>
      <c r="V141" s="250">
        <v>0</v>
      </c>
    </row>
    <row r="142" spans="2:22" s="22" customFormat="1" ht="27">
      <c r="B142" s="15">
        <f t="shared" si="4"/>
        <v>40</v>
      </c>
      <c r="C142" s="228" t="s">
        <v>2436</v>
      </c>
      <c r="D142" s="230">
        <v>1</v>
      </c>
      <c r="E142" s="250">
        <v>52500</v>
      </c>
      <c r="F142" s="228" t="s">
        <v>2308</v>
      </c>
      <c r="G142" s="233">
        <v>41675</v>
      </c>
      <c r="H142" s="375" t="s">
        <v>368</v>
      </c>
      <c r="I142" s="270">
        <v>42770</v>
      </c>
      <c r="J142" s="242">
        <v>1096</v>
      </c>
      <c r="K142" s="242">
        <v>55</v>
      </c>
      <c r="L142" s="242">
        <v>1041</v>
      </c>
      <c r="M142" s="242">
        <v>2625</v>
      </c>
      <c r="N142" s="242">
        <v>48593</v>
      </c>
      <c r="O142" s="242">
        <v>0</v>
      </c>
      <c r="P142" s="242">
        <v>34180</v>
      </c>
      <c r="Q142" s="242">
        <v>676</v>
      </c>
      <c r="R142" s="242">
        <v>31555</v>
      </c>
      <c r="S142" s="320">
        <v>0</v>
      </c>
      <c r="T142" s="250">
        <v>0</v>
      </c>
      <c r="U142" s="250">
        <v>34180</v>
      </c>
      <c r="V142" s="250">
        <v>0</v>
      </c>
    </row>
    <row r="143" spans="2:22" s="22" customFormat="1" ht="27">
      <c r="B143" s="15">
        <f t="shared" si="4"/>
        <v>41</v>
      </c>
      <c r="C143" s="228" t="s">
        <v>2307</v>
      </c>
      <c r="D143" s="230">
        <v>1</v>
      </c>
      <c r="E143" s="250">
        <v>14858</v>
      </c>
      <c r="F143" s="228" t="s">
        <v>2309</v>
      </c>
      <c r="G143" s="233">
        <v>41676</v>
      </c>
      <c r="H143" s="375" t="s">
        <v>368</v>
      </c>
      <c r="I143" s="270">
        <v>42771</v>
      </c>
      <c r="J143" s="242">
        <v>1096</v>
      </c>
      <c r="K143" s="242">
        <v>54</v>
      </c>
      <c r="L143" s="242">
        <v>1042</v>
      </c>
      <c r="M143" s="242">
        <v>743</v>
      </c>
      <c r="N143" s="242">
        <v>13759</v>
      </c>
      <c r="O143" s="242">
        <v>0</v>
      </c>
      <c r="P143" s="242">
        <v>9682</v>
      </c>
      <c r="Q143" s="242">
        <v>677</v>
      </c>
      <c r="R143" s="242">
        <v>8939</v>
      </c>
      <c r="S143" s="320">
        <v>0</v>
      </c>
      <c r="T143" s="250">
        <v>0</v>
      </c>
      <c r="U143" s="250">
        <v>9682</v>
      </c>
      <c r="V143" s="250">
        <v>0</v>
      </c>
    </row>
    <row r="144" spans="2:22" s="22" customFormat="1" ht="27">
      <c r="B144" s="15">
        <f t="shared" si="4"/>
        <v>42</v>
      </c>
      <c r="C144" s="228" t="s">
        <v>2437</v>
      </c>
      <c r="D144" s="230">
        <v>1</v>
      </c>
      <c r="E144" s="250">
        <v>10150</v>
      </c>
      <c r="F144" s="228" t="s">
        <v>2310</v>
      </c>
      <c r="G144" s="233">
        <v>41680</v>
      </c>
      <c r="H144" s="375" t="s">
        <v>368</v>
      </c>
      <c r="I144" s="270">
        <v>42775</v>
      </c>
      <c r="J144" s="242">
        <v>1096</v>
      </c>
      <c r="K144" s="242">
        <v>50</v>
      </c>
      <c r="L144" s="242">
        <v>1046</v>
      </c>
      <c r="M144" s="242">
        <v>508</v>
      </c>
      <c r="N144" s="242">
        <v>9417</v>
      </c>
      <c r="O144" s="242">
        <v>0</v>
      </c>
      <c r="P144" s="242">
        <v>6639</v>
      </c>
      <c r="Q144" s="242">
        <v>681</v>
      </c>
      <c r="R144" s="242">
        <v>6132</v>
      </c>
      <c r="S144" s="320">
        <v>0</v>
      </c>
      <c r="T144" s="250">
        <v>0</v>
      </c>
      <c r="U144" s="250">
        <v>6639</v>
      </c>
      <c r="V144" s="250">
        <v>0</v>
      </c>
    </row>
    <row r="145" spans="2:22" s="22" customFormat="1" ht="27">
      <c r="B145" s="15">
        <f t="shared" si="4"/>
        <v>43</v>
      </c>
      <c r="C145" s="228" t="s">
        <v>2438</v>
      </c>
      <c r="D145" s="230">
        <v>1</v>
      </c>
      <c r="E145" s="250">
        <v>103540</v>
      </c>
      <c r="F145" s="228" t="s">
        <v>2311</v>
      </c>
      <c r="G145" s="233">
        <v>41650</v>
      </c>
      <c r="H145" s="375" t="s">
        <v>368</v>
      </c>
      <c r="I145" s="270">
        <v>42745</v>
      </c>
      <c r="J145" s="242">
        <v>1096</v>
      </c>
      <c r="K145" s="242">
        <v>80</v>
      </c>
      <c r="L145" s="242">
        <v>1016</v>
      </c>
      <c r="M145" s="242">
        <v>5177</v>
      </c>
      <c r="N145" s="242">
        <v>94684</v>
      </c>
      <c r="O145" s="242">
        <v>0</v>
      </c>
      <c r="P145" s="242">
        <v>65846</v>
      </c>
      <c r="Q145" s="242">
        <v>651</v>
      </c>
      <c r="R145" s="242">
        <v>60669</v>
      </c>
      <c r="S145" s="320">
        <v>0</v>
      </c>
      <c r="T145" s="250">
        <v>0</v>
      </c>
      <c r="U145" s="250">
        <v>65846</v>
      </c>
      <c r="V145" s="250">
        <v>0</v>
      </c>
    </row>
    <row r="146" spans="2:22" s="22" customFormat="1">
      <c r="B146" s="15">
        <f t="shared" si="4"/>
        <v>44</v>
      </c>
      <c r="C146" s="228" t="s">
        <v>2319</v>
      </c>
      <c r="D146" s="230">
        <v>1</v>
      </c>
      <c r="E146" s="250">
        <v>5021</v>
      </c>
      <c r="F146" s="228" t="s">
        <v>2320</v>
      </c>
      <c r="G146" s="233">
        <v>41662</v>
      </c>
      <c r="H146" s="375" t="s">
        <v>161</v>
      </c>
      <c r="I146" s="270">
        <v>42757</v>
      </c>
      <c r="J146" s="242">
        <v>1096</v>
      </c>
      <c r="K146" s="242">
        <v>68</v>
      </c>
      <c r="L146" s="242">
        <v>1028</v>
      </c>
      <c r="M146" s="242">
        <v>251</v>
      </c>
      <c r="N146" s="242">
        <v>4618</v>
      </c>
      <c r="O146" s="242">
        <v>0</v>
      </c>
      <c r="P146" s="242">
        <v>3229</v>
      </c>
      <c r="Q146" s="242">
        <v>663</v>
      </c>
      <c r="R146" s="242">
        <v>2978</v>
      </c>
      <c r="S146" s="320">
        <v>0</v>
      </c>
      <c r="T146" s="250">
        <v>0</v>
      </c>
      <c r="U146" s="250">
        <v>3229</v>
      </c>
      <c r="V146" s="250">
        <v>0</v>
      </c>
    </row>
    <row r="147" spans="2:22" s="22" customFormat="1">
      <c r="B147" s="15">
        <f t="shared" si="4"/>
        <v>45</v>
      </c>
      <c r="C147" s="228" t="s">
        <v>2439</v>
      </c>
      <c r="D147" s="230">
        <v>2</v>
      </c>
      <c r="E147" s="250">
        <v>30800</v>
      </c>
      <c r="F147" s="228" t="s">
        <v>2321</v>
      </c>
      <c r="G147" s="233">
        <v>41711</v>
      </c>
      <c r="H147" s="375" t="s">
        <v>368</v>
      </c>
      <c r="I147" s="270">
        <v>42806</v>
      </c>
      <c r="J147" s="242">
        <v>1096</v>
      </c>
      <c r="K147" s="242">
        <v>19</v>
      </c>
      <c r="L147" s="242">
        <v>1077</v>
      </c>
      <c r="M147" s="242">
        <v>1540</v>
      </c>
      <c r="N147" s="242">
        <v>29000</v>
      </c>
      <c r="O147" s="242">
        <v>0</v>
      </c>
      <c r="P147" s="242">
        <v>20712</v>
      </c>
      <c r="Q147" s="242">
        <v>712</v>
      </c>
      <c r="R147" s="242">
        <v>19172</v>
      </c>
      <c r="S147" s="320">
        <v>0</v>
      </c>
      <c r="T147" s="250">
        <v>0</v>
      </c>
      <c r="U147" s="250">
        <v>20712</v>
      </c>
      <c r="V147" s="250">
        <v>0</v>
      </c>
    </row>
    <row r="148" spans="2:22" s="22" customFormat="1" ht="27">
      <c r="B148" s="15">
        <f t="shared" si="4"/>
        <v>46</v>
      </c>
      <c r="C148" s="228" t="s">
        <v>2440</v>
      </c>
      <c r="D148" s="230">
        <v>1</v>
      </c>
      <c r="E148" s="250">
        <v>110000</v>
      </c>
      <c r="F148" s="228" t="s">
        <v>2322</v>
      </c>
      <c r="G148" s="233">
        <v>41724</v>
      </c>
      <c r="H148" s="375" t="s">
        <v>368</v>
      </c>
      <c r="I148" s="270">
        <v>42819</v>
      </c>
      <c r="J148" s="242">
        <v>1096</v>
      </c>
      <c r="K148" s="242">
        <v>6</v>
      </c>
      <c r="L148" s="242">
        <v>1090</v>
      </c>
      <c r="M148" s="242">
        <v>5500</v>
      </c>
      <c r="N148" s="242">
        <v>104207</v>
      </c>
      <c r="O148" s="242">
        <v>0</v>
      </c>
      <c r="P148" s="242">
        <v>74812</v>
      </c>
      <c r="Q148" s="242">
        <v>725</v>
      </c>
      <c r="R148" s="242">
        <v>69312</v>
      </c>
      <c r="S148" s="320">
        <v>0</v>
      </c>
      <c r="T148" s="250">
        <v>0</v>
      </c>
      <c r="U148" s="250">
        <v>74812</v>
      </c>
      <c r="V148" s="250">
        <v>0</v>
      </c>
    </row>
    <row r="149" spans="2:22" s="22" customFormat="1" ht="27">
      <c r="B149" s="15">
        <f t="shared" si="4"/>
        <v>47</v>
      </c>
      <c r="C149" s="228" t="s">
        <v>2522</v>
      </c>
      <c r="D149" s="230">
        <v>1</v>
      </c>
      <c r="E149" s="250">
        <v>24999</v>
      </c>
      <c r="F149" s="228" t="s">
        <v>2521</v>
      </c>
      <c r="G149" s="233">
        <v>41888</v>
      </c>
      <c r="H149" s="375" t="s">
        <v>368</v>
      </c>
      <c r="I149" s="270">
        <v>42983</v>
      </c>
      <c r="J149" s="242">
        <v>1096</v>
      </c>
      <c r="K149" s="242">
        <v>0</v>
      </c>
      <c r="L149" s="242">
        <v>1096</v>
      </c>
      <c r="M149" s="242">
        <v>1250</v>
      </c>
      <c r="N149" s="242">
        <v>23749</v>
      </c>
      <c r="O149" s="242">
        <v>0</v>
      </c>
      <c r="P149" s="242">
        <v>20514</v>
      </c>
      <c r="Q149" s="242">
        <v>889</v>
      </c>
      <c r="R149" s="242">
        <v>19264</v>
      </c>
      <c r="S149" s="320">
        <v>0</v>
      </c>
      <c r="T149" s="250">
        <v>0</v>
      </c>
      <c r="U149" s="250">
        <v>20514</v>
      </c>
      <c r="V149" s="250">
        <v>0</v>
      </c>
    </row>
    <row r="150" spans="2:22" s="22" customFormat="1" ht="40.5">
      <c r="B150" s="15">
        <f t="shared" si="4"/>
        <v>48</v>
      </c>
      <c r="C150" s="228" t="s">
        <v>2529</v>
      </c>
      <c r="D150" s="230">
        <v>1</v>
      </c>
      <c r="E150" s="250">
        <v>199500</v>
      </c>
      <c r="F150" s="228" t="s">
        <v>2530</v>
      </c>
      <c r="G150" s="233">
        <v>41845</v>
      </c>
      <c r="H150" s="375" t="s">
        <v>368</v>
      </c>
      <c r="I150" s="270">
        <v>42940</v>
      </c>
      <c r="J150" s="242">
        <v>1096</v>
      </c>
      <c r="K150" s="242">
        <v>0</v>
      </c>
      <c r="L150" s="242">
        <v>1096</v>
      </c>
      <c r="M150" s="242">
        <v>9975</v>
      </c>
      <c r="N150" s="242">
        <v>189525</v>
      </c>
      <c r="O150" s="242">
        <v>0</v>
      </c>
      <c r="P150" s="242">
        <v>156269</v>
      </c>
      <c r="Q150" s="242">
        <v>846</v>
      </c>
      <c r="R150" s="242">
        <v>146294</v>
      </c>
      <c r="S150" s="320">
        <v>0</v>
      </c>
      <c r="T150" s="250">
        <v>0</v>
      </c>
      <c r="U150" s="250">
        <v>156269</v>
      </c>
      <c r="V150" s="250">
        <v>0</v>
      </c>
    </row>
    <row r="151" spans="2:22" s="22" customFormat="1" ht="27">
      <c r="B151" s="15">
        <f t="shared" si="4"/>
        <v>49</v>
      </c>
      <c r="C151" s="228" t="s">
        <v>2531</v>
      </c>
      <c r="D151" s="230">
        <v>1</v>
      </c>
      <c r="E151" s="250">
        <v>23850</v>
      </c>
      <c r="F151" s="228" t="s">
        <v>2532</v>
      </c>
      <c r="G151" s="233">
        <v>41892</v>
      </c>
      <c r="H151" s="375" t="s">
        <v>4366</v>
      </c>
      <c r="I151" s="270">
        <v>42987</v>
      </c>
      <c r="J151" s="242">
        <v>1096</v>
      </c>
      <c r="K151" s="242">
        <v>0</v>
      </c>
      <c r="L151" s="242">
        <v>1096</v>
      </c>
      <c r="M151" s="242">
        <v>1193</v>
      </c>
      <c r="N151" s="242">
        <v>22657</v>
      </c>
      <c r="O151" s="242">
        <v>0</v>
      </c>
      <c r="P151" s="242">
        <v>19653</v>
      </c>
      <c r="Q151" s="242">
        <v>893</v>
      </c>
      <c r="R151" s="242">
        <v>18461</v>
      </c>
      <c r="S151" s="320">
        <v>0</v>
      </c>
      <c r="T151" s="250">
        <v>0</v>
      </c>
      <c r="U151" s="250">
        <v>19653</v>
      </c>
      <c r="V151" s="250">
        <v>0</v>
      </c>
    </row>
    <row r="152" spans="2:22" s="22" customFormat="1" ht="27">
      <c r="B152" s="15">
        <f t="shared" si="4"/>
        <v>50</v>
      </c>
      <c r="C152" s="228" t="s">
        <v>2533</v>
      </c>
      <c r="D152" s="230">
        <v>1</v>
      </c>
      <c r="E152" s="250">
        <v>16400</v>
      </c>
      <c r="F152" s="228" t="s">
        <v>2505</v>
      </c>
      <c r="G152" s="233">
        <v>41870</v>
      </c>
      <c r="H152" s="375" t="s">
        <v>368</v>
      </c>
      <c r="I152" s="270">
        <v>42965</v>
      </c>
      <c r="J152" s="242">
        <v>1096</v>
      </c>
      <c r="K152" s="242">
        <v>0</v>
      </c>
      <c r="L152" s="242">
        <v>1096</v>
      </c>
      <c r="M152" s="242">
        <v>820</v>
      </c>
      <c r="N152" s="242">
        <v>15580</v>
      </c>
      <c r="O152" s="242">
        <v>0</v>
      </c>
      <c r="P152" s="242">
        <v>13202</v>
      </c>
      <c r="Q152" s="242">
        <v>871</v>
      </c>
      <c r="R152" s="242">
        <v>12382</v>
      </c>
      <c r="S152" s="320">
        <v>0</v>
      </c>
      <c r="T152" s="250">
        <v>0</v>
      </c>
      <c r="U152" s="250">
        <v>13202</v>
      </c>
      <c r="V152" s="250">
        <v>0</v>
      </c>
    </row>
    <row r="153" spans="2:22" s="22" customFormat="1" ht="27">
      <c r="B153" s="15">
        <f t="shared" si="4"/>
        <v>51</v>
      </c>
      <c r="C153" s="228" t="s">
        <v>2534</v>
      </c>
      <c r="D153" s="230">
        <v>1</v>
      </c>
      <c r="E153" s="250">
        <v>24999</v>
      </c>
      <c r="F153" s="228" t="s">
        <v>2535</v>
      </c>
      <c r="G153" s="233">
        <v>41870</v>
      </c>
      <c r="H153" s="375" t="s">
        <v>206</v>
      </c>
      <c r="I153" s="270">
        <v>42965</v>
      </c>
      <c r="J153" s="242">
        <v>1096</v>
      </c>
      <c r="K153" s="242">
        <v>0</v>
      </c>
      <c r="L153" s="242">
        <v>1096</v>
      </c>
      <c r="M153" s="242">
        <v>1250</v>
      </c>
      <c r="N153" s="242">
        <v>23749</v>
      </c>
      <c r="O153" s="242">
        <v>0</v>
      </c>
      <c r="P153" s="242">
        <v>20124</v>
      </c>
      <c r="Q153" s="242">
        <v>871</v>
      </c>
      <c r="R153" s="242">
        <v>18874</v>
      </c>
      <c r="S153" s="320">
        <v>0</v>
      </c>
      <c r="T153" s="250">
        <v>0</v>
      </c>
      <c r="U153" s="250">
        <v>20124</v>
      </c>
      <c r="V153" s="250">
        <v>0</v>
      </c>
    </row>
    <row r="154" spans="2:22" s="22" customFormat="1" ht="40.5">
      <c r="B154" s="15">
        <f t="shared" si="4"/>
        <v>52</v>
      </c>
      <c r="C154" s="228" t="s">
        <v>2540</v>
      </c>
      <c r="D154" s="230">
        <v>2</v>
      </c>
      <c r="E154" s="250">
        <v>261870</v>
      </c>
      <c r="F154" s="228" t="s">
        <v>2539</v>
      </c>
      <c r="G154" s="233">
        <v>41873</v>
      </c>
      <c r="H154" s="375" t="s">
        <v>368</v>
      </c>
      <c r="I154" s="270">
        <v>42968</v>
      </c>
      <c r="J154" s="242">
        <v>1096</v>
      </c>
      <c r="K154" s="242">
        <v>0</v>
      </c>
      <c r="L154" s="242">
        <v>1096</v>
      </c>
      <c r="M154" s="242">
        <v>13094</v>
      </c>
      <c r="N154" s="242">
        <v>248776</v>
      </c>
      <c r="O154" s="242">
        <v>0</v>
      </c>
      <c r="P154" s="242">
        <v>211479</v>
      </c>
      <c r="Q154" s="242">
        <v>874</v>
      </c>
      <c r="R154" s="242">
        <v>198386</v>
      </c>
      <c r="S154" s="320">
        <v>0</v>
      </c>
      <c r="T154" s="250">
        <v>0</v>
      </c>
      <c r="U154" s="250">
        <v>211479</v>
      </c>
      <c r="V154" s="250">
        <v>0</v>
      </c>
    </row>
    <row r="155" spans="2:22" s="22" customFormat="1" ht="40.5">
      <c r="B155" s="15">
        <f t="shared" si="4"/>
        <v>53</v>
      </c>
      <c r="C155" s="228" t="s">
        <v>2541</v>
      </c>
      <c r="D155" s="230">
        <v>1</v>
      </c>
      <c r="E155" s="250">
        <v>17500</v>
      </c>
      <c r="F155" s="228" t="s">
        <v>2542</v>
      </c>
      <c r="G155" s="233">
        <v>41953</v>
      </c>
      <c r="H155" s="375" t="s">
        <v>161</v>
      </c>
      <c r="I155" s="270">
        <v>43048</v>
      </c>
      <c r="J155" s="242">
        <v>1096</v>
      </c>
      <c r="K155" s="242">
        <v>0</v>
      </c>
      <c r="L155" s="242">
        <v>1096</v>
      </c>
      <c r="M155" s="242">
        <v>875</v>
      </c>
      <c r="N155" s="242">
        <v>16625</v>
      </c>
      <c r="O155" s="242">
        <v>0</v>
      </c>
      <c r="P155" s="242">
        <v>15346</v>
      </c>
      <c r="Q155" s="242">
        <v>954</v>
      </c>
      <c r="R155" s="242">
        <v>14471</v>
      </c>
      <c r="S155" s="320">
        <v>0</v>
      </c>
      <c r="T155" s="250">
        <v>0</v>
      </c>
      <c r="U155" s="250">
        <v>15346</v>
      </c>
      <c r="V155" s="250">
        <v>0</v>
      </c>
    </row>
    <row r="156" spans="2:22" s="22" customFormat="1" ht="40.5">
      <c r="B156" s="15">
        <f t="shared" si="4"/>
        <v>54</v>
      </c>
      <c r="C156" s="228" t="s">
        <v>2631</v>
      </c>
      <c r="D156" s="230">
        <v>1</v>
      </c>
      <c r="E156" s="250">
        <v>13500</v>
      </c>
      <c r="F156" s="228" t="s">
        <v>2632</v>
      </c>
      <c r="G156" s="233">
        <v>42012</v>
      </c>
      <c r="H156" s="375" t="s">
        <v>161</v>
      </c>
      <c r="I156" s="270">
        <v>43107</v>
      </c>
      <c r="J156" s="242">
        <v>1096</v>
      </c>
      <c r="K156" s="242">
        <v>0</v>
      </c>
      <c r="L156" s="242">
        <v>1096</v>
      </c>
      <c r="M156" s="242">
        <v>675</v>
      </c>
      <c r="N156" s="242">
        <v>12825</v>
      </c>
      <c r="O156" s="242">
        <v>0</v>
      </c>
      <c r="P156" s="242">
        <v>12529</v>
      </c>
      <c r="Q156" s="242">
        <v>1013</v>
      </c>
      <c r="R156" s="242">
        <v>11854</v>
      </c>
      <c r="S156" s="320">
        <v>0</v>
      </c>
      <c r="T156" s="250">
        <v>0</v>
      </c>
      <c r="U156" s="250">
        <v>12529</v>
      </c>
      <c r="V156" s="250">
        <v>0</v>
      </c>
    </row>
    <row r="157" spans="2:22" s="22" customFormat="1" ht="40.5">
      <c r="B157" s="15">
        <f t="shared" si="4"/>
        <v>55</v>
      </c>
      <c r="C157" s="228" t="s">
        <v>2732</v>
      </c>
      <c r="D157" s="230">
        <v>1</v>
      </c>
      <c r="E157" s="250">
        <f>1014655+7734</f>
        <v>1022389</v>
      </c>
      <c r="F157" s="228" t="s">
        <v>2679</v>
      </c>
      <c r="G157" s="233">
        <v>42005</v>
      </c>
      <c r="H157" s="375" t="s">
        <v>368</v>
      </c>
      <c r="I157" s="270">
        <v>43100</v>
      </c>
      <c r="J157" s="242">
        <v>1096</v>
      </c>
      <c r="K157" s="242">
        <v>0</v>
      </c>
      <c r="L157" s="242">
        <v>1096</v>
      </c>
      <c r="M157" s="242">
        <v>51119</v>
      </c>
      <c r="N157" s="242">
        <v>971270</v>
      </c>
      <c r="O157" s="242">
        <v>0</v>
      </c>
      <c r="P157" s="242">
        <v>942631</v>
      </c>
      <c r="Q157" s="242">
        <v>1006</v>
      </c>
      <c r="R157" s="242">
        <v>891512</v>
      </c>
      <c r="S157" s="320">
        <v>0</v>
      </c>
      <c r="T157" s="250">
        <v>0</v>
      </c>
      <c r="U157" s="250">
        <v>942631</v>
      </c>
      <c r="V157" s="250">
        <v>0</v>
      </c>
    </row>
    <row r="158" spans="2:22" s="22" customFormat="1" ht="27">
      <c r="B158" s="15">
        <f t="shared" si="4"/>
        <v>56</v>
      </c>
      <c r="C158" s="228" t="s">
        <v>2734</v>
      </c>
      <c r="D158" s="230">
        <v>1</v>
      </c>
      <c r="E158" s="250">
        <f>14578+112</f>
        <v>14690</v>
      </c>
      <c r="F158" s="228" t="s">
        <v>2679</v>
      </c>
      <c r="G158" s="233">
        <v>42005</v>
      </c>
      <c r="H158" s="375" t="s">
        <v>368</v>
      </c>
      <c r="I158" s="270">
        <v>43100</v>
      </c>
      <c r="J158" s="242">
        <v>1096</v>
      </c>
      <c r="K158" s="242">
        <v>0</v>
      </c>
      <c r="L158" s="242">
        <v>1096</v>
      </c>
      <c r="M158" s="242">
        <v>735</v>
      </c>
      <c r="N158" s="242">
        <v>13955</v>
      </c>
      <c r="O158" s="242">
        <v>0</v>
      </c>
      <c r="P158" s="242">
        <v>13544</v>
      </c>
      <c r="Q158" s="242">
        <v>1006</v>
      </c>
      <c r="R158" s="242">
        <v>12810</v>
      </c>
      <c r="S158" s="320">
        <v>0</v>
      </c>
      <c r="T158" s="250">
        <v>0</v>
      </c>
      <c r="U158" s="250">
        <v>13544</v>
      </c>
      <c r="V158" s="250">
        <v>0</v>
      </c>
    </row>
    <row r="159" spans="2:22" s="22" customFormat="1">
      <c r="B159" s="15">
        <f t="shared" si="4"/>
        <v>57</v>
      </c>
      <c r="C159" s="228" t="s">
        <v>2832</v>
      </c>
      <c r="D159" s="230">
        <v>1</v>
      </c>
      <c r="E159" s="250">
        <v>4850</v>
      </c>
      <c r="F159" s="228" t="s">
        <v>2833</v>
      </c>
      <c r="G159" s="233">
        <v>42122</v>
      </c>
      <c r="H159" s="375" t="s">
        <v>161</v>
      </c>
      <c r="I159" s="270">
        <v>43217</v>
      </c>
      <c r="J159" s="242">
        <v>1096</v>
      </c>
      <c r="K159" s="242">
        <v>0</v>
      </c>
      <c r="L159" s="242">
        <v>1096</v>
      </c>
      <c r="M159" s="242">
        <v>243</v>
      </c>
      <c r="N159" s="242">
        <v>4607</v>
      </c>
      <c r="O159" s="242">
        <v>0</v>
      </c>
      <c r="P159" s="242">
        <v>4850</v>
      </c>
      <c r="Q159" s="242">
        <v>1096</v>
      </c>
      <c r="R159" s="242">
        <v>4608</v>
      </c>
      <c r="S159" s="320">
        <v>0</v>
      </c>
      <c r="T159" s="250">
        <v>0</v>
      </c>
      <c r="U159" s="250">
        <v>4850</v>
      </c>
      <c r="V159" s="250">
        <v>0</v>
      </c>
    </row>
    <row r="160" spans="2:22" s="22" customFormat="1" ht="27">
      <c r="B160" s="15">
        <f t="shared" si="4"/>
        <v>58</v>
      </c>
      <c r="C160" s="228" t="s">
        <v>2995</v>
      </c>
      <c r="D160" s="230">
        <v>1</v>
      </c>
      <c r="E160" s="250">
        <v>27000</v>
      </c>
      <c r="F160" s="228" t="s">
        <v>2996</v>
      </c>
      <c r="G160" s="233">
        <v>42311</v>
      </c>
      <c r="H160" s="375" t="s">
        <v>4366</v>
      </c>
      <c r="I160" s="270">
        <v>43406</v>
      </c>
      <c r="J160" s="242">
        <v>1096</v>
      </c>
      <c r="K160" s="242">
        <v>0</v>
      </c>
      <c r="L160" s="242">
        <v>1096</v>
      </c>
      <c r="M160" s="242">
        <v>1350</v>
      </c>
      <c r="N160" s="242">
        <v>25650</v>
      </c>
      <c r="O160" s="242">
        <v>0</v>
      </c>
      <c r="P160" s="242">
        <v>27000</v>
      </c>
      <c r="Q160" s="242">
        <v>1096</v>
      </c>
      <c r="R160" s="242">
        <v>25650</v>
      </c>
      <c r="S160" s="320">
        <v>0</v>
      </c>
      <c r="T160" s="250">
        <v>0</v>
      </c>
      <c r="U160" s="250">
        <v>27000</v>
      </c>
      <c r="V160" s="250">
        <v>0</v>
      </c>
    </row>
    <row r="161" spans="2:22" s="22" customFormat="1" ht="40.5">
      <c r="B161" s="15">
        <v>59</v>
      </c>
      <c r="C161" s="250" t="s">
        <v>2605</v>
      </c>
      <c r="D161" s="230">
        <v>2</v>
      </c>
      <c r="E161" s="250">
        <v>261870</v>
      </c>
      <c r="F161" s="397" t="s">
        <v>2606</v>
      </c>
      <c r="G161" s="233">
        <v>41873</v>
      </c>
      <c r="H161" s="375" t="s">
        <v>368</v>
      </c>
      <c r="I161" s="270">
        <v>42968</v>
      </c>
      <c r="J161" s="242">
        <v>1096</v>
      </c>
      <c r="K161" s="242">
        <v>0</v>
      </c>
      <c r="L161" s="242">
        <v>1096</v>
      </c>
      <c r="M161" s="242">
        <v>13094</v>
      </c>
      <c r="N161" s="242">
        <v>248776</v>
      </c>
      <c r="O161" s="242"/>
      <c r="P161" s="242">
        <v>211479</v>
      </c>
      <c r="Q161" s="242">
        <v>874</v>
      </c>
      <c r="R161" s="242">
        <v>198386</v>
      </c>
      <c r="S161" s="320">
        <v>0</v>
      </c>
      <c r="T161" s="250">
        <v>0</v>
      </c>
      <c r="U161" s="250">
        <v>211479</v>
      </c>
      <c r="V161" s="250">
        <v>0</v>
      </c>
    </row>
    <row r="162" spans="2:22" s="22" customFormat="1">
      <c r="B162" s="15">
        <v>60</v>
      </c>
      <c r="C162" s="250" t="s">
        <v>3906</v>
      </c>
      <c r="D162" s="230">
        <v>1</v>
      </c>
      <c r="E162" s="250">
        <v>22400</v>
      </c>
      <c r="F162" s="397" t="s">
        <v>3907</v>
      </c>
      <c r="G162" s="233">
        <v>42531</v>
      </c>
      <c r="H162" s="375" t="s">
        <v>368</v>
      </c>
      <c r="I162" s="270">
        <v>43625</v>
      </c>
      <c r="J162" s="242">
        <v>1095</v>
      </c>
      <c r="K162" s="242">
        <v>0</v>
      </c>
      <c r="L162" s="242">
        <v>1095</v>
      </c>
      <c r="M162" s="242">
        <v>1120</v>
      </c>
      <c r="N162" s="242">
        <v>21280</v>
      </c>
      <c r="O162" s="242"/>
      <c r="P162" s="242">
        <v>22400</v>
      </c>
      <c r="Q162" s="242">
        <v>1095</v>
      </c>
      <c r="R162" s="242">
        <v>21280</v>
      </c>
      <c r="S162" s="320">
        <v>0</v>
      </c>
      <c r="T162" s="250">
        <v>0</v>
      </c>
      <c r="U162" s="250">
        <v>22400</v>
      </c>
      <c r="V162" s="250">
        <v>0</v>
      </c>
    </row>
    <row r="163" spans="2:22" s="22" customFormat="1" ht="40.5">
      <c r="B163" s="15">
        <v>61</v>
      </c>
      <c r="C163" s="250" t="s">
        <v>4285</v>
      </c>
      <c r="D163" s="230">
        <v>1</v>
      </c>
      <c r="E163" s="250">
        <v>215000</v>
      </c>
      <c r="F163" s="397" t="s">
        <v>4288</v>
      </c>
      <c r="G163" s="233">
        <v>43215</v>
      </c>
      <c r="H163" s="375" t="s">
        <v>895</v>
      </c>
      <c r="I163" s="270">
        <v>44310</v>
      </c>
      <c r="J163" s="242">
        <v>1096</v>
      </c>
      <c r="K163" s="242">
        <v>0</v>
      </c>
      <c r="L163" s="242">
        <v>1096</v>
      </c>
      <c r="M163" s="242">
        <v>10750</v>
      </c>
      <c r="N163" s="242">
        <v>204250</v>
      </c>
      <c r="O163" s="242"/>
      <c r="P163" s="242">
        <v>215000</v>
      </c>
      <c r="Q163" s="242">
        <v>1096</v>
      </c>
      <c r="R163" s="242">
        <v>204250</v>
      </c>
      <c r="S163" s="320">
        <v>24</v>
      </c>
      <c r="T163" s="250">
        <v>15222</v>
      </c>
      <c r="U163" s="250">
        <v>215000</v>
      </c>
      <c r="V163" s="250">
        <v>0</v>
      </c>
    </row>
    <row r="164" spans="2:22" s="22" customFormat="1" ht="40.5">
      <c r="B164" s="15">
        <v>62</v>
      </c>
      <c r="C164" s="250" t="s">
        <v>4286</v>
      </c>
      <c r="D164" s="230">
        <v>1</v>
      </c>
      <c r="E164" s="250">
        <v>215000</v>
      </c>
      <c r="F164" s="397" t="s">
        <v>4287</v>
      </c>
      <c r="G164" s="233">
        <v>43215</v>
      </c>
      <c r="H164" s="375" t="s">
        <v>895</v>
      </c>
      <c r="I164" s="270">
        <v>44310</v>
      </c>
      <c r="J164" s="242">
        <v>1096</v>
      </c>
      <c r="K164" s="242">
        <v>0</v>
      </c>
      <c r="L164" s="242">
        <v>1096</v>
      </c>
      <c r="M164" s="242">
        <v>10750</v>
      </c>
      <c r="N164" s="242">
        <v>204250</v>
      </c>
      <c r="O164" s="242"/>
      <c r="P164" s="242">
        <v>215000</v>
      </c>
      <c r="Q164" s="242">
        <v>1096</v>
      </c>
      <c r="R164" s="242">
        <v>204250</v>
      </c>
      <c r="S164" s="320">
        <v>24</v>
      </c>
      <c r="T164" s="250">
        <v>15222</v>
      </c>
      <c r="U164" s="250">
        <v>215000</v>
      </c>
      <c r="V164" s="250">
        <v>0</v>
      </c>
    </row>
    <row r="165" spans="2:22" s="22" customFormat="1">
      <c r="B165" s="15">
        <v>63</v>
      </c>
      <c r="C165" s="250" t="s">
        <v>4300</v>
      </c>
      <c r="D165" s="230">
        <v>1</v>
      </c>
      <c r="E165" s="250">
        <v>20650</v>
      </c>
      <c r="F165" s="397" t="s">
        <v>4301</v>
      </c>
      <c r="G165" s="233">
        <v>43200</v>
      </c>
      <c r="H165" s="375"/>
      <c r="I165" s="270">
        <v>44295</v>
      </c>
      <c r="J165" s="242">
        <v>1096</v>
      </c>
      <c r="K165" s="242">
        <v>0</v>
      </c>
      <c r="L165" s="242">
        <v>1096</v>
      </c>
      <c r="M165" s="242">
        <v>1033</v>
      </c>
      <c r="N165" s="242">
        <v>19617</v>
      </c>
      <c r="O165" s="242"/>
      <c r="P165" s="242">
        <v>20650</v>
      </c>
      <c r="Q165" s="242">
        <v>1096</v>
      </c>
      <c r="R165" s="242">
        <v>19618</v>
      </c>
      <c r="S165" s="320">
        <v>9</v>
      </c>
      <c r="T165" s="250">
        <v>1194</v>
      </c>
      <c r="U165" s="250">
        <v>20650</v>
      </c>
      <c r="V165" s="250">
        <v>0</v>
      </c>
    </row>
    <row r="166" spans="2:22" s="22" customFormat="1" ht="27">
      <c r="B166" s="15">
        <v>64</v>
      </c>
      <c r="C166" s="250" t="s">
        <v>4303</v>
      </c>
      <c r="D166" s="230">
        <v>1</v>
      </c>
      <c r="E166" s="250">
        <v>3200</v>
      </c>
      <c r="F166" s="397" t="s">
        <v>4302</v>
      </c>
      <c r="G166" s="233">
        <v>43321</v>
      </c>
      <c r="H166" s="375"/>
      <c r="I166" s="270">
        <v>44416</v>
      </c>
      <c r="J166" s="242">
        <v>1096</v>
      </c>
      <c r="K166" s="242">
        <v>0</v>
      </c>
      <c r="L166" s="242">
        <v>1096</v>
      </c>
      <c r="M166" s="242">
        <v>160</v>
      </c>
      <c r="N166" s="242">
        <v>3040</v>
      </c>
      <c r="O166" s="242"/>
      <c r="P166" s="242">
        <v>3200</v>
      </c>
      <c r="Q166" s="242">
        <v>1096</v>
      </c>
      <c r="R166" s="242">
        <v>3040</v>
      </c>
      <c r="S166" s="320">
        <v>0</v>
      </c>
      <c r="T166" s="250">
        <v>0</v>
      </c>
      <c r="U166" s="250">
        <v>3200</v>
      </c>
      <c r="V166" s="250">
        <v>0</v>
      </c>
    </row>
    <row r="167" spans="2:22" s="22" customFormat="1" ht="27">
      <c r="B167" s="15">
        <v>65</v>
      </c>
      <c r="C167" s="250" t="s">
        <v>4357</v>
      </c>
      <c r="D167" s="230">
        <v>1</v>
      </c>
      <c r="E167" s="250">
        <v>20650</v>
      </c>
      <c r="F167" s="397" t="s">
        <v>4314</v>
      </c>
      <c r="G167" s="233">
        <v>43418</v>
      </c>
      <c r="H167" s="375" t="s">
        <v>368</v>
      </c>
      <c r="I167" s="270">
        <v>44513</v>
      </c>
      <c r="J167" s="242">
        <v>1096</v>
      </c>
      <c r="K167" s="242">
        <v>0</v>
      </c>
      <c r="L167" s="242">
        <v>1096</v>
      </c>
      <c r="M167" s="242">
        <v>1033</v>
      </c>
      <c r="N167" s="242">
        <v>19617</v>
      </c>
      <c r="O167" s="242"/>
      <c r="P167" s="242">
        <v>20650</v>
      </c>
      <c r="Q167" s="242">
        <v>1096</v>
      </c>
      <c r="R167" s="242">
        <v>19618</v>
      </c>
      <c r="S167" s="320">
        <v>227</v>
      </c>
      <c r="T167" s="250">
        <v>5096</v>
      </c>
      <c r="U167" s="250">
        <v>20650</v>
      </c>
      <c r="V167" s="250">
        <v>0</v>
      </c>
    </row>
    <row r="168" spans="2:22" s="22" customFormat="1" ht="27">
      <c r="B168" s="15">
        <v>66</v>
      </c>
      <c r="C168" s="250" t="s">
        <v>4315</v>
      </c>
      <c r="D168" s="230">
        <v>1</v>
      </c>
      <c r="E168" s="250">
        <v>20650</v>
      </c>
      <c r="F168" s="397" t="s">
        <v>4314</v>
      </c>
      <c r="G168" s="233">
        <v>43413</v>
      </c>
      <c r="H168" s="375" t="s">
        <v>368</v>
      </c>
      <c r="I168" s="270">
        <v>44508</v>
      </c>
      <c r="J168" s="242">
        <v>1096</v>
      </c>
      <c r="K168" s="242">
        <v>0</v>
      </c>
      <c r="L168" s="242">
        <v>1096</v>
      </c>
      <c r="M168" s="242">
        <v>1033</v>
      </c>
      <c r="N168" s="242">
        <v>19617</v>
      </c>
      <c r="O168" s="242"/>
      <c r="P168" s="242">
        <v>20650</v>
      </c>
      <c r="Q168" s="242">
        <v>1096</v>
      </c>
      <c r="R168" s="242">
        <v>19618</v>
      </c>
      <c r="S168" s="320">
        <v>222</v>
      </c>
      <c r="T168" s="250">
        <v>5006</v>
      </c>
      <c r="U168" s="250">
        <v>20650</v>
      </c>
      <c r="V168" s="250">
        <v>0</v>
      </c>
    </row>
    <row r="169" spans="2:22" s="22" customFormat="1">
      <c r="B169" s="15">
        <v>67</v>
      </c>
      <c r="C169" s="250" t="s">
        <v>4323</v>
      </c>
      <c r="D169" s="230">
        <v>1</v>
      </c>
      <c r="E169" s="250">
        <v>14420</v>
      </c>
      <c r="F169" s="397" t="s">
        <v>4324</v>
      </c>
      <c r="G169" s="233">
        <v>43470</v>
      </c>
      <c r="H169" s="375" t="s">
        <v>282</v>
      </c>
      <c r="I169" s="270">
        <v>44565</v>
      </c>
      <c r="J169" s="242">
        <v>1096</v>
      </c>
      <c r="K169" s="242">
        <v>0</v>
      </c>
      <c r="L169" s="242">
        <v>1096</v>
      </c>
      <c r="M169" s="242">
        <v>721</v>
      </c>
      <c r="N169" s="242">
        <v>13699</v>
      </c>
      <c r="O169" s="242"/>
      <c r="P169" s="242">
        <v>14420</v>
      </c>
      <c r="Q169" s="242">
        <v>1096</v>
      </c>
      <c r="R169" s="242">
        <v>13699</v>
      </c>
      <c r="S169" s="320">
        <v>279</v>
      </c>
      <c r="T169" s="250">
        <v>4208</v>
      </c>
      <c r="U169" s="250">
        <v>14420</v>
      </c>
      <c r="V169" s="250">
        <v>0</v>
      </c>
    </row>
    <row r="170" spans="2:22" s="22" customFormat="1" ht="27">
      <c r="B170" s="15">
        <v>68</v>
      </c>
      <c r="C170" s="250" t="s">
        <v>4358</v>
      </c>
      <c r="D170" s="230">
        <v>1</v>
      </c>
      <c r="E170" s="250">
        <v>11800</v>
      </c>
      <c r="F170" s="397" t="s">
        <v>4359</v>
      </c>
      <c r="G170" s="233">
        <v>43678</v>
      </c>
      <c r="H170" s="375" t="s">
        <v>368</v>
      </c>
      <c r="I170" s="270">
        <v>44773</v>
      </c>
      <c r="J170" s="242">
        <v>1096</v>
      </c>
      <c r="K170" s="242">
        <v>0</v>
      </c>
      <c r="L170" s="242">
        <v>1096</v>
      </c>
      <c r="M170" s="242">
        <v>590</v>
      </c>
      <c r="N170" s="242">
        <v>11210</v>
      </c>
      <c r="O170" s="242"/>
      <c r="P170" s="242">
        <v>11800</v>
      </c>
      <c r="Q170" s="242">
        <v>1096</v>
      </c>
      <c r="R170" s="242">
        <v>11210</v>
      </c>
      <c r="S170" s="320">
        <v>365</v>
      </c>
      <c r="T170" s="250">
        <v>3733</v>
      </c>
      <c r="U170" s="250">
        <v>9951</v>
      </c>
      <c r="V170" s="250">
        <v>1849</v>
      </c>
    </row>
    <row r="171" spans="2:22" s="22" customFormat="1" ht="27">
      <c r="B171" s="15">
        <v>69</v>
      </c>
      <c r="C171" s="250" t="s">
        <v>4360</v>
      </c>
      <c r="D171" s="230">
        <v>1</v>
      </c>
      <c r="E171" s="250">
        <v>11800</v>
      </c>
      <c r="F171" s="397" t="s">
        <v>4361</v>
      </c>
      <c r="G171" s="233">
        <v>43687</v>
      </c>
      <c r="H171" s="375" t="s">
        <v>368</v>
      </c>
      <c r="I171" s="270">
        <v>44782</v>
      </c>
      <c r="J171" s="242">
        <v>1096</v>
      </c>
      <c r="K171" s="242">
        <v>0</v>
      </c>
      <c r="L171" s="242">
        <v>1096</v>
      </c>
      <c r="M171" s="242">
        <v>590</v>
      </c>
      <c r="N171" s="242">
        <v>11210</v>
      </c>
      <c r="O171" s="242"/>
      <c r="P171" s="242">
        <v>11800</v>
      </c>
      <c r="Q171" s="242">
        <v>1096</v>
      </c>
      <c r="R171" s="242">
        <v>11210</v>
      </c>
      <c r="S171" s="320">
        <v>365</v>
      </c>
      <c r="T171" s="250">
        <v>3733</v>
      </c>
      <c r="U171" s="250">
        <v>9859</v>
      </c>
      <c r="V171" s="250">
        <v>1941</v>
      </c>
    </row>
    <row r="172" spans="2:22" s="22" customFormat="1">
      <c r="B172" s="15">
        <v>70</v>
      </c>
      <c r="C172" s="250" t="s">
        <v>4426</v>
      </c>
      <c r="D172" s="230">
        <v>1</v>
      </c>
      <c r="E172" s="250">
        <v>17000</v>
      </c>
      <c r="F172" s="397" t="s">
        <v>4424</v>
      </c>
      <c r="G172" s="233">
        <v>43957</v>
      </c>
      <c r="H172" s="375" t="s">
        <v>4433</v>
      </c>
      <c r="I172" s="270">
        <v>45051</v>
      </c>
      <c r="J172" s="242">
        <v>1095</v>
      </c>
      <c r="K172" s="242">
        <v>0</v>
      </c>
      <c r="L172" s="242">
        <v>1095</v>
      </c>
      <c r="M172" s="242">
        <v>850</v>
      </c>
      <c r="N172" s="242">
        <v>16150</v>
      </c>
      <c r="O172" s="242"/>
      <c r="P172" s="242">
        <v>17000</v>
      </c>
      <c r="Q172" s="242">
        <v>1095</v>
      </c>
      <c r="R172" s="242">
        <v>16150</v>
      </c>
      <c r="S172" s="320">
        <v>365</v>
      </c>
      <c r="T172" s="250">
        <v>5383</v>
      </c>
      <c r="U172" s="250">
        <v>10250</v>
      </c>
      <c r="V172" s="250">
        <v>6750</v>
      </c>
    </row>
    <row r="173" spans="2:22" s="22" customFormat="1" ht="27">
      <c r="B173" s="15">
        <v>71</v>
      </c>
      <c r="C173" s="250" t="s">
        <v>4427</v>
      </c>
      <c r="D173" s="230">
        <v>2</v>
      </c>
      <c r="E173" s="250">
        <v>414180</v>
      </c>
      <c r="F173" s="397" t="s">
        <v>4428</v>
      </c>
      <c r="G173" s="233">
        <v>43967</v>
      </c>
      <c r="H173" s="375" t="s">
        <v>895</v>
      </c>
      <c r="I173" s="270">
        <v>45061</v>
      </c>
      <c r="J173" s="242">
        <v>1095</v>
      </c>
      <c r="K173" s="242">
        <v>0</v>
      </c>
      <c r="L173" s="242">
        <v>1095</v>
      </c>
      <c r="M173" s="242">
        <v>20709</v>
      </c>
      <c r="N173" s="242">
        <v>393471</v>
      </c>
      <c r="O173" s="242"/>
      <c r="P173" s="242">
        <v>414180</v>
      </c>
      <c r="Q173" s="242">
        <v>1095</v>
      </c>
      <c r="R173" s="242">
        <v>393471</v>
      </c>
      <c r="S173" s="320">
        <v>365</v>
      </c>
      <c r="T173" s="250">
        <v>131157</v>
      </c>
      <c r="U173" s="250">
        <v>246144</v>
      </c>
      <c r="V173" s="250">
        <v>168036</v>
      </c>
    </row>
    <row r="174" spans="2:22" s="22" customFormat="1" ht="27">
      <c r="B174" s="15">
        <v>72</v>
      </c>
      <c r="C174" s="250" t="s">
        <v>4437</v>
      </c>
      <c r="D174" s="230">
        <v>1</v>
      </c>
      <c r="E174" s="250">
        <f>5500</f>
        <v>5500</v>
      </c>
      <c r="F174" s="397" t="s">
        <v>4438</v>
      </c>
      <c r="G174" s="233">
        <v>44062</v>
      </c>
      <c r="H174" s="375" t="s">
        <v>4436</v>
      </c>
      <c r="I174" s="270">
        <v>45156</v>
      </c>
      <c r="J174" s="242">
        <v>1095</v>
      </c>
      <c r="K174" s="242">
        <v>0</v>
      </c>
      <c r="L174" s="242">
        <v>1095</v>
      </c>
      <c r="M174" s="242">
        <v>275</v>
      </c>
      <c r="N174" s="242">
        <v>5225</v>
      </c>
      <c r="O174" s="242"/>
      <c r="P174" s="242">
        <v>5500</v>
      </c>
      <c r="Q174" s="242">
        <v>1095</v>
      </c>
      <c r="R174" s="242">
        <v>5225</v>
      </c>
      <c r="S174" s="320">
        <v>365</v>
      </c>
      <c r="T174" s="250">
        <v>1742</v>
      </c>
      <c r="U174" s="250">
        <v>2816</v>
      </c>
      <c r="V174" s="250">
        <v>2684</v>
      </c>
    </row>
    <row r="175" spans="2:22" s="22" customFormat="1">
      <c r="B175" s="15">
        <v>73</v>
      </c>
      <c r="C175" s="250" t="s">
        <v>4552</v>
      </c>
      <c r="D175" s="230">
        <v>1</v>
      </c>
      <c r="E175" s="250">
        <v>19470</v>
      </c>
      <c r="F175" s="397" t="s">
        <v>4553</v>
      </c>
      <c r="G175" s="233">
        <v>44261</v>
      </c>
      <c r="H175" s="375" t="s">
        <v>368</v>
      </c>
      <c r="I175" s="270">
        <v>45356</v>
      </c>
      <c r="J175" s="242">
        <v>1096</v>
      </c>
      <c r="K175" s="242">
        <v>0</v>
      </c>
      <c r="L175" s="242">
        <v>1096</v>
      </c>
      <c r="M175" s="242">
        <v>974</v>
      </c>
      <c r="N175" s="242">
        <v>18496</v>
      </c>
      <c r="O175" s="242"/>
      <c r="P175" s="242">
        <v>19470</v>
      </c>
      <c r="Q175" s="242">
        <v>1096</v>
      </c>
      <c r="R175" s="242">
        <v>18497</v>
      </c>
      <c r="S175" s="320">
        <v>365</v>
      </c>
      <c r="T175" s="250">
        <v>6160</v>
      </c>
      <c r="U175" s="250">
        <v>6599</v>
      </c>
      <c r="V175" s="250">
        <v>12871</v>
      </c>
    </row>
    <row r="176" spans="2:22" s="22" customFormat="1" ht="27">
      <c r="B176" s="15">
        <v>74</v>
      </c>
      <c r="C176" s="250" t="s">
        <v>4593</v>
      </c>
      <c r="D176" s="230">
        <v>1</v>
      </c>
      <c r="E176" s="250">
        <v>21290</v>
      </c>
      <c r="F176" s="397" t="s">
        <v>4594</v>
      </c>
      <c r="G176" s="233">
        <v>44370</v>
      </c>
      <c r="H176" s="375" t="s">
        <v>895</v>
      </c>
      <c r="I176" s="270">
        <v>45465</v>
      </c>
      <c r="J176" s="242">
        <v>1096</v>
      </c>
      <c r="K176" s="242">
        <v>0</v>
      </c>
      <c r="L176" s="242">
        <v>1096</v>
      </c>
      <c r="M176" s="242">
        <v>1065</v>
      </c>
      <c r="N176" s="242">
        <v>20225</v>
      </c>
      <c r="O176" s="242"/>
      <c r="P176" s="242">
        <v>21290</v>
      </c>
      <c r="Q176" s="242">
        <v>1096</v>
      </c>
      <c r="R176" s="242">
        <v>20226</v>
      </c>
      <c r="S176" s="320">
        <v>282</v>
      </c>
      <c r="T176" s="250">
        <v>5204</v>
      </c>
      <c r="U176" s="250">
        <v>5204</v>
      </c>
      <c r="V176" s="250">
        <v>16086</v>
      </c>
    </row>
    <row r="177" spans="2:22" s="22" customFormat="1" ht="27">
      <c r="B177" s="15">
        <v>75</v>
      </c>
      <c r="C177" s="250" t="s">
        <v>4606</v>
      </c>
      <c r="D177" s="230">
        <v>1</v>
      </c>
      <c r="E177" s="250">
        <v>13500</v>
      </c>
      <c r="F177" s="397" t="s">
        <v>4607</v>
      </c>
      <c r="G177" s="233">
        <v>44398</v>
      </c>
      <c r="H177" s="375" t="s">
        <v>4433</v>
      </c>
      <c r="I177" s="270">
        <v>45493</v>
      </c>
      <c r="J177" s="242">
        <v>1096</v>
      </c>
      <c r="K177" s="242">
        <v>0</v>
      </c>
      <c r="L177" s="242">
        <v>1096</v>
      </c>
      <c r="M177" s="242">
        <v>675</v>
      </c>
      <c r="N177" s="242">
        <v>12825</v>
      </c>
      <c r="O177" s="242"/>
      <c r="P177" s="242">
        <v>13500</v>
      </c>
      <c r="Q177" s="242">
        <v>1096</v>
      </c>
      <c r="R177" s="242">
        <v>12825</v>
      </c>
      <c r="S177" s="320">
        <v>254</v>
      </c>
      <c r="T177" s="250">
        <v>2972</v>
      </c>
      <c r="U177" s="250">
        <v>2972</v>
      </c>
      <c r="V177" s="250">
        <v>10528</v>
      </c>
    </row>
    <row r="178" spans="2:22" s="22" customFormat="1">
      <c r="B178" s="15"/>
      <c r="C178" s="25"/>
      <c r="D178" s="15"/>
      <c r="E178" s="24"/>
      <c r="F178" s="25"/>
      <c r="G178" s="7"/>
      <c r="H178" s="28"/>
      <c r="I178" s="193"/>
      <c r="J178" s="72"/>
      <c r="K178" s="72"/>
      <c r="L178" s="72"/>
      <c r="M178" s="72"/>
      <c r="N178" s="72"/>
      <c r="O178" s="72"/>
      <c r="P178" s="72"/>
      <c r="Q178" s="72"/>
      <c r="R178" s="72"/>
      <c r="S178" s="36"/>
      <c r="T178" s="24"/>
      <c r="U178" s="24"/>
      <c r="V178" s="24"/>
    </row>
    <row r="179" spans="2:22" s="22" customFormat="1">
      <c r="B179" s="15"/>
      <c r="C179" s="25"/>
      <c r="D179" s="15"/>
      <c r="E179" s="24"/>
      <c r="F179" s="25"/>
      <c r="G179" s="7"/>
      <c r="H179" s="28"/>
      <c r="I179" s="195"/>
      <c r="J179" s="91"/>
      <c r="K179" s="91"/>
      <c r="L179" s="91"/>
      <c r="M179" s="91"/>
      <c r="N179" s="91"/>
      <c r="O179" s="91"/>
      <c r="P179" s="91"/>
      <c r="Q179" s="91"/>
      <c r="R179" s="91"/>
      <c r="S179" s="216"/>
      <c r="T179" s="24"/>
      <c r="U179" s="24"/>
      <c r="V179" s="24"/>
    </row>
    <row r="180" spans="2:22" ht="15" thickBot="1">
      <c r="B180" s="168"/>
      <c r="C180" s="222" t="s">
        <v>915</v>
      </c>
      <c r="D180" s="303"/>
      <c r="E180" s="140">
        <f>SUM(E8:E178)</f>
        <v>37402165.399999999</v>
      </c>
      <c r="F180" s="224"/>
      <c r="G180" s="168"/>
      <c r="H180" s="221"/>
      <c r="I180" s="328"/>
      <c r="J180" s="328"/>
      <c r="K180" s="328"/>
      <c r="L180" s="328"/>
      <c r="M180" s="328"/>
      <c r="N180" s="328"/>
      <c r="O180" s="328">
        <f>SUM(O8:O179)</f>
        <v>6912060.1369841089</v>
      </c>
      <c r="P180" s="328">
        <f>SUM(P6:P179)</f>
        <v>12250504</v>
      </c>
      <c r="Q180" s="328"/>
      <c r="R180" s="328"/>
      <c r="S180" s="328"/>
      <c r="T180" s="140">
        <f>SUM(T8:T179)</f>
        <v>1002068</v>
      </c>
      <c r="U180" s="140">
        <f>SUM(U8:U179)</f>
        <v>9526869</v>
      </c>
      <c r="V180" s="140">
        <f>SUM(V8:V179)</f>
        <v>2723635</v>
      </c>
    </row>
    <row r="181" spans="2:22" ht="14.25" thickTop="1">
      <c r="E181" s="3">
        <f>31843215.4+5558950-E180</f>
        <v>0</v>
      </c>
      <c r="P181" s="4">
        <f>6741945+5508559-P180</f>
        <v>0</v>
      </c>
      <c r="T181" s="3">
        <f>0+1002068-T180</f>
        <v>0</v>
      </c>
      <c r="U181" s="3">
        <f>6741945+2784924-U180</f>
        <v>0</v>
      </c>
      <c r="V181" s="3">
        <f>0+2723635-V180</f>
        <v>0</v>
      </c>
    </row>
    <row r="182" spans="2:22">
      <c r="S182" s="3"/>
    </row>
    <row r="183" spans="2:22">
      <c r="S183" s="3"/>
    </row>
    <row r="184" spans="2:22">
      <c r="S184" s="3"/>
    </row>
    <row r="185" spans="2:22">
      <c r="S185" s="3"/>
    </row>
    <row r="186" spans="2:22">
      <c r="S186" s="3"/>
    </row>
    <row r="187" spans="2:22">
      <c r="S187" s="3"/>
    </row>
    <row r="188" spans="2:22">
      <c r="S188" s="3"/>
    </row>
    <row r="189" spans="2:22">
      <c r="S189" s="3"/>
    </row>
    <row r="190" spans="2:22">
      <c r="S190" s="3"/>
    </row>
    <row r="191" spans="2:22">
      <c r="S191" s="3"/>
    </row>
    <row r="192" spans="2:22">
      <c r="S192" s="3"/>
    </row>
    <row r="193" spans="19:19">
      <c r="S193" s="3"/>
    </row>
    <row r="194" spans="19:19">
      <c r="S194" s="3"/>
    </row>
    <row r="195" spans="19:19">
      <c r="S195" s="3"/>
    </row>
    <row r="196" spans="19:19">
      <c r="S196" s="3"/>
    </row>
    <row r="197" spans="19:19">
      <c r="S197" s="3"/>
    </row>
    <row r="198" spans="19:19">
      <c r="S198" s="3"/>
    </row>
    <row r="199" spans="19:19">
      <c r="S199" s="3"/>
    </row>
    <row r="200" spans="19:19">
      <c r="S200" s="3"/>
    </row>
    <row r="201" spans="19:19">
      <c r="S201" s="3"/>
    </row>
    <row r="202" spans="19:19">
      <c r="S202" s="3"/>
    </row>
    <row r="203" spans="19:19">
      <c r="S203" s="3"/>
    </row>
    <row r="204" spans="19:19">
      <c r="S204" s="3"/>
    </row>
    <row r="205" spans="19:19">
      <c r="S205" s="3"/>
    </row>
    <row r="206" spans="19:19">
      <c r="S206" s="3"/>
    </row>
    <row r="207" spans="19:19">
      <c r="S207" s="3"/>
    </row>
    <row r="208" spans="19:19">
      <c r="S208" s="3"/>
    </row>
    <row r="209" spans="19:19">
      <c r="S209" s="3"/>
    </row>
    <row r="210" spans="19:19">
      <c r="S210" s="3"/>
    </row>
    <row r="211" spans="19:19">
      <c r="S211" s="3"/>
    </row>
    <row r="212" spans="19:19">
      <c r="S212" s="3"/>
    </row>
    <row r="213" spans="19:19">
      <c r="S213" s="3"/>
    </row>
    <row r="214" spans="19:19">
      <c r="S214" s="3"/>
    </row>
    <row r="215" spans="19:19">
      <c r="S215" s="3"/>
    </row>
    <row r="216" spans="19:19">
      <c r="S216" s="3"/>
    </row>
    <row r="217" spans="19:19">
      <c r="S217" s="3"/>
    </row>
    <row r="218" spans="19:19">
      <c r="S218" s="3"/>
    </row>
    <row r="219" spans="19:19">
      <c r="S219" s="3"/>
    </row>
    <row r="220" spans="19:19">
      <c r="S220" s="3"/>
    </row>
    <row r="221" spans="19:19">
      <c r="S221" s="3"/>
    </row>
    <row r="222" spans="19:19">
      <c r="S222" s="3"/>
    </row>
    <row r="223" spans="19:19">
      <c r="S223" s="3"/>
    </row>
    <row r="224" spans="19:19">
      <c r="S224" s="3"/>
    </row>
    <row r="225" spans="19:19">
      <c r="S225" s="3"/>
    </row>
    <row r="226" spans="19:19">
      <c r="S226" s="3"/>
    </row>
    <row r="227" spans="19:19">
      <c r="S227" s="3"/>
    </row>
    <row r="228" spans="19:19">
      <c r="S228" s="3"/>
    </row>
    <row r="229" spans="19:19">
      <c r="S229" s="3"/>
    </row>
    <row r="230" spans="19:19">
      <c r="S230" s="3"/>
    </row>
    <row r="231" spans="19:19">
      <c r="S231" s="3"/>
    </row>
    <row r="232" spans="19:19">
      <c r="S232" s="3"/>
    </row>
    <row r="233" spans="19:19">
      <c r="S233" s="3"/>
    </row>
    <row r="234" spans="19:19">
      <c r="S234" s="3"/>
    </row>
    <row r="235" spans="19:19">
      <c r="S235" s="3"/>
    </row>
    <row r="236" spans="19:19">
      <c r="S236" s="3"/>
    </row>
    <row r="237" spans="19:19">
      <c r="S237" s="3"/>
    </row>
    <row r="238" spans="19:19">
      <c r="S238" s="3"/>
    </row>
    <row r="239" spans="19:19">
      <c r="S239" s="3"/>
    </row>
    <row r="240" spans="19:19">
      <c r="S240" s="3"/>
    </row>
    <row r="241" spans="19:19">
      <c r="S241" s="3"/>
    </row>
    <row r="242" spans="19:19">
      <c r="S242" s="3"/>
    </row>
    <row r="243" spans="19:19">
      <c r="S243" s="3"/>
    </row>
    <row r="244" spans="19:19">
      <c r="S244" s="3"/>
    </row>
    <row r="245" spans="19:19">
      <c r="S245" s="3"/>
    </row>
    <row r="246" spans="19:19">
      <c r="S246" s="3"/>
    </row>
    <row r="247" spans="19:19">
      <c r="S247" s="3"/>
    </row>
    <row r="248" spans="19:19">
      <c r="S248" s="3"/>
    </row>
    <row r="249" spans="19:19">
      <c r="S249" s="3"/>
    </row>
    <row r="250" spans="19:19">
      <c r="S250" s="3"/>
    </row>
    <row r="251" spans="19:19">
      <c r="S251" s="3"/>
    </row>
    <row r="252" spans="19:19">
      <c r="S252" s="3"/>
    </row>
    <row r="253" spans="19:19">
      <c r="S253" s="3"/>
    </row>
    <row r="254" spans="19:19">
      <c r="S254" s="3"/>
    </row>
    <row r="255" spans="19:19">
      <c r="S255" s="3"/>
    </row>
    <row r="256" spans="19:19">
      <c r="S256" s="3"/>
    </row>
    <row r="257" spans="19:19">
      <c r="S257" s="3"/>
    </row>
    <row r="258" spans="19:19">
      <c r="S258" s="3"/>
    </row>
    <row r="259" spans="19:19">
      <c r="S259" s="3"/>
    </row>
    <row r="260" spans="19:19">
      <c r="S260" s="3"/>
    </row>
    <row r="261" spans="19:19">
      <c r="S261" s="3"/>
    </row>
    <row r="262" spans="19:19">
      <c r="S262" s="3"/>
    </row>
    <row r="263" spans="19:19">
      <c r="S263" s="3"/>
    </row>
    <row r="264" spans="19:19">
      <c r="S264" s="3"/>
    </row>
    <row r="265" spans="19:19">
      <c r="S265" s="3"/>
    </row>
    <row r="266" spans="19:19">
      <c r="S266" s="3"/>
    </row>
    <row r="267" spans="19:19">
      <c r="S267" s="3"/>
    </row>
    <row r="268" spans="19:19">
      <c r="S268" s="3"/>
    </row>
    <row r="269" spans="19:19">
      <c r="S269" s="3"/>
    </row>
    <row r="270" spans="19:19">
      <c r="S270" s="3"/>
    </row>
    <row r="271" spans="19:19">
      <c r="S271" s="3"/>
    </row>
    <row r="272" spans="19:19">
      <c r="S272" s="3"/>
    </row>
    <row r="273" spans="19:19">
      <c r="S273" s="3"/>
    </row>
    <row r="274" spans="19:19">
      <c r="S274" s="3"/>
    </row>
    <row r="275" spans="19:19">
      <c r="S275" s="3"/>
    </row>
    <row r="276" spans="19:19">
      <c r="S276" s="3"/>
    </row>
    <row r="277" spans="19:19">
      <c r="S277" s="3"/>
    </row>
    <row r="278" spans="19:19">
      <c r="S278" s="3"/>
    </row>
    <row r="279" spans="19:19">
      <c r="S279" s="3"/>
    </row>
    <row r="280" spans="19:19">
      <c r="S280" s="3"/>
    </row>
    <row r="281" spans="19:19">
      <c r="S281" s="3"/>
    </row>
    <row r="282" spans="19:19">
      <c r="S282" s="3"/>
    </row>
    <row r="283" spans="19:19">
      <c r="S283" s="3"/>
    </row>
    <row r="284" spans="19:19">
      <c r="S284" s="3"/>
    </row>
    <row r="285" spans="19:19">
      <c r="S285" s="3"/>
    </row>
    <row r="286" spans="19:19">
      <c r="S286" s="3"/>
    </row>
    <row r="287" spans="19:19">
      <c r="S287" s="3"/>
    </row>
    <row r="288" spans="19:19">
      <c r="S288" s="3"/>
    </row>
    <row r="289" spans="19:19">
      <c r="S289" s="3"/>
    </row>
    <row r="290" spans="19:19">
      <c r="S290" s="3"/>
    </row>
    <row r="291" spans="19:19">
      <c r="S291" s="3"/>
    </row>
    <row r="292" spans="19:19">
      <c r="S292" s="3"/>
    </row>
    <row r="293" spans="19:19">
      <c r="S293" s="3"/>
    </row>
    <row r="294" spans="19:19">
      <c r="S294" s="3"/>
    </row>
    <row r="295" spans="19:19">
      <c r="S295" s="3"/>
    </row>
    <row r="296" spans="19:19">
      <c r="S296" s="3"/>
    </row>
    <row r="297" spans="19:19">
      <c r="S297" s="3"/>
    </row>
    <row r="298" spans="19:19">
      <c r="S298" s="3"/>
    </row>
    <row r="299" spans="19:19">
      <c r="S299" s="3"/>
    </row>
    <row r="300" spans="19:19">
      <c r="S300" s="3"/>
    </row>
    <row r="301" spans="19:19">
      <c r="S301" s="3"/>
    </row>
    <row r="302" spans="19:19">
      <c r="S302" s="3"/>
    </row>
    <row r="303" spans="19:19">
      <c r="S303" s="3"/>
    </row>
    <row r="304" spans="19:19">
      <c r="S304" s="3"/>
    </row>
    <row r="305" spans="19:19">
      <c r="S305" s="3"/>
    </row>
    <row r="306" spans="19:19">
      <c r="S306" s="3"/>
    </row>
    <row r="307" spans="19:19">
      <c r="S307" s="3"/>
    </row>
    <row r="308" spans="19:19">
      <c r="S308" s="3"/>
    </row>
    <row r="309" spans="19:19">
      <c r="S309" s="3"/>
    </row>
    <row r="310" spans="19:19">
      <c r="S310" s="3"/>
    </row>
    <row r="311" spans="19:19">
      <c r="S311" s="3"/>
    </row>
    <row r="312" spans="19:19">
      <c r="S312" s="3"/>
    </row>
    <row r="313" spans="19:19">
      <c r="S313" s="3"/>
    </row>
    <row r="314" spans="19:19">
      <c r="S314" s="3"/>
    </row>
    <row r="315" spans="19:19">
      <c r="S315" s="3"/>
    </row>
    <row r="316" spans="19:19">
      <c r="S316" s="3"/>
    </row>
    <row r="317" spans="19:19">
      <c r="S317" s="3"/>
    </row>
    <row r="318" spans="19:19">
      <c r="S318" s="3"/>
    </row>
    <row r="319" spans="19:19">
      <c r="S319" s="3"/>
    </row>
    <row r="320" spans="19:19">
      <c r="S320" s="3"/>
    </row>
    <row r="321" spans="19:19">
      <c r="S321" s="3"/>
    </row>
    <row r="322" spans="19:19">
      <c r="S322" s="3"/>
    </row>
    <row r="323" spans="19:19">
      <c r="S323" s="3"/>
    </row>
    <row r="324" spans="19:19">
      <c r="S324" s="3"/>
    </row>
    <row r="325" spans="19:19">
      <c r="S325" s="3"/>
    </row>
    <row r="326" spans="19:19">
      <c r="S326" s="3"/>
    </row>
    <row r="327" spans="19:19">
      <c r="S327" s="3"/>
    </row>
    <row r="328" spans="19:19">
      <c r="S328" s="3"/>
    </row>
    <row r="329" spans="19:19">
      <c r="S329" s="3"/>
    </row>
    <row r="330" spans="19:19">
      <c r="S330" s="3"/>
    </row>
    <row r="331" spans="19:19">
      <c r="S331" s="3"/>
    </row>
    <row r="332" spans="19:19">
      <c r="S332" s="3"/>
    </row>
    <row r="333" spans="19:19">
      <c r="S333" s="3"/>
    </row>
    <row r="334" spans="19:19">
      <c r="S334" s="3"/>
    </row>
    <row r="335" spans="19:19">
      <c r="S335" s="3"/>
    </row>
    <row r="336" spans="19:19">
      <c r="S336" s="3"/>
    </row>
    <row r="337" spans="19:19">
      <c r="S337" s="3"/>
    </row>
    <row r="338" spans="19:19">
      <c r="S338" s="3"/>
    </row>
    <row r="339" spans="19:19">
      <c r="S339" s="3"/>
    </row>
    <row r="340" spans="19:19">
      <c r="S340" s="3"/>
    </row>
    <row r="341" spans="19:19">
      <c r="S341" s="3"/>
    </row>
    <row r="342" spans="19:19">
      <c r="S342" s="3"/>
    </row>
    <row r="343" spans="19:19">
      <c r="S343" s="3"/>
    </row>
    <row r="344" spans="19:19">
      <c r="S344" s="3"/>
    </row>
    <row r="345" spans="19:19">
      <c r="S345" s="3"/>
    </row>
    <row r="346" spans="19:19">
      <c r="S346" s="3"/>
    </row>
    <row r="347" spans="19:19">
      <c r="S347" s="3"/>
    </row>
    <row r="348" spans="19:19">
      <c r="S348" s="3"/>
    </row>
    <row r="349" spans="19:19">
      <c r="S349" s="3"/>
    </row>
    <row r="350" spans="19:19">
      <c r="S350" s="3"/>
    </row>
    <row r="351" spans="19:19">
      <c r="S351" s="3"/>
    </row>
    <row r="352" spans="19:19">
      <c r="S352" s="3"/>
    </row>
    <row r="353" spans="19:19">
      <c r="S353" s="3"/>
    </row>
    <row r="354" spans="19:19">
      <c r="S354" s="3"/>
    </row>
    <row r="355" spans="19:19">
      <c r="S355" s="3"/>
    </row>
    <row r="356" spans="19:19">
      <c r="S356" s="3"/>
    </row>
    <row r="357" spans="19:19">
      <c r="S357" s="3"/>
    </row>
    <row r="358" spans="19:19">
      <c r="S358" s="3"/>
    </row>
    <row r="359" spans="19:19">
      <c r="S359" s="3"/>
    </row>
    <row r="360" spans="19:19">
      <c r="S360" s="3"/>
    </row>
    <row r="361" spans="19:19">
      <c r="S361" s="3"/>
    </row>
    <row r="362" spans="19:19">
      <c r="S362" s="3"/>
    </row>
    <row r="363" spans="19:19">
      <c r="S363" s="3"/>
    </row>
    <row r="364" spans="19:19">
      <c r="S364" s="3"/>
    </row>
    <row r="365" spans="19:19">
      <c r="S365" s="3"/>
    </row>
    <row r="366" spans="19:19">
      <c r="S366" s="3"/>
    </row>
    <row r="367" spans="19:19">
      <c r="S367" s="3"/>
    </row>
    <row r="368" spans="19:19">
      <c r="S368" s="3"/>
    </row>
    <row r="369" spans="19:19">
      <c r="S369" s="3"/>
    </row>
    <row r="370" spans="19:19">
      <c r="S370" s="3"/>
    </row>
    <row r="371" spans="19:19">
      <c r="S371" s="3"/>
    </row>
    <row r="372" spans="19:19">
      <c r="S372" s="3"/>
    </row>
    <row r="373" spans="19:19">
      <c r="S373" s="3"/>
    </row>
    <row r="374" spans="19:19">
      <c r="S374" s="3"/>
    </row>
    <row r="375" spans="19:19">
      <c r="S375" s="3"/>
    </row>
    <row r="376" spans="19:19">
      <c r="S376" s="3"/>
    </row>
    <row r="377" spans="19:19">
      <c r="S377" s="3"/>
    </row>
    <row r="378" spans="19:19">
      <c r="S378" s="3"/>
    </row>
    <row r="379" spans="19:19">
      <c r="S379" s="3"/>
    </row>
    <row r="380" spans="19:19">
      <c r="S380" s="3"/>
    </row>
    <row r="381" spans="19:19">
      <c r="S381" s="3"/>
    </row>
    <row r="382" spans="19:19">
      <c r="S382" s="3"/>
    </row>
    <row r="383" spans="19:19">
      <c r="S383" s="3"/>
    </row>
    <row r="384" spans="19:19">
      <c r="S384" s="3"/>
    </row>
    <row r="385" spans="19:19">
      <c r="S385" s="3"/>
    </row>
    <row r="386" spans="19:19">
      <c r="S386" s="3"/>
    </row>
    <row r="387" spans="19:19">
      <c r="S387" s="3"/>
    </row>
    <row r="388" spans="19:19">
      <c r="S388" s="3"/>
    </row>
    <row r="389" spans="19:19">
      <c r="S389" s="3"/>
    </row>
    <row r="390" spans="19:19">
      <c r="S390" s="3"/>
    </row>
    <row r="391" spans="19:19">
      <c r="S391" s="3"/>
    </row>
    <row r="392" spans="19:19">
      <c r="S392" s="3"/>
    </row>
    <row r="393" spans="19:19">
      <c r="S393" s="3"/>
    </row>
    <row r="394" spans="19:19">
      <c r="S394" s="3"/>
    </row>
    <row r="395" spans="19:19">
      <c r="S395" s="3"/>
    </row>
    <row r="396" spans="19:19">
      <c r="S396" s="3"/>
    </row>
    <row r="397" spans="19:19">
      <c r="S397" s="3"/>
    </row>
    <row r="398" spans="19:19">
      <c r="S398" s="3"/>
    </row>
    <row r="399" spans="19:19">
      <c r="S399" s="3"/>
    </row>
    <row r="400" spans="19:19">
      <c r="S400" s="3"/>
    </row>
    <row r="401" spans="19:19">
      <c r="S401" s="3"/>
    </row>
    <row r="402" spans="19:19">
      <c r="S402" s="3"/>
    </row>
    <row r="403" spans="19:19">
      <c r="S403" s="3"/>
    </row>
    <row r="404" spans="19:19">
      <c r="S404" s="3"/>
    </row>
    <row r="405" spans="19:19">
      <c r="S405" s="3"/>
    </row>
    <row r="406" spans="19:19">
      <c r="S406" s="3"/>
    </row>
    <row r="407" spans="19:19">
      <c r="S407" s="3"/>
    </row>
    <row r="408" spans="19:19">
      <c r="S408" s="3"/>
    </row>
    <row r="409" spans="19:19">
      <c r="S409" s="3"/>
    </row>
    <row r="410" spans="19:19">
      <c r="S410" s="3"/>
    </row>
    <row r="411" spans="19:19">
      <c r="S411" s="3"/>
    </row>
    <row r="412" spans="19:19">
      <c r="S412" s="3"/>
    </row>
    <row r="413" spans="19:19">
      <c r="S413" s="3"/>
    </row>
    <row r="414" spans="19:19">
      <c r="S414" s="3"/>
    </row>
    <row r="415" spans="19:19">
      <c r="S415" s="3"/>
    </row>
    <row r="416" spans="19:19">
      <c r="S416" s="3"/>
    </row>
  </sheetData>
  <autoFilter ref="A5:R180"/>
  <mergeCells count="2">
    <mergeCell ref="S3:V3"/>
    <mergeCell ref="S4:V4"/>
  </mergeCells>
  <phoneticPr fontId="43" type="noConversion"/>
  <printOptions horizontalCentered="1"/>
  <pageMargins left="0" right="0" top="0.25" bottom="0" header="0.5" footer="0.5"/>
  <pageSetup paperSize="9" scale="5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2"/>
  <sheetViews>
    <sheetView zoomScaleNormal="100" workbookViewId="0">
      <pane xSplit="3" ySplit="6" topLeftCell="D25" activePane="bottomRight" state="frozen"/>
      <selection pane="topRight" activeCell="L1" sqref="L1"/>
      <selection pane="bottomLeft" activeCell="A7" sqref="A7"/>
      <selection pane="bottomRight" activeCell="A35" sqref="A35"/>
    </sheetView>
  </sheetViews>
  <sheetFormatPr defaultColWidth="9" defaultRowHeight="13.5"/>
  <cols>
    <col min="1" max="1" width="3.125" style="5" customWidth="1"/>
    <col min="2" max="2" width="5.625" style="5" customWidth="1"/>
    <col min="3" max="3" width="25" style="20" customWidth="1"/>
    <col min="4" max="4" width="5.375" style="9" customWidth="1"/>
    <col min="5" max="5" width="10.75" style="3" customWidth="1"/>
    <col min="6" max="6" width="9.875" style="29" customWidth="1"/>
    <col min="7" max="7" width="8.875" style="5" customWidth="1"/>
    <col min="8" max="8" width="8.625" style="20" customWidth="1"/>
    <col min="9" max="9" width="10.5" style="5" customWidth="1"/>
    <col min="10" max="10" width="4.625" style="5" customWidth="1"/>
    <col min="11" max="11" width="8.5" style="3" customWidth="1"/>
    <col min="12" max="12" width="10.125" style="3" customWidth="1"/>
    <col min="13" max="13" width="5.625" style="3" bestFit="1" customWidth="1"/>
    <col min="14" max="16384" width="9" style="5"/>
  </cols>
  <sheetData>
    <row r="1" spans="1:13">
      <c r="A1" s="12"/>
      <c r="B1" s="12"/>
      <c r="C1" s="219"/>
      <c r="D1" s="220"/>
      <c r="F1" s="181"/>
      <c r="G1" s="12"/>
      <c r="H1" s="219"/>
    </row>
    <row r="2" spans="1:13" ht="14.25">
      <c r="B2" s="19" t="s">
        <v>436</v>
      </c>
      <c r="L2" s="381"/>
    </row>
    <row r="3" spans="1:13" ht="14.25">
      <c r="J3" s="619">
        <v>44651</v>
      </c>
      <c r="K3" s="620"/>
      <c r="L3" s="620"/>
      <c r="M3" s="620"/>
    </row>
    <row r="4" spans="1:13" ht="14.25">
      <c r="B4" s="19" t="s">
        <v>4648</v>
      </c>
      <c r="J4" s="610" t="s">
        <v>4569</v>
      </c>
      <c r="K4" s="610"/>
      <c r="L4" s="610"/>
      <c r="M4" s="610"/>
    </row>
    <row r="5" spans="1:13" ht="35.25" customHeight="1">
      <c r="B5" s="82" t="s">
        <v>56</v>
      </c>
      <c r="C5" s="82" t="s">
        <v>397</v>
      </c>
      <c r="D5" s="82" t="s">
        <v>398</v>
      </c>
      <c r="E5" s="85" t="s">
        <v>2623</v>
      </c>
      <c r="F5" s="82" t="s">
        <v>400</v>
      </c>
      <c r="G5" s="82" t="s">
        <v>401</v>
      </c>
      <c r="H5" s="82" t="s">
        <v>402</v>
      </c>
      <c r="I5" s="144" t="s">
        <v>4050</v>
      </c>
      <c r="J5" s="82" t="s">
        <v>403</v>
      </c>
      <c r="K5" s="85" t="s">
        <v>405</v>
      </c>
      <c r="L5" s="85" t="s">
        <v>3886</v>
      </c>
      <c r="M5" s="85" t="s">
        <v>404</v>
      </c>
    </row>
    <row r="6" spans="1:13" s="22" customFormat="1" ht="14.25">
      <c r="B6" s="64" t="s">
        <v>669</v>
      </c>
      <c r="C6" s="64"/>
      <c r="D6" s="13"/>
      <c r="E6" s="14"/>
      <c r="F6" s="103"/>
      <c r="G6" s="65"/>
      <c r="H6" s="65"/>
      <c r="J6" s="65"/>
      <c r="K6" s="102"/>
      <c r="L6" s="102"/>
      <c r="M6" s="102"/>
    </row>
    <row r="7" spans="1:13" s="22" customFormat="1" ht="14.25">
      <c r="B7" s="32" t="s">
        <v>590</v>
      </c>
      <c r="C7" s="25"/>
      <c r="D7" s="15"/>
      <c r="E7" s="24"/>
      <c r="F7" s="15"/>
      <c r="G7" s="15"/>
      <c r="H7" s="25"/>
      <c r="J7" s="25"/>
      <c r="K7" s="24"/>
      <c r="L7" s="24"/>
      <c r="M7" s="24"/>
    </row>
    <row r="8" spans="1:13" s="22" customFormat="1" ht="27">
      <c r="B8" s="15">
        <v>1</v>
      </c>
      <c r="C8" s="249" t="s">
        <v>1106</v>
      </c>
      <c r="D8" s="230">
        <v>1</v>
      </c>
      <c r="E8" s="250">
        <v>46426</v>
      </c>
      <c r="F8" s="230">
        <v>12</v>
      </c>
      <c r="G8" s="233">
        <v>39653</v>
      </c>
      <c r="H8" s="228" t="s">
        <v>161</v>
      </c>
      <c r="I8" s="240">
        <v>0</v>
      </c>
      <c r="J8" s="313">
        <v>0</v>
      </c>
      <c r="K8" s="250">
        <v>0</v>
      </c>
      <c r="L8" s="250">
        <v>0</v>
      </c>
      <c r="M8" s="250">
        <v>0</v>
      </c>
    </row>
    <row r="9" spans="1:13" s="22" customFormat="1" ht="27">
      <c r="B9" s="15">
        <f t="shared" ref="B9:B15" si="0">+B8+1</f>
        <v>2</v>
      </c>
      <c r="C9" s="249" t="s">
        <v>634</v>
      </c>
      <c r="D9" s="230">
        <v>3</v>
      </c>
      <c r="E9" s="250">
        <f>99083-41363</f>
        <v>57720</v>
      </c>
      <c r="F9" s="230">
        <v>482</v>
      </c>
      <c r="G9" s="233">
        <v>40269</v>
      </c>
      <c r="H9" s="228" t="s">
        <v>895</v>
      </c>
      <c r="I9" s="240">
        <v>0</v>
      </c>
      <c r="J9" s="313">
        <v>0</v>
      </c>
      <c r="K9" s="250">
        <v>0</v>
      </c>
      <c r="L9" s="250">
        <v>0</v>
      </c>
      <c r="M9" s="250">
        <v>0</v>
      </c>
    </row>
    <row r="10" spans="1:13" s="22" customFormat="1" ht="27">
      <c r="B10" s="15">
        <f t="shared" si="0"/>
        <v>3</v>
      </c>
      <c r="C10" s="249" t="s">
        <v>635</v>
      </c>
      <c r="D10" s="230">
        <v>2</v>
      </c>
      <c r="E10" s="250">
        <v>290695</v>
      </c>
      <c r="F10" s="230">
        <v>483</v>
      </c>
      <c r="G10" s="233">
        <v>40269</v>
      </c>
      <c r="H10" s="228" t="s">
        <v>895</v>
      </c>
      <c r="I10" s="240">
        <v>0</v>
      </c>
      <c r="J10" s="313">
        <v>0</v>
      </c>
      <c r="K10" s="250">
        <v>0</v>
      </c>
      <c r="L10" s="250">
        <v>0</v>
      </c>
      <c r="M10" s="250">
        <v>0</v>
      </c>
    </row>
    <row r="11" spans="1:13" s="22" customFormat="1" ht="40.5">
      <c r="B11" s="15">
        <f t="shared" si="0"/>
        <v>4</v>
      </c>
      <c r="C11" s="249" t="s">
        <v>1068</v>
      </c>
      <c r="D11" s="230">
        <v>1</v>
      </c>
      <c r="E11" s="250">
        <v>4429110</v>
      </c>
      <c r="F11" s="254" t="s">
        <v>1069</v>
      </c>
      <c r="G11" s="233">
        <v>40617</v>
      </c>
      <c r="H11" s="228" t="s">
        <v>895</v>
      </c>
      <c r="I11" s="240">
        <v>0</v>
      </c>
      <c r="J11" s="313">
        <v>0</v>
      </c>
      <c r="K11" s="250">
        <v>0</v>
      </c>
      <c r="L11" s="250">
        <v>0</v>
      </c>
      <c r="M11" s="250">
        <v>0</v>
      </c>
    </row>
    <row r="12" spans="1:13" s="22" customFormat="1" ht="40.5">
      <c r="B12" s="15">
        <f t="shared" si="0"/>
        <v>5</v>
      </c>
      <c r="C12" s="249" t="s">
        <v>1900</v>
      </c>
      <c r="D12" s="230" t="s">
        <v>314</v>
      </c>
      <c r="E12" s="250">
        <v>168703</v>
      </c>
      <c r="F12" s="230" t="s">
        <v>1901</v>
      </c>
      <c r="G12" s="233">
        <v>41023</v>
      </c>
      <c r="H12" s="228" t="s">
        <v>895</v>
      </c>
      <c r="I12" s="240">
        <v>3559</v>
      </c>
      <c r="J12" s="313">
        <v>0</v>
      </c>
      <c r="K12" s="250">
        <v>0</v>
      </c>
      <c r="L12" s="250">
        <v>3559</v>
      </c>
      <c r="M12" s="250">
        <v>0</v>
      </c>
    </row>
    <row r="13" spans="1:13" s="22" customFormat="1" ht="40.5">
      <c r="B13" s="15">
        <f t="shared" si="0"/>
        <v>6</v>
      </c>
      <c r="C13" s="249" t="s">
        <v>1902</v>
      </c>
      <c r="D13" s="230" t="s">
        <v>314</v>
      </c>
      <c r="E13" s="250">
        <v>1729509</v>
      </c>
      <c r="F13" s="230" t="s">
        <v>1903</v>
      </c>
      <c r="G13" s="233">
        <v>41023</v>
      </c>
      <c r="H13" s="228" t="s">
        <v>895</v>
      </c>
      <c r="I13" s="240">
        <v>36498</v>
      </c>
      <c r="J13" s="313">
        <v>0</v>
      </c>
      <c r="K13" s="250">
        <v>0</v>
      </c>
      <c r="L13" s="250">
        <v>36498</v>
      </c>
      <c r="M13" s="250">
        <v>0</v>
      </c>
    </row>
    <row r="14" spans="1:13" s="22" customFormat="1" ht="54">
      <c r="B14" s="15">
        <f t="shared" si="0"/>
        <v>7</v>
      </c>
      <c r="C14" s="249" t="s">
        <v>1904</v>
      </c>
      <c r="D14" s="230" t="s">
        <v>314</v>
      </c>
      <c r="E14" s="250">
        <v>801035</v>
      </c>
      <c r="F14" s="230" t="s">
        <v>1905</v>
      </c>
      <c r="G14" s="233">
        <v>41023</v>
      </c>
      <c r="H14" s="228" t="s">
        <v>895</v>
      </c>
      <c r="I14" s="240">
        <v>16904</v>
      </c>
      <c r="J14" s="313">
        <v>0</v>
      </c>
      <c r="K14" s="250">
        <v>0</v>
      </c>
      <c r="L14" s="250">
        <v>16904</v>
      </c>
      <c r="M14" s="250">
        <v>0</v>
      </c>
    </row>
    <row r="15" spans="1:13" s="22" customFormat="1" ht="40.5">
      <c r="B15" s="15">
        <f t="shared" si="0"/>
        <v>8</v>
      </c>
      <c r="C15" s="249" t="s">
        <v>1906</v>
      </c>
      <c r="D15" s="230" t="s">
        <v>314</v>
      </c>
      <c r="E15" s="250">
        <v>377246</v>
      </c>
      <c r="F15" s="230" t="s">
        <v>1907</v>
      </c>
      <c r="G15" s="233">
        <v>41023</v>
      </c>
      <c r="H15" s="228" t="s">
        <v>895</v>
      </c>
      <c r="I15" s="240">
        <v>7961</v>
      </c>
      <c r="J15" s="313">
        <v>0</v>
      </c>
      <c r="K15" s="250">
        <v>0</v>
      </c>
      <c r="L15" s="250">
        <v>7961</v>
      </c>
      <c r="M15" s="250">
        <v>0</v>
      </c>
    </row>
    <row r="16" spans="1:13" s="22" customFormat="1" ht="14.25">
      <c r="B16" s="32" t="s">
        <v>983</v>
      </c>
      <c r="C16" s="239"/>
      <c r="D16" s="234"/>
      <c r="E16" s="231"/>
      <c r="F16" s="234"/>
      <c r="G16" s="238"/>
      <c r="H16" s="239"/>
      <c r="I16" s="240">
        <v>0</v>
      </c>
      <c r="J16" s="228"/>
      <c r="K16" s="250"/>
      <c r="L16" s="250"/>
      <c r="M16" s="250"/>
    </row>
    <row r="17" spans="2:13" s="22" customFormat="1">
      <c r="B17" s="18">
        <v>1</v>
      </c>
      <c r="C17" s="249" t="s">
        <v>51</v>
      </c>
      <c r="D17" s="230">
        <v>5</v>
      </c>
      <c r="E17" s="250">
        <v>642938</v>
      </c>
      <c r="F17" s="254">
        <v>909100004</v>
      </c>
      <c r="G17" s="233">
        <v>39979</v>
      </c>
      <c r="H17" s="228" t="s">
        <v>895</v>
      </c>
      <c r="I17" s="240">
        <v>0</v>
      </c>
      <c r="J17" s="313">
        <v>0</v>
      </c>
      <c r="K17" s="250">
        <v>0</v>
      </c>
      <c r="L17" s="250">
        <v>0</v>
      </c>
      <c r="M17" s="250">
        <v>0</v>
      </c>
    </row>
    <row r="18" spans="2:13" s="22" customFormat="1" ht="27">
      <c r="B18" s="18">
        <f>+B17+1</f>
        <v>2</v>
      </c>
      <c r="C18" s="249" t="s">
        <v>878</v>
      </c>
      <c r="D18" s="230">
        <v>5</v>
      </c>
      <c r="E18" s="250">
        <v>55150</v>
      </c>
      <c r="F18" s="254">
        <v>909100004</v>
      </c>
      <c r="G18" s="233">
        <v>39979</v>
      </c>
      <c r="H18" s="228" t="s">
        <v>895</v>
      </c>
      <c r="I18" s="240">
        <v>0</v>
      </c>
      <c r="J18" s="313">
        <v>0</v>
      </c>
      <c r="K18" s="250">
        <v>0</v>
      </c>
      <c r="L18" s="250">
        <v>0</v>
      </c>
      <c r="M18" s="250">
        <v>0</v>
      </c>
    </row>
    <row r="19" spans="2:13" s="22" customFormat="1" ht="81">
      <c r="B19" s="18">
        <f t="shared" ref="B19:B25" si="1">+B18+1</f>
        <v>3</v>
      </c>
      <c r="C19" s="249" t="s">
        <v>985</v>
      </c>
      <c r="D19" s="230">
        <v>5</v>
      </c>
      <c r="E19" s="250">
        <v>780000</v>
      </c>
      <c r="F19" s="254" t="s">
        <v>986</v>
      </c>
      <c r="G19" s="233">
        <v>40527</v>
      </c>
      <c r="H19" s="228" t="s">
        <v>895</v>
      </c>
      <c r="I19" s="240">
        <v>0</v>
      </c>
      <c r="J19" s="313">
        <v>0</v>
      </c>
      <c r="K19" s="250">
        <v>0</v>
      </c>
      <c r="L19" s="250">
        <v>0</v>
      </c>
      <c r="M19" s="250">
        <v>0</v>
      </c>
    </row>
    <row r="20" spans="2:13" s="22" customFormat="1" ht="40.5">
      <c r="B20" s="18">
        <f t="shared" si="1"/>
        <v>4</v>
      </c>
      <c r="C20" s="249" t="s">
        <v>919</v>
      </c>
      <c r="D20" s="230">
        <v>7</v>
      </c>
      <c r="E20" s="250">
        <v>1279473</v>
      </c>
      <c r="F20" s="254" t="s">
        <v>920</v>
      </c>
      <c r="G20" s="233">
        <v>40466</v>
      </c>
      <c r="H20" s="228" t="s">
        <v>895</v>
      </c>
      <c r="I20" s="240">
        <v>0</v>
      </c>
      <c r="J20" s="313">
        <v>0</v>
      </c>
      <c r="K20" s="250">
        <v>0</v>
      </c>
      <c r="L20" s="250">
        <v>0</v>
      </c>
      <c r="M20" s="250">
        <v>0</v>
      </c>
    </row>
    <row r="21" spans="2:13" s="22" customFormat="1" ht="54">
      <c r="B21" s="18">
        <f t="shared" si="1"/>
        <v>5</v>
      </c>
      <c r="C21" s="249" t="s">
        <v>620</v>
      </c>
      <c r="D21" s="230">
        <v>106</v>
      </c>
      <c r="E21" s="250">
        <v>4076706</v>
      </c>
      <c r="F21" s="254" t="s">
        <v>194</v>
      </c>
      <c r="G21" s="233">
        <v>40603</v>
      </c>
      <c r="H21" s="228" t="s">
        <v>895</v>
      </c>
      <c r="I21" s="240">
        <v>0</v>
      </c>
      <c r="J21" s="313">
        <v>0</v>
      </c>
      <c r="K21" s="250">
        <v>0</v>
      </c>
      <c r="L21" s="250">
        <v>0</v>
      </c>
      <c r="M21" s="250">
        <v>0</v>
      </c>
    </row>
    <row r="22" spans="2:13" s="22" customFormat="1" ht="40.5">
      <c r="B22" s="18">
        <f t="shared" si="1"/>
        <v>6</v>
      </c>
      <c r="C22" s="249" t="s">
        <v>415</v>
      </c>
      <c r="D22" s="230" t="s">
        <v>314</v>
      </c>
      <c r="E22" s="250">
        <v>148031</v>
      </c>
      <c r="F22" s="254" t="s">
        <v>416</v>
      </c>
      <c r="G22" s="233">
        <v>40662</v>
      </c>
      <c r="H22" s="228" t="s">
        <v>895</v>
      </c>
      <c r="I22" s="240">
        <v>0</v>
      </c>
      <c r="J22" s="313">
        <v>0</v>
      </c>
      <c r="K22" s="250">
        <v>0</v>
      </c>
      <c r="L22" s="250">
        <v>0</v>
      </c>
      <c r="M22" s="250">
        <v>0</v>
      </c>
    </row>
    <row r="23" spans="2:13" s="22" customFormat="1" ht="121.5">
      <c r="B23" s="18">
        <f t="shared" si="1"/>
        <v>7</v>
      </c>
      <c r="C23" s="249" t="s">
        <v>1149</v>
      </c>
      <c r="D23" s="230" t="s">
        <v>314</v>
      </c>
      <c r="E23" s="250">
        <v>4623263</v>
      </c>
      <c r="F23" s="254" t="s">
        <v>1150</v>
      </c>
      <c r="G23" s="233">
        <v>40634</v>
      </c>
      <c r="H23" s="228" t="s">
        <v>282</v>
      </c>
      <c r="I23" s="240">
        <v>0</v>
      </c>
      <c r="J23" s="313">
        <v>0</v>
      </c>
      <c r="K23" s="250">
        <v>0</v>
      </c>
      <c r="L23" s="250">
        <v>0</v>
      </c>
      <c r="M23" s="250">
        <v>0</v>
      </c>
    </row>
    <row r="24" spans="2:13" s="22" customFormat="1" ht="27">
      <c r="B24" s="18">
        <f t="shared" si="1"/>
        <v>8</v>
      </c>
      <c r="C24" s="249" t="s">
        <v>2038</v>
      </c>
      <c r="D24" s="230">
        <v>8</v>
      </c>
      <c r="E24" s="250">
        <v>326752</v>
      </c>
      <c r="F24" s="254" t="s">
        <v>2039</v>
      </c>
      <c r="G24" s="233">
        <v>41359</v>
      </c>
      <c r="H24" s="228" t="s">
        <v>895</v>
      </c>
      <c r="I24" s="240">
        <v>107150</v>
      </c>
      <c r="J24" s="313">
        <v>0</v>
      </c>
      <c r="K24" s="250">
        <v>0</v>
      </c>
      <c r="L24" s="250">
        <v>107150</v>
      </c>
      <c r="M24" s="250">
        <v>0</v>
      </c>
    </row>
    <row r="25" spans="2:13" s="22" customFormat="1" ht="40.5">
      <c r="B25" s="18">
        <f t="shared" si="1"/>
        <v>9</v>
      </c>
      <c r="C25" s="249" t="s">
        <v>2179</v>
      </c>
      <c r="D25" s="230" t="s">
        <v>314</v>
      </c>
      <c r="E25" s="250">
        <v>15750</v>
      </c>
      <c r="F25" s="254" t="s">
        <v>2180</v>
      </c>
      <c r="G25" s="233">
        <v>41418</v>
      </c>
      <c r="H25" s="228" t="s">
        <v>895</v>
      </c>
      <c r="I25" s="240">
        <v>6014</v>
      </c>
      <c r="J25" s="313">
        <v>0</v>
      </c>
      <c r="K25" s="250">
        <v>0</v>
      </c>
      <c r="L25" s="250">
        <v>6014</v>
      </c>
      <c r="M25" s="250">
        <v>0</v>
      </c>
    </row>
    <row r="26" spans="2:13" ht="15" thickBot="1">
      <c r="B26" s="168"/>
      <c r="C26" s="222" t="s">
        <v>915</v>
      </c>
      <c r="D26" s="223"/>
      <c r="E26" s="140">
        <f>SUM(E8:E25)</f>
        <v>19848507</v>
      </c>
      <c r="F26" s="224"/>
      <c r="G26" s="168"/>
      <c r="H26" s="221"/>
      <c r="I26" s="382">
        <f>+SUM(I6:I25)</f>
        <v>178086</v>
      </c>
      <c r="J26" s="383"/>
      <c r="K26" s="140">
        <f>SUM(K8:K25)</f>
        <v>0</v>
      </c>
      <c r="L26" s="140">
        <f>SUM(L8:L25)</f>
        <v>178086</v>
      </c>
      <c r="M26" s="140">
        <f>SUM(M8:M25)</f>
        <v>0</v>
      </c>
    </row>
    <row r="27" spans="2:13" ht="14.25" thickTop="1">
      <c r="C27" s="22"/>
      <c r="E27" s="3">
        <f>19848507-E26</f>
        <v>0</v>
      </c>
      <c r="I27" s="3">
        <f>178086-I26</f>
        <v>0</v>
      </c>
      <c r="L27" s="3">
        <f>178086-L26</f>
        <v>0</v>
      </c>
    </row>
    <row r="28" spans="2:13">
      <c r="C28" s="5"/>
      <c r="D28" s="5"/>
      <c r="E28" s="5"/>
      <c r="F28" s="5"/>
      <c r="H28" s="5"/>
      <c r="K28" s="5"/>
      <c r="L28" s="5"/>
      <c r="M28" s="5"/>
    </row>
    <row r="29" spans="2:13">
      <c r="C29" s="5"/>
      <c r="D29" s="5"/>
      <c r="E29" s="5"/>
      <c r="F29" s="5"/>
      <c r="H29" s="5"/>
      <c r="K29" s="5"/>
      <c r="L29" s="5"/>
      <c r="M29" s="5"/>
    </row>
    <row r="93" spans="3:13">
      <c r="C93" s="5"/>
      <c r="D93" s="5"/>
      <c r="E93" s="5"/>
      <c r="F93" s="5"/>
      <c r="H93" s="5"/>
      <c r="K93" s="5"/>
      <c r="L93" s="5"/>
      <c r="M93" s="5"/>
    </row>
    <row r="94" spans="3:13">
      <c r="C94" s="5"/>
      <c r="D94" s="5"/>
      <c r="E94" s="5"/>
      <c r="F94" s="5"/>
      <c r="H94" s="5"/>
      <c r="K94" s="5"/>
      <c r="L94" s="5"/>
      <c r="M94" s="5"/>
    </row>
    <row r="95" spans="3:13">
      <c r="C95" s="5"/>
      <c r="D95" s="5"/>
      <c r="E95" s="5"/>
      <c r="F95" s="5"/>
      <c r="H95" s="5"/>
      <c r="K95" s="5"/>
      <c r="L95" s="5"/>
      <c r="M95" s="5"/>
    </row>
    <row r="96" spans="3:13">
      <c r="C96" s="5"/>
      <c r="D96" s="5"/>
      <c r="E96" s="5"/>
      <c r="F96" s="5"/>
      <c r="H96" s="5"/>
      <c r="K96" s="5"/>
      <c r="L96" s="5"/>
      <c r="M96" s="5"/>
    </row>
    <row r="97" spans="3:13">
      <c r="C97" s="5"/>
      <c r="D97" s="5"/>
      <c r="E97" s="5"/>
      <c r="F97" s="5"/>
      <c r="H97" s="5"/>
      <c r="K97" s="5"/>
      <c r="L97" s="5"/>
      <c r="M97" s="5"/>
    </row>
    <row r="98" spans="3:13">
      <c r="C98" s="5"/>
      <c r="D98" s="5"/>
      <c r="E98" s="5"/>
      <c r="F98" s="5"/>
      <c r="H98" s="5"/>
      <c r="K98" s="5"/>
      <c r="L98" s="5"/>
      <c r="M98" s="5"/>
    </row>
    <row r="99" spans="3:13">
      <c r="C99" s="5"/>
      <c r="D99" s="5"/>
      <c r="E99" s="5"/>
      <c r="F99" s="5"/>
      <c r="H99" s="5"/>
      <c r="K99" s="5"/>
      <c r="L99" s="5"/>
      <c r="M99" s="5"/>
    </row>
    <row r="100" spans="3:13">
      <c r="C100" s="5"/>
      <c r="D100" s="5"/>
      <c r="E100" s="5"/>
      <c r="F100" s="5"/>
      <c r="H100" s="5"/>
      <c r="K100" s="5"/>
      <c r="L100" s="5"/>
      <c r="M100" s="5"/>
    </row>
    <row r="101" spans="3:13">
      <c r="C101" s="5"/>
      <c r="D101" s="5"/>
      <c r="E101" s="5"/>
      <c r="F101" s="5"/>
      <c r="H101" s="5"/>
      <c r="K101" s="5"/>
      <c r="L101" s="5"/>
      <c r="M101" s="5"/>
    </row>
    <row r="102" spans="3:13">
      <c r="C102" s="5"/>
      <c r="D102" s="5"/>
      <c r="E102" s="5"/>
      <c r="F102" s="5"/>
      <c r="H102" s="5"/>
      <c r="K102" s="5"/>
      <c r="L102" s="5"/>
      <c r="M102" s="5"/>
    </row>
    <row r="103" spans="3:13">
      <c r="C103" s="5"/>
      <c r="D103" s="5"/>
      <c r="E103" s="5"/>
      <c r="F103" s="5"/>
      <c r="H103" s="5"/>
      <c r="K103" s="5"/>
      <c r="L103" s="5"/>
      <c r="M103" s="5"/>
    </row>
    <row r="104" spans="3:13">
      <c r="C104" s="5"/>
      <c r="D104" s="5"/>
      <c r="E104" s="5"/>
      <c r="F104" s="5"/>
      <c r="H104" s="5"/>
      <c r="K104" s="5"/>
      <c r="L104" s="5"/>
      <c r="M104" s="5"/>
    </row>
    <row r="105" spans="3:13">
      <c r="C105" s="5"/>
      <c r="D105" s="5"/>
      <c r="E105" s="5"/>
      <c r="F105" s="5"/>
      <c r="H105" s="5"/>
      <c r="K105" s="5"/>
      <c r="L105" s="5"/>
      <c r="M105" s="5"/>
    </row>
    <row r="106" spans="3:13">
      <c r="C106" s="5"/>
      <c r="D106" s="5"/>
      <c r="E106" s="5"/>
      <c r="F106" s="5"/>
      <c r="H106" s="5"/>
      <c r="K106" s="5"/>
      <c r="L106" s="5"/>
      <c r="M106" s="5"/>
    </row>
    <row r="107" spans="3:13">
      <c r="C107" s="5"/>
      <c r="D107" s="5"/>
      <c r="E107" s="5"/>
      <c r="F107" s="5"/>
      <c r="H107" s="5"/>
      <c r="K107" s="5"/>
      <c r="L107" s="5"/>
      <c r="M107" s="5"/>
    </row>
    <row r="108" spans="3:13">
      <c r="C108" s="5"/>
      <c r="D108" s="5"/>
      <c r="E108" s="5"/>
      <c r="F108" s="5"/>
      <c r="H108" s="5"/>
      <c r="K108" s="5"/>
      <c r="L108" s="5"/>
      <c r="M108" s="5"/>
    </row>
    <row r="109" spans="3:13">
      <c r="C109" s="5"/>
      <c r="D109" s="5"/>
      <c r="E109" s="5"/>
      <c r="F109" s="5"/>
      <c r="H109" s="5"/>
      <c r="K109" s="5"/>
      <c r="L109" s="5"/>
      <c r="M109" s="5"/>
    </row>
    <row r="110" spans="3:13">
      <c r="C110" s="5"/>
      <c r="D110" s="5"/>
      <c r="E110" s="5"/>
      <c r="F110" s="5"/>
      <c r="H110" s="5"/>
      <c r="K110" s="5"/>
      <c r="L110" s="5"/>
      <c r="M110" s="5"/>
    </row>
    <row r="111" spans="3:13">
      <c r="C111" s="5"/>
      <c r="D111" s="5"/>
      <c r="E111" s="5"/>
      <c r="F111" s="5"/>
      <c r="H111" s="5"/>
      <c r="K111" s="5"/>
      <c r="L111" s="5"/>
      <c r="M111" s="5"/>
    </row>
    <row r="112" spans="3:13">
      <c r="C112" s="5"/>
      <c r="D112" s="5"/>
      <c r="E112" s="5"/>
      <c r="F112" s="5"/>
      <c r="H112" s="5"/>
      <c r="K112" s="5"/>
      <c r="L112" s="5"/>
      <c r="M112" s="5"/>
    </row>
    <row r="113" spans="3:13">
      <c r="C113" s="5"/>
      <c r="D113" s="5"/>
      <c r="E113" s="5"/>
      <c r="F113" s="5"/>
      <c r="H113" s="5"/>
      <c r="K113" s="5"/>
      <c r="L113" s="5"/>
      <c r="M113" s="5"/>
    </row>
    <row r="114" spans="3:13">
      <c r="C114" s="5"/>
      <c r="D114" s="5"/>
      <c r="E114" s="5"/>
      <c r="F114" s="5"/>
      <c r="H114" s="5"/>
      <c r="K114" s="5"/>
      <c r="L114" s="5"/>
      <c r="M114" s="5"/>
    </row>
    <row r="115" spans="3:13">
      <c r="C115" s="5"/>
      <c r="D115" s="5"/>
      <c r="E115" s="5"/>
      <c r="F115" s="5"/>
      <c r="H115" s="5"/>
      <c r="K115" s="5"/>
      <c r="L115" s="5"/>
      <c r="M115" s="5"/>
    </row>
    <row r="116" spans="3:13">
      <c r="C116" s="5"/>
      <c r="D116" s="5"/>
      <c r="E116" s="5"/>
      <c r="F116" s="5"/>
      <c r="H116" s="5"/>
      <c r="K116" s="5"/>
      <c r="L116" s="5"/>
      <c r="M116" s="5"/>
    </row>
    <row r="117" spans="3:13">
      <c r="C117" s="5"/>
      <c r="D117" s="5"/>
      <c r="E117" s="5"/>
      <c r="F117" s="5"/>
      <c r="H117" s="5"/>
      <c r="K117" s="5"/>
      <c r="L117" s="5"/>
      <c r="M117" s="5"/>
    </row>
    <row r="118" spans="3:13">
      <c r="C118" s="5"/>
      <c r="D118" s="5"/>
      <c r="E118" s="5"/>
      <c r="F118" s="5"/>
      <c r="H118" s="5"/>
      <c r="K118" s="5"/>
      <c r="L118" s="5"/>
      <c r="M118" s="5"/>
    </row>
    <row r="119" spans="3:13">
      <c r="C119" s="5"/>
      <c r="D119" s="5"/>
      <c r="E119" s="5"/>
      <c r="F119" s="5"/>
      <c r="H119" s="5"/>
      <c r="K119" s="5"/>
      <c r="L119" s="5"/>
      <c r="M119" s="5"/>
    </row>
    <row r="120" spans="3:13">
      <c r="C120" s="5"/>
      <c r="D120" s="5"/>
      <c r="E120" s="5"/>
      <c r="F120" s="5"/>
      <c r="H120" s="5"/>
      <c r="K120" s="5"/>
      <c r="L120" s="5"/>
      <c r="M120" s="5"/>
    </row>
    <row r="121" spans="3:13">
      <c r="C121" s="5"/>
      <c r="D121" s="5"/>
      <c r="E121" s="5"/>
      <c r="F121" s="5"/>
      <c r="H121" s="5"/>
      <c r="K121" s="5"/>
      <c r="L121" s="5"/>
      <c r="M121" s="5"/>
    </row>
    <row r="122" spans="3:13">
      <c r="C122" s="5"/>
      <c r="D122" s="5"/>
      <c r="E122" s="5"/>
      <c r="F122" s="5"/>
      <c r="H122" s="5"/>
      <c r="K122" s="5"/>
      <c r="L122" s="5"/>
      <c r="M122" s="5"/>
    </row>
    <row r="123" spans="3:13">
      <c r="C123" s="5"/>
      <c r="D123" s="5"/>
      <c r="E123" s="5"/>
      <c r="F123" s="5"/>
      <c r="H123" s="5"/>
      <c r="K123" s="5"/>
      <c r="L123" s="5"/>
      <c r="M123" s="5"/>
    </row>
    <row r="124" spans="3:13">
      <c r="C124" s="5"/>
      <c r="D124" s="5"/>
      <c r="E124" s="5"/>
      <c r="F124" s="5"/>
      <c r="H124" s="5"/>
      <c r="K124" s="5"/>
      <c r="L124" s="5"/>
      <c r="M124" s="5"/>
    </row>
    <row r="125" spans="3:13">
      <c r="C125" s="5"/>
      <c r="D125" s="5"/>
      <c r="E125" s="5"/>
      <c r="F125" s="5"/>
      <c r="H125" s="5"/>
      <c r="K125" s="5"/>
      <c r="L125" s="5"/>
      <c r="M125" s="5"/>
    </row>
    <row r="126" spans="3:13">
      <c r="C126" s="5"/>
      <c r="D126" s="5"/>
      <c r="E126" s="5"/>
      <c r="F126" s="5"/>
      <c r="H126" s="5"/>
      <c r="K126" s="5"/>
      <c r="L126" s="5"/>
      <c r="M126" s="5"/>
    </row>
    <row r="127" spans="3:13">
      <c r="C127" s="5"/>
      <c r="D127" s="5"/>
      <c r="E127" s="5"/>
      <c r="F127" s="5"/>
      <c r="H127" s="5"/>
      <c r="K127" s="5"/>
      <c r="L127" s="5"/>
      <c r="M127" s="5"/>
    </row>
    <row r="128" spans="3:13">
      <c r="C128" s="5"/>
      <c r="D128" s="5"/>
      <c r="E128" s="5"/>
      <c r="F128" s="5"/>
      <c r="H128" s="5"/>
      <c r="K128" s="5"/>
      <c r="L128" s="5"/>
      <c r="M128" s="5"/>
    </row>
    <row r="129" spans="3:13">
      <c r="C129" s="5"/>
      <c r="D129" s="5"/>
      <c r="E129" s="5"/>
      <c r="F129" s="5"/>
      <c r="H129" s="5"/>
      <c r="K129" s="5"/>
      <c r="L129" s="5"/>
      <c r="M129" s="5"/>
    </row>
    <row r="130" spans="3:13">
      <c r="C130" s="5"/>
      <c r="D130" s="5"/>
      <c r="E130" s="5"/>
      <c r="F130" s="5"/>
      <c r="H130" s="5"/>
      <c r="K130" s="5"/>
      <c r="L130" s="5"/>
      <c r="M130" s="5"/>
    </row>
    <row r="131" spans="3:13">
      <c r="C131" s="5"/>
      <c r="D131" s="5"/>
      <c r="E131" s="5"/>
      <c r="F131" s="5"/>
      <c r="H131" s="5"/>
      <c r="K131" s="5"/>
      <c r="L131" s="5"/>
      <c r="M131" s="5"/>
    </row>
    <row r="132" spans="3:13">
      <c r="C132" s="5"/>
      <c r="D132" s="5"/>
      <c r="E132" s="5"/>
      <c r="F132" s="5"/>
      <c r="H132" s="5"/>
      <c r="K132" s="5"/>
      <c r="L132" s="5"/>
      <c r="M132" s="5"/>
    </row>
    <row r="133" spans="3:13">
      <c r="C133" s="5"/>
      <c r="D133" s="5"/>
      <c r="E133" s="5"/>
      <c r="F133" s="5"/>
      <c r="H133" s="5"/>
      <c r="K133" s="5"/>
      <c r="L133" s="5"/>
      <c r="M133" s="5"/>
    </row>
    <row r="134" spans="3:13">
      <c r="C134" s="5"/>
      <c r="D134" s="5"/>
      <c r="E134" s="5"/>
      <c r="F134" s="5"/>
      <c r="H134" s="5"/>
      <c r="K134" s="5"/>
      <c r="L134" s="5"/>
      <c r="M134" s="5"/>
    </row>
    <row r="135" spans="3:13">
      <c r="C135" s="5"/>
      <c r="D135" s="5"/>
      <c r="E135" s="5"/>
      <c r="F135" s="5"/>
      <c r="H135" s="5"/>
      <c r="K135" s="5"/>
      <c r="L135" s="5"/>
      <c r="M135" s="5"/>
    </row>
    <row r="136" spans="3:13">
      <c r="C136" s="5"/>
      <c r="D136" s="5"/>
      <c r="E136" s="5"/>
      <c r="F136" s="5"/>
      <c r="H136" s="5"/>
      <c r="K136" s="5"/>
      <c r="L136" s="5"/>
      <c r="M136" s="5"/>
    </row>
    <row r="137" spans="3:13">
      <c r="C137" s="5"/>
      <c r="D137" s="5"/>
      <c r="E137" s="5"/>
      <c r="F137" s="5"/>
      <c r="H137" s="5"/>
      <c r="K137" s="5"/>
      <c r="L137" s="5"/>
      <c r="M137" s="5"/>
    </row>
    <row r="138" spans="3:13">
      <c r="C138" s="5"/>
      <c r="D138" s="5"/>
      <c r="E138" s="5"/>
      <c r="F138" s="5"/>
      <c r="H138" s="5"/>
      <c r="K138" s="5"/>
      <c r="L138" s="5"/>
      <c r="M138" s="5"/>
    </row>
    <row r="139" spans="3:13">
      <c r="C139" s="5"/>
      <c r="D139" s="5"/>
      <c r="E139" s="5"/>
      <c r="F139" s="5"/>
      <c r="H139" s="5"/>
      <c r="K139" s="5"/>
      <c r="L139" s="5"/>
      <c r="M139" s="5"/>
    </row>
    <row r="140" spans="3:13">
      <c r="C140" s="5"/>
      <c r="D140" s="5"/>
      <c r="E140" s="5"/>
      <c r="F140" s="5"/>
      <c r="H140" s="5"/>
      <c r="K140" s="5"/>
      <c r="L140" s="5"/>
      <c r="M140" s="5"/>
    </row>
    <row r="141" spans="3:13">
      <c r="C141" s="5"/>
      <c r="D141" s="5"/>
      <c r="E141" s="5"/>
      <c r="F141" s="5"/>
      <c r="H141" s="5"/>
      <c r="K141" s="5"/>
      <c r="L141" s="5"/>
      <c r="M141" s="5"/>
    </row>
    <row r="142" spans="3:13">
      <c r="C142" s="5"/>
      <c r="D142" s="5"/>
      <c r="E142" s="5"/>
      <c r="F142" s="5"/>
      <c r="H142" s="5"/>
      <c r="K142" s="5"/>
      <c r="L142" s="5"/>
      <c r="M142" s="5"/>
    </row>
    <row r="143" spans="3:13">
      <c r="C143" s="5"/>
      <c r="D143" s="5"/>
      <c r="E143" s="5"/>
      <c r="F143" s="5"/>
      <c r="H143" s="5"/>
      <c r="K143" s="5"/>
      <c r="L143" s="5"/>
      <c r="M143" s="5"/>
    </row>
    <row r="144" spans="3:13">
      <c r="C144" s="5"/>
      <c r="D144" s="5"/>
      <c r="E144" s="5"/>
      <c r="F144" s="5"/>
      <c r="H144" s="5"/>
      <c r="K144" s="5"/>
      <c r="L144" s="5"/>
      <c r="M144" s="5"/>
    </row>
    <row r="145" spans="3:13">
      <c r="C145" s="5"/>
      <c r="D145" s="5"/>
      <c r="E145" s="5"/>
      <c r="F145" s="5"/>
      <c r="H145" s="5"/>
      <c r="K145" s="5"/>
      <c r="L145" s="5"/>
      <c r="M145" s="5"/>
    </row>
    <row r="146" spans="3:13">
      <c r="C146" s="5"/>
      <c r="D146" s="5"/>
      <c r="E146" s="5"/>
      <c r="F146" s="5"/>
      <c r="H146" s="5"/>
      <c r="K146" s="5"/>
      <c r="L146" s="5"/>
      <c r="M146" s="5"/>
    </row>
    <row r="147" spans="3:13">
      <c r="C147" s="5"/>
      <c r="D147" s="5"/>
      <c r="E147" s="5"/>
      <c r="F147" s="5"/>
      <c r="H147" s="5"/>
      <c r="K147" s="5"/>
      <c r="L147" s="5"/>
      <c r="M147" s="5"/>
    </row>
    <row r="148" spans="3:13">
      <c r="C148" s="5"/>
      <c r="D148" s="5"/>
      <c r="E148" s="5"/>
      <c r="F148" s="5"/>
      <c r="H148" s="5"/>
      <c r="K148" s="5"/>
      <c r="L148" s="5"/>
      <c r="M148" s="5"/>
    </row>
    <row r="149" spans="3:13">
      <c r="C149" s="5"/>
      <c r="D149" s="5"/>
      <c r="E149" s="5"/>
      <c r="F149" s="5"/>
      <c r="H149" s="5"/>
      <c r="K149" s="5"/>
      <c r="L149" s="5"/>
      <c r="M149" s="5"/>
    </row>
    <row r="150" spans="3:13">
      <c r="C150" s="5"/>
      <c r="D150" s="5"/>
      <c r="E150" s="5"/>
      <c r="F150" s="5"/>
      <c r="H150" s="5"/>
      <c r="K150" s="5"/>
      <c r="L150" s="5"/>
      <c r="M150" s="5"/>
    </row>
    <row r="151" spans="3:13">
      <c r="C151" s="5"/>
      <c r="D151" s="5"/>
      <c r="E151" s="5"/>
      <c r="F151" s="5"/>
      <c r="H151" s="5"/>
      <c r="K151" s="5"/>
      <c r="L151" s="5"/>
      <c r="M151" s="5"/>
    </row>
    <row r="152" spans="3:13">
      <c r="C152" s="5"/>
      <c r="D152" s="5"/>
      <c r="E152" s="5"/>
      <c r="F152" s="5"/>
      <c r="H152" s="5"/>
      <c r="K152" s="5"/>
      <c r="L152" s="5"/>
      <c r="M152" s="5"/>
    </row>
    <row r="153" spans="3:13">
      <c r="C153" s="5"/>
      <c r="D153" s="5"/>
      <c r="E153" s="5"/>
      <c r="F153" s="5"/>
      <c r="H153" s="5"/>
      <c r="K153" s="5"/>
      <c r="L153" s="5"/>
      <c r="M153" s="5"/>
    </row>
    <row r="154" spans="3:13">
      <c r="C154" s="5"/>
      <c r="D154" s="5"/>
      <c r="E154" s="5"/>
      <c r="F154" s="5"/>
      <c r="H154" s="5"/>
      <c r="K154" s="5"/>
      <c r="L154" s="5"/>
      <c r="M154" s="5"/>
    </row>
    <row r="155" spans="3:13">
      <c r="C155" s="5"/>
      <c r="D155" s="5"/>
      <c r="E155" s="5"/>
      <c r="F155" s="5"/>
      <c r="H155" s="5"/>
      <c r="K155" s="5"/>
      <c r="L155" s="5"/>
      <c r="M155" s="5"/>
    </row>
    <row r="156" spans="3:13">
      <c r="C156" s="5"/>
      <c r="D156" s="5"/>
      <c r="E156" s="5"/>
      <c r="F156" s="5"/>
      <c r="H156" s="5"/>
      <c r="K156" s="5"/>
      <c r="L156" s="5"/>
      <c r="M156" s="5"/>
    </row>
    <row r="157" spans="3:13">
      <c r="C157" s="5"/>
      <c r="D157" s="5"/>
      <c r="E157" s="5"/>
      <c r="F157" s="5"/>
      <c r="H157" s="5"/>
      <c r="K157" s="5"/>
      <c r="L157" s="5"/>
      <c r="M157" s="5"/>
    </row>
    <row r="158" spans="3:13">
      <c r="C158" s="5"/>
      <c r="D158" s="5"/>
      <c r="E158" s="5"/>
      <c r="F158" s="5"/>
      <c r="H158" s="5"/>
      <c r="K158" s="5"/>
      <c r="L158" s="5"/>
      <c r="M158" s="5"/>
    </row>
    <row r="159" spans="3:13">
      <c r="C159" s="5"/>
      <c r="D159" s="5"/>
      <c r="E159" s="5"/>
      <c r="F159" s="5"/>
      <c r="H159" s="5"/>
      <c r="K159" s="5"/>
      <c r="L159" s="5"/>
      <c r="M159" s="5"/>
    </row>
    <row r="160" spans="3:13">
      <c r="C160" s="5"/>
      <c r="D160" s="5"/>
      <c r="E160" s="5"/>
      <c r="F160" s="5"/>
      <c r="H160" s="5"/>
      <c r="K160" s="5"/>
      <c r="L160" s="5"/>
      <c r="M160" s="5"/>
    </row>
    <row r="161" spans="3:13">
      <c r="C161" s="5"/>
      <c r="D161" s="5"/>
      <c r="E161" s="5"/>
      <c r="F161" s="5"/>
      <c r="H161" s="5"/>
      <c r="K161" s="5"/>
      <c r="L161" s="5"/>
      <c r="M161" s="5"/>
    </row>
    <row r="162" spans="3:13">
      <c r="C162" s="5"/>
      <c r="D162" s="5"/>
      <c r="E162" s="5"/>
      <c r="F162" s="5"/>
      <c r="H162" s="5"/>
      <c r="K162" s="5"/>
      <c r="L162" s="5"/>
      <c r="M162" s="5"/>
    </row>
    <row r="163" spans="3:13">
      <c r="C163" s="5"/>
      <c r="D163" s="5"/>
      <c r="E163" s="5"/>
      <c r="F163" s="5"/>
      <c r="H163" s="5"/>
      <c r="K163" s="5"/>
      <c r="L163" s="5"/>
      <c r="M163" s="5"/>
    </row>
    <row r="164" spans="3:13">
      <c r="C164" s="5"/>
      <c r="D164" s="5"/>
      <c r="E164" s="5"/>
      <c r="F164" s="5"/>
      <c r="H164" s="5"/>
      <c r="K164" s="5"/>
      <c r="L164" s="5"/>
      <c r="M164" s="5"/>
    </row>
    <row r="165" spans="3:13">
      <c r="C165" s="5"/>
      <c r="D165" s="5"/>
      <c r="E165" s="5"/>
      <c r="F165" s="5"/>
      <c r="H165" s="5"/>
      <c r="K165" s="5"/>
      <c r="L165" s="5"/>
      <c r="M165" s="5"/>
    </row>
    <row r="166" spans="3:13">
      <c r="C166" s="5"/>
      <c r="D166" s="5"/>
      <c r="E166" s="5"/>
      <c r="F166" s="5"/>
      <c r="H166" s="5"/>
      <c r="K166" s="5"/>
      <c r="L166" s="5"/>
      <c r="M166" s="5"/>
    </row>
    <row r="167" spans="3:13">
      <c r="C167" s="5"/>
      <c r="D167" s="5"/>
      <c r="E167" s="5"/>
      <c r="F167" s="5"/>
      <c r="H167" s="5"/>
      <c r="K167" s="5"/>
      <c r="L167" s="5"/>
      <c r="M167" s="5"/>
    </row>
    <row r="168" spans="3:13">
      <c r="C168" s="5"/>
      <c r="D168" s="5"/>
      <c r="E168" s="5"/>
      <c r="F168" s="5"/>
      <c r="H168" s="5"/>
      <c r="K168" s="5"/>
      <c r="L168" s="5"/>
      <c r="M168" s="5"/>
    </row>
    <row r="169" spans="3:13">
      <c r="C169" s="5"/>
      <c r="D169" s="5"/>
      <c r="E169" s="5"/>
      <c r="F169" s="5"/>
      <c r="H169" s="5"/>
      <c r="K169" s="5"/>
      <c r="L169" s="5"/>
      <c r="M169" s="5"/>
    </row>
    <row r="170" spans="3:13">
      <c r="C170" s="5"/>
      <c r="D170" s="5"/>
      <c r="E170" s="5"/>
      <c r="F170" s="5"/>
      <c r="H170" s="5"/>
      <c r="K170" s="5"/>
      <c r="L170" s="5"/>
      <c r="M170" s="5"/>
    </row>
    <row r="171" spans="3:13">
      <c r="C171" s="5"/>
      <c r="D171" s="5"/>
      <c r="E171" s="5"/>
      <c r="F171" s="5"/>
      <c r="H171" s="5"/>
      <c r="K171" s="5"/>
      <c r="L171" s="5"/>
      <c r="M171" s="5"/>
    </row>
    <row r="172" spans="3:13">
      <c r="C172" s="5"/>
      <c r="D172" s="5"/>
      <c r="E172" s="5"/>
      <c r="F172" s="5"/>
      <c r="H172" s="5"/>
      <c r="K172" s="5"/>
      <c r="L172" s="5"/>
      <c r="M172" s="5"/>
    </row>
    <row r="173" spans="3:13">
      <c r="C173" s="5"/>
      <c r="D173" s="5"/>
      <c r="E173" s="5"/>
      <c r="F173" s="5"/>
      <c r="H173" s="5"/>
      <c r="K173" s="5"/>
      <c r="L173" s="5"/>
      <c r="M173" s="5"/>
    </row>
    <row r="174" spans="3:13">
      <c r="C174" s="5"/>
      <c r="D174" s="5"/>
      <c r="E174" s="5"/>
      <c r="F174" s="5"/>
      <c r="H174" s="5"/>
      <c r="K174" s="5"/>
      <c r="L174" s="5"/>
      <c r="M174" s="5"/>
    </row>
    <row r="175" spans="3:13">
      <c r="C175" s="5"/>
      <c r="D175" s="5"/>
      <c r="E175" s="5"/>
      <c r="F175" s="5"/>
      <c r="H175" s="5"/>
      <c r="K175" s="5"/>
      <c r="L175" s="5"/>
      <c r="M175" s="5"/>
    </row>
    <row r="176" spans="3:13">
      <c r="C176" s="5"/>
      <c r="D176" s="5"/>
      <c r="E176" s="5"/>
      <c r="F176" s="5"/>
      <c r="H176" s="5"/>
      <c r="K176" s="5"/>
      <c r="L176" s="5"/>
      <c r="M176" s="5"/>
    </row>
    <row r="177" spans="3:13">
      <c r="C177" s="5"/>
      <c r="D177" s="5"/>
      <c r="E177" s="5"/>
      <c r="F177" s="5"/>
      <c r="H177" s="5"/>
      <c r="K177" s="5"/>
      <c r="L177" s="5"/>
      <c r="M177" s="5"/>
    </row>
    <row r="178" spans="3:13">
      <c r="C178" s="5"/>
      <c r="D178" s="5"/>
      <c r="E178" s="5"/>
      <c r="F178" s="5"/>
      <c r="H178" s="5"/>
      <c r="K178" s="5"/>
      <c r="L178" s="5"/>
      <c r="M178" s="5"/>
    </row>
    <row r="179" spans="3:13">
      <c r="C179" s="5"/>
      <c r="D179" s="5"/>
      <c r="E179" s="5"/>
      <c r="F179" s="5"/>
      <c r="H179" s="5"/>
      <c r="K179" s="5"/>
      <c r="L179" s="5"/>
      <c r="M179" s="5"/>
    </row>
    <row r="180" spans="3:13">
      <c r="C180" s="5"/>
      <c r="D180" s="5"/>
      <c r="E180" s="5"/>
      <c r="F180" s="5"/>
      <c r="H180" s="5"/>
      <c r="K180" s="5"/>
      <c r="L180" s="5"/>
      <c r="M180" s="5"/>
    </row>
    <row r="181" spans="3:13">
      <c r="C181" s="5"/>
      <c r="D181" s="5"/>
      <c r="E181" s="5"/>
      <c r="F181" s="5"/>
      <c r="H181" s="5"/>
      <c r="K181" s="5"/>
      <c r="L181" s="5"/>
      <c r="M181" s="5"/>
    </row>
    <row r="182" spans="3:13">
      <c r="C182" s="5"/>
      <c r="D182" s="5"/>
      <c r="E182" s="5"/>
      <c r="F182" s="5"/>
      <c r="H182" s="5"/>
      <c r="K182" s="5"/>
      <c r="L182" s="5"/>
      <c r="M182" s="5"/>
    </row>
    <row r="183" spans="3:13">
      <c r="C183" s="5"/>
      <c r="D183" s="5"/>
      <c r="E183" s="5"/>
      <c r="F183" s="5"/>
      <c r="H183" s="5"/>
      <c r="K183" s="5"/>
      <c r="L183" s="5"/>
      <c r="M183" s="5"/>
    </row>
    <row r="184" spans="3:13">
      <c r="C184" s="5"/>
      <c r="D184" s="5"/>
      <c r="E184" s="5"/>
      <c r="F184" s="5"/>
      <c r="H184" s="5"/>
      <c r="K184" s="5"/>
      <c r="L184" s="5"/>
      <c r="M184" s="5"/>
    </row>
    <row r="185" spans="3:13">
      <c r="C185" s="5"/>
      <c r="D185" s="5"/>
      <c r="E185" s="5"/>
      <c r="F185" s="5"/>
      <c r="H185" s="5"/>
      <c r="K185" s="5"/>
      <c r="L185" s="5"/>
      <c r="M185" s="5"/>
    </row>
    <row r="186" spans="3:13">
      <c r="C186" s="5"/>
      <c r="D186" s="5"/>
      <c r="E186" s="5"/>
      <c r="F186" s="5"/>
      <c r="H186" s="5"/>
      <c r="K186" s="5"/>
      <c r="L186" s="5"/>
      <c r="M186" s="5"/>
    </row>
    <row r="187" spans="3:13">
      <c r="C187" s="5"/>
      <c r="D187" s="5"/>
      <c r="E187" s="5"/>
      <c r="F187" s="5"/>
      <c r="H187" s="5"/>
      <c r="K187" s="5"/>
      <c r="L187" s="5"/>
      <c r="M187" s="5"/>
    </row>
    <row r="188" spans="3:13">
      <c r="C188" s="5"/>
      <c r="D188" s="5"/>
      <c r="E188" s="5"/>
      <c r="F188" s="5"/>
      <c r="H188" s="5"/>
      <c r="K188" s="5"/>
      <c r="L188" s="5"/>
      <c r="M188" s="5"/>
    </row>
    <row r="189" spans="3:13">
      <c r="C189" s="5"/>
      <c r="D189" s="5"/>
      <c r="E189" s="5"/>
      <c r="F189" s="5"/>
      <c r="H189" s="5"/>
      <c r="K189" s="5"/>
      <c r="L189" s="5"/>
      <c r="M189" s="5"/>
    </row>
    <row r="190" spans="3:13">
      <c r="C190" s="5"/>
      <c r="D190" s="5"/>
      <c r="E190" s="5"/>
      <c r="F190" s="5"/>
      <c r="H190" s="5"/>
      <c r="K190" s="5"/>
      <c r="L190" s="5"/>
      <c r="M190" s="5"/>
    </row>
    <row r="191" spans="3:13">
      <c r="C191" s="5"/>
      <c r="D191" s="5"/>
      <c r="E191" s="5"/>
      <c r="F191" s="5"/>
      <c r="H191" s="5"/>
      <c r="K191" s="5"/>
      <c r="L191" s="5"/>
      <c r="M191" s="5"/>
    </row>
    <row r="192" spans="3:13">
      <c r="C192" s="5"/>
      <c r="D192" s="5"/>
      <c r="E192" s="5"/>
      <c r="F192" s="5"/>
      <c r="H192" s="5"/>
      <c r="K192" s="5"/>
      <c r="L192" s="5"/>
      <c r="M192" s="5"/>
    </row>
    <row r="193" spans="3:13">
      <c r="C193" s="5"/>
      <c r="D193" s="5"/>
      <c r="E193" s="5"/>
      <c r="F193" s="5"/>
      <c r="H193" s="5"/>
      <c r="K193" s="5"/>
      <c r="L193" s="5"/>
      <c r="M193" s="5"/>
    </row>
    <row r="194" spans="3:13">
      <c r="C194" s="5"/>
      <c r="D194" s="5"/>
      <c r="E194" s="5"/>
      <c r="F194" s="5"/>
      <c r="H194" s="5"/>
      <c r="K194" s="5"/>
      <c r="L194" s="5"/>
      <c r="M194" s="5"/>
    </row>
    <row r="195" spans="3:13">
      <c r="C195" s="5"/>
      <c r="D195" s="5"/>
      <c r="E195" s="5"/>
      <c r="F195" s="5"/>
      <c r="H195" s="5"/>
      <c r="K195" s="5"/>
      <c r="L195" s="5"/>
      <c r="M195" s="5"/>
    </row>
    <row r="196" spans="3:13">
      <c r="C196" s="5"/>
      <c r="D196" s="5"/>
      <c r="E196" s="5"/>
      <c r="F196" s="5"/>
      <c r="H196" s="5"/>
      <c r="K196" s="5"/>
      <c r="L196" s="5"/>
      <c r="M196" s="5"/>
    </row>
    <row r="197" spans="3:13">
      <c r="C197" s="5"/>
      <c r="D197" s="5"/>
      <c r="E197" s="5"/>
      <c r="F197" s="5"/>
      <c r="H197" s="5"/>
      <c r="K197" s="5"/>
      <c r="L197" s="5"/>
      <c r="M197" s="5"/>
    </row>
    <row r="198" spans="3:13">
      <c r="C198" s="5"/>
      <c r="D198" s="5"/>
      <c r="E198" s="5"/>
      <c r="F198" s="5"/>
      <c r="H198" s="5"/>
      <c r="K198" s="5"/>
      <c r="L198" s="5"/>
      <c r="M198" s="5"/>
    </row>
    <row r="199" spans="3:13">
      <c r="C199" s="5"/>
      <c r="D199" s="5"/>
      <c r="E199" s="5"/>
      <c r="F199" s="5"/>
      <c r="H199" s="5"/>
      <c r="K199" s="5"/>
      <c r="L199" s="5"/>
      <c r="M199" s="5"/>
    </row>
    <row r="200" spans="3:13">
      <c r="C200" s="5"/>
      <c r="D200" s="5"/>
      <c r="E200" s="5"/>
      <c r="F200" s="5"/>
      <c r="H200" s="5"/>
      <c r="K200" s="5"/>
      <c r="L200" s="5"/>
      <c r="M200" s="5"/>
    </row>
    <row r="201" spans="3:13">
      <c r="C201" s="5"/>
      <c r="D201" s="5"/>
      <c r="E201" s="5"/>
      <c r="F201" s="5"/>
      <c r="H201" s="5"/>
      <c r="K201" s="5"/>
      <c r="L201" s="5"/>
      <c r="M201" s="5"/>
    </row>
    <row r="202" spans="3:13">
      <c r="C202" s="5"/>
      <c r="D202" s="5"/>
      <c r="E202" s="5"/>
      <c r="F202" s="5"/>
      <c r="H202" s="5"/>
      <c r="K202" s="5"/>
      <c r="L202" s="5"/>
      <c r="M202" s="5"/>
    </row>
    <row r="203" spans="3:13">
      <c r="C203" s="5"/>
      <c r="D203" s="5"/>
      <c r="E203" s="5"/>
      <c r="F203" s="5"/>
      <c r="H203" s="5"/>
      <c r="K203" s="5"/>
      <c r="L203" s="5"/>
      <c r="M203" s="5"/>
    </row>
    <row r="204" spans="3:13">
      <c r="C204" s="5"/>
      <c r="D204" s="5"/>
      <c r="E204" s="5"/>
      <c r="F204" s="5"/>
      <c r="H204" s="5"/>
      <c r="K204" s="5"/>
      <c r="L204" s="5"/>
      <c r="M204" s="5"/>
    </row>
    <row r="205" spans="3:13">
      <c r="C205" s="5"/>
      <c r="D205" s="5"/>
      <c r="E205" s="5"/>
      <c r="F205" s="5"/>
      <c r="H205" s="5"/>
      <c r="K205" s="5"/>
      <c r="L205" s="5"/>
      <c r="M205" s="5"/>
    </row>
    <row r="206" spans="3:13">
      <c r="C206" s="5"/>
      <c r="D206" s="5"/>
      <c r="E206" s="5"/>
      <c r="F206" s="5"/>
      <c r="H206" s="5"/>
      <c r="K206" s="5"/>
      <c r="L206" s="5"/>
      <c r="M206" s="5"/>
    </row>
    <row r="207" spans="3:13">
      <c r="C207" s="5"/>
      <c r="D207" s="5"/>
      <c r="E207" s="5"/>
      <c r="F207" s="5"/>
      <c r="H207" s="5"/>
      <c r="K207" s="5"/>
      <c r="L207" s="5"/>
      <c r="M207" s="5"/>
    </row>
    <row r="208" spans="3:13">
      <c r="C208" s="5"/>
      <c r="D208" s="5"/>
      <c r="E208" s="5"/>
      <c r="F208" s="5"/>
      <c r="H208" s="5"/>
      <c r="K208" s="5"/>
      <c r="L208" s="5"/>
      <c r="M208" s="5"/>
    </row>
    <row r="209" spans="3:13">
      <c r="C209" s="5"/>
      <c r="D209" s="5"/>
      <c r="E209" s="5"/>
      <c r="F209" s="5"/>
      <c r="H209" s="5"/>
      <c r="K209" s="5"/>
      <c r="L209" s="5"/>
      <c r="M209" s="5"/>
    </row>
    <row r="210" spans="3:13">
      <c r="C210" s="5"/>
      <c r="D210" s="5"/>
      <c r="E210" s="5"/>
      <c r="F210" s="5"/>
      <c r="H210" s="5"/>
      <c r="K210" s="5"/>
      <c r="L210" s="5"/>
      <c r="M210" s="5"/>
    </row>
    <row r="211" spans="3:13">
      <c r="C211" s="5"/>
      <c r="D211" s="5"/>
      <c r="E211" s="5"/>
      <c r="F211" s="5"/>
      <c r="H211" s="5"/>
      <c r="K211" s="5"/>
      <c r="L211" s="5"/>
      <c r="M211" s="5"/>
    </row>
    <row r="212" spans="3:13">
      <c r="C212" s="5"/>
      <c r="D212" s="5"/>
      <c r="E212" s="5"/>
      <c r="F212" s="5"/>
      <c r="H212" s="5"/>
      <c r="K212" s="5"/>
      <c r="L212" s="5"/>
      <c r="M212" s="5"/>
    </row>
    <row r="213" spans="3:13">
      <c r="C213" s="5"/>
      <c r="D213" s="5"/>
      <c r="E213" s="5"/>
      <c r="F213" s="5"/>
      <c r="H213" s="5"/>
      <c r="K213" s="5"/>
      <c r="L213" s="5"/>
      <c r="M213" s="5"/>
    </row>
    <row r="214" spans="3:13">
      <c r="C214" s="5"/>
      <c r="D214" s="5"/>
      <c r="E214" s="5"/>
      <c r="F214" s="5"/>
      <c r="H214" s="5"/>
      <c r="K214" s="5"/>
      <c r="L214" s="5"/>
      <c r="M214" s="5"/>
    </row>
    <row r="215" spans="3:13">
      <c r="C215" s="5"/>
      <c r="D215" s="5"/>
      <c r="E215" s="5"/>
      <c r="F215" s="5"/>
      <c r="H215" s="5"/>
      <c r="K215" s="5"/>
      <c r="L215" s="5"/>
      <c r="M215" s="5"/>
    </row>
    <row r="216" spans="3:13">
      <c r="C216" s="5"/>
      <c r="D216" s="5"/>
      <c r="E216" s="5"/>
      <c r="F216" s="5"/>
      <c r="H216" s="5"/>
      <c r="K216" s="5"/>
      <c r="L216" s="5"/>
      <c r="M216" s="5"/>
    </row>
    <row r="217" spans="3:13">
      <c r="C217" s="5"/>
      <c r="D217" s="5"/>
      <c r="E217" s="5"/>
      <c r="F217" s="5"/>
      <c r="H217" s="5"/>
      <c r="K217" s="5"/>
      <c r="L217" s="5"/>
      <c r="M217" s="5"/>
    </row>
    <row r="218" spans="3:13">
      <c r="C218" s="5"/>
      <c r="D218" s="5"/>
      <c r="E218" s="5"/>
      <c r="F218" s="5"/>
      <c r="H218" s="5"/>
      <c r="K218" s="5"/>
      <c r="L218" s="5"/>
      <c r="M218" s="5"/>
    </row>
    <row r="219" spans="3:13">
      <c r="C219" s="5"/>
      <c r="D219" s="5"/>
      <c r="E219" s="5"/>
      <c r="F219" s="5"/>
      <c r="H219" s="5"/>
      <c r="K219" s="5"/>
      <c r="L219" s="5"/>
      <c r="M219" s="5"/>
    </row>
    <row r="220" spans="3:13">
      <c r="C220" s="5"/>
      <c r="D220" s="5"/>
      <c r="E220" s="5"/>
      <c r="F220" s="5"/>
      <c r="H220" s="5"/>
      <c r="K220" s="5"/>
      <c r="L220" s="5"/>
      <c r="M220" s="5"/>
    </row>
    <row r="221" spans="3:13">
      <c r="C221" s="5"/>
      <c r="D221" s="5"/>
      <c r="E221" s="5"/>
      <c r="F221" s="5"/>
      <c r="H221" s="5"/>
      <c r="K221" s="5"/>
      <c r="L221" s="5"/>
      <c r="M221" s="5"/>
    </row>
    <row r="222" spans="3:13">
      <c r="C222" s="5"/>
      <c r="D222" s="5"/>
      <c r="E222" s="5"/>
      <c r="F222" s="5"/>
      <c r="H222" s="5"/>
      <c r="K222" s="5"/>
      <c r="L222" s="5"/>
      <c r="M222" s="5"/>
    </row>
    <row r="223" spans="3:13">
      <c r="C223" s="5"/>
      <c r="D223" s="5"/>
      <c r="E223" s="5"/>
      <c r="F223" s="5"/>
      <c r="H223" s="5"/>
      <c r="K223" s="5"/>
      <c r="L223" s="5"/>
      <c r="M223" s="5"/>
    </row>
    <row r="224" spans="3:13">
      <c r="C224" s="5"/>
      <c r="D224" s="5"/>
      <c r="E224" s="5"/>
      <c r="F224" s="5"/>
      <c r="H224" s="5"/>
      <c r="K224" s="5"/>
      <c r="L224" s="5"/>
      <c r="M224" s="5"/>
    </row>
    <row r="225" spans="3:13">
      <c r="C225" s="5"/>
      <c r="D225" s="5"/>
      <c r="E225" s="5"/>
      <c r="F225" s="5"/>
      <c r="H225" s="5"/>
      <c r="K225" s="5"/>
      <c r="L225" s="5"/>
      <c r="M225" s="5"/>
    </row>
    <row r="226" spans="3:13">
      <c r="C226" s="5"/>
      <c r="D226" s="5"/>
      <c r="E226" s="5"/>
      <c r="F226" s="5"/>
      <c r="H226" s="5"/>
      <c r="K226" s="5"/>
      <c r="L226" s="5"/>
      <c r="M226" s="5"/>
    </row>
    <row r="227" spans="3:13">
      <c r="C227" s="5"/>
      <c r="D227" s="5"/>
      <c r="E227" s="5"/>
      <c r="F227" s="5"/>
      <c r="H227" s="5"/>
      <c r="K227" s="5"/>
      <c r="L227" s="5"/>
      <c r="M227" s="5"/>
    </row>
    <row r="228" spans="3:13">
      <c r="C228" s="5"/>
      <c r="D228" s="5"/>
      <c r="E228" s="5"/>
      <c r="F228" s="5"/>
      <c r="H228" s="5"/>
      <c r="K228" s="5"/>
      <c r="L228" s="5"/>
      <c r="M228" s="5"/>
    </row>
    <row r="229" spans="3:13">
      <c r="C229" s="5"/>
      <c r="D229" s="5"/>
      <c r="E229" s="5"/>
      <c r="F229" s="5"/>
      <c r="H229" s="5"/>
      <c r="K229" s="5"/>
      <c r="L229" s="5"/>
      <c r="M229" s="5"/>
    </row>
    <row r="230" spans="3:13">
      <c r="C230" s="5"/>
      <c r="D230" s="5"/>
      <c r="E230" s="5"/>
      <c r="F230" s="5"/>
      <c r="H230" s="5"/>
      <c r="K230" s="5"/>
      <c r="L230" s="5"/>
      <c r="M230" s="5"/>
    </row>
    <row r="231" spans="3:13">
      <c r="C231" s="5"/>
      <c r="D231" s="5"/>
      <c r="E231" s="5"/>
      <c r="F231" s="5"/>
      <c r="H231" s="5"/>
      <c r="K231" s="5"/>
      <c r="L231" s="5"/>
      <c r="M231" s="5"/>
    </row>
    <row r="232" spans="3:13">
      <c r="C232" s="5"/>
      <c r="D232" s="5"/>
      <c r="E232" s="5"/>
      <c r="F232" s="5"/>
      <c r="H232" s="5"/>
      <c r="K232" s="5"/>
      <c r="L232" s="5"/>
      <c r="M232" s="5"/>
    </row>
    <row r="233" spans="3:13">
      <c r="C233" s="5"/>
      <c r="D233" s="5"/>
      <c r="E233" s="5"/>
      <c r="F233" s="5"/>
      <c r="H233" s="5"/>
      <c r="K233" s="5"/>
      <c r="L233" s="5"/>
      <c r="M233" s="5"/>
    </row>
    <row r="234" spans="3:13">
      <c r="C234" s="5"/>
      <c r="D234" s="5"/>
      <c r="E234" s="5"/>
      <c r="F234" s="5"/>
      <c r="H234" s="5"/>
      <c r="K234" s="5"/>
      <c r="L234" s="5"/>
      <c r="M234" s="5"/>
    </row>
    <row r="235" spans="3:13">
      <c r="C235" s="5"/>
      <c r="D235" s="5"/>
      <c r="E235" s="5"/>
      <c r="F235" s="5"/>
      <c r="H235" s="5"/>
      <c r="K235" s="5"/>
      <c r="L235" s="5"/>
      <c r="M235" s="5"/>
    </row>
    <row r="236" spans="3:13">
      <c r="C236" s="5"/>
      <c r="D236" s="5"/>
      <c r="E236" s="5"/>
      <c r="F236" s="5"/>
      <c r="H236" s="5"/>
      <c r="K236" s="5"/>
      <c r="L236" s="5"/>
      <c r="M236" s="5"/>
    </row>
    <row r="237" spans="3:13">
      <c r="C237" s="5"/>
      <c r="D237" s="5"/>
      <c r="E237" s="5"/>
      <c r="F237" s="5"/>
      <c r="H237" s="5"/>
      <c r="K237" s="5"/>
      <c r="L237" s="5"/>
      <c r="M237" s="5"/>
    </row>
    <row r="238" spans="3:13">
      <c r="C238" s="5"/>
      <c r="D238" s="5"/>
      <c r="E238" s="5"/>
      <c r="F238" s="5"/>
      <c r="H238" s="5"/>
      <c r="K238" s="5"/>
      <c r="L238" s="5"/>
      <c r="M238" s="5"/>
    </row>
    <row r="239" spans="3:13">
      <c r="C239" s="5"/>
      <c r="D239" s="5"/>
      <c r="E239" s="5"/>
      <c r="F239" s="5"/>
      <c r="H239" s="5"/>
      <c r="K239" s="5"/>
      <c r="L239" s="5"/>
      <c r="M239" s="5"/>
    </row>
    <row r="240" spans="3:13">
      <c r="C240" s="5"/>
      <c r="D240" s="5"/>
      <c r="E240" s="5"/>
      <c r="F240" s="5"/>
      <c r="H240" s="5"/>
      <c r="K240" s="5"/>
      <c r="L240" s="5"/>
      <c r="M240" s="5"/>
    </row>
    <row r="241" spans="3:13">
      <c r="C241" s="5"/>
      <c r="D241" s="5"/>
      <c r="E241" s="5"/>
      <c r="F241" s="5"/>
      <c r="H241" s="5"/>
      <c r="K241" s="5"/>
      <c r="L241" s="5"/>
      <c r="M241" s="5"/>
    </row>
    <row r="242" spans="3:13">
      <c r="C242" s="5"/>
      <c r="D242" s="5"/>
      <c r="E242" s="5"/>
      <c r="F242" s="5"/>
      <c r="H242" s="5"/>
      <c r="K242" s="5"/>
      <c r="L242" s="5"/>
      <c r="M242" s="5"/>
    </row>
    <row r="243" spans="3:13">
      <c r="C243" s="5"/>
      <c r="D243" s="5"/>
      <c r="E243" s="5"/>
      <c r="F243" s="5"/>
      <c r="H243" s="5"/>
      <c r="K243" s="5"/>
      <c r="L243" s="5"/>
      <c r="M243" s="5"/>
    </row>
    <row r="244" spans="3:13">
      <c r="C244" s="5"/>
      <c r="D244" s="5"/>
      <c r="E244" s="5"/>
      <c r="F244" s="5"/>
      <c r="H244" s="5"/>
      <c r="K244" s="5"/>
      <c r="L244" s="5"/>
      <c r="M244" s="5"/>
    </row>
    <row r="245" spans="3:13">
      <c r="C245" s="5"/>
      <c r="D245" s="5"/>
      <c r="E245" s="5"/>
      <c r="F245" s="5"/>
      <c r="H245" s="5"/>
      <c r="K245" s="5"/>
      <c r="L245" s="5"/>
      <c r="M245" s="5"/>
    </row>
    <row r="246" spans="3:13">
      <c r="C246" s="5"/>
      <c r="D246" s="5"/>
      <c r="E246" s="5"/>
      <c r="F246" s="5"/>
      <c r="H246" s="5"/>
      <c r="K246" s="5"/>
      <c r="L246" s="5"/>
      <c r="M246" s="5"/>
    </row>
    <row r="247" spans="3:13">
      <c r="C247" s="5"/>
      <c r="D247" s="5"/>
      <c r="E247" s="5"/>
      <c r="F247" s="5"/>
      <c r="H247" s="5"/>
      <c r="K247" s="5"/>
      <c r="L247" s="5"/>
      <c r="M247" s="5"/>
    </row>
    <row r="248" spans="3:13">
      <c r="C248" s="5"/>
      <c r="D248" s="5"/>
      <c r="E248" s="5"/>
      <c r="F248" s="5"/>
      <c r="H248" s="5"/>
      <c r="K248" s="5"/>
      <c r="L248" s="5"/>
      <c r="M248" s="5"/>
    </row>
    <row r="249" spans="3:13">
      <c r="C249" s="5"/>
      <c r="D249" s="5"/>
      <c r="E249" s="5"/>
      <c r="F249" s="5"/>
      <c r="H249" s="5"/>
      <c r="K249" s="5"/>
      <c r="L249" s="5"/>
      <c r="M249" s="5"/>
    </row>
    <row r="250" spans="3:13">
      <c r="C250" s="5"/>
      <c r="D250" s="5"/>
      <c r="E250" s="5"/>
      <c r="F250" s="5"/>
      <c r="H250" s="5"/>
      <c r="K250" s="5"/>
      <c r="L250" s="5"/>
      <c r="M250" s="5"/>
    </row>
    <row r="251" spans="3:13">
      <c r="C251" s="5"/>
      <c r="D251" s="5"/>
      <c r="E251" s="5"/>
      <c r="F251" s="5"/>
      <c r="H251" s="5"/>
      <c r="K251" s="5"/>
      <c r="L251" s="5"/>
      <c r="M251" s="5"/>
    </row>
    <row r="252" spans="3:13">
      <c r="C252" s="5"/>
      <c r="D252" s="5"/>
      <c r="E252" s="5"/>
      <c r="F252" s="5"/>
      <c r="H252" s="5"/>
      <c r="K252" s="5"/>
      <c r="L252" s="5"/>
      <c r="M252" s="5"/>
    </row>
    <row r="253" spans="3:13">
      <c r="C253" s="5"/>
      <c r="D253" s="5"/>
      <c r="E253" s="5"/>
      <c r="F253" s="5"/>
      <c r="H253" s="5"/>
      <c r="K253" s="5"/>
      <c r="L253" s="5"/>
      <c r="M253" s="5"/>
    </row>
    <row r="254" spans="3:13">
      <c r="C254" s="5"/>
      <c r="D254" s="5"/>
      <c r="E254" s="5"/>
      <c r="F254" s="5"/>
      <c r="H254" s="5"/>
      <c r="K254" s="5"/>
      <c r="L254" s="5"/>
      <c r="M254" s="5"/>
    </row>
    <row r="255" spans="3:13">
      <c r="C255" s="5"/>
      <c r="D255" s="5"/>
      <c r="E255" s="5"/>
      <c r="F255" s="5"/>
      <c r="H255" s="5"/>
      <c r="K255" s="5"/>
      <c r="L255" s="5"/>
      <c r="M255" s="5"/>
    </row>
    <row r="256" spans="3:13">
      <c r="C256" s="5"/>
      <c r="D256" s="5"/>
      <c r="E256" s="5"/>
      <c r="F256" s="5"/>
      <c r="H256" s="5"/>
      <c r="K256" s="5"/>
      <c r="L256" s="5"/>
      <c r="M256" s="5"/>
    </row>
    <row r="257" spans="3:13">
      <c r="C257" s="5"/>
      <c r="D257" s="5"/>
      <c r="E257" s="5"/>
      <c r="F257" s="5"/>
      <c r="H257" s="5"/>
      <c r="K257" s="5"/>
      <c r="L257" s="5"/>
      <c r="M257" s="5"/>
    </row>
    <row r="258" spans="3:13">
      <c r="C258" s="5"/>
      <c r="D258" s="5"/>
      <c r="E258" s="5"/>
      <c r="F258" s="5"/>
      <c r="H258" s="5"/>
      <c r="K258" s="5"/>
      <c r="L258" s="5"/>
      <c r="M258" s="5"/>
    </row>
    <row r="259" spans="3:13">
      <c r="C259" s="5"/>
      <c r="D259" s="5"/>
      <c r="E259" s="5"/>
      <c r="F259" s="5"/>
      <c r="H259" s="5"/>
      <c r="K259" s="5"/>
      <c r="L259" s="5"/>
      <c r="M259" s="5"/>
    </row>
    <row r="260" spans="3:13">
      <c r="C260" s="5"/>
      <c r="D260" s="5"/>
      <c r="E260" s="5"/>
      <c r="F260" s="5"/>
      <c r="H260" s="5"/>
      <c r="K260" s="5"/>
      <c r="L260" s="5"/>
      <c r="M260" s="5"/>
    </row>
    <row r="261" spans="3:13">
      <c r="C261" s="5"/>
      <c r="D261" s="5"/>
      <c r="E261" s="5"/>
      <c r="F261" s="5"/>
      <c r="H261" s="5"/>
      <c r="K261" s="5"/>
      <c r="L261" s="5"/>
      <c r="M261" s="5"/>
    </row>
    <row r="262" spans="3:13">
      <c r="C262" s="5"/>
      <c r="D262" s="5"/>
      <c r="E262" s="5"/>
      <c r="F262" s="5"/>
      <c r="H262" s="5"/>
      <c r="K262" s="5"/>
      <c r="L262" s="5"/>
      <c r="M262" s="5"/>
    </row>
    <row r="263" spans="3:13">
      <c r="C263" s="5"/>
      <c r="D263" s="5"/>
      <c r="E263" s="5"/>
      <c r="F263" s="5"/>
      <c r="H263" s="5"/>
      <c r="K263" s="5"/>
      <c r="L263" s="5"/>
      <c r="M263" s="5"/>
    </row>
    <row r="264" spans="3:13">
      <c r="C264" s="5"/>
      <c r="D264" s="5"/>
      <c r="E264" s="5"/>
      <c r="F264" s="5"/>
      <c r="H264" s="5"/>
      <c r="K264" s="5"/>
      <c r="L264" s="5"/>
      <c r="M264" s="5"/>
    </row>
    <row r="265" spans="3:13">
      <c r="C265" s="5"/>
      <c r="D265" s="5"/>
      <c r="E265" s="5"/>
      <c r="F265" s="5"/>
      <c r="H265" s="5"/>
      <c r="K265" s="5"/>
      <c r="L265" s="5"/>
      <c r="M265" s="5"/>
    </row>
    <row r="266" spans="3:13">
      <c r="C266" s="5"/>
      <c r="D266" s="5"/>
      <c r="E266" s="5"/>
      <c r="F266" s="5"/>
      <c r="H266" s="5"/>
      <c r="K266" s="5"/>
      <c r="L266" s="5"/>
      <c r="M266" s="5"/>
    </row>
    <row r="267" spans="3:13">
      <c r="C267" s="5"/>
      <c r="D267" s="5"/>
      <c r="E267" s="5"/>
      <c r="F267" s="5"/>
      <c r="H267" s="5"/>
      <c r="K267" s="5"/>
      <c r="L267" s="5"/>
      <c r="M267" s="5"/>
    </row>
    <row r="268" spans="3:13">
      <c r="C268" s="5"/>
      <c r="D268" s="5"/>
      <c r="E268" s="5"/>
      <c r="F268" s="5"/>
      <c r="H268" s="5"/>
      <c r="K268" s="5"/>
      <c r="L268" s="5"/>
      <c r="M268" s="5"/>
    </row>
    <row r="269" spans="3:13">
      <c r="C269" s="5"/>
      <c r="D269" s="5"/>
      <c r="E269" s="5"/>
      <c r="F269" s="5"/>
      <c r="H269" s="5"/>
      <c r="K269" s="5"/>
      <c r="L269" s="5"/>
      <c r="M269" s="5"/>
    </row>
    <row r="270" spans="3:13">
      <c r="C270" s="5"/>
      <c r="D270" s="5"/>
      <c r="E270" s="5"/>
      <c r="F270" s="5"/>
      <c r="H270" s="5"/>
      <c r="K270" s="5"/>
      <c r="L270" s="5"/>
      <c r="M270" s="5"/>
    </row>
    <row r="271" spans="3:13">
      <c r="C271" s="5"/>
      <c r="D271" s="5"/>
      <c r="E271" s="5"/>
      <c r="F271" s="5"/>
      <c r="H271" s="5"/>
      <c r="K271" s="5"/>
      <c r="L271" s="5"/>
      <c r="M271" s="5"/>
    </row>
    <row r="272" spans="3:13">
      <c r="C272" s="5"/>
      <c r="D272" s="5"/>
      <c r="E272" s="5"/>
      <c r="F272" s="5"/>
      <c r="H272" s="5"/>
      <c r="K272" s="5"/>
      <c r="L272" s="5"/>
      <c r="M272" s="5"/>
    </row>
    <row r="273" spans="3:13">
      <c r="C273" s="5"/>
      <c r="D273" s="5"/>
      <c r="E273" s="5"/>
      <c r="F273" s="5"/>
      <c r="H273" s="5"/>
      <c r="K273" s="5"/>
      <c r="L273" s="5"/>
      <c r="M273" s="5"/>
    </row>
    <row r="274" spans="3:13">
      <c r="C274" s="5"/>
      <c r="D274" s="5"/>
      <c r="E274" s="5"/>
      <c r="F274" s="5"/>
      <c r="H274" s="5"/>
      <c r="K274" s="5"/>
      <c r="L274" s="5"/>
      <c r="M274" s="5"/>
    </row>
    <row r="275" spans="3:13">
      <c r="C275" s="5"/>
      <c r="D275" s="5"/>
      <c r="E275" s="5"/>
      <c r="F275" s="5"/>
      <c r="H275" s="5"/>
      <c r="K275" s="5"/>
      <c r="L275" s="5"/>
      <c r="M275" s="5"/>
    </row>
    <row r="276" spans="3:13">
      <c r="C276" s="5"/>
      <c r="D276" s="5"/>
      <c r="E276" s="5"/>
      <c r="F276" s="5"/>
      <c r="H276" s="5"/>
      <c r="K276" s="5"/>
      <c r="L276" s="5"/>
      <c r="M276" s="5"/>
    </row>
    <row r="277" spans="3:13">
      <c r="C277" s="5"/>
      <c r="D277" s="5"/>
      <c r="E277" s="5"/>
      <c r="F277" s="5"/>
      <c r="H277" s="5"/>
      <c r="K277" s="5"/>
      <c r="L277" s="5"/>
      <c r="M277" s="5"/>
    </row>
    <row r="278" spans="3:13">
      <c r="C278" s="5"/>
      <c r="D278" s="5"/>
      <c r="E278" s="5"/>
      <c r="F278" s="5"/>
      <c r="H278" s="5"/>
      <c r="K278" s="5"/>
      <c r="L278" s="5"/>
      <c r="M278" s="5"/>
    </row>
    <row r="279" spans="3:13">
      <c r="C279" s="5"/>
      <c r="D279" s="5"/>
      <c r="E279" s="5"/>
      <c r="F279" s="5"/>
      <c r="H279" s="5"/>
      <c r="K279" s="5"/>
      <c r="L279" s="5"/>
      <c r="M279" s="5"/>
    </row>
    <row r="280" spans="3:13">
      <c r="C280" s="5"/>
      <c r="D280" s="5"/>
      <c r="E280" s="5"/>
      <c r="F280" s="5"/>
      <c r="H280" s="5"/>
      <c r="K280" s="5"/>
      <c r="L280" s="5"/>
      <c r="M280" s="5"/>
    </row>
    <row r="281" spans="3:13">
      <c r="C281" s="5"/>
      <c r="D281" s="5"/>
      <c r="E281" s="5"/>
      <c r="F281" s="5"/>
      <c r="H281" s="5"/>
      <c r="K281" s="5"/>
      <c r="L281" s="5"/>
      <c r="M281" s="5"/>
    </row>
    <row r="282" spans="3:13">
      <c r="C282" s="5"/>
      <c r="D282" s="5"/>
      <c r="E282" s="5"/>
      <c r="F282" s="5"/>
      <c r="H282" s="5"/>
      <c r="K282" s="5"/>
      <c r="L282" s="5"/>
      <c r="M282" s="5"/>
    </row>
    <row r="283" spans="3:13">
      <c r="C283" s="5"/>
      <c r="D283" s="5"/>
      <c r="E283" s="5"/>
      <c r="F283" s="5"/>
      <c r="H283" s="5"/>
      <c r="K283" s="5"/>
      <c r="L283" s="5"/>
      <c r="M283" s="5"/>
    </row>
    <row r="284" spans="3:13">
      <c r="C284" s="5"/>
      <c r="D284" s="5"/>
      <c r="E284" s="5"/>
      <c r="F284" s="5"/>
      <c r="H284" s="5"/>
      <c r="K284" s="5"/>
      <c r="L284" s="5"/>
      <c r="M284" s="5"/>
    </row>
    <row r="285" spans="3:13">
      <c r="C285" s="5"/>
      <c r="D285" s="5"/>
      <c r="E285" s="5"/>
      <c r="F285" s="5"/>
      <c r="H285" s="5"/>
      <c r="K285" s="5"/>
      <c r="L285" s="5"/>
      <c r="M285" s="5"/>
    </row>
    <row r="286" spans="3:13">
      <c r="C286" s="5"/>
      <c r="D286" s="5"/>
      <c r="E286" s="5"/>
      <c r="F286" s="5"/>
      <c r="H286" s="5"/>
      <c r="K286" s="5"/>
      <c r="L286" s="5"/>
      <c r="M286" s="5"/>
    </row>
    <row r="287" spans="3:13">
      <c r="C287" s="5"/>
      <c r="D287" s="5"/>
      <c r="E287" s="5"/>
      <c r="F287" s="5"/>
      <c r="H287" s="5"/>
      <c r="K287" s="5"/>
      <c r="L287" s="5"/>
      <c r="M287" s="5"/>
    </row>
    <row r="288" spans="3:13">
      <c r="C288" s="5"/>
      <c r="D288" s="5"/>
      <c r="E288" s="5"/>
      <c r="F288" s="5"/>
      <c r="H288" s="5"/>
      <c r="K288" s="5"/>
      <c r="L288" s="5"/>
      <c r="M288" s="5"/>
    </row>
    <row r="289" spans="3:13">
      <c r="C289" s="5"/>
      <c r="D289" s="5"/>
      <c r="E289" s="5"/>
      <c r="F289" s="5"/>
      <c r="H289" s="5"/>
      <c r="K289" s="5"/>
      <c r="L289" s="5"/>
      <c r="M289" s="5"/>
    </row>
    <row r="290" spans="3:13">
      <c r="C290" s="5"/>
      <c r="D290" s="5"/>
      <c r="E290" s="5"/>
      <c r="F290" s="5"/>
      <c r="H290" s="5"/>
      <c r="K290" s="5"/>
      <c r="L290" s="5"/>
      <c r="M290" s="5"/>
    </row>
    <row r="291" spans="3:13">
      <c r="C291" s="5"/>
      <c r="D291" s="5"/>
      <c r="E291" s="5"/>
      <c r="F291" s="5"/>
      <c r="H291" s="5"/>
      <c r="K291" s="5"/>
      <c r="L291" s="5"/>
      <c r="M291" s="5"/>
    </row>
    <row r="292" spans="3:13">
      <c r="C292" s="5"/>
      <c r="D292" s="5"/>
      <c r="E292" s="5"/>
      <c r="F292" s="5"/>
      <c r="H292" s="5"/>
      <c r="K292" s="5"/>
      <c r="L292" s="5"/>
      <c r="M292" s="5"/>
    </row>
    <row r="293" spans="3:13">
      <c r="C293" s="5"/>
      <c r="D293" s="5"/>
      <c r="E293" s="5"/>
      <c r="F293" s="5"/>
      <c r="H293" s="5"/>
      <c r="K293" s="5"/>
      <c r="L293" s="5"/>
      <c r="M293" s="5"/>
    </row>
    <row r="294" spans="3:13">
      <c r="C294" s="5"/>
      <c r="D294" s="5"/>
      <c r="E294" s="5"/>
      <c r="F294" s="5"/>
      <c r="H294" s="5"/>
      <c r="K294" s="5"/>
      <c r="L294" s="5"/>
      <c r="M294" s="5"/>
    </row>
    <row r="295" spans="3:13">
      <c r="C295" s="5"/>
      <c r="D295" s="5"/>
      <c r="E295" s="5"/>
      <c r="F295" s="5"/>
      <c r="H295" s="5"/>
      <c r="K295" s="5"/>
      <c r="L295" s="5"/>
      <c r="M295" s="5"/>
    </row>
    <row r="296" spans="3:13">
      <c r="C296" s="5"/>
      <c r="D296" s="5"/>
      <c r="E296" s="5"/>
      <c r="F296" s="5"/>
      <c r="H296" s="5"/>
      <c r="K296" s="5"/>
      <c r="L296" s="5"/>
      <c r="M296" s="5"/>
    </row>
    <row r="297" spans="3:13">
      <c r="C297" s="5"/>
      <c r="D297" s="5"/>
      <c r="E297" s="5"/>
      <c r="F297" s="5"/>
      <c r="H297" s="5"/>
      <c r="K297" s="5"/>
      <c r="L297" s="5"/>
      <c r="M297" s="5"/>
    </row>
    <row r="298" spans="3:13">
      <c r="C298" s="5"/>
      <c r="D298" s="5"/>
      <c r="E298" s="5"/>
      <c r="F298" s="5"/>
      <c r="H298" s="5"/>
      <c r="K298" s="5"/>
      <c r="L298" s="5"/>
      <c r="M298" s="5"/>
    </row>
    <row r="299" spans="3:13">
      <c r="C299" s="5"/>
      <c r="D299" s="5"/>
      <c r="E299" s="5"/>
      <c r="F299" s="5"/>
      <c r="H299" s="5"/>
      <c r="K299" s="5"/>
      <c r="L299" s="5"/>
      <c r="M299" s="5"/>
    </row>
    <row r="300" spans="3:13">
      <c r="C300" s="5"/>
      <c r="D300" s="5"/>
      <c r="E300" s="5"/>
      <c r="F300" s="5"/>
      <c r="H300" s="5"/>
      <c r="K300" s="5"/>
      <c r="L300" s="5"/>
      <c r="M300" s="5"/>
    </row>
    <row r="301" spans="3:13">
      <c r="C301" s="5"/>
      <c r="D301" s="5"/>
      <c r="E301" s="5"/>
      <c r="F301" s="5"/>
      <c r="H301" s="5"/>
      <c r="K301" s="5"/>
      <c r="L301" s="5"/>
      <c r="M301" s="5"/>
    </row>
    <row r="302" spans="3:13">
      <c r="C302" s="5"/>
      <c r="D302" s="5"/>
      <c r="E302" s="5"/>
      <c r="F302" s="5"/>
      <c r="H302" s="5"/>
      <c r="K302" s="5"/>
      <c r="L302" s="5"/>
      <c r="M302" s="5"/>
    </row>
    <row r="303" spans="3:13">
      <c r="C303" s="5"/>
      <c r="D303" s="5"/>
      <c r="E303" s="5"/>
      <c r="F303" s="5"/>
      <c r="H303" s="5"/>
      <c r="K303" s="5"/>
      <c r="L303" s="5"/>
      <c r="M303" s="5"/>
    </row>
    <row r="304" spans="3:13">
      <c r="C304" s="5"/>
      <c r="D304" s="5"/>
      <c r="E304" s="5"/>
      <c r="F304" s="5"/>
      <c r="H304" s="5"/>
      <c r="K304" s="5"/>
      <c r="L304" s="5"/>
      <c r="M304" s="5"/>
    </row>
    <row r="305" spans="3:13">
      <c r="C305" s="5"/>
      <c r="D305" s="5"/>
      <c r="E305" s="5"/>
      <c r="F305" s="5"/>
      <c r="H305" s="5"/>
      <c r="K305" s="5"/>
      <c r="L305" s="5"/>
      <c r="M305" s="5"/>
    </row>
    <row r="306" spans="3:13">
      <c r="C306" s="5"/>
      <c r="D306" s="5"/>
      <c r="E306" s="5"/>
      <c r="F306" s="5"/>
      <c r="H306" s="5"/>
      <c r="K306" s="5"/>
      <c r="L306" s="5"/>
      <c r="M306" s="5"/>
    </row>
    <row r="307" spans="3:13">
      <c r="C307" s="5"/>
      <c r="D307" s="5"/>
      <c r="E307" s="5"/>
      <c r="F307" s="5"/>
      <c r="H307" s="5"/>
      <c r="K307" s="5"/>
      <c r="L307" s="5"/>
      <c r="M307" s="5"/>
    </row>
    <row r="308" spans="3:13">
      <c r="C308" s="5"/>
      <c r="D308" s="5"/>
      <c r="E308" s="5"/>
      <c r="F308" s="5"/>
      <c r="H308" s="5"/>
      <c r="K308" s="5"/>
      <c r="L308" s="5"/>
      <c r="M308" s="5"/>
    </row>
    <row r="309" spans="3:13">
      <c r="C309" s="5"/>
      <c r="D309" s="5"/>
      <c r="E309" s="5"/>
      <c r="F309" s="5"/>
      <c r="H309" s="5"/>
      <c r="K309" s="5"/>
      <c r="L309" s="5"/>
      <c r="M309" s="5"/>
    </row>
    <row r="310" spans="3:13">
      <c r="C310" s="5"/>
      <c r="D310" s="5"/>
      <c r="E310" s="5"/>
      <c r="F310" s="5"/>
      <c r="H310" s="5"/>
      <c r="K310" s="5"/>
      <c r="L310" s="5"/>
      <c r="M310" s="5"/>
    </row>
    <row r="311" spans="3:13">
      <c r="C311" s="5"/>
      <c r="D311" s="5"/>
      <c r="E311" s="5"/>
      <c r="F311" s="5"/>
      <c r="H311" s="5"/>
      <c r="K311" s="5"/>
      <c r="L311" s="5"/>
      <c r="M311" s="5"/>
    </row>
    <row r="312" spans="3:13">
      <c r="C312" s="5"/>
      <c r="D312" s="5"/>
      <c r="E312" s="5"/>
      <c r="F312" s="5"/>
      <c r="H312" s="5"/>
      <c r="K312" s="5"/>
      <c r="L312" s="5"/>
      <c r="M312" s="5"/>
    </row>
    <row r="313" spans="3:13">
      <c r="C313" s="5"/>
      <c r="D313" s="5"/>
      <c r="E313" s="5"/>
      <c r="F313" s="5"/>
      <c r="H313" s="5"/>
      <c r="K313" s="5"/>
      <c r="L313" s="5"/>
      <c r="M313" s="5"/>
    </row>
    <row r="314" spans="3:13">
      <c r="C314" s="5"/>
      <c r="D314" s="5"/>
      <c r="E314" s="5"/>
      <c r="F314" s="5"/>
      <c r="H314" s="5"/>
      <c r="K314" s="5"/>
      <c r="L314" s="5"/>
      <c r="M314" s="5"/>
    </row>
    <row r="315" spans="3:13">
      <c r="C315" s="5"/>
      <c r="D315" s="5"/>
      <c r="E315" s="5"/>
      <c r="F315" s="5"/>
      <c r="H315" s="5"/>
      <c r="K315" s="5"/>
      <c r="L315" s="5"/>
      <c r="M315" s="5"/>
    </row>
    <row r="316" spans="3:13">
      <c r="C316" s="5"/>
      <c r="D316" s="5"/>
      <c r="E316" s="5"/>
      <c r="F316" s="5"/>
      <c r="H316" s="5"/>
      <c r="K316" s="5"/>
      <c r="L316" s="5"/>
      <c r="M316" s="5"/>
    </row>
    <row r="317" spans="3:13">
      <c r="C317" s="5"/>
      <c r="D317" s="5"/>
      <c r="E317" s="5"/>
      <c r="F317" s="5"/>
      <c r="H317" s="5"/>
      <c r="K317" s="5"/>
      <c r="L317" s="5"/>
      <c r="M317" s="5"/>
    </row>
    <row r="318" spans="3:13">
      <c r="C318" s="5"/>
      <c r="D318" s="5"/>
      <c r="E318" s="5"/>
      <c r="F318" s="5"/>
      <c r="H318" s="5"/>
      <c r="K318" s="5"/>
      <c r="L318" s="5"/>
      <c r="M318" s="5"/>
    </row>
    <row r="319" spans="3:13">
      <c r="C319" s="5"/>
      <c r="D319" s="5"/>
      <c r="E319" s="5"/>
      <c r="F319" s="5"/>
      <c r="H319" s="5"/>
      <c r="K319" s="5"/>
      <c r="L319" s="5"/>
      <c r="M319" s="5"/>
    </row>
    <row r="320" spans="3:13">
      <c r="C320" s="5"/>
      <c r="D320" s="5"/>
      <c r="E320" s="5"/>
      <c r="F320" s="5"/>
      <c r="H320" s="5"/>
      <c r="K320" s="5"/>
      <c r="L320" s="5"/>
      <c r="M320" s="5"/>
    </row>
    <row r="321" spans="3:13">
      <c r="C321" s="5"/>
      <c r="D321" s="5"/>
      <c r="E321" s="5"/>
      <c r="F321" s="5"/>
      <c r="H321" s="5"/>
      <c r="K321" s="5"/>
      <c r="L321" s="5"/>
      <c r="M321" s="5"/>
    </row>
    <row r="322" spans="3:13">
      <c r="C322" s="5"/>
      <c r="D322" s="5"/>
      <c r="E322" s="5"/>
      <c r="F322" s="5"/>
      <c r="H322" s="5"/>
      <c r="K322" s="5"/>
      <c r="L322" s="5"/>
      <c r="M322" s="5"/>
    </row>
  </sheetData>
  <autoFilter ref="A5:H26"/>
  <mergeCells count="2">
    <mergeCell ref="J3:M3"/>
    <mergeCell ref="J4:M4"/>
  </mergeCells>
  <phoneticPr fontId="43" type="noConversion"/>
  <printOptions horizontalCentered="1"/>
  <pageMargins left="0" right="0" top="0.25" bottom="0" header="0.5" footer="0.5"/>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34"/>
  <sheetViews>
    <sheetView topLeftCell="A14" zoomScaleNormal="100" workbookViewId="0">
      <selection activeCell="C34" sqref="C34"/>
    </sheetView>
  </sheetViews>
  <sheetFormatPr defaultRowHeight="14.25"/>
  <cols>
    <col min="1" max="1" width="6.875" style="501" bestFit="1" customWidth="1"/>
    <col min="2" max="2" width="30" style="501" customWidth="1"/>
    <col min="3" max="3" width="10.875" style="501" bestFit="1" customWidth="1"/>
    <col min="4" max="4" width="10.125" style="503" bestFit="1" customWidth="1"/>
    <col min="5" max="5" width="4.625" style="501" bestFit="1" customWidth="1"/>
    <col min="6" max="7" width="7.625" style="501" bestFit="1" customWidth="1"/>
    <col min="8" max="8" width="9.125" style="501" bestFit="1" customWidth="1"/>
    <col min="9" max="9" width="9.25" style="501" bestFit="1" customWidth="1"/>
    <col min="10" max="16384" width="9" style="501"/>
  </cols>
  <sheetData>
    <row r="3" spans="2:10">
      <c r="B3" s="512"/>
      <c r="C3" s="510"/>
      <c r="D3" s="534"/>
      <c r="E3" s="510"/>
      <c r="F3" s="510"/>
      <c r="G3" s="510"/>
      <c r="H3" s="510"/>
    </row>
    <row r="4" spans="2:10">
      <c r="B4" s="512"/>
      <c r="C4" s="510"/>
      <c r="D4" s="534"/>
      <c r="E4" s="510">
        <v>5</v>
      </c>
      <c r="F4" s="539">
        <v>9519</v>
      </c>
      <c r="G4" s="510"/>
      <c r="H4" s="510"/>
    </row>
    <row r="5" spans="2:10">
      <c r="B5" s="512"/>
      <c r="C5" s="510"/>
      <c r="D5" s="534"/>
      <c r="E5" s="510" t="s">
        <v>4690</v>
      </c>
      <c r="F5" s="539">
        <v>20037.3</v>
      </c>
      <c r="G5" s="510"/>
      <c r="H5" s="510"/>
    </row>
    <row r="6" spans="2:10" ht="15">
      <c r="B6" s="512"/>
      <c r="C6" s="510"/>
      <c r="D6" s="534"/>
      <c r="E6" s="510"/>
      <c r="F6" s="540">
        <f>SUM(F4:F5)</f>
        <v>29556.3</v>
      </c>
      <c r="G6" s="510"/>
      <c r="H6" s="510"/>
    </row>
    <row r="7" spans="2:10">
      <c r="B7" s="512"/>
      <c r="C7" s="510"/>
      <c r="D7" s="534"/>
      <c r="E7" s="510"/>
      <c r="F7" s="539"/>
      <c r="G7" s="510"/>
      <c r="H7" s="510"/>
    </row>
    <row r="8" spans="2:10" ht="15">
      <c r="B8" s="512"/>
      <c r="C8" s="510"/>
      <c r="D8" s="534"/>
      <c r="E8" s="510"/>
      <c r="F8" s="540">
        <f>F7+F6</f>
        <v>29556.3</v>
      </c>
      <c r="G8" s="534">
        <f>F8/100</f>
        <v>295.56299999999999</v>
      </c>
      <c r="H8" s="510"/>
    </row>
    <row r="9" spans="2:10">
      <c r="B9" s="512"/>
      <c r="C9" s="510"/>
      <c r="D9" s="534"/>
      <c r="E9" s="510"/>
      <c r="F9" s="510"/>
      <c r="G9" s="510"/>
      <c r="H9" s="510"/>
    </row>
    <row r="10" spans="2:10">
      <c r="B10" s="512"/>
      <c r="C10" s="510" t="s">
        <v>4692</v>
      </c>
      <c r="D10" s="534">
        <f>'Cost to complete'!H16</f>
        <v>6513.76</v>
      </c>
      <c r="E10" s="510"/>
      <c r="F10" s="510"/>
      <c r="G10" s="510"/>
      <c r="H10" s="510"/>
    </row>
    <row r="11" spans="2:10">
      <c r="B11" s="512"/>
      <c r="C11" s="510" t="s">
        <v>4693</v>
      </c>
      <c r="D11" s="534">
        <f>G8</f>
        <v>295.56299999999999</v>
      </c>
      <c r="E11" s="510"/>
      <c r="F11" s="510"/>
      <c r="G11" s="510"/>
      <c r="H11" s="510"/>
      <c r="I11" s="510"/>
      <c r="J11" s="510"/>
    </row>
    <row r="12" spans="2:10">
      <c r="B12" s="512"/>
      <c r="C12" s="510" t="s">
        <v>4694</v>
      </c>
      <c r="D12" s="534">
        <v>1884</v>
      </c>
      <c r="E12" s="510"/>
      <c r="F12" s="510"/>
      <c r="G12" s="510" t="s">
        <v>4688</v>
      </c>
      <c r="H12" s="510"/>
      <c r="I12" s="510"/>
      <c r="J12" s="510"/>
    </row>
    <row r="13" spans="2:10" ht="15">
      <c r="B13" s="512"/>
      <c r="C13" s="510"/>
      <c r="D13" s="538">
        <f>SUM(D10:D12)</f>
        <v>8693.3230000000003</v>
      </c>
      <c r="E13" s="510"/>
      <c r="F13" s="510"/>
      <c r="G13" s="541">
        <v>2</v>
      </c>
      <c r="H13" s="534">
        <v>35.26</v>
      </c>
      <c r="I13" s="510"/>
      <c r="J13" s="510"/>
    </row>
    <row r="14" spans="2:10">
      <c r="B14" s="512"/>
      <c r="C14" s="510" t="s">
        <v>4695</v>
      </c>
      <c r="D14" s="534">
        <v>20942</v>
      </c>
      <c r="E14" s="510"/>
      <c r="F14" s="510"/>
      <c r="G14" s="541">
        <v>5</v>
      </c>
      <c r="H14" s="534">
        <v>1862.5</v>
      </c>
      <c r="I14" s="510"/>
      <c r="J14" s="510"/>
    </row>
    <row r="15" spans="2:10" ht="15">
      <c r="B15" s="512"/>
      <c r="C15" s="510" t="s">
        <v>4696</v>
      </c>
      <c r="D15" s="538">
        <f>SUM(D13:D14)</f>
        <v>29635.323</v>
      </c>
      <c r="E15" s="510"/>
      <c r="F15" s="510"/>
      <c r="G15" s="541" t="s">
        <v>4689</v>
      </c>
      <c r="H15" s="534">
        <v>4616</v>
      </c>
      <c r="I15" s="510"/>
      <c r="J15" s="510"/>
    </row>
    <row r="16" spans="2:10" ht="15">
      <c r="B16" s="512"/>
      <c r="C16" s="510"/>
      <c r="D16" s="534"/>
      <c r="E16" s="510"/>
      <c r="F16" s="510"/>
      <c r="G16" s="510"/>
      <c r="H16" s="538">
        <f>SUM(H13:H15)</f>
        <v>6513.76</v>
      </c>
      <c r="I16" s="537" t="s">
        <v>4691</v>
      </c>
      <c r="J16" s="510"/>
    </row>
    <row r="18" spans="1:16">
      <c r="P18">
        <v>1020.69</v>
      </c>
    </row>
    <row r="20" spans="1:16" ht="30">
      <c r="A20" s="542" t="s">
        <v>4721</v>
      </c>
      <c r="B20" s="542" t="s">
        <v>4719</v>
      </c>
      <c r="C20" s="555" t="s">
        <v>4720</v>
      </c>
    </row>
    <row r="21" spans="1:16" ht="15">
      <c r="A21" s="551" t="s">
        <v>4709</v>
      </c>
      <c r="B21" s="551" t="s">
        <v>4704</v>
      </c>
      <c r="C21" s="552"/>
    </row>
    <row r="22" spans="1:16">
      <c r="A22" s="550">
        <v>1</v>
      </c>
      <c r="B22" s="550" t="s">
        <v>4705</v>
      </c>
      <c r="C22" s="552">
        <v>35.26</v>
      </c>
      <c r="G22" s="501">
        <f>SUM(G23:G27)</f>
        <v>49.87</v>
      </c>
    </row>
    <row r="23" spans="1:16">
      <c r="A23" s="550">
        <v>2</v>
      </c>
      <c r="B23" s="550" t="s">
        <v>4707</v>
      </c>
      <c r="C23" s="552">
        <v>1862.5</v>
      </c>
      <c r="G23" s="501">
        <v>49.87</v>
      </c>
    </row>
    <row r="24" spans="1:16">
      <c r="A24" s="550">
        <v>3</v>
      </c>
      <c r="B24" s="550" t="s">
        <v>4706</v>
      </c>
      <c r="C24" s="552">
        <v>4616</v>
      </c>
    </row>
    <row r="25" spans="1:16" ht="15">
      <c r="A25" s="550"/>
      <c r="B25" s="551" t="s">
        <v>4711</v>
      </c>
      <c r="C25" s="553">
        <f>SUM(C22:C24)</f>
        <v>6513.76</v>
      </c>
    </row>
    <row r="26" spans="1:16" ht="15">
      <c r="A26" s="551" t="s">
        <v>4710</v>
      </c>
      <c r="B26" s="551" t="s">
        <v>4708</v>
      </c>
      <c r="C26" s="552"/>
    </row>
    <row r="27" spans="1:16">
      <c r="A27" s="550">
        <v>1</v>
      </c>
      <c r="B27" s="550" t="s">
        <v>4707</v>
      </c>
      <c r="C27" s="550">
        <v>95.19</v>
      </c>
    </row>
    <row r="28" spans="1:16">
      <c r="A28" s="550">
        <v>2</v>
      </c>
      <c r="B28" s="550" t="s">
        <v>4706</v>
      </c>
      <c r="C28" s="550">
        <v>200.37299999999999</v>
      </c>
    </row>
    <row r="29" spans="1:16" ht="15">
      <c r="A29" s="550"/>
      <c r="B29" s="551" t="s">
        <v>4712</v>
      </c>
      <c r="C29" s="553">
        <f>SUM(C27:C28)</f>
        <v>295.56299999999999</v>
      </c>
    </row>
    <row r="30" spans="1:16" ht="30">
      <c r="A30" s="551" t="s">
        <v>4717</v>
      </c>
      <c r="B30" s="554" t="s">
        <v>4713</v>
      </c>
      <c r="C30" s="552"/>
    </row>
    <row r="31" spans="1:16">
      <c r="A31" s="550">
        <v>1</v>
      </c>
      <c r="B31" s="550" t="s">
        <v>4714</v>
      </c>
      <c r="C31" s="552">
        <v>1872</v>
      </c>
    </row>
    <row r="32" spans="1:16">
      <c r="A32" s="550">
        <v>2</v>
      </c>
      <c r="B32" s="550" t="s">
        <v>4715</v>
      </c>
      <c r="C32" s="552">
        <v>12</v>
      </c>
    </row>
    <row r="33" spans="1:3" ht="15">
      <c r="A33" s="550"/>
      <c r="B33" s="551" t="s">
        <v>4716</v>
      </c>
      <c r="C33" s="553">
        <f>SUM(C31:C32)</f>
        <v>1884</v>
      </c>
    </row>
    <row r="34" spans="1:3" ht="15">
      <c r="A34" s="550"/>
      <c r="B34" s="551" t="s">
        <v>4718</v>
      </c>
      <c r="C34" s="553">
        <f>C33+C29+C25</f>
        <v>8693.3230000000003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P28"/>
  <sheetViews>
    <sheetView topLeftCell="A4" workbookViewId="0">
      <selection activeCell="C15" sqref="C15"/>
    </sheetView>
  </sheetViews>
  <sheetFormatPr defaultRowHeight="14.25"/>
  <cols>
    <col min="1" max="6" width="9" style="510"/>
    <col min="7" max="7" width="9" style="512"/>
    <col min="8" max="8" width="9" style="510"/>
    <col min="9" max="9" width="10.125" style="510" bestFit="1" customWidth="1"/>
    <col min="10" max="15" width="9" style="510"/>
    <col min="16" max="16" width="10.125" style="510" bestFit="1" customWidth="1"/>
    <col min="17" max="16384" width="9" style="510"/>
  </cols>
  <sheetData>
    <row r="5" spans="3:8">
      <c r="D5" s="510" t="s">
        <v>4670</v>
      </c>
      <c r="E5" s="510" t="s">
        <v>4674</v>
      </c>
    </row>
    <row r="6" spans="3:8">
      <c r="C6" s="510">
        <v>2013</v>
      </c>
      <c r="D6" s="510">
        <v>3</v>
      </c>
      <c r="E6" s="511">
        <f>'[9]CCI – August 2013'!G65</f>
        <v>140.97999999999999</v>
      </c>
      <c r="F6" s="511">
        <f>'[9]CCI – July 2021'!G63</f>
        <v>144.43</v>
      </c>
      <c r="G6" s="513">
        <f>F6/E6</f>
        <v>1.0244715562491136</v>
      </c>
      <c r="H6" s="512">
        <f>G6*1.1</f>
        <v>1.1269187118740249</v>
      </c>
    </row>
    <row r="7" spans="3:8">
      <c r="C7" s="510">
        <v>2014</v>
      </c>
      <c r="D7" s="510">
        <v>4</v>
      </c>
      <c r="E7" s="511">
        <f>'[9]CCI – August 2014'!G65</f>
        <v>142.21</v>
      </c>
      <c r="F7" s="511">
        <f>F6</f>
        <v>144.43</v>
      </c>
      <c r="G7" s="513">
        <f t="shared" ref="G7:G9" si="0">F7/E7</f>
        <v>1.0156107165459531</v>
      </c>
      <c r="H7" s="512">
        <f t="shared" ref="H7:H9" si="1">G7*1.1</f>
        <v>1.1171717882005485</v>
      </c>
    </row>
    <row r="8" spans="3:8">
      <c r="C8" s="510">
        <v>2018</v>
      </c>
      <c r="D8" s="510">
        <v>2</v>
      </c>
      <c r="E8" s="511">
        <f>'[9]CCI – February 2018'!G68</f>
        <v>143.94</v>
      </c>
      <c r="F8" s="511">
        <f>F6</f>
        <v>144.43</v>
      </c>
      <c r="G8" s="513">
        <f t="shared" si="0"/>
        <v>1.0034041961928581</v>
      </c>
      <c r="H8" s="512">
        <f t="shared" si="1"/>
        <v>1.103744615812144</v>
      </c>
    </row>
    <row r="9" spans="3:8">
      <c r="C9" s="510">
        <v>2015</v>
      </c>
      <c r="E9" s="511">
        <f>'[9]CCI – April 2015'!G65</f>
        <v>142.41999999999999</v>
      </c>
      <c r="F9" s="511">
        <f>F7</f>
        <v>144.43</v>
      </c>
      <c r="G9" s="513">
        <f t="shared" si="0"/>
        <v>1.014113186350232</v>
      </c>
      <c r="H9" s="512">
        <f t="shared" si="1"/>
        <v>1.1155245049852553</v>
      </c>
    </row>
    <row r="26" spans="16:16">
      <c r="P26" s="535"/>
    </row>
    <row r="28" spans="16:16">
      <c r="P28" s="53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R56"/>
  <sheetViews>
    <sheetView topLeftCell="A22" workbookViewId="0">
      <selection activeCell="A16" sqref="A16"/>
    </sheetView>
  </sheetViews>
  <sheetFormatPr defaultRowHeight="14.25"/>
  <cols>
    <col min="1" max="2" width="9" style="501"/>
    <col min="3" max="3" width="9.25" style="501" bestFit="1" customWidth="1"/>
    <col min="4" max="5" width="16.75" style="502" bestFit="1" customWidth="1"/>
    <col min="6" max="6" width="17.875" style="502" bestFit="1" customWidth="1"/>
    <col min="7" max="7" width="20.5" style="502" hidden="1" customWidth="1"/>
    <col min="8" max="8" width="16.75" style="502" hidden="1" customWidth="1"/>
    <col min="9" max="9" width="15.25" style="501" bestFit="1" customWidth="1"/>
    <col min="10" max="10" width="17.375" style="501" bestFit="1" customWidth="1"/>
    <col min="11" max="11" width="17.875" style="502" bestFit="1" customWidth="1"/>
    <col min="12" max="14" width="17.875" style="501" bestFit="1" customWidth="1"/>
    <col min="15" max="15" width="15.625" style="502" customWidth="1"/>
    <col min="16" max="16" width="18" style="502" bestFit="1" customWidth="1"/>
    <col min="17" max="17" width="17.875" style="502" bestFit="1" customWidth="1"/>
    <col min="18" max="16384" width="9" style="501"/>
  </cols>
  <sheetData>
    <row r="7" spans="3:6">
      <c r="D7" s="502" t="s">
        <v>4671</v>
      </c>
    </row>
    <row r="9" spans="3:6">
      <c r="C9" s="501" t="s">
        <v>4670</v>
      </c>
      <c r="D9" s="502" t="s">
        <v>2968</v>
      </c>
      <c r="E9" s="502" t="s">
        <v>4271</v>
      </c>
      <c r="F9" s="502" t="s">
        <v>754</v>
      </c>
    </row>
    <row r="10" spans="3:6">
      <c r="C10" s="501">
        <v>2</v>
      </c>
      <c r="D10" s="502">
        <f>'Unit-II'!C2</f>
        <v>3108178939</v>
      </c>
      <c r="E10" s="502">
        <f>'Unit-II'!D2</f>
        <v>1771477025</v>
      </c>
      <c r="F10" s="502">
        <f t="shared" ref="F10:F12" si="0">SUM(D10:E10)</f>
        <v>4879655964</v>
      </c>
    </row>
    <row r="11" spans="3:6">
      <c r="C11" s="501">
        <v>3</v>
      </c>
      <c r="D11" s="502">
        <f>'Unit-III'!E3</f>
        <v>5694711026.4104757</v>
      </c>
      <c r="E11" s="502">
        <f>'Unit-III'!D3</f>
        <v>548636706.19738138</v>
      </c>
      <c r="F11" s="502">
        <f t="shared" si="0"/>
        <v>6243347732.6078568</v>
      </c>
    </row>
    <row r="12" spans="3:6">
      <c r="C12" s="501">
        <v>4</v>
      </c>
      <c r="D12" s="502">
        <f>'Unit-IV'!D4</f>
        <v>7810106274.3192091</v>
      </c>
      <c r="E12" s="502">
        <f>'Unit-IV'!C4</f>
        <v>401687455.87347925</v>
      </c>
      <c r="F12" s="502">
        <f t="shared" si="0"/>
        <v>8211793730.192688</v>
      </c>
    </row>
    <row r="13" spans="3:6">
      <c r="D13" s="502">
        <f>SUM(D10:D12)</f>
        <v>16612996239.729687</v>
      </c>
      <c r="E13" s="502">
        <f>SUM(E10:E12)</f>
        <v>2721801187.0708609</v>
      </c>
      <c r="F13" s="502">
        <f>SUM(D13:E13)</f>
        <v>19334797426.800549</v>
      </c>
    </row>
    <row r="14" spans="3:6">
      <c r="C14" s="501" t="s">
        <v>2968</v>
      </c>
      <c r="F14" s="502">
        <f>'Plant Buildings'!E29</f>
        <v>220853146</v>
      </c>
    </row>
    <row r="15" spans="3:6">
      <c r="C15" s="501" t="s">
        <v>399</v>
      </c>
      <c r="F15" s="502">
        <f>'Buildg-Others'!E583</f>
        <v>700649480</v>
      </c>
    </row>
    <row r="16" spans="3:6">
      <c r="F16" s="502">
        <f>SUM(F13:F15)</f>
        <v>20256300052.800549</v>
      </c>
    </row>
    <row r="17" spans="2:18">
      <c r="F17" s="502">
        <f>'Leasehold Prprts'!H59</f>
        <v>66811796.629999995</v>
      </c>
    </row>
    <row r="19" spans="2:18">
      <c r="F19" s="502">
        <f>'Unit-III'!E941+'Unit-III'!E906</f>
        <v>5694711026.4104757</v>
      </c>
    </row>
    <row r="23" spans="2:18">
      <c r="E23" s="502" t="s">
        <v>755</v>
      </c>
      <c r="H23" s="502" t="s">
        <v>4672</v>
      </c>
      <c r="I23" s="501" t="s">
        <v>4744</v>
      </c>
      <c r="L23" s="502">
        <v>2022</v>
      </c>
    </row>
    <row r="24" spans="2:18" s="516" customFormat="1" ht="30">
      <c r="C24" s="516" t="s">
        <v>4670</v>
      </c>
      <c r="D24" s="517" t="s">
        <v>2968</v>
      </c>
      <c r="E24" s="517" t="s">
        <v>4271</v>
      </c>
      <c r="F24" s="517" t="s">
        <v>754</v>
      </c>
      <c r="G24" s="517" t="s">
        <v>2968</v>
      </c>
      <c r="H24" s="517" t="s">
        <v>4271</v>
      </c>
      <c r="I24" s="517" t="s">
        <v>754</v>
      </c>
      <c r="J24" s="516" t="s">
        <v>4682</v>
      </c>
      <c r="K24" s="517" t="s">
        <v>4675</v>
      </c>
      <c r="L24" s="516" t="s">
        <v>4676</v>
      </c>
      <c r="M24" s="516" t="s">
        <v>4677</v>
      </c>
      <c r="N24" s="516" t="s">
        <v>4679</v>
      </c>
      <c r="O24" s="517" t="s">
        <v>4680</v>
      </c>
      <c r="P24" s="517" t="s">
        <v>4678</v>
      </c>
      <c r="Q24" s="517" t="s">
        <v>4681</v>
      </c>
    </row>
    <row r="25" spans="2:18">
      <c r="B25" s="501">
        <v>2017</v>
      </c>
      <c r="C25" s="501">
        <v>2</v>
      </c>
      <c r="D25" s="502">
        <f>D10</f>
        <v>3108178939</v>
      </c>
      <c r="E25" s="502">
        <f t="shared" ref="E25" si="1">E10</f>
        <v>1771477025</v>
      </c>
      <c r="F25" s="502">
        <f>SUM(D25:E25)</f>
        <v>4879655964</v>
      </c>
      <c r="G25" s="502">
        <f>'Unit-II'!L2</f>
        <v>2727134555</v>
      </c>
      <c r="H25" s="502">
        <f>'Unit-II'!M2</f>
        <v>1282677581</v>
      </c>
      <c r="I25" s="504">
        <f>SUM(G25:H25)</f>
        <v>4009812136</v>
      </c>
      <c r="J25" s="514">
        <f>CCI!H8</f>
        <v>1.103744615812144</v>
      </c>
      <c r="K25" s="502">
        <f>J25*F25</f>
        <v>5385893997.2806168</v>
      </c>
      <c r="L25" s="503">
        <f>$L$23-B25</f>
        <v>5</v>
      </c>
      <c r="M25" s="501">
        <v>30</v>
      </c>
      <c r="N25" s="515">
        <f>(90/M25)/100</f>
        <v>0.03</v>
      </c>
      <c r="O25" s="502">
        <f>N25*L25*K25</f>
        <v>807884099.59209251</v>
      </c>
      <c r="P25" s="502">
        <f>K25-O25</f>
        <v>4578009897.6885242</v>
      </c>
      <c r="Q25" s="502">
        <f>P25*0.85</f>
        <v>3891308413.0352454</v>
      </c>
      <c r="R25" s="507">
        <f t="shared" ref="R25:R30" si="2">Q25/10^7</f>
        <v>389.13084130352456</v>
      </c>
    </row>
    <row r="26" spans="2:18">
      <c r="B26" s="501">
        <v>2013</v>
      </c>
      <c r="C26" s="501">
        <v>3</v>
      </c>
      <c r="D26" s="502">
        <f>'Unit-III'!H2</f>
        <v>5548732461.1430368</v>
      </c>
      <c r="E26" s="502">
        <f>'Unit-III'!I2</f>
        <v>523028477.15166539</v>
      </c>
      <c r="F26" s="502">
        <f t="shared" ref="F26:F27" si="3">SUM(D26:E26)</f>
        <v>6071760938.2947025</v>
      </c>
      <c r="G26" s="502">
        <f>'Unit-III'!M2</f>
        <v>3518090743.1430378</v>
      </c>
      <c r="H26" s="502">
        <f>'Unit-III'!N2</f>
        <v>189156600.15166542</v>
      </c>
      <c r="I26" s="504">
        <f t="shared" ref="I26:I27" si="4">SUM(G26:H26)</f>
        <v>3707247343.294703</v>
      </c>
      <c r="J26" s="514">
        <f>CCI!H6</f>
        <v>1.1269187118740249</v>
      </c>
      <c r="K26" s="502">
        <f>J26*F26</f>
        <v>6842381015.3900871</v>
      </c>
      <c r="L26" s="503">
        <f>$L$23-B26</f>
        <v>9</v>
      </c>
      <c r="M26" s="501">
        <v>30</v>
      </c>
      <c r="N26" s="515">
        <f t="shared" ref="N26:N31" si="5">(90/M26)/100</f>
        <v>0.03</v>
      </c>
      <c r="O26" s="502">
        <f>N26*L26*K26</f>
        <v>1847442874.1553237</v>
      </c>
      <c r="P26" s="502">
        <f>K26-O26</f>
        <v>4994938141.2347631</v>
      </c>
      <c r="Q26" s="502">
        <f t="shared" ref="Q26:Q27" si="6">P26*0.85</f>
        <v>4245697420.0495486</v>
      </c>
      <c r="R26" s="507">
        <f t="shared" si="2"/>
        <v>424.56974200495489</v>
      </c>
    </row>
    <row r="27" spans="2:18">
      <c r="B27" s="501">
        <v>2014</v>
      </c>
      <c r="C27" s="501">
        <v>4</v>
      </c>
      <c r="D27" s="502">
        <f t="shared" ref="D27:E27" si="7">D12</f>
        <v>7810106274.3192091</v>
      </c>
      <c r="E27" s="502">
        <f t="shared" si="7"/>
        <v>401687455.87347925</v>
      </c>
      <c r="F27" s="502">
        <f t="shared" si="3"/>
        <v>8211793730.192688</v>
      </c>
      <c r="G27" s="502">
        <f>'Unit-IV'!L4</f>
        <v>6415207492.3192101</v>
      </c>
      <c r="H27" s="502">
        <f>'Unit-IV'!M4</f>
        <v>257979580.87347928</v>
      </c>
      <c r="I27" s="504">
        <f t="shared" si="4"/>
        <v>6673187073.1926889</v>
      </c>
      <c r="J27" s="514">
        <f>CCI!H7</f>
        <v>1.1171717882005485</v>
      </c>
      <c r="K27" s="502">
        <f>J27*F27</f>
        <v>9173984285.8934174</v>
      </c>
      <c r="L27" s="503">
        <f>$L$23-B27</f>
        <v>8</v>
      </c>
      <c r="M27" s="501">
        <v>30</v>
      </c>
      <c r="N27" s="515">
        <f t="shared" si="5"/>
        <v>0.03</v>
      </c>
      <c r="O27" s="502">
        <f>N27*L27*K27</f>
        <v>2201756228.6144199</v>
      </c>
      <c r="P27" s="502">
        <f>K27-O27</f>
        <v>6972228057.2789974</v>
      </c>
      <c r="Q27" s="502">
        <f t="shared" si="6"/>
        <v>5926393848.6871481</v>
      </c>
      <c r="R27" s="507">
        <f t="shared" si="2"/>
        <v>592.63938486871484</v>
      </c>
    </row>
    <row r="28" spans="2:18" ht="15">
      <c r="D28" s="505">
        <f>SUM(D25:D27)</f>
        <v>16467017674.462246</v>
      </c>
      <c r="E28" s="505">
        <f t="shared" ref="E28:F28" si="8">SUM(E25:E27)</f>
        <v>2696192958.0251446</v>
      </c>
      <c r="F28" s="505">
        <f t="shared" si="8"/>
        <v>19163210632.487389</v>
      </c>
      <c r="G28" s="505">
        <f t="shared" ref="G28" si="9">SUM(G25:G27)</f>
        <v>12660432790.462248</v>
      </c>
      <c r="H28" s="505">
        <f t="shared" ref="H28" si="10">SUM(H25:H27)</f>
        <v>1729813762.0251448</v>
      </c>
      <c r="I28" s="508">
        <f>SUM(I25:I27)</f>
        <v>14390246552.487392</v>
      </c>
      <c r="K28" s="505">
        <f>SUM(K25:K27)</f>
        <v>21402259298.564121</v>
      </c>
      <c r="P28" s="505">
        <f>SUM(P25:P27)</f>
        <v>16545176096.202284</v>
      </c>
      <c r="Q28" s="505">
        <f>SUM(Q25:Q27)</f>
        <v>14063399681.771942</v>
      </c>
      <c r="R28" s="509">
        <f>SUM(R25:R27)</f>
        <v>1406.3399681771944</v>
      </c>
    </row>
    <row r="29" spans="2:18">
      <c r="B29" s="501">
        <v>2015</v>
      </c>
      <c r="C29" s="501" t="s">
        <v>2968</v>
      </c>
      <c r="D29" s="502">
        <f t="shared" ref="D29:F29" si="11">D14</f>
        <v>0</v>
      </c>
      <c r="E29" s="502">
        <f t="shared" si="11"/>
        <v>0</v>
      </c>
      <c r="F29" s="502">
        <f t="shared" si="11"/>
        <v>220853146</v>
      </c>
      <c r="I29" s="502">
        <f>'Plant Buildings'!R29</f>
        <v>171924659</v>
      </c>
      <c r="J29" s="514">
        <f>CCI!H9</f>
        <v>1.1155245049852553</v>
      </c>
      <c r="K29" s="502">
        <f>J29*F29</f>
        <v>246367096.36608633</v>
      </c>
      <c r="L29" s="503">
        <f>$L$23-B29</f>
        <v>7</v>
      </c>
      <c r="M29" s="501">
        <v>30</v>
      </c>
      <c r="N29" s="515">
        <f t="shared" si="5"/>
        <v>0.03</v>
      </c>
      <c r="O29" s="502">
        <f>N29*L29*K29</f>
        <v>51737090.236878127</v>
      </c>
      <c r="P29" s="502">
        <f>K29-O29</f>
        <v>194630006.12920821</v>
      </c>
      <c r="Q29" s="502">
        <f t="shared" ref="Q29:Q30" si="12">P29*0.85</f>
        <v>165435505.20982698</v>
      </c>
      <c r="R29" s="507">
        <f t="shared" si="2"/>
        <v>16.543550520982699</v>
      </c>
    </row>
    <row r="30" spans="2:18">
      <c r="B30" s="501">
        <v>2015</v>
      </c>
      <c r="C30" s="501" t="s">
        <v>399</v>
      </c>
      <c r="D30" s="502">
        <f t="shared" ref="D30:E30" si="13">D15</f>
        <v>0</v>
      </c>
      <c r="E30" s="502">
        <f t="shared" si="13"/>
        <v>0</v>
      </c>
      <c r="F30" s="502">
        <f>'Buildg-Others'!P583</f>
        <v>685286823</v>
      </c>
      <c r="I30" s="502">
        <f>'Buildg-Others'!V583</f>
        <v>523914074</v>
      </c>
      <c r="J30" s="514">
        <f>J29</f>
        <v>1.1155245049852553</v>
      </c>
      <c r="K30" s="502">
        <f>J30*F30</f>
        <v>764454243.99999332</v>
      </c>
      <c r="L30" s="503">
        <f>$L$23-B30</f>
        <v>7</v>
      </c>
      <c r="M30" s="501">
        <v>30</v>
      </c>
      <c r="N30" s="515">
        <f t="shared" si="5"/>
        <v>0.03</v>
      </c>
      <c r="O30" s="502">
        <f>N30*L30*K30</f>
        <v>160535391.23999858</v>
      </c>
      <c r="P30" s="502">
        <f>K30-O30</f>
        <v>603918852.75999475</v>
      </c>
      <c r="Q30" s="502">
        <f t="shared" si="12"/>
        <v>513331024.84599555</v>
      </c>
      <c r="R30" s="507">
        <f t="shared" si="2"/>
        <v>51.333102484599557</v>
      </c>
    </row>
    <row r="31" spans="2:18">
      <c r="C31" s="501" t="s">
        <v>4673</v>
      </c>
      <c r="F31" s="502">
        <f>'Leasehold Prprts'!L59</f>
        <v>56290516.629999995</v>
      </c>
      <c r="I31" s="502">
        <f>'Leasehold Prprts'!P59</f>
        <v>0</v>
      </c>
      <c r="K31" s="502">
        <v>0</v>
      </c>
      <c r="M31" s="501">
        <v>30</v>
      </c>
      <c r="N31" s="515">
        <f t="shared" si="5"/>
        <v>0.03</v>
      </c>
      <c r="O31" s="502">
        <f>N31*L31*K31</f>
        <v>0</v>
      </c>
      <c r="P31" s="502">
        <f>K31-O31</f>
        <v>0</v>
      </c>
      <c r="Q31" s="502">
        <v>0</v>
      </c>
    </row>
    <row r="32" spans="2:18" ht="15">
      <c r="F32" s="505">
        <f>SUM(F28:F31)</f>
        <v>20125641118.11739</v>
      </c>
      <c r="H32" s="505"/>
      <c r="I32" s="505">
        <f>SUM(I28:I31)</f>
        <v>15086085285.487392</v>
      </c>
      <c r="J32" s="509">
        <f>I32/10^7</f>
        <v>1508.6085285487393</v>
      </c>
      <c r="K32" s="505">
        <f>SUM(K28:K31)</f>
        <v>22413080638.930199</v>
      </c>
      <c r="P32" s="505">
        <f>SUM(P28:P31)</f>
        <v>17343724955.091488</v>
      </c>
      <c r="Q32" s="505">
        <f>SUM(Q28:Q31)</f>
        <v>14742166211.827765</v>
      </c>
      <c r="R32" s="509">
        <f>Q32/10^7</f>
        <v>1474.2166211827764</v>
      </c>
    </row>
    <row r="33" spans="4:18">
      <c r="Q33" s="503">
        <f>Q32/F32</f>
        <v>0.73250666278435506</v>
      </c>
      <c r="R33" s="501">
        <v>357</v>
      </c>
    </row>
    <row r="34" spans="4:18">
      <c r="R34" s="501">
        <v>6000</v>
      </c>
    </row>
    <row r="35" spans="4:18">
      <c r="E35" s="502">
        <f>SUM(F28:F30)</f>
        <v>20069350601.487389</v>
      </c>
      <c r="F35" s="502">
        <f>E35-'FA Summary'!F11</f>
        <v>20055294253.487389</v>
      </c>
      <c r="M35" s="503">
        <f>K32/F32</f>
        <v>1.1136579703169616</v>
      </c>
      <c r="N35" s="503">
        <f>Q32/K32</f>
        <v>0.65774832337066114</v>
      </c>
    </row>
    <row r="36" spans="4:18">
      <c r="R36" s="507">
        <f>N46-R32</f>
        <v>142.52459097690485</v>
      </c>
    </row>
    <row r="37" spans="4:18">
      <c r="F37" s="503">
        <v>1316.84</v>
      </c>
      <c r="J37" s="501">
        <v>1449.85</v>
      </c>
      <c r="K37" s="503">
        <v>1173.29</v>
      </c>
    </row>
    <row r="38" spans="4:18">
      <c r="J38" s="503">
        <f>J37/F37</f>
        <v>1.1010069560462927</v>
      </c>
      <c r="K38" s="503">
        <f>K37/J37</f>
        <v>0.80924923267924276</v>
      </c>
    </row>
    <row r="41" spans="4:18">
      <c r="F41" s="502" t="s">
        <v>4685</v>
      </c>
      <c r="J41" s="502" t="s">
        <v>4684</v>
      </c>
      <c r="K41" s="502" t="s">
        <v>754</v>
      </c>
      <c r="L41" s="501" t="s">
        <v>4686</v>
      </c>
      <c r="M41" s="501" t="s">
        <v>4687</v>
      </c>
    </row>
    <row r="42" spans="4:18">
      <c r="E42" s="502" t="s">
        <v>4683</v>
      </c>
      <c r="F42" s="502">
        <f>F48</f>
        <v>5357139480.9099998</v>
      </c>
      <c r="J42" s="518">
        <v>772916339</v>
      </c>
      <c r="K42" s="502">
        <f>SUM(F42:J42)</f>
        <v>6130055819.9099998</v>
      </c>
      <c r="L42" s="504">
        <f>F53</f>
        <v>4751882523.8100004</v>
      </c>
      <c r="M42" s="519">
        <v>569992977.66999996</v>
      </c>
      <c r="N42" s="504">
        <f>SUM(L42:M42)</f>
        <v>5321875501.4800005</v>
      </c>
      <c r="O42" s="502">
        <f>N42*0.9</f>
        <v>4789687951.3320007</v>
      </c>
    </row>
    <row r="43" spans="4:18">
      <c r="E43" s="502">
        <v>4</v>
      </c>
      <c r="F43" s="502">
        <f t="shared" ref="F43:F44" si="14">F49</f>
        <v>5263935338.3699999</v>
      </c>
      <c r="J43" s="502">
        <v>2384980551.9400001</v>
      </c>
      <c r="K43" s="502">
        <f>SUM(F43:J43)</f>
        <v>7648915890.3099995</v>
      </c>
      <c r="L43" s="504">
        <f>F54</f>
        <v>4720458291.4399996</v>
      </c>
      <c r="M43" s="519">
        <v>1914297779.1137977</v>
      </c>
      <c r="N43" s="504">
        <f t="shared" ref="N43:N44" si="15">SUM(L43:M43)</f>
        <v>6634756070.5537968</v>
      </c>
      <c r="O43" s="502">
        <f>N43*0.9</f>
        <v>5971280463.4984169</v>
      </c>
    </row>
    <row r="44" spans="4:18">
      <c r="E44" s="502">
        <v>2</v>
      </c>
      <c r="F44" s="502">
        <f t="shared" si="14"/>
        <v>2547386125</v>
      </c>
      <c r="J44" s="518">
        <v>2199160473</v>
      </c>
      <c r="K44" s="502">
        <f>SUM(F44:J44)</f>
        <v>4746546598</v>
      </c>
      <c r="L44" s="504">
        <f>F55</f>
        <v>2260630861.27</v>
      </c>
      <c r="M44" s="519">
        <v>1950149688.293014</v>
      </c>
      <c r="N44" s="504">
        <f t="shared" si="15"/>
        <v>4210780549.563014</v>
      </c>
      <c r="O44" s="502">
        <f>N44*0.9</f>
        <v>3789702494.6067128</v>
      </c>
    </row>
    <row r="45" spans="4:18" ht="15">
      <c r="F45" s="505">
        <f t="shared" ref="F45:J45" si="16">SUM(F42:F44)</f>
        <v>13168460944.279999</v>
      </c>
      <c r="G45" s="505">
        <f t="shared" si="16"/>
        <v>0</v>
      </c>
      <c r="H45" s="505">
        <f t="shared" si="16"/>
        <v>0</v>
      </c>
      <c r="I45" s="505">
        <f t="shared" si="16"/>
        <v>0</v>
      </c>
      <c r="J45" s="505">
        <f t="shared" si="16"/>
        <v>5357057363.9400005</v>
      </c>
      <c r="K45" s="505">
        <f>SUM(K42:K44)</f>
        <v>18525518308.220001</v>
      </c>
      <c r="L45" s="505">
        <f>SUM(L42:L44)</f>
        <v>11732971676.52</v>
      </c>
      <c r="M45" s="505">
        <f>SUM(M42:M44)</f>
        <v>4434440445.0768118</v>
      </c>
      <c r="N45" s="505">
        <f>SUM(N42:N44)</f>
        <v>16167412121.596813</v>
      </c>
      <c r="O45" s="505">
        <f>SUM(O42:O44)</f>
        <v>14550670909.43713</v>
      </c>
    </row>
    <row r="46" spans="4:18">
      <c r="F46" s="503">
        <f>F45/10^7</f>
        <v>1316.8460944279998</v>
      </c>
      <c r="G46" s="503">
        <f t="shared" ref="G46" si="17">G45/10^7</f>
        <v>0</v>
      </c>
      <c r="J46" s="503">
        <f>J45/10^7</f>
        <v>535.70573639400004</v>
      </c>
      <c r="K46" s="503">
        <f>K45/10^7</f>
        <v>1852.5518308220001</v>
      </c>
      <c r="L46" s="503">
        <f>L45/10^7</f>
        <v>1173.2971676520001</v>
      </c>
      <c r="M46" s="503">
        <f t="shared" ref="M46:N46" si="18">M45/10^7</f>
        <v>443.44404450768116</v>
      </c>
      <c r="N46" s="503">
        <f t="shared" si="18"/>
        <v>1616.7412121596813</v>
      </c>
    </row>
    <row r="47" spans="4:18">
      <c r="N47" s="503">
        <f>N46/K46</f>
        <v>0.87271037995320933</v>
      </c>
    </row>
    <row r="48" spans="4:18">
      <c r="D48" s="502">
        <v>4929724380.9099998</v>
      </c>
      <c r="E48" s="502">
        <v>427415100</v>
      </c>
      <c r="F48" s="502">
        <f>SUM(D48:E48)</f>
        <v>5357139480.9099998</v>
      </c>
    </row>
    <row r="49" spans="4:6">
      <c r="D49" s="502">
        <v>5006466926.3699999</v>
      </c>
      <c r="E49" s="502">
        <v>257468412</v>
      </c>
      <c r="F49" s="502">
        <f t="shared" ref="F49:F50" si="19">SUM(D49:E49)</f>
        <v>5263935338.3699999</v>
      </c>
    </row>
    <row r="50" spans="4:6">
      <c r="D50" s="502">
        <v>1622600438</v>
      </c>
      <c r="E50" s="502">
        <v>924785687</v>
      </c>
      <c r="F50" s="502">
        <f t="shared" si="19"/>
        <v>2547386125</v>
      </c>
    </row>
    <row r="51" spans="4:6">
      <c r="F51" s="502">
        <f>SUM(F48:F50)</f>
        <v>13168460944.279999</v>
      </c>
    </row>
    <row r="53" spans="4:6">
      <c r="D53" s="502">
        <v>4372757367.3100004</v>
      </c>
      <c r="E53" s="502">
        <v>379125156.5</v>
      </c>
      <c r="F53" s="502">
        <f t="shared" ref="F53:F55" si="20">SUM(D53:E53)</f>
        <v>4751882523.8100004</v>
      </c>
    </row>
    <row r="54" spans="4:6">
      <c r="D54" s="502">
        <v>4509624462.7799997</v>
      </c>
      <c r="E54" s="502">
        <v>210833828.66</v>
      </c>
      <c r="F54" s="502">
        <f t="shared" si="20"/>
        <v>4720458291.4399996</v>
      </c>
    </row>
    <row r="55" spans="4:6">
      <c r="D55" s="502">
        <v>1439957380.79</v>
      </c>
      <c r="E55" s="502">
        <v>820673480.48000002</v>
      </c>
      <c r="F55" s="502">
        <f t="shared" si="20"/>
        <v>2260630861.27</v>
      </c>
    </row>
    <row r="56" spans="4:6">
      <c r="F56" s="502">
        <f>SUM(F53:F55)</f>
        <v>11732971676.52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
  <sheetViews>
    <sheetView tabSelected="1" topLeftCell="A16" workbookViewId="0">
      <selection activeCell="G36" sqref="G36"/>
    </sheetView>
  </sheetViews>
  <sheetFormatPr defaultRowHeight="15"/>
  <cols>
    <col min="1" max="1" width="15.5" style="570" customWidth="1"/>
    <col min="2" max="2" width="15.25" style="570" customWidth="1"/>
    <col min="3" max="3" width="16" style="570" customWidth="1"/>
    <col min="4" max="4" width="12.625" style="570" customWidth="1"/>
    <col min="5" max="5" width="12.875" style="570" customWidth="1"/>
    <col min="6" max="6" width="10.125" style="570" bestFit="1" customWidth="1"/>
    <col min="7" max="7" width="13.75" style="570" bestFit="1" customWidth="1"/>
    <col min="8" max="8" width="10.5" style="579" bestFit="1" customWidth="1"/>
    <col min="9" max="9" width="10.125" style="570" bestFit="1" customWidth="1"/>
    <col min="10" max="10" width="9.125" style="570" bestFit="1" customWidth="1"/>
    <col min="11" max="16384" width="9" style="570"/>
  </cols>
  <sheetData>
    <row r="2" spans="1:8">
      <c r="B2" s="570" t="s">
        <v>4737</v>
      </c>
    </row>
    <row r="3" spans="1:8" s="571" customFormat="1">
      <c r="B3" s="571">
        <v>2</v>
      </c>
      <c r="C3" s="571">
        <v>3</v>
      </c>
      <c r="D3" s="571">
        <v>4</v>
      </c>
    </row>
    <row r="6" spans="1:8" s="582" customFormat="1" ht="30">
      <c r="A6" s="581"/>
      <c r="B6" s="580" t="s">
        <v>4738</v>
      </c>
      <c r="C6" s="580" t="s">
        <v>4683</v>
      </c>
      <c r="D6" s="580" t="s">
        <v>4739</v>
      </c>
      <c r="E6" s="580" t="s">
        <v>2968</v>
      </c>
      <c r="F6" s="580" t="s">
        <v>4745</v>
      </c>
      <c r="G6" s="580" t="s">
        <v>4746</v>
      </c>
      <c r="H6" s="572" t="s">
        <v>754</v>
      </c>
    </row>
    <row r="7" spans="1:8" ht="30">
      <c r="A7" s="583" t="s">
        <v>4740</v>
      </c>
      <c r="B7" s="573">
        <f>'Building Summary Sheet'!F25/10^7</f>
        <v>487.96559639999998</v>
      </c>
      <c r="C7" s="573">
        <f>'Building Summary Sheet'!F26/10^7</f>
        <v>607.17609382947023</v>
      </c>
      <c r="D7" s="573">
        <f>'Building Summary Sheet'!F27/10^7</f>
        <v>821.17937301926884</v>
      </c>
      <c r="E7" s="573">
        <f>'Building Summary Sheet'!F29/10^7</f>
        <v>22.0853146</v>
      </c>
      <c r="F7" s="573">
        <f>'Building Summary Sheet'!F30/10^7</f>
        <v>68.5286823</v>
      </c>
      <c r="G7" s="573">
        <f>'Building Summary Sheet'!F31/10^7</f>
        <v>5.6290516629999994</v>
      </c>
      <c r="H7" s="577">
        <f t="shared" ref="H7" si="0">SUM(B7:G7)</f>
        <v>2012.5641118117387</v>
      </c>
    </row>
    <row r="8" spans="1:8" ht="30">
      <c r="A8" s="583" t="s">
        <v>4742</v>
      </c>
      <c r="B8" s="573">
        <f>'Building Summary Sheet'!I25/10^7</f>
        <v>400.98121359999999</v>
      </c>
      <c r="C8" s="573">
        <f>'Building Summary Sheet'!I26/10^7</f>
        <v>370.72473432947032</v>
      </c>
      <c r="D8" s="573">
        <f>'Building Summary Sheet'!I27/10^7</f>
        <v>667.31870731926892</v>
      </c>
      <c r="E8" s="573">
        <f>'Building Summary Sheet'!I29/10^7</f>
        <v>17.192465899999998</v>
      </c>
      <c r="F8" s="573">
        <f>'Building Summary Sheet'!I30/10^7</f>
        <v>52.391407399999999</v>
      </c>
      <c r="G8" s="573">
        <v>0</v>
      </c>
      <c r="H8" s="577">
        <f>SUM(B8:G8)</f>
        <v>1508.6085285487391</v>
      </c>
    </row>
    <row r="9" spans="1:8" ht="30">
      <c r="A9" s="583" t="s">
        <v>4743</v>
      </c>
      <c r="B9" s="573">
        <f>'Building Summary Sheet'!K25/10^7</f>
        <v>538.58939972806172</v>
      </c>
      <c r="C9" s="573">
        <f>'Building Summary Sheet'!K26/10^7</f>
        <v>684.23810153900877</v>
      </c>
      <c r="D9" s="573">
        <f>'Building Summary Sheet'!K27/10^7</f>
        <v>917.39842858934173</v>
      </c>
      <c r="E9" s="573">
        <f>'Building Summary Sheet'!K29/10^7</f>
        <v>24.636709636608632</v>
      </c>
      <c r="F9" s="573">
        <f>'Building Summary Sheet'!K30/10^7</f>
        <v>76.445424399999339</v>
      </c>
      <c r="G9" s="573">
        <v>0</v>
      </c>
      <c r="H9" s="577">
        <f t="shared" ref="H9:H10" si="1">SUM(B9:G9)</f>
        <v>2241.3080638930201</v>
      </c>
    </row>
    <row r="10" spans="1:8" ht="30">
      <c r="A10" s="583" t="s">
        <v>4741</v>
      </c>
      <c r="B10" s="573">
        <f>'Building Summary Sheet'!Q25/10^7</f>
        <v>389.13084130352456</v>
      </c>
      <c r="C10" s="573">
        <f>'Building Summary Sheet'!Q26/10^7</f>
        <v>424.56974200495489</v>
      </c>
      <c r="D10" s="573">
        <f>'Building Summary Sheet'!Q27/10^7</f>
        <v>592.63938486871484</v>
      </c>
      <c r="E10" s="573">
        <f>'Building Summary Sheet'!Q29/10^7</f>
        <v>16.543550520982699</v>
      </c>
      <c r="F10" s="573">
        <f>'Building Summary Sheet'!Q30/10^7</f>
        <v>51.333102484599557</v>
      </c>
      <c r="G10" s="573">
        <v>0</v>
      </c>
      <c r="H10" s="577">
        <f t="shared" si="1"/>
        <v>1474.2166211827766</v>
      </c>
    </row>
    <row r="11" spans="1:8">
      <c r="A11" s="584"/>
      <c r="B11" s="573"/>
      <c r="C11" s="573"/>
      <c r="D11" s="573"/>
      <c r="E11" s="573"/>
      <c r="F11" s="573"/>
      <c r="G11" s="573"/>
      <c r="H11" s="577"/>
    </row>
    <row r="12" spans="1:8">
      <c r="A12" s="584"/>
      <c r="B12" s="574"/>
      <c r="C12" s="575"/>
      <c r="D12" s="575"/>
      <c r="E12" s="576"/>
      <c r="F12" s="576"/>
      <c r="G12" s="576"/>
      <c r="H12" s="575"/>
    </row>
    <row r="13" spans="1:8">
      <c r="A13" s="576"/>
      <c r="B13" s="574"/>
      <c r="C13" s="575"/>
      <c r="D13" s="578"/>
      <c r="H13" s="578"/>
    </row>
    <row r="15" spans="1:8" ht="45">
      <c r="A15" s="583" t="s">
        <v>4719</v>
      </c>
      <c r="B15" s="583" t="s">
        <v>4740</v>
      </c>
      <c r="C15" s="583" t="s">
        <v>4742</v>
      </c>
      <c r="D15" s="583" t="s">
        <v>4743</v>
      </c>
      <c r="E15" s="583" t="s">
        <v>4741</v>
      </c>
    </row>
    <row r="16" spans="1:8">
      <c r="A16" s="581" t="s">
        <v>4738</v>
      </c>
      <c r="B16" s="573">
        <f>'Building Summary Sheet'!F25/10^7</f>
        <v>487.96559639999998</v>
      </c>
      <c r="C16" s="573">
        <f>'Building Summary Sheet'!I25/10^7</f>
        <v>400.98121359999999</v>
      </c>
      <c r="D16" s="573">
        <f>'Building Summary Sheet'!K25/10^7</f>
        <v>538.58939972806172</v>
      </c>
      <c r="E16" s="573">
        <f>'Building Summary Sheet'!Q25/10^7</f>
        <v>389.13084130352456</v>
      </c>
      <c r="F16" s="586"/>
    </row>
    <row r="17" spans="1:10">
      <c r="A17" s="581" t="s">
        <v>4683</v>
      </c>
      <c r="B17" s="573">
        <f>'Building Summary Sheet'!F26/10^7</f>
        <v>607.17609382947023</v>
      </c>
      <c r="C17" s="573">
        <f>'Building Summary Sheet'!I26/10^7</f>
        <v>370.72473432947032</v>
      </c>
      <c r="D17" s="573">
        <f>'Building Summary Sheet'!K26/10^7</f>
        <v>684.23810153900877</v>
      </c>
      <c r="E17" s="573">
        <f>'Building Summary Sheet'!Q26/10^7</f>
        <v>424.56974200495489</v>
      </c>
      <c r="F17" s="586"/>
    </row>
    <row r="18" spans="1:10">
      <c r="A18" s="581" t="s">
        <v>4739</v>
      </c>
      <c r="B18" s="573">
        <f>'Building Summary Sheet'!F27/10^7</f>
        <v>821.17937301926884</v>
      </c>
      <c r="C18" s="573">
        <f>'Building Summary Sheet'!I27/10^7</f>
        <v>667.31870731926892</v>
      </c>
      <c r="D18" s="573">
        <f>'Building Summary Sheet'!K27/10^7</f>
        <v>917.39842858934173</v>
      </c>
      <c r="E18" s="573">
        <f>'Building Summary Sheet'!Q27/10^7</f>
        <v>592.63938486871484</v>
      </c>
      <c r="F18" s="586"/>
    </row>
    <row r="19" spans="1:10">
      <c r="A19" s="584" t="s">
        <v>4747</v>
      </c>
      <c r="B19" s="577">
        <f>SUM(B16:B18)</f>
        <v>1916.3210632487389</v>
      </c>
      <c r="C19" s="577">
        <f>SUM(C16:C18)</f>
        <v>1439.0246552487392</v>
      </c>
      <c r="D19" s="577">
        <f t="shared" ref="D19:F19" si="2">SUM(D16:D18)</f>
        <v>2140.2259298564122</v>
      </c>
      <c r="E19" s="577">
        <f t="shared" si="2"/>
        <v>1406.3399681771944</v>
      </c>
      <c r="F19" s="587">
        <f t="shared" si="2"/>
        <v>0</v>
      </c>
    </row>
    <row r="20" spans="1:10">
      <c r="A20" s="581" t="s">
        <v>2968</v>
      </c>
      <c r="B20" s="573">
        <f>'Building Summary Sheet'!F29/10^7</f>
        <v>22.0853146</v>
      </c>
      <c r="C20" s="573">
        <f>'Building Summary Sheet'!I29/10^7</f>
        <v>17.192465899999998</v>
      </c>
      <c r="D20" s="573">
        <f>'Building Summary Sheet'!K29/10^7</f>
        <v>24.636709636608632</v>
      </c>
      <c r="E20" s="573">
        <f>'Building Summary Sheet'!Q29/10^7</f>
        <v>16.543550520982699</v>
      </c>
      <c r="F20" s="586"/>
    </row>
    <row r="21" spans="1:10">
      <c r="A21" s="581" t="s">
        <v>4745</v>
      </c>
      <c r="B21" s="573">
        <f>'Building Summary Sheet'!F30/10^7</f>
        <v>68.5286823</v>
      </c>
      <c r="C21" s="573">
        <f>'Building Summary Sheet'!I30/10^7</f>
        <v>52.391407399999999</v>
      </c>
      <c r="D21" s="573">
        <f>'Building Summary Sheet'!K30/10^7</f>
        <v>76.445424399999339</v>
      </c>
      <c r="E21" s="573">
        <f>'Building Summary Sheet'!Q30/10^7</f>
        <v>51.333102484599557</v>
      </c>
      <c r="F21" s="586"/>
    </row>
    <row r="22" spans="1:10" ht="28.5">
      <c r="A22" s="581" t="s">
        <v>4746</v>
      </c>
      <c r="B22" s="573">
        <f>'Building Summary Sheet'!F31/10^7</f>
        <v>5.6290516629999994</v>
      </c>
      <c r="C22" s="573">
        <v>0</v>
      </c>
      <c r="D22" s="573">
        <v>0</v>
      </c>
      <c r="E22" s="573">
        <v>0</v>
      </c>
      <c r="F22" s="586"/>
    </row>
    <row r="23" spans="1:10">
      <c r="A23" s="584" t="s">
        <v>4748</v>
      </c>
      <c r="B23" s="577">
        <f>SUM(B20:B22)</f>
        <v>96.243048563000002</v>
      </c>
      <c r="C23" s="577">
        <f t="shared" ref="C23:F23" si="3">SUM(C20:C22)</f>
        <v>69.583873299999993</v>
      </c>
      <c r="D23" s="577">
        <f t="shared" si="3"/>
        <v>101.08213403660797</v>
      </c>
      <c r="E23" s="577">
        <f t="shared" si="3"/>
        <v>67.876653005582256</v>
      </c>
      <c r="F23" s="587">
        <f t="shared" si="3"/>
        <v>0</v>
      </c>
    </row>
    <row r="24" spans="1:10">
      <c r="A24" s="584" t="s">
        <v>915</v>
      </c>
      <c r="B24" s="588">
        <f>B23+B19</f>
        <v>2012.5641118117389</v>
      </c>
      <c r="C24" s="588">
        <f t="shared" ref="C24:F24" si="4">C23+C19</f>
        <v>1508.6085285487393</v>
      </c>
      <c r="D24" s="588">
        <f t="shared" si="4"/>
        <v>2241.3080638930201</v>
      </c>
      <c r="E24" s="588">
        <f t="shared" si="4"/>
        <v>1474.2166211827766</v>
      </c>
      <c r="F24" s="585">
        <f t="shared" si="4"/>
        <v>0</v>
      </c>
    </row>
    <row r="29" spans="1:10" ht="60">
      <c r="A29" s="606" t="s">
        <v>4830</v>
      </c>
      <c r="B29" s="606" t="s">
        <v>4719</v>
      </c>
      <c r="C29" s="606" t="s">
        <v>4740</v>
      </c>
      <c r="D29" s="606" t="s">
        <v>4742</v>
      </c>
      <c r="E29" s="606" t="s">
        <v>4743</v>
      </c>
      <c r="F29" s="606" t="s">
        <v>4741</v>
      </c>
    </row>
    <row r="30" spans="1:10" ht="14.25">
      <c r="A30" s="607">
        <v>1</v>
      </c>
      <c r="B30" s="576" t="s">
        <v>4827</v>
      </c>
      <c r="C30" s="604">
        <f>1725837997/10^7</f>
        <v>172.58379969999999</v>
      </c>
      <c r="D30" s="604">
        <f>C30</f>
        <v>172.58379969999999</v>
      </c>
      <c r="E30" s="604">
        <v>377.31058999999999</v>
      </c>
      <c r="F30" s="604">
        <f>E30</f>
        <v>377.31058999999999</v>
      </c>
      <c r="G30" s="608">
        <f>SUM(C30:C32)</f>
        <v>16052.967784992525</v>
      </c>
      <c r="H30" s="608">
        <f t="shared" ref="H30:J30" si="5">SUM(D30:D32)</f>
        <v>11965.160781</v>
      </c>
      <c r="I30" s="608">
        <f t="shared" si="5"/>
        <v>19338.33299477489</v>
      </c>
      <c r="J30" s="608">
        <f t="shared" si="5"/>
        <v>9366.4438177312259</v>
      </c>
    </row>
    <row r="31" spans="1:10" ht="14.25">
      <c r="A31" s="607">
        <v>2</v>
      </c>
      <c r="B31" s="576" t="s">
        <v>4829</v>
      </c>
      <c r="C31" s="604">
        <v>2012.5641124489989</v>
      </c>
      <c r="D31" s="604">
        <v>1508.6085294</v>
      </c>
      <c r="E31" s="604">
        <f>D24</f>
        <v>2241.3080638930201</v>
      </c>
      <c r="F31" s="604">
        <f>E24</f>
        <v>1474.2166211827766</v>
      </c>
      <c r="G31" s="609">
        <f>G30/1800</f>
        <v>8.9183154361069583</v>
      </c>
      <c r="H31" s="609">
        <f t="shared" ref="H31:J31" si="6">H30/1800</f>
        <v>6.647311545</v>
      </c>
      <c r="I31" s="609">
        <f t="shared" si="6"/>
        <v>10.743518330430494</v>
      </c>
      <c r="J31" s="609">
        <f t="shared" si="6"/>
        <v>5.2035798987395703</v>
      </c>
    </row>
    <row r="32" spans="1:10" ht="14.25">
      <c r="A32" s="607">
        <v>3</v>
      </c>
      <c r="B32" s="576" t="s">
        <v>4411</v>
      </c>
      <c r="C32" s="604">
        <v>13867.819872843525</v>
      </c>
      <c r="D32" s="604">
        <v>10283.9684519</v>
      </c>
      <c r="E32" s="604">
        <v>16719.71434088187</v>
      </c>
      <c r="F32" s="604">
        <v>7514.9166065484496</v>
      </c>
      <c r="G32" s="609">
        <f>C32/1800</f>
        <v>7.704344373801959</v>
      </c>
      <c r="H32" s="609">
        <f t="shared" ref="H32:J32" si="7">D32/1800</f>
        <v>5.7133158066111109</v>
      </c>
      <c r="I32" s="609">
        <f t="shared" si="7"/>
        <v>9.2887301893788159</v>
      </c>
      <c r="J32" s="609">
        <f t="shared" si="7"/>
        <v>4.1749536703046939</v>
      </c>
    </row>
    <row r="33" spans="1:9">
      <c r="A33" s="607">
        <v>4</v>
      </c>
      <c r="B33" s="576" t="s">
        <v>4828</v>
      </c>
      <c r="C33" s="604">
        <v>4559.66</v>
      </c>
      <c r="D33" s="604">
        <f>C33</f>
        <v>4559.66</v>
      </c>
      <c r="E33" s="622">
        <f>6.4*1800</f>
        <v>11520</v>
      </c>
      <c r="F33" s="604">
        <f>[10]Sheet6!$E$13</f>
        <v>1326.3500000000001</v>
      </c>
    </row>
    <row r="34" spans="1:9">
      <c r="A34" s="607"/>
      <c r="B34" s="576"/>
      <c r="C34" s="605">
        <f>SUM(C30:C33)</f>
        <v>20612.627784992525</v>
      </c>
      <c r="D34" s="605">
        <f t="shared" ref="D34" si="8">SUM(D30:D33)</f>
        <v>16524.820781000002</v>
      </c>
      <c r="E34" s="605">
        <f t="shared" ref="E34" si="9">SUM(E30:E33)</f>
        <v>30858.33299477489</v>
      </c>
      <c r="F34" s="605">
        <f t="shared" ref="F34" si="10">SUM(F30:F33)</f>
        <v>10692.793817731226</v>
      </c>
      <c r="I34" s="570">
        <v>5.8</v>
      </c>
    </row>
    <row r="35" spans="1:9">
      <c r="F35" s="623">
        <v>10690</v>
      </c>
    </row>
    <row r="36" spans="1:9">
      <c r="F36" s="623">
        <f>F35*0.85</f>
        <v>9086.5</v>
      </c>
    </row>
    <row r="37" spans="1:9">
      <c r="F37" s="623">
        <f>F35*0.75</f>
        <v>8017.5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X26"/>
  <sheetViews>
    <sheetView workbookViewId="0">
      <selection activeCell="C3" sqref="C3:G22"/>
    </sheetView>
  </sheetViews>
  <sheetFormatPr defaultRowHeight="14.25"/>
  <cols>
    <col min="1" max="2" width="9" style="544"/>
    <col min="3" max="3" width="14.75" style="598" customWidth="1"/>
    <col min="4" max="4" width="29.75" style="544" bestFit="1" customWidth="1"/>
    <col min="5" max="5" width="4.375" style="544" bestFit="1" customWidth="1"/>
    <col min="6" max="6" width="8" style="544" bestFit="1" customWidth="1"/>
    <col min="7" max="7" width="4.375" style="544" bestFit="1" customWidth="1"/>
    <col min="8" max="9" width="9" style="544"/>
    <col min="10" max="10" width="16.125" style="544" customWidth="1"/>
    <col min="11" max="11" width="12.375" style="544" customWidth="1"/>
    <col min="12" max="14" width="9" style="544"/>
    <col min="15" max="15" width="34.625" style="544" customWidth="1"/>
    <col min="16" max="17" width="9" style="544"/>
    <col min="18" max="18" width="33.75" style="544" customWidth="1"/>
    <col min="19" max="19" width="19.375" style="544" bestFit="1" customWidth="1"/>
    <col min="20" max="21" width="13.5" style="544" customWidth="1"/>
    <col min="22" max="16384" width="9" style="544"/>
  </cols>
  <sheetData>
    <row r="2" spans="3:24" ht="15.75" thickBot="1">
      <c r="D2" s="544" t="s">
        <v>4787</v>
      </c>
      <c r="J2" s="599" t="s">
        <v>4788</v>
      </c>
    </row>
    <row r="3" spans="3:24" ht="60.75" thickBot="1">
      <c r="C3" s="591" t="s">
        <v>4749</v>
      </c>
      <c r="D3" s="592" t="s">
        <v>4750</v>
      </c>
      <c r="E3" s="596"/>
      <c r="F3" s="595" t="s">
        <v>4751</v>
      </c>
      <c r="G3" s="597"/>
      <c r="J3" s="589" t="s">
        <v>655</v>
      </c>
      <c r="K3" s="589" t="s">
        <v>4775</v>
      </c>
      <c r="M3" s="600"/>
      <c r="N3" s="600"/>
      <c r="O3" s="589" t="s">
        <v>4776</v>
      </c>
      <c r="R3" s="568" t="s">
        <v>4722</v>
      </c>
      <c r="S3" s="568" t="s">
        <v>4789</v>
      </c>
      <c r="T3" s="568" t="s">
        <v>4790</v>
      </c>
      <c r="U3" s="568" t="s">
        <v>4791</v>
      </c>
      <c r="V3" s="568" t="s">
        <v>4792</v>
      </c>
      <c r="W3" s="568" t="s">
        <v>4793</v>
      </c>
      <c r="X3" s="568" t="s">
        <v>4794</v>
      </c>
    </row>
    <row r="4" spans="3:24" ht="30.75" thickBot="1">
      <c r="C4" s="591"/>
      <c r="D4" s="592"/>
      <c r="E4" s="592" t="s">
        <v>4774</v>
      </c>
      <c r="F4" s="592" t="s">
        <v>4773</v>
      </c>
      <c r="G4" s="592" t="s">
        <v>4752</v>
      </c>
      <c r="K4" s="589" t="s">
        <v>4777</v>
      </c>
      <c r="L4" s="589" t="s">
        <v>4725</v>
      </c>
      <c r="M4" s="589" t="s">
        <v>4735</v>
      </c>
      <c r="N4" s="589" t="s">
        <v>4752</v>
      </c>
      <c r="O4" s="600"/>
      <c r="R4" s="568" t="s">
        <v>4795</v>
      </c>
      <c r="S4" s="568">
        <v>1</v>
      </c>
      <c r="T4" s="568" t="s">
        <v>4796</v>
      </c>
      <c r="U4" s="501"/>
      <c r="V4" s="501"/>
      <c r="W4" s="501"/>
      <c r="X4" s="501"/>
    </row>
    <row r="5" spans="3:24" ht="64.5" thickBot="1">
      <c r="C5" s="593" t="s">
        <v>4753</v>
      </c>
      <c r="D5" s="594" t="s">
        <v>4754</v>
      </c>
      <c r="E5" s="594">
        <v>-4</v>
      </c>
      <c r="F5" s="594">
        <v>-4</v>
      </c>
      <c r="G5" s="594">
        <v>-4</v>
      </c>
      <c r="J5" s="589" t="s">
        <v>4778</v>
      </c>
      <c r="K5" s="590">
        <v>12</v>
      </c>
      <c r="L5" s="590">
        <v>90</v>
      </c>
      <c r="M5" s="590">
        <v>90</v>
      </c>
      <c r="N5" s="590">
        <v>90</v>
      </c>
      <c r="O5" s="590" t="s">
        <v>4779</v>
      </c>
      <c r="R5" s="569" t="s">
        <v>4797</v>
      </c>
      <c r="S5" s="569" t="s">
        <v>4798</v>
      </c>
      <c r="T5" s="569" t="s">
        <v>4799</v>
      </c>
      <c r="U5" s="569" t="s">
        <v>4799</v>
      </c>
      <c r="V5" s="569">
        <v>0</v>
      </c>
      <c r="W5" s="569">
        <v>0</v>
      </c>
      <c r="X5" s="501"/>
    </row>
    <row r="6" spans="3:24" ht="29.25" thickBot="1">
      <c r="C6" s="593">
        <v>1</v>
      </c>
      <c r="D6" s="594" t="s">
        <v>4755</v>
      </c>
      <c r="E6" s="594">
        <v>-1</v>
      </c>
      <c r="F6" s="594">
        <v>-1</v>
      </c>
      <c r="G6" s="594">
        <v>-1</v>
      </c>
      <c r="J6" s="589" t="s">
        <v>4780</v>
      </c>
      <c r="K6" s="590">
        <v>55</v>
      </c>
      <c r="L6" s="590">
        <v>0</v>
      </c>
      <c r="M6" s="590">
        <v>45</v>
      </c>
      <c r="N6" s="590">
        <v>0</v>
      </c>
      <c r="O6" s="590" t="s">
        <v>4781</v>
      </c>
      <c r="R6" s="569" t="s">
        <v>4800</v>
      </c>
      <c r="S6" s="569" t="s">
        <v>4798</v>
      </c>
      <c r="T6" s="569" t="s">
        <v>4799</v>
      </c>
      <c r="U6" s="569" t="s">
        <v>4799</v>
      </c>
      <c r="V6" s="569">
        <v>0</v>
      </c>
      <c r="W6" s="569">
        <v>0</v>
      </c>
      <c r="X6" s="501"/>
    </row>
    <row r="7" spans="3:24" ht="57.75" thickBot="1">
      <c r="C7" s="593">
        <v>2</v>
      </c>
      <c r="D7" s="594" t="s">
        <v>4756</v>
      </c>
      <c r="E7" s="594">
        <v>-1</v>
      </c>
      <c r="F7" s="594">
        <v>-1</v>
      </c>
      <c r="G7" s="594">
        <v>-1</v>
      </c>
      <c r="J7" s="589" t="s">
        <v>4782</v>
      </c>
      <c r="K7" s="590">
        <v>27</v>
      </c>
      <c r="L7" s="590">
        <v>0</v>
      </c>
      <c r="M7" s="590">
        <v>25</v>
      </c>
      <c r="N7" s="590">
        <v>0</v>
      </c>
      <c r="O7" s="590" t="s">
        <v>4781</v>
      </c>
      <c r="R7" s="569" t="s">
        <v>4801</v>
      </c>
      <c r="S7" s="569" t="s">
        <v>4798</v>
      </c>
      <c r="T7" s="569" t="s">
        <v>4799</v>
      </c>
      <c r="U7" s="569" t="s">
        <v>4799</v>
      </c>
      <c r="V7" s="569">
        <v>0</v>
      </c>
      <c r="W7" s="569">
        <v>0</v>
      </c>
      <c r="X7" s="501"/>
    </row>
    <row r="8" spans="3:24" ht="51.75" thickBot="1">
      <c r="C8" s="593">
        <v>3</v>
      </c>
      <c r="D8" s="594" t="s">
        <v>4757</v>
      </c>
      <c r="E8" s="594">
        <v>0</v>
      </c>
      <c r="F8" s="594">
        <v>0</v>
      </c>
      <c r="G8" s="594">
        <v>0</v>
      </c>
      <c r="J8" s="589" t="s">
        <v>4783</v>
      </c>
      <c r="K8" s="590">
        <v>6</v>
      </c>
      <c r="L8" s="590">
        <v>0</v>
      </c>
      <c r="M8" s="590">
        <v>0</v>
      </c>
      <c r="N8" s="590">
        <v>0</v>
      </c>
      <c r="O8" s="590" t="s">
        <v>4784</v>
      </c>
      <c r="R8" s="569" t="s">
        <v>4802</v>
      </c>
      <c r="S8" s="569" t="s">
        <v>4803</v>
      </c>
      <c r="T8" s="569" t="s">
        <v>4804</v>
      </c>
      <c r="U8" s="569" t="s">
        <v>4805</v>
      </c>
      <c r="V8" s="569">
        <v>1</v>
      </c>
      <c r="W8" s="569">
        <v>1</v>
      </c>
      <c r="X8" s="501"/>
    </row>
    <row r="9" spans="3:24" ht="39" thickBot="1">
      <c r="C9" s="593">
        <v>4</v>
      </c>
      <c r="D9" s="594" t="s">
        <v>4758</v>
      </c>
      <c r="E9" s="594">
        <v>0</v>
      </c>
      <c r="F9" s="594">
        <v>0</v>
      </c>
      <c r="G9" s="594">
        <v>0</v>
      </c>
      <c r="J9" s="589" t="s">
        <v>4785</v>
      </c>
      <c r="K9" s="590">
        <v>10.8</v>
      </c>
      <c r="L9" s="590">
        <v>42.3</v>
      </c>
      <c r="M9" s="590">
        <v>10.8</v>
      </c>
      <c r="N9" s="590" t="s">
        <v>4786</v>
      </c>
      <c r="O9" s="600"/>
      <c r="R9" s="569" t="s">
        <v>4806</v>
      </c>
      <c r="S9" s="569" t="s">
        <v>4798</v>
      </c>
      <c r="T9" s="569" t="s">
        <v>4799</v>
      </c>
      <c r="U9" s="569" t="s">
        <v>4799</v>
      </c>
      <c r="V9" s="569">
        <v>0</v>
      </c>
      <c r="W9" s="569">
        <v>0</v>
      </c>
      <c r="X9" s="501"/>
    </row>
    <row r="10" spans="3:24" ht="15.75" thickBot="1">
      <c r="C10" s="593" t="s">
        <v>4759</v>
      </c>
      <c r="D10" s="594" t="s">
        <v>4760</v>
      </c>
      <c r="E10" s="594">
        <v>0</v>
      </c>
      <c r="F10" s="594">
        <v>0</v>
      </c>
      <c r="G10" s="594">
        <v>0</v>
      </c>
      <c r="R10" s="568">
        <v>2</v>
      </c>
      <c r="S10" s="568" t="s">
        <v>4807</v>
      </c>
      <c r="T10" s="501"/>
      <c r="U10" s="501"/>
      <c r="V10" s="501"/>
      <c r="W10" s="501"/>
      <c r="X10" s="501"/>
    </row>
    <row r="11" spans="3:24" ht="114.75" thickBot="1">
      <c r="C11" s="593">
        <v>5</v>
      </c>
      <c r="D11" s="594" t="s">
        <v>4761</v>
      </c>
      <c r="E11" s="594">
        <v>6</v>
      </c>
      <c r="F11" s="594">
        <v>6</v>
      </c>
      <c r="G11" s="594">
        <v>6</v>
      </c>
      <c r="R11" s="569" t="s">
        <v>4808</v>
      </c>
      <c r="S11" s="569" t="s">
        <v>4798</v>
      </c>
      <c r="T11" s="569" t="s">
        <v>4799</v>
      </c>
      <c r="U11" s="569" t="s">
        <v>4799</v>
      </c>
      <c r="V11" s="569">
        <v>0</v>
      </c>
      <c r="W11" s="569">
        <v>0</v>
      </c>
      <c r="X11" s="501"/>
    </row>
    <row r="12" spans="3:24" ht="43.5" thickBot="1">
      <c r="C12" s="593">
        <v>6</v>
      </c>
      <c r="D12" s="594" t="s">
        <v>4762</v>
      </c>
      <c r="E12" s="594">
        <v>13</v>
      </c>
      <c r="F12" s="594">
        <v>1</v>
      </c>
      <c r="G12" s="594">
        <v>16</v>
      </c>
      <c r="K12" s="601">
        <f>K5/100</f>
        <v>0.12</v>
      </c>
      <c r="L12" s="601">
        <f t="shared" ref="L12:N12" si="0">L5/100</f>
        <v>0.9</v>
      </c>
      <c r="M12" s="601">
        <f t="shared" si="0"/>
        <v>0.9</v>
      </c>
      <c r="N12" s="601">
        <f t="shared" si="0"/>
        <v>0.9</v>
      </c>
      <c r="R12" s="569" t="s">
        <v>4809</v>
      </c>
      <c r="S12" s="569" t="s">
        <v>4798</v>
      </c>
      <c r="T12" s="569" t="s">
        <v>4799</v>
      </c>
      <c r="U12" s="569" t="s">
        <v>4799</v>
      </c>
      <c r="V12" s="569">
        <v>0</v>
      </c>
      <c r="W12" s="569">
        <v>0</v>
      </c>
      <c r="X12" s="501"/>
    </row>
    <row r="13" spans="3:24" ht="15.75" thickBot="1">
      <c r="C13" s="593">
        <v>7</v>
      </c>
      <c r="D13" s="594" t="s">
        <v>4763</v>
      </c>
      <c r="E13" s="594">
        <v>17</v>
      </c>
      <c r="F13" s="594">
        <v>12</v>
      </c>
      <c r="G13" s="594">
        <v>19</v>
      </c>
      <c r="K13" s="601">
        <f t="shared" ref="K13:N13" si="1">K6/100</f>
        <v>0.55000000000000004</v>
      </c>
      <c r="L13" s="601">
        <f t="shared" si="1"/>
        <v>0</v>
      </c>
      <c r="M13" s="601">
        <f t="shared" si="1"/>
        <v>0.45</v>
      </c>
      <c r="N13" s="601">
        <f t="shared" si="1"/>
        <v>0</v>
      </c>
      <c r="R13" s="568" t="s">
        <v>4810</v>
      </c>
      <c r="S13" s="568">
        <v>1</v>
      </c>
      <c r="T13" s="568" t="s">
        <v>4796</v>
      </c>
      <c r="U13" s="501"/>
      <c r="V13" s="501"/>
      <c r="W13" s="501"/>
      <c r="X13" s="501"/>
    </row>
    <row r="14" spans="3:24" ht="29.25" thickBot="1">
      <c r="C14" s="593">
        <v>8</v>
      </c>
      <c r="D14" s="594" t="s">
        <v>4764</v>
      </c>
      <c r="E14" s="594">
        <v>25</v>
      </c>
      <c r="F14" s="594">
        <v>13</v>
      </c>
      <c r="G14" s="594">
        <v>28</v>
      </c>
      <c r="K14" s="601">
        <f t="shared" ref="K14:N14" si="2">K7/100</f>
        <v>0.27</v>
      </c>
      <c r="L14" s="601">
        <f t="shared" si="2"/>
        <v>0</v>
      </c>
      <c r="M14" s="601">
        <f t="shared" si="2"/>
        <v>0.25</v>
      </c>
      <c r="N14" s="601">
        <f t="shared" si="2"/>
        <v>0</v>
      </c>
      <c r="R14" s="569" t="s">
        <v>4797</v>
      </c>
      <c r="S14" s="569" t="s">
        <v>4798</v>
      </c>
      <c r="T14" s="569" t="s">
        <v>4799</v>
      </c>
      <c r="U14" s="569" t="s">
        <v>4811</v>
      </c>
      <c r="V14" s="569">
        <v>0</v>
      </c>
      <c r="W14" s="569">
        <v>0</v>
      </c>
      <c r="X14" s="501"/>
    </row>
    <row r="15" spans="3:24" ht="15" thickBot="1">
      <c r="C15" s="593">
        <v>10</v>
      </c>
      <c r="D15" s="594" t="s">
        <v>4765</v>
      </c>
      <c r="E15" s="594">
        <v>22</v>
      </c>
      <c r="F15" s="594">
        <v>15</v>
      </c>
      <c r="G15" s="594">
        <v>27</v>
      </c>
      <c r="K15" s="601">
        <f t="shared" ref="K15:N15" si="3">K8/100</f>
        <v>0.06</v>
      </c>
      <c r="L15" s="601">
        <f t="shared" si="3"/>
        <v>0</v>
      </c>
      <c r="M15" s="601">
        <f t="shared" si="3"/>
        <v>0</v>
      </c>
      <c r="N15" s="601">
        <f t="shared" si="3"/>
        <v>0</v>
      </c>
      <c r="R15" s="569" t="s">
        <v>4800</v>
      </c>
      <c r="S15" s="569" t="s">
        <v>4798</v>
      </c>
      <c r="T15" s="569" t="s">
        <v>4799</v>
      </c>
      <c r="U15" s="569" t="s">
        <v>4799</v>
      </c>
      <c r="V15" s="569">
        <v>0</v>
      </c>
      <c r="W15" s="569">
        <v>0</v>
      </c>
      <c r="X15" s="501"/>
    </row>
    <row r="16" spans="3:24" ht="86.25" thickBot="1">
      <c r="C16" s="593">
        <v>11</v>
      </c>
      <c r="D16" s="594" t="s">
        <v>4766</v>
      </c>
      <c r="E16" s="594">
        <v>24</v>
      </c>
      <c r="F16" s="594">
        <v>17</v>
      </c>
      <c r="G16" s="594">
        <v>29</v>
      </c>
      <c r="I16" s="601">
        <v>1</v>
      </c>
      <c r="J16" s="601">
        <v>1</v>
      </c>
      <c r="K16" s="601">
        <f>SUM(K12:K15)</f>
        <v>1</v>
      </c>
      <c r="L16" s="602">
        <f>SUMPRODUCT($K$12:$K$15,L12:L15)</f>
        <v>0.108</v>
      </c>
      <c r="M16" s="602">
        <f t="shared" ref="M16:N16" si="4">SUMPRODUCT($K$12:$K$15,M12:M15)</f>
        <v>0.42300000000000004</v>
      </c>
      <c r="N16" s="602">
        <f t="shared" si="4"/>
        <v>0.108</v>
      </c>
      <c r="O16" s="603">
        <f>AVERAGE(I16:N16)</f>
        <v>0.60650000000000004</v>
      </c>
      <c r="R16" s="569" t="s">
        <v>4812</v>
      </c>
      <c r="S16" s="569" t="s">
        <v>4815</v>
      </c>
      <c r="T16" s="569" t="s">
        <v>4814</v>
      </c>
      <c r="U16" s="569" t="s">
        <v>4816</v>
      </c>
      <c r="V16" s="569">
        <v>5</v>
      </c>
      <c r="W16" s="569">
        <v>0</v>
      </c>
      <c r="X16" s="501"/>
    </row>
    <row r="17" spans="3:23" ht="64.5" thickBot="1">
      <c r="C17" s="593">
        <v>13</v>
      </c>
      <c r="D17" s="594" t="s">
        <v>4767</v>
      </c>
      <c r="E17" s="594">
        <v>24.5</v>
      </c>
      <c r="F17" s="594">
        <v>17.5</v>
      </c>
      <c r="G17" s="594">
        <v>29.5</v>
      </c>
      <c r="K17" s="601">
        <f t="shared" ref="K17:N17" si="5">K10/100</f>
        <v>0</v>
      </c>
      <c r="L17" s="601">
        <f t="shared" si="5"/>
        <v>0</v>
      </c>
      <c r="M17" s="601">
        <f t="shared" si="5"/>
        <v>0</v>
      </c>
      <c r="N17" s="601">
        <f t="shared" si="5"/>
        <v>0</v>
      </c>
      <c r="R17" s="590" t="s">
        <v>4817</v>
      </c>
      <c r="S17" s="590" t="s">
        <v>4813</v>
      </c>
      <c r="T17" s="590" t="s">
        <v>4818</v>
      </c>
      <c r="U17" s="590" t="s">
        <v>4819</v>
      </c>
      <c r="V17" s="590">
        <v>67</v>
      </c>
      <c r="W17" s="590">
        <v>32</v>
      </c>
    </row>
    <row r="18" spans="3:23" ht="64.5" thickBot="1">
      <c r="C18" s="593">
        <v>14</v>
      </c>
      <c r="D18" s="594" t="s">
        <v>4768</v>
      </c>
      <c r="E18" s="594">
        <v>28</v>
      </c>
      <c r="F18" s="594">
        <v>19</v>
      </c>
      <c r="G18" s="594">
        <v>31</v>
      </c>
      <c r="K18" s="601">
        <f t="shared" ref="K18:N18" si="6">K11/100</f>
        <v>0</v>
      </c>
      <c r="L18" s="601">
        <f t="shared" si="6"/>
        <v>0</v>
      </c>
      <c r="M18" s="601">
        <f t="shared" si="6"/>
        <v>0</v>
      </c>
      <c r="N18" s="601">
        <f t="shared" si="6"/>
        <v>0</v>
      </c>
      <c r="R18" s="590" t="s">
        <v>4806</v>
      </c>
      <c r="S18" s="590" t="s">
        <v>4820</v>
      </c>
      <c r="T18" s="590" t="s">
        <v>4821</v>
      </c>
      <c r="U18" s="590" t="s">
        <v>4822</v>
      </c>
      <c r="V18" s="590">
        <v>91</v>
      </c>
      <c r="W18" s="590">
        <v>70</v>
      </c>
    </row>
    <row r="19" spans="3:23" ht="15" thickBot="1">
      <c r="C19" s="593">
        <v>15</v>
      </c>
      <c r="D19" s="594" t="s">
        <v>4769</v>
      </c>
      <c r="E19" s="594">
        <v>29</v>
      </c>
      <c r="F19" s="594">
        <v>21</v>
      </c>
      <c r="G19" s="594">
        <v>32</v>
      </c>
      <c r="Q19" s="544">
        <v>2</v>
      </c>
      <c r="R19" s="589" t="s">
        <v>4807</v>
      </c>
    </row>
    <row r="20" spans="3:23" ht="77.25" thickBot="1">
      <c r="C20" s="593">
        <v>16</v>
      </c>
      <c r="D20" s="594" t="s">
        <v>4770</v>
      </c>
      <c r="E20" s="594">
        <v>31</v>
      </c>
      <c r="F20" s="594">
        <v>23</v>
      </c>
      <c r="G20" s="594">
        <v>33</v>
      </c>
      <c r="R20" s="590" t="s">
        <v>4823</v>
      </c>
      <c r="S20" s="590" t="s">
        <v>4824</v>
      </c>
      <c r="T20" s="590" t="s">
        <v>4825</v>
      </c>
      <c r="U20" s="590">
        <v>0</v>
      </c>
      <c r="V20" s="590">
        <v>15</v>
      </c>
      <c r="W20">
        <v>0</v>
      </c>
    </row>
    <row r="21" spans="3:23" ht="26.25" thickBot="1">
      <c r="C21" s="593">
        <v>17</v>
      </c>
      <c r="D21" s="594" t="s">
        <v>4771</v>
      </c>
      <c r="E21" s="594">
        <v>32</v>
      </c>
      <c r="F21" s="594">
        <v>24</v>
      </c>
      <c r="G21" s="594">
        <v>34</v>
      </c>
      <c r="R21" s="590" t="s">
        <v>4809</v>
      </c>
      <c r="S21" s="590" t="s">
        <v>4798</v>
      </c>
      <c r="T21" s="590" t="s">
        <v>4799</v>
      </c>
      <c r="U21" s="590" t="s">
        <v>4799</v>
      </c>
      <c r="V21" s="590">
        <v>0</v>
      </c>
      <c r="W21" s="590">
        <v>0</v>
      </c>
    </row>
    <row r="22" spans="3:23" ht="15" thickBot="1">
      <c r="C22" s="593">
        <v>18</v>
      </c>
      <c r="D22" s="594" t="s">
        <v>4772</v>
      </c>
      <c r="E22" s="594">
        <v>32.200000000000003</v>
      </c>
      <c r="F22" s="594">
        <v>24.5</v>
      </c>
      <c r="G22" s="594">
        <v>34.5</v>
      </c>
      <c r="P22" s="589" t="s">
        <v>4826</v>
      </c>
      <c r="Q22" s="589">
        <v>1</v>
      </c>
      <c r="R22" s="589" t="s">
        <v>4796</v>
      </c>
    </row>
    <row r="23" spans="3:23" ht="15" thickBot="1">
      <c r="R23" s="590" t="s">
        <v>4797</v>
      </c>
      <c r="S23" s="590" t="s">
        <v>4798</v>
      </c>
      <c r="T23" s="590" t="s">
        <v>4799</v>
      </c>
      <c r="U23" s="590" t="s">
        <v>4799</v>
      </c>
      <c r="V23" s="590">
        <v>0</v>
      </c>
      <c r="W23" s="590">
        <v>0</v>
      </c>
    </row>
    <row r="24" spans="3:23" ht="15" thickBot="1">
      <c r="R24" s="590" t="s">
        <v>4800</v>
      </c>
      <c r="S24" s="590" t="s">
        <v>4798</v>
      </c>
      <c r="T24" s="590" t="s">
        <v>4799</v>
      </c>
      <c r="U24" s="590" t="s">
        <v>4799</v>
      </c>
      <c r="V24" s="590">
        <v>0</v>
      </c>
      <c r="W24" s="590">
        <v>0</v>
      </c>
    </row>
    <row r="25" spans="3:23" ht="39" thickBot="1">
      <c r="R25" s="590" t="s">
        <v>4801</v>
      </c>
      <c r="S25" s="590" t="s">
        <v>4798</v>
      </c>
      <c r="T25" s="590" t="s">
        <v>4799</v>
      </c>
      <c r="U25" s="590" t="s">
        <v>4799</v>
      </c>
      <c r="V25" s="590">
        <v>0</v>
      </c>
      <c r="W25" s="590">
        <v>0</v>
      </c>
    </row>
    <row r="26" spans="3:23" ht="15" thickBot="1">
      <c r="R26" s="590" t="s">
        <v>4817</v>
      </c>
      <c r="S26" s="590" t="s">
        <v>4798</v>
      </c>
      <c r="T26" s="590" t="s">
        <v>4799</v>
      </c>
      <c r="U26" s="590">
        <v>0</v>
      </c>
      <c r="V26" s="590">
        <v>0</v>
      </c>
      <c r="W26"/>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
  <sheetViews>
    <sheetView zoomScaleNormal="100" workbookViewId="0">
      <pane xSplit="2" ySplit="6" topLeftCell="C26" activePane="bottomRight" state="frozen"/>
      <selection pane="topRight" activeCell="K1" sqref="K1"/>
      <selection pane="bottomLeft" activeCell="A7" sqref="A7"/>
      <selection pane="bottomRight" activeCell="B5" sqref="B5:C29 E5:E29 R5:R29"/>
    </sheetView>
  </sheetViews>
  <sheetFormatPr defaultColWidth="9" defaultRowHeight="13.5"/>
  <cols>
    <col min="1" max="1" width="3.5" style="5" customWidth="1"/>
    <col min="2" max="2" width="5" style="5" customWidth="1"/>
    <col min="3" max="3" width="25.375" style="20" customWidth="1"/>
    <col min="4" max="4" width="4.75" style="9" hidden="1" customWidth="1"/>
    <col min="5" max="5" width="11.375" style="3" customWidth="1"/>
    <col min="6" max="6" width="12.875" style="29" hidden="1" customWidth="1"/>
    <col min="7" max="7" width="8.625" style="5" hidden="1" customWidth="1"/>
    <col min="8" max="8" width="8.125" style="20" hidden="1" customWidth="1"/>
    <col min="9" max="9" width="8.25" style="5" hidden="1" customWidth="1"/>
    <col min="10" max="10" width="7.625" style="5" hidden="1" customWidth="1"/>
    <col min="11" max="11" width="8" style="5" hidden="1" customWidth="1"/>
    <col min="12" max="12" width="6.125" style="5" hidden="1" customWidth="1"/>
    <col min="13" max="13" width="8" style="5" hidden="1" customWidth="1"/>
    <col min="14" max="14" width="9.5" style="5" hidden="1" customWidth="1"/>
    <col min="15" max="15" width="5" style="5" hidden="1" customWidth="1"/>
    <col min="16" max="16" width="9.25" style="5" hidden="1" customWidth="1"/>
    <col min="17" max="17" width="10.375" style="5" hidden="1" customWidth="1"/>
    <col min="18" max="18" width="9.75" style="5" bestFit="1" customWidth="1"/>
    <col min="19" max="16384" width="9" style="5"/>
  </cols>
  <sheetData>
    <row r="1" spans="1:19">
      <c r="A1" s="12"/>
      <c r="B1" s="12"/>
      <c r="C1" s="219"/>
      <c r="D1" s="220"/>
      <c r="F1" s="181"/>
      <c r="G1" s="12"/>
      <c r="H1" s="219"/>
      <c r="I1" s="111"/>
      <c r="J1" s="263"/>
      <c r="M1" s="113"/>
    </row>
    <row r="2" spans="1:19" ht="14.25">
      <c r="B2" s="19" t="s">
        <v>436</v>
      </c>
      <c r="I2" s="111"/>
      <c r="J2" s="112"/>
      <c r="M2" s="113"/>
    </row>
    <row r="3" spans="1:19" ht="14.25">
      <c r="B3" s="19"/>
      <c r="M3" s="113"/>
      <c r="O3" s="293"/>
      <c r="P3" s="294">
        <v>44651</v>
      </c>
      <c r="Q3" s="294"/>
      <c r="R3" s="295"/>
    </row>
    <row r="4" spans="1:19" ht="14.25">
      <c r="B4" s="19" t="s">
        <v>4648</v>
      </c>
      <c r="I4" s="81"/>
      <c r="J4" s="81"/>
      <c r="K4" s="81"/>
      <c r="L4" s="81"/>
      <c r="M4" s="81"/>
      <c r="N4" s="81"/>
      <c r="O4" s="610" t="s">
        <v>4569</v>
      </c>
      <c r="P4" s="610"/>
      <c r="Q4" s="610"/>
      <c r="R4" s="610"/>
    </row>
    <row r="5" spans="1:19" ht="54">
      <c r="B5" s="179" t="s">
        <v>56</v>
      </c>
      <c r="C5" s="179" t="s">
        <v>397</v>
      </c>
      <c r="D5" s="82" t="s">
        <v>398</v>
      </c>
      <c r="E5" s="180" t="s">
        <v>2623</v>
      </c>
      <c r="F5" s="82" t="s">
        <v>400</v>
      </c>
      <c r="G5" s="82" t="s">
        <v>401</v>
      </c>
      <c r="H5" s="82" t="s">
        <v>402</v>
      </c>
      <c r="I5" s="190" t="s">
        <v>2471</v>
      </c>
      <c r="J5" s="190" t="s">
        <v>2470</v>
      </c>
      <c r="K5" s="190" t="s">
        <v>2468</v>
      </c>
      <c r="L5" s="190" t="s">
        <v>2469</v>
      </c>
      <c r="M5" s="190" t="s">
        <v>2473</v>
      </c>
      <c r="N5" s="190" t="s">
        <v>2474</v>
      </c>
      <c r="O5" s="185" t="s">
        <v>403</v>
      </c>
      <c r="P5" s="184" t="s">
        <v>405</v>
      </c>
      <c r="Q5" s="184" t="s">
        <v>280</v>
      </c>
      <c r="R5" s="180" t="s">
        <v>404</v>
      </c>
    </row>
    <row r="6" spans="1:19" s="22" customFormat="1" ht="14.25">
      <c r="B6" s="524" t="s">
        <v>2847</v>
      </c>
      <c r="C6" s="524"/>
      <c r="D6" s="13"/>
      <c r="E6" s="530"/>
      <c r="F6" s="103"/>
      <c r="G6" s="65"/>
      <c r="H6" s="65"/>
      <c r="I6" s="59"/>
      <c r="J6" s="18" t="s">
        <v>2229</v>
      </c>
      <c r="K6" s="18" t="s">
        <v>2229</v>
      </c>
      <c r="L6" s="18" t="s">
        <v>2229</v>
      </c>
      <c r="M6" s="18" t="s">
        <v>2478</v>
      </c>
      <c r="N6" s="18" t="s">
        <v>2478</v>
      </c>
      <c r="O6" s="57"/>
      <c r="P6" s="57"/>
      <c r="Q6" s="57"/>
      <c r="R6" s="528"/>
    </row>
    <row r="7" spans="1:19" s="22" customFormat="1" ht="14.25">
      <c r="B7" s="524" t="s">
        <v>2965</v>
      </c>
      <c r="C7" s="524"/>
      <c r="D7" s="18"/>
      <c r="E7" s="530"/>
      <c r="F7" s="296"/>
      <c r="G7" s="59"/>
      <c r="H7" s="59"/>
      <c r="I7" s="59"/>
      <c r="J7" s="18"/>
      <c r="K7" s="18"/>
      <c r="L7" s="18"/>
      <c r="M7" s="18"/>
      <c r="N7" s="18"/>
      <c r="O7" s="25"/>
      <c r="P7" s="25"/>
      <c r="Q7" s="25"/>
      <c r="R7" s="528"/>
    </row>
    <row r="8" spans="1:19" s="22" customFormat="1" ht="40.5">
      <c r="B8" s="525">
        <v>1</v>
      </c>
      <c r="C8" s="422" t="s">
        <v>2966</v>
      </c>
      <c r="D8" s="234" t="s">
        <v>887</v>
      </c>
      <c r="E8" s="427">
        <v>326133</v>
      </c>
      <c r="F8" s="234" t="s">
        <v>2967</v>
      </c>
      <c r="G8" s="238">
        <v>42163</v>
      </c>
      <c r="H8" s="239" t="s">
        <v>368</v>
      </c>
      <c r="I8" s="300">
        <v>53120</v>
      </c>
      <c r="J8" s="301">
        <v>10958</v>
      </c>
      <c r="K8" s="301">
        <v>0</v>
      </c>
      <c r="L8" s="301">
        <v>10958</v>
      </c>
      <c r="M8" s="301">
        <v>16307</v>
      </c>
      <c r="N8" s="301">
        <v>309826</v>
      </c>
      <c r="O8" s="242">
        <v>365</v>
      </c>
      <c r="P8" s="242">
        <v>10320</v>
      </c>
      <c r="Q8" s="242">
        <v>70374</v>
      </c>
      <c r="R8" s="533">
        <v>255759</v>
      </c>
      <c r="S8" s="90"/>
    </row>
    <row r="9" spans="1:19" s="22" customFormat="1" ht="27">
      <c r="B9" s="525">
        <f>+B8+1</f>
        <v>2</v>
      </c>
      <c r="C9" s="422" t="s">
        <v>3990</v>
      </c>
      <c r="D9" s="234" t="s">
        <v>887</v>
      </c>
      <c r="E9" s="427">
        <v>441347</v>
      </c>
      <c r="F9" s="234" t="s">
        <v>3991</v>
      </c>
      <c r="G9" s="238">
        <v>42825</v>
      </c>
      <c r="H9" s="239" t="s">
        <v>368</v>
      </c>
      <c r="I9" s="300">
        <v>53781</v>
      </c>
      <c r="J9" s="301">
        <v>10957</v>
      </c>
      <c r="K9" s="301">
        <v>0</v>
      </c>
      <c r="L9" s="301">
        <v>10957</v>
      </c>
      <c r="M9" s="301">
        <v>22067</v>
      </c>
      <c r="N9" s="301">
        <v>419280</v>
      </c>
      <c r="O9" s="242">
        <v>365</v>
      </c>
      <c r="P9" s="242">
        <v>13967</v>
      </c>
      <c r="Q9" s="242">
        <v>69911</v>
      </c>
      <c r="R9" s="533">
        <v>371436</v>
      </c>
      <c r="S9" s="90"/>
    </row>
    <row r="10" spans="1:19" s="22" customFormat="1">
      <c r="B10" s="525"/>
      <c r="C10" s="422"/>
      <c r="D10" s="234"/>
      <c r="E10" s="427"/>
      <c r="F10" s="234"/>
      <c r="G10" s="238"/>
      <c r="H10" s="239"/>
      <c r="I10" s="300"/>
      <c r="J10" s="301"/>
      <c r="K10" s="301"/>
      <c r="L10" s="301"/>
      <c r="M10" s="301"/>
      <c r="N10" s="301"/>
      <c r="O10" s="242"/>
      <c r="P10" s="242"/>
      <c r="Q10" s="228"/>
      <c r="R10" s="422"/>
      <c r="S10" s="90"/>
    </row>
    <row r="11" spans="1:19" s="22" customFormat="1" ht="14.25">
      <c r="B11" s="526" t="s">
        <v>2846</v>
      </c>
      <c r="C11" s="527"/>
      <c r="D11" s="234"/>
      <c r="E11" s="427"/>
      <c r="F11" s="234"/>
      <c r="G11" s="238"/>
      <c r="H11" s="239"/>
      <c r="I11" s="288"/>
      <c r="J11" s="288"/>
      <c r="K11" s="288"/>
      <c r="L11" s="288"/>
      <c r="M11" s="288"/>
      <c r="N11" s="288"/>
      <c r="O11" s="242"/>
      <c r="P11" s="242"/>
      <c r="Q11" s="228"/>
      <c r="R11" s="422"/>
      <c r="S11" s="90"/>
    </row>
    <row r="12" spans="1:19" s="22" customFormat="1" ht="27">
      <c r="B12" s="525">
        <v>1</v>
      </c>
      <c r="C12" s="422" t="s">
        <v>2842</v>
      </c>
      <c r="D12" s="234" t="s">
        <v>887</v>
      </c>
      <c r="E12" s="427">
        <v>16894621</v>
      </c>
      <c r="F12" s="234" t="s">
        <v>2843</v>
      </c>
      <c r="G12" s="238">
        <v>42095</v>
      </c>
      <c r="H12" s="239" t="s">
        <v>368</v>
      </c>
      <c r="I12" s="300">
        <v>53052</v>
      </c>
      <c r="J12" s="301">
        <v>10958</v>
      </c>
      <c r="K12" s="301">
        <v>0</v>
      </c>
      <c r="L12" s="301">
        <v>10958</v>
      </c>
      <c r="M12" s="301">
        <v>844731</v>
      </c>
      <c r="N12" s="301">
        <v>16049890</v>
      </c>
      <c r="O12" s="242">
        <v>365</v>
      </c>
      <c r="P12" s="242">
        <v>534606</v>
      </c>
      <c r="Q12" s="242">
        <v>3745170</v>
      </c>
      <c r="R12" s="533">
        <v>13149451</v>
      </c>
      <c r="S12" s="90"/>
    </row>
    <row r="13" spans="1:19" s="22" customFormat="1" ht="27">
      <c r="B13" s="525">
        <f t="shared" ref="B13:B26" si="0">+B12+1</f>
        <v>2</v>
      </c>
      <c r="C13" s="422" t="s">
        <v>2848</v>
      </c>
      <c r="D13" s="234" t="s">
        <v>887</v>
      </c>
      <c r="E13" s="427">
        <v>7150381</v>
      </c>
      <c r="F13" s="234" t="s">
        <v>2843</v>
      </c>
      <c r="G13" s="238">
        <v>42095</v>
      </c>
      <c r="H13" s="239" t="s">
        <v>368</v>
      </c>
      <c r="I13" s="300">
        <v>53052</v>
      </c>
      <c r="J13" s="301">
        <v>10958</v>
      </c>
      <c r="K13" s="301">
        <v>0</v>
      </c>
      <c r="L13" s="301">
        <v>10958</v>
      </c>
      <c r="M13" s="301">
        <v>357519</v>
      </c>
      <c r="N13" s="301">
        <v>6792862</v>
      </c>
      <c r="O13" s="242">
        <v>365</v>
      </c>
      <c r="P13" s="242">
        <v>226263</v>
      </c>
      <c r="Q13" s="242">
        <v>1585081</v>
      </c>
      <c r="R13" s="533">
        <v>5565300</v>
      </c>
      <c r="S13" s="90"/>
    </row>
    <row r="14" spans="1:19" s="22" customFormat="1" ht="40.5">
      <c r="B14" s="525">
        <f t="shared" si="0"/>
        <v>3</v>
      </c>
      <c r="C14" s="422" t="s">
        <v>2849</v>
      </c>
      <c r="D14" s="234" t="s">
        <v>887</v>
      </c>
      <c r="E14" s="427">
        <v>113373396</v>
      </c>
      <c r="F14" s="234" t="s">
        <v>2843</v>
      </c>
      <c r="G14" s="238">
        <v>42095</v>
      </c>
      <c r="H14" s="239" t="s">
        <v>368</v>
      </c>
      <c r="I14" s="300">
        <v>53052</v>
      </c>
      <c r="J14" s="301">
        <v>10958</v>
      </c>
      <c r="K14" s="301">
        <v>0</v>
      </c>
      <c r="L14" s="301">
        <v>10958</v>
      </c>
      <c r="M14" s="301">
        <v>5668670</v>
      </c>
      <c r="N14" s="301">
        <v>107704726</v>
      </c>
      <c r="O14" s="242">
        <v>365</v>
      </c>
      <c r="P14" s="242">
        <v>3587537</v>
      </c>
      <c r="Q14" s="242">
        <v>25132415</v>
      </c>
      <c r="R14" s="533">
        <v>88240981</v>
      </c>
      <c r="S14" s="90"/>
    </row>
    <row r="15" spans="1:19" s="22" customFormat="1" ht="40.5">
      <c r="B15" s="525">
        <f t="shared" si="0"/>
        <v>4</v>
      </c>
      <c r="C15" s="422" t="s">
        <v>2850</v>
      </c>
      <c r="D15" s="234" t="s">
        <v>887</v>
      </c>
      <c r="E15" s="427">
        <v>29432032</v>
      </c>
      <c r="F15" s="234" t="s">
        <v>2843</v>
      </c>
      <c r="G15" s="238">
        <v>42095</v>
      </c>
      <c r="H15" s="239" t="s">
        <v>368</v>
      </c>
      <c r="I15" s="300">
        <v>53052</v>
      </c>
      <c r="J15" s="301">
        <v>10958</v>
      </c>
      <c r="K15" s="301">
        <v>0</v>
      </c>
      <c r="L15" s="301">
        <v>10958</v>
      </c>
      <c r="M15" s="301">
        <v>1471602</v>
      </c>
      <c r="N15" s="301">
        <v>27960430</v>
      </c>
      <c r="O15" s="242">
        <v>365</v>
      </c>
      <c r="P15" s="242">
        <v>931334</v>
      </c>
      <c r="Q15" s="242">
        <v>6524442</v>
      </c>
      <c r="R15" s="533">
        <v>22907590</v>
      </c>
      <c r="S15" s="90"/>
    </row>
    <row r="16" spans="1:19" s="22" customFormat="1" ht="27">
      <c r="B16" s="525">
        <f t="shared" si="0"/>
        <v>5</v>
      </c>
      <c r="C16" s="422" t="s">
        <v>2851</v>
      </c>
      <c r="D16" s="234" t="s">
        <v>887</v>
      </c>
      <c r="E16" s="427">
        <v>2703785</v>
      </c>
      <c r="F16" s="234" t="s">
        <v>2843</v>
      </c>
      <c r="G16" s="238">
        <v>42095</v>
      </c>
      <c r="H16" s="239" t="s">
        <v>368</v>
      </c>
      <c r="I16" s="300">
        <v>53052</v>
      </c>
      <c r="J16" s="301">
        <v>10958</v>
      </c>
      <c r="K16" s="301">
        <v>0</v>
      </c>
      <c r="L16" s="301">
        <v>10958</v>
      </c>
      <c r="M16" s="301">
        <v>135189</v>
      </c>
      <c r="N16" s="301">
        <v>2568596</v>
      </c>
      <c r="O16" s="242">
        <v>365</v>
      </c>
      <c r="P16" s="242">
        <v>85557</v>
      </c>
      <c r="Q16" s="242">
        <v>599369</v>
      </c>
      <c r="R16" s="533">
        <v>2104416</v>
      </c>
      <c r="S16" s="90"/>
    </row>
    <row r="17" spans="2:19" s="22" customFormat="1" ht="27">
      <c r="B17" s="525">
        <f t="shared" si="0"/>
        <v>6</v>
      </c>
      <c r="C17" s="422" t="s">
        <v>2852</v>
      </c>
      <c r="D17" s="234" t="s">
        <v>887</v>
      </c>
      <c r="E17" s="427">
        <v>22901905</v>
      </c>
      <c r="F17" s="234" t="s">
        <v>2843</v>
      </c>
      <c r="G17" s="238">
        <v>42095</v>
      </c>
      <c r="H17" s="239" t="s">
        <v>368</v>
      </c>
      <c r="I17" s="300">
        <v>53052</v>
      </c>
      <c r="J17" s="301">
        <v>10958</v>
      </c>
      <c r="K17" s="301">
        <v>0</v>
      </c>
      <c r="L17" s="301">
        <v>10958</v>
      </c>
      <c r="M17" s="301">
        <v>1145095</v>
      </c>
      <c r="N17" s="301">
        <v>21756810</v>
      </c>
      <c r="O17" s="242">
        <v>365</v>
      </c>
      <c r="P17" s="242">
        <v>724698</v>
      </c>
      <c r="Q17" s="242">
        <v>5076856</v>
      </c>
      <c r="R17" s="533">
        <v>17825049</v>
      </c>
      <c r="S17" s="90"/>
    </row>
    <row r="18" spans="2:19" s="22" customFormat="1" ht="27">
      <c r="B18" s="525">
        <f t="shared" si="0"/>
        <v>7</v>
      </c>
      <c r="C18" s="422" t="s">
        <v>2853</v>
      </c>
      <c r="D18" s="234" t="s">
        <v>887</v>
      </c>
      <c r="E18" s="427">
        <v>9776664</v>
      </c>
      <c r="F18" s="234" t="s">
        <v>2843</v>
      </c>
      <c r="G18" s="238">
        <v>42095</v>
      </c>
      <c r="H18" s="239" t="s">
        <v>368</v>
      </c>
      <c r="I18" s="300">
        <v>53052</v>
      </c>
      <c r="J18" s="301">
        <v>10958</v>
      </c>
      <c r="K18" s="301">
        <v>0</v>
      </c>
      <c r="L18" s="301">
        <v>10958</v>
      </c>
      <c r="M18" s="301">
        <v>488833</v>
      </c>
      <c r="N18" s="301">
        <v>9287831</v>
      </c>
      <c r="O18" s="242">
        <v>365</v>
      </c>
      <c r="P18" s="242">
        <v>309368</v>
      </c>
      <c r="Q18" s="242">
        <v>2167272</v>
      </c>
      <c r="R18" s="533">
        <v>7609392</v>
      </c>
      <c r="S18" s="90"/>
    </row>
    <row r="19" spans="2:19" s="22" customFormat="1" ht="27">
      <c r="B19" s="525">
        <f t="shared" si="0"/>
        <v>8</v>
      </c>
      <c r="C19" s="422" t="s">
        <v>2854</v>
      </c>
      <c r="D19" s="234" t="s">
        <v>887</v>
      </c>
      <c r="E19" s="427">
        <v>11717969</v>
      </c>
      <c r="F19" s="234" t="s">
        <v>2855</v>
      </c>
      <c r="G19" s="238">
        <v>42095</v>
      </c>
      <c r="H19" s="239" t="s">
        <v>368</v>
      </c>
      <c r="I19" s="300">
        <v>53052</v>
      </c>
      <c r="J19" s="301">
        <v>10958</v>
      </c>
      <c r="K19" s="301">
        <v>0</v>
      </c>
      <c r="L19" s="301">
        <v>10958</v>
      </c>
      <c r="M19" s="301">
        <v>585898</v>
      </c>
      <c r="N19" s="301">
        <v>11132071</v>
      </c>
      <c r="O19" s="242">
        <v>365</v>
      </c>
      <c r="P19" s="242">
        <v>370798</v>
      </c>
      <c r="Q19" s="242">
        <v>2597618</v>
      </c>
      <c r="R19" s="533">
        <v>9120351</v>
      </c>
      <c r="S19" s="90"/>
    </row>
    <row r="20" spans="2:19" s="22" customFormat="1" ht="27">
      <c r="B20" s="525">
        <f t="shared" si="0"/>
        <v>9</v>
      </c>
      <c r="C20" s="422" t="s">
        <v>2858</v>
      </c>
      <c r="D20" s="234" t="s">
        <v>887</v>
      </c>
      <c r="E20" s="427">
        <v>86041</v>
      </c>
      <c r="F20" s="234">
        <v>219</v>
      </c>
      <c r="G20" s="238">
        <v>42095</v>
      </c>
      <c r="H20" s="239" t="s">
        <v>368</v>
      </c>
      <c r="I20" s="300">
        <v>53052</v>
      </c>
      <c r="J20" s="301">
        <v>10958</v>
      </c>
      <c r="K20" s="301">
        <v>0</v>
      </c>
      <c r="L20" s="301">
        <v>10958</v>
      </c>
      <c r="M20" s="301">
        <v>4302</v>
      </c>
      <c r="N20" s="301">
        <v>81739</v>
      </c>
      <c r="O20" s="242">
        <v>365</v>
      </c>
      <c r="P20" s="242">
        <v>2723</v>
      </c>
      <c r="Q20" s="242">
        <v>19075</v>
      </c>
      <c r="R20" s="533">
        <v>66966</v>
      </c>
      <c r="S20" s="90"/>
    </row>
    <row r="21" spans="2:19" s="22" customFormat="1" ht="27">
      <c r="B21" s="525">
        <f t="shared" si="0"/>
        <v>10</v>
      </c>
      <c r="C21" s="422" t="s">
        <v>2859</v>
      </c>
      <c r="D21" s="234" t="s">
        <v>887</v>
      </c>
      <c r="E21" s="427">
        <v>116278</v>
      </c>
      <c r="F21" s="234" t="s">
        <v>2856</v>
      </c>
      <c r="G21" s="238">
        <v>42095</v>
      </c>
      <c r="H21" s="239" t="s">
        <v>368</v>
      </c>
      <c r="I21" s="300">
        <v>53052</v>
      </c>
      <c r="J21" s="301">
        <v>10958</v>
      </c>
      <c r="K21" s="301">
        <v>0</v>
      </c>
      <c r="L21" s="301">
        <v>10958</v>
      </c>
      <c r="M21" s="301">
        <v>5814</v>
      </c>
      <c r="N21" s="301">
        <v>110464</v>
      </c>
      <c r="O21" s="242">
        <v>365</v>
      </c>
      <c r="P21" s="242">
        <v>3679</v>
      </c>
      <c r="Q21" s="242">
        <v>25775</v>
      </c>
      <c r="R21" s="533">
        <v>90503</v>
      </c>
      <c r="S21" s="90"/>
    </row>
    <row r="22" spans="2:19" s="22" customFormat="1" ht="40.5">
      <c r="B22" s="525">
        <f t="shared" si="0"/>
        <v>11</v>
      </c>
      <c r="C22" s="422" t="s">
        <v>2860</v>
      </c>
      <c r="D22" s="234" t="s">
        <v>887</v>
      </c>
      <c r="E22" s="427">
        <v>3011106</v>
      </c>
      <c r="F22" s="234" t="s">
        <v>2857</v>
      </c>
      <c r="G22" s="238">
        <v>42095</v>
      </c>
      <c r="H22" s="239" t="s">
        <v>368</v>
      </c>
      <c r="I22" s="300">
        <v>53052</v>
      </c>
      <c r="J22" s="301">
        <v>10958</v>
      </c>
      <c r="K22" s="301">
        <v>0</v>
      </c>
      <c r="L22" s="301">
        <v>10958</v>
      </c>
      <c r="M22" s="301">
        <v>150555</v>
      </c>
      <c r="N22" s="301">
        <v>2860551</v>
      </c>
      <c r="O22" s="242">
        <v>365</v>
      </c>
      <c r="P22" s="242">
        <v>95282</v>
      </c>
      <c r="Q22" s="242">
        <v>667496</v>
      </c>
      <c r="R22" s="533">
        <v>2343610</v>
      </c>
      <c r="S22" s="90"/>
    </row>
    <row r="23" spans="2:19" s="22" customFormat="1" ht="54">
      <c r="B23" s="525">
        <f t="shared" si="0"/>
        <v>12</v>
      </c>
      <c r="C23" s="422" t="s">
        <v>2861</v>
      </c>
      <c r="D23" s="234" t="s">
        <v>887</v>
      </c>
      <c r="E23" s="427">
        <v>2135687</v>
      </c>
      <c r="F23" s="234">
        <v>7121111245</v>
      </c>
      <c r="G23" s="238">
        <v>42095</v>
      </c>
      <c r="H23" s="239" t="s">
        <v>368</v>
      </c>
      <c r="I23" s="300">
        <v>53052</v>
      </c>
      <c r="J23" s="301">
        <v>10958</v>
      </c>
      <c r="K23" s="301">
        <v>0</v>
      </c>
      <c r="L23" s="301">
        <v>10958</v>
      </c>
      <c r="M23" s="301">
        <v>106784</v>
      </c>
      <c r="N23" s="301">
        <v>2028903</v>
      </c>
      <c r="O23" s="242">
        <v>365</v>
      </c>
      <c r="P23" s="242">
        <v>67581</v>
      </c>
      <c r="Q23" s="242">
        <v>473437</v>
      </c>
      <c r="R23" s="533">
        <v>1662250</v>
      </c>
      <c r="S23" s="90"/>
    </row>
    <row r="24" spans="2:19" s="22" customFormat="1" ht="54">
      <c r="B24" s="525">
        <f t="shared" si="0"/>
        <v>13</v>
      </c>
      <c r="C24" s="422" t="s">
        <v>2861</v>
      </c>
      <c r="D24" s="234" t="s">
        <v>887</v>
      </c>
      <c r="E24" s="427">
        <v>182394</v>
      </c>
      <c r="F24" s="234">
        <v>7122000880</v>
      </c>
      <c r="G24" s="238">
        <v>42095</v>
      </c>
      <c r="H24" s="239" t="s">
        <v>368</v>
      </c>
      <c r="I24" s="300">
        <v>53052</v>
      </c>
      <c r="J24" s="301">
        <v>10958</v>
      </c>
      <c r="K24" s="301">
        <v>0</v>
      </c>
      <c r="L24" s="301">
        <v>10958</v>
      </c>
      <c r="M24" s="301">
        <v>9120</v>
      </c>
      <c r="N24" s="301">
        <v>173274</v>
      </c>
      <c r="O24" s="242">
        <v>365</v>
      </c>
      <c r="P24" s="242">
        <v>5772</v>
      </c>
      <c r="Q24" s="242">
        <v>40434</v>
      </c>
      <c r="R24" s="533">
        <v>141960</v>
      </c>
      <c r="S24" s="90"/>
    </row>
    <row r="25" spans="2:19" s="22" customFormat="1" ht="54">
      <c r="B25" s="525">
        <f t="shared" si="0"/>
        <v>14</v>
      </c>
      <c r="C25" s="422" t="s">
        <v>2861</v>
      </c>
      <c r="D25" s="234" t="s">
        <v>887</v>
      </c>
      <c r="E25" s="427">
        <v>3407</v>
      </c>
      <c r="F25" s="234">
        <v>710120000</v>
      </c>
      <c r="G25" s="238">
        <v>42095</v>
      </c>
      <c r="H25" s="239" t="s">
        <v>368</v>
      </c>
      <c r="I25" s="300">
        <v>53052</v>
      </c>
      <c r="J25" s="301">
        <v>10958</v>
      </c>
      <c r="K25" s="301">
        <v>0</v>
      </c>
      <c r="L25" s="301">
        <v>10958</v>
      </c>
      <c r="M25" s="301">
        <v>170</v>
      </c>
      <c r="N25" s="301">
        <v>3237</v>
      </c>
      <c r="O25" s="242">
        <v>365</v>
      </c>
      <c r="P25" s="242">
        <v>108</v>
      </c>
      <c r="Q25" s="242">
        <v>756</v>
      </c>
      <c r="R25" s="533">
        <v>2651</v>
      </c>
      <c r="S25" s="90"/>
    </row>
    <row r="26" spans="2:19" s="22" customFormat="1" ht="54">
      <c r="B26" s="525">
        <f t="shared" si="0"/>
        <v>15</v>
      </c>
      <c r="C26" s="422" t="s">
        <v>2862</v>
      </c>
      <c r="D26" s="234" t="s">
        <v>887</v>
      </c>
      <c r="E26" s="427">
        <v>600000</v>
      </c>
      <c r="F26" s="234" t="s">
        <v>42</v>
      </c>
      <c r="G26" s="238">
        <v>42095</v>
      </c>
      <c r="H26" s="239" t="s">
        <v>368</v>
      </c>
      <c r="I26" s="300">
        <v>53052</v>
      </c>
      <c r="J26" s="301">
        <v>10958</v>
      </c>
      <c r="K26" s="301">
        <v>0</v>
      </c>
      <c r="L26" s="301">
        <v>10958</v>
      </c>
      <c r="M26" s="301">
        <v>30000</v>
      </c>
      <c r="N26" s="301">
        <v>570000</v>
      </c>
      <c r="O26" s="242">
        <v>365</v>
      </c>
      <c r="P26" s="242">
        <v>18986</v>
      </c>
      <c r="Q26" s="242">
        <v>133006</v>
      </c>
      <c r="R26" s="533">
        <v>466994</v>
      </c>
      <c r="S26" s="90"/>
    </row>
    <row r="27" spans="2:19" s="22" customFormat="1">
      <c r="B27" s="525"/>
      <c r="C27" s="528"/>
      <c r="D27" s="8"/>
      <c r="E27" s="531"/>
      <c r="F27" s="8"/>
      <c r="G27" s="17"/>
      <c r="H27" s="45"/>
      <c r="I27" s="196"/>
      <c r="J27" s="201"/>
      <c r="K27" s="201"/>
      <c r="L27" s="201"/>
      <c r="M27" s="201"/>
      <c r="N27" s="201"/>
      <c r="O27" s="72"/>
      <c r="P27" s="72"/>
      <c r="Q27" s="25"/>
      <c r="R27" s="528"/>
      <c r="S27" s="90"/>
    </row>
    <row r="28" spans="2:19" s="22" customFormat="1">
      <c r="B28" s="525"/>
      <c r="C28" s="528"/>
      <c r="D28" s="8"/>
      <c r="E28" s="531"/>
      <c r="F28" s="8"/>
      <c r="G28" s="17"/>
      <c r="H28" s="45"/>
      <c r="I28" s="196"/>
      <c r="J28" s="201"/>
      <c r="K28" s="201"/>
      <c r="L28" s="201"/>
      <c r="M28" s="201"/>
      <c r="N28" s="201"/>
      <c r="O28" s="93"/>
      <c r="P28" s="93"/>
      <c r="Q28" s="93"/>
      <c r="R28" s="528"/>
      <c r="S28" s="34"/>
    </row>
    <row r="29" spans="2:19" ht="15" thickBot="1">
      <c r="B29" s="172"/>
      <c r="C29" s="529" t="s">
        <v>915</v>
      </c>
      <c r="D29" s="223"/>
      <c r="E29" s="532">
        <f>SUBTOTAL(9,E6:E28)</f>
        <v>220853146</v>
      </c>
      <c r="F29" s="224"/>
      <c r="G29" s="168"/>
      <c r="H29" s="221"/>
      <c r="I29" s="297"/>
      <c r="J29" s="297"/>
      <c r="K29" s="297"/>
      <c r="L29" s="297"/>
      <c r="M29" s="297"/>
      <c r="N29" s="297"/>
      <c r="O29" s="298"/>
      <c r="P29" s="225">
        <f>SUBTOTAL(9,P6:P28)</f>
        <v>6988579</v>
      </c>
      <c r="Q29" s="225">
        <f>SUBTOTAL(9,Q6:Q28)</f>
        <v>48928487</v>
      </c>
      <c r="R29" s="532">
        <f>SUBTOTAL(9,R6:R28)</f>
        <v>171924659</v>
      </c>
      <c r="S29" s="34"/>
    </row>
    <row r="30" spans="2:19" ht="14.25" thickTop="1">
      <c r="E30" s="3">
        <f>220853146-E29</f>
        <v>0</v>
      </c>
      <c r="F30" s="63"/>
      <c r="P30" s="4">
        <f>6988579-P29</f>
        <v>0</v>
      </c>
      <c r="Q30" s="4">
        <f>48928487-Q29</f>
        <v>0</v>
      </c>
      <c r="R30" s="4">
        <f>171924659-R29</f>
        <v>0</v>
      </c>
      <c r="S30" s="34"/>
    </row>
  </sheetData>
  <autoFilter ref="B5:N30"/>
  <mergeCells count="1">
    <mergeCell ref="O4:R4"/>
  </mergeCells>
  <printOptions horizontalCentered="1"/>
  <pageMargins left="0" right="0" top="0.25" bottom="0" header="0.5" footer="0.5"/>
  <pageSetup paperSize="9" scale="7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997"/>
  <sheetViews>
    <sheetView zoomScaleNormal="100" workbookViewId="0">
      <pane xSplit="3" ySplit="5" topLeftCell="P8" activePane="bottomRight" state="frozen"/>
      <selection activeCell="A2" sqref="A2"/>
      <selection pane="topRight" activeCell="G2" sqref="G2"/>
      <selection pane="bottomLeft" activeCell="A11" sqref="A11"/>
      <selection pane="bottomRight" activeCell="V5" sqref="V5"/>
    </sheetView>
  </sheetViews>
  <sheetFormatPr defaultColWidth="9" defaultRowHeight="13.5"/>
  <cols>
    <col min="1" max="1" width="3.375" style="5" customWidth="1"/>
    <col min="2" max="2" width="5" style="5" customWidth="1"/>
    <col min="3" max="3" width="28.5" style="20" customWidth="1"/>
    <col min="4" max="4" width="6.375" style="9" hidden="1" customWidth="1"/>
    <col min="5" max="5" width="10.75" style="55" hidden="1" customWidth="1"/>
    <col min="6" max="6" width="13" style="29" hidden="1" customWidth="1"/>
    <col min="7" max="7" width="8.875" style="5" hidden="1" customWidth="1"/>
    <col min="8" max="8" width="10.5" style="20" hidden="1" customWidth="1"/>
    <col min="9" max="9" width="8" style="5" hidden="1" customWidth="1"/>
    <col min="10" max="11" width="7.625" style="5" hidden="1" customWidth="1"/>
    <col min="12" max="12" width="6.625" style="5" hidden="1" customWidth="1"/>
    <col min="13" max="13" width="9.25" style="5" hidden="1" customWidth="1"/>
    <col min="14" max="14" width="9.625" style="5" hidden="1" customWidth="1"/>
    <col min="15" max="15" width="8.125" style="5" hidden="1" customWidth="1"/>
    <col min="16" max="16" width="11.375" style="55" customWidth="1"/>
    <col min="17" max="17" width="7.25" style="55" hidden="1" customWidth="1"/>
    <col min="18" max="18" width="10.75" style="55" hidden="1" customWidth="1"/>
    <col min="19" max="19" width="4.5" style="5" hidden="1" customWidth="1"/>
    <col min="20" max="20" width="0" style="5" hidden="1" customWidth="1"/>
    <col min="21" max="21" width="9.625" style="5" hidden="1" customWidth="1"/>
    <col min="22" max="22" width="9.5" style="5" customWidth="1"/>
    <col min="23" max="23" width="6.5" style="3" bestFit="1" customWidth="1"/>
    <col min="24" max="24" width="6.5" style="5" bestFit="1" customWidth="1"/>
    <col min="25" max="16384" width="9" style="5"/>
  </cols>
  <sheetData>
    <row r="1" spans="1:23">
      <c r="A1" s="258"/>
      <c r="B1" s="258"/>
      <c r="C1" s="259"/>
      <c r="D1" s="260"/>
      <c r="F1" s="261"/>
      <c r="G1" s="258"/>
      <c r="H1" s="259"/>
      <c r="W1" s="5"/>
    </row>
    <row r="2" spans="1:23" ht="14.25">
      <c r="A2" s="258"/>
      <c r="B2" s="262" t="s">
        <v>436</v>
      </c>
      <c r="C2" s="259"/>
      <c r="D2" s="260"/>
      <c r="F2" s="261"/>
      <c r="G2" s="258"/>
      <c r="H2" s="259"/>
      <c r="I2" s="9"/>
    </row>
    <row r="3" spans="1:23" ht="14.25">
      <c r="B3" s="262"/>
      <c r="I3" s="9"/>
      <c r="P3" s="218"/>
      <c r="Q3" s="218"/>
      <c r="R3" s="218"/>
      <c r="S3" s="611">
        <v>44651</v>
      </c>
      <c r="T3" s="612"/>
      <c r="U3" s="612"/>
      <c r="V3" s="613"/>
    </row>
    <row r="4" spans="1:23" ht="14.25">
      <c r="B4" s="19" t="s">
        <v>4648</v>
      </c>
      <c r="I4" s="9"/>
      <c r="P4" s="218"/>
      <c r="Q4" s="218"/>
      <c r="R4" s="218"/>
      <c r="S4" s="614" t="s">
        <v>4569</v>
      </c>
      <c r="T4" s="614"/>
      <c r="U4" s="614"/>
      <c r="V4" s="614"/>
    </row>
    <row r="5" spans="1:23" ht="54">
      <c r="B5" s="82" t="s">
        <v>56</v>
      </c>
      <c r="C5" s="82" t="s">
        <v>397</v>
      </c>
      <c r="D5" s="82" t="s">
        <v>398</v>
      </c>
      <c r="E5" s="88" t="s">
        <v>2623</v>
      </c>
      <c r="F5" s="82" t="s">
        <v>400</v>
      </c>
      <c r="G5" s="82" t="s">
        <v>401</v>
      </c>
      <c r="H5" s="82" t="s">
        <v>402</v>
      </c>
      <c r="I5" s="86" t="s">
        <v>2471</v>
      </c>
      <c r="J5" s="86" t="s">
        <v>2470</v>
      </c>
      <c r="K5" s="86" t="s">
        <v>2468</v>
      </c>
      <c r="L5" s="87" t="s">
        <v>2469</v>
      </c>
      <c r="M5" s="87" t="s">
        <v>2473</v>
      </c>
      <c r="N5" s="87" t="s">
        <v>2474</v>
      </c>
      <c r="O5" s="87" t="s">
        <v>2475</v>
      </c>
      <c r="P5" s="144" t="s">
        <v>4050</v>
      </c>
      <c r="Q5" s="186" t="s">
        <v>3883</v>
      </c>
      <c r="R5" s="186" t="s">
        <v>3024</v>
      </c>
      <c r="S5" s="179" t="s">
        <v>403</v>
      </c>
      <c r="T5" s="187" t="s">
        <v>405</v>
      </c>
      <c r="U5" s="187" t="s">
        <v>1847</v>
      </c>
      <c r="V5" s="187" t="s">
        <v>404</v>
      </c>
    </row>
    <row r="6" spans="1:23" s="22" customFormat="1" ht="14.25">
      <c r="B6" s="64" t="s">
        <v>52</v>
      </c>
      <c r="C6" s="65"/>
      <c r="D6" s="13"/>
      <c r="E6" s="66"/>
      <c r="F6" s="103"/>
      <c r="G6" s="13"/>
      <c r="H6" s="65"/>
      <c r="I6" s="57"/>
      <c r="J6" s="53" t="s">
        <v>2229</v>
      </c>
      <c r="K6" s="53" t="s">
        <v>2229</v>
      </c>
      <c r="L6" s="53" t="s">
        <v>2229</v>
      </c>
      <c r="M6" s="53" t="s">
        <v>2478</v>
      </c>
      <c r="N6" s="53" t="s">
        <v>2478</v>
      </c>
      <c r="O6" s="53" t="s">
        <v>2478</v>
      </c>
      <c r="P6" s="71"/>
      <c r="Q6" s="71"/>
      <c r="R6" s="71"/>
      <c r="S6" s="57"/>
      <c r="T6" s="57"/>
      <c r="U6" s="57"/>
      <c r="V6" s="57"/>
      <c r="W6" s="11"/>
    </row>
    <row r="7" spans="1:23" s="22" customFormat="1" ht="14.25">
      <c r="B7" s="32" t="s">
        <v>2481</v>
      </c>
      <c r="C7" s="25"/>
      <c r="D7" s="15"/>
      <c r="E7" s="67"/>
      <c r="F7" s="21"/>
      <c r="G7" s="15"/>
      <c r="H7" s="25"/>
      <c r="I7" s="25"/>
      <c r="J7" s="25"/>
      <c r="K7" s="25"/>
      <c r="L7" s="25"/>
      <c r="M7" s="25"/>
      <c r="N7" s="25"/>
      <c r="O7" s="25"/>
      <c r="P7" s="68"/>
      <c r="Q7" s="68"/>
      <c r="R7" s="68"/>
      <c r="S7" s="25"/>
      <c r="T7" s="25"/>
      <c r="U7" s="25"/>
      <c r="V7" s="25"/>
      <c r="W7" s="11"/>
    </row>
    <row r="8" spans="1:23" s="22" customFormat="1" ht="27">
      <c r="B8" s="15">
        <v>1</v>
      </c>
      <c r="C8" s="249" t="s">
        <v>782</v>
      </c>
      <c r="D8" s="230">
        <v>2</v>
      </c>
      <c r="E8" s="266">
        <v>6000</v>
      </c>
      <c r="F8" s="267" t="s">
        <v>783</v>
      </c>
      <c r="G8" s="268">
        <v>40431</v>
      </c>
      <c r="H8" s="228" t="s">
        <v>368</v>
      </c>
      <c r="I8" s="242"/>
      <c r="J8" s="242"/>
      <c r="K8" s="242"/>
      <c r="L8" s="242"/>
      <c r="M8" s="242"/>
      <c r="N8" s="242"/>
      <c r="O8" s="242"/>
      <c r="P8" s="242">
        <v>0</v>
      </c>
      <c r="Q8" s="242"/>
      <c r="R8" s="242"/>
      <c r="S8" s="241">
        <v>0</v>
      </c>
      <c r="T8" s="250">
        <v>0</v>
      </c>
      <c r="U8" s="242">
        <v>0</v>
      </c>
      <c r="V8" s="242">
        <v>0</v>
      </c>
      <c r="W8" s="11"/>
    </row>
    <row r="9" spans="1:23" s="22" customFormat="1" ht="27">
      <c r="B9" s="15">
        <v>2</v>
      </c>
      <c r="C9" s="228" t="s">
        <v>784</v>
      </c>
      <c r="D9" s="230">
        <v>1</v>
      </c>
      <c r="E9" s="266">
        <v>46185</v>
      </c>
      <c r="F9" s="269" t="s">
        <v>900</v>
      </c>
      <c r="G9" s="268">
        <v>40439</v>
      </c>
      <c r="H9" s="228" t="s">
        <v>368</v>
      </c>
      <c r="I9" s="270">
        <v>44091</v>
      </c>
      <c r="J9" s="242">
        <v>3653</v>
      </c>
      <c r="K9" s="242">
        <v>1291</v>
      </c>
      <c r="L9" s="242">
        <v>2362</v>
      </c>
      <c r="M9" s="242">
        <v>2309</v>
      </c>
      <c r="N9" s="242">
        <v>41215</v>
      </c>
      <c r="O9" s="242">
        <v>0</v>
      </c>
      <c r="P9" s="242">
        <v>37155</v>
      </c>
      <c r="Q9" s="242">
        <v>1997</v>
      </c>
      <c r="R9" s="242">
        <v>34846</v>
      </c>
      <c r="S9" s="241">
        <v>0</v>
      </c>
      <c r="T9" s="250">
        <v>0</v>
      </c>
      <c r="U9" s="242">
        <v>37155</v>
      </c>
      <c r="V9" s="242">
        <v>0</v>
      </c>
      <c r="W9" s="34"/>
    </row>
    <row r="10" spans="1:23" s="22" customFormat="1" ht="27">
      <c r="B10" s="15">
        <v>3</v>
      </c>
      <c r="C10" s="249" t="s">
        <v>115</v>
      </c>
      <c r="D10" s="230" t="s">
        <v>42</v>
      </c>
      <c r="E10" s="266">
        <v>34789</v>
      </c>
      <c r="F10" s="253" t="s">
        <v>562</v>
      </c>
      <c r="G10" s="268">
        <v>40443</v>
      </c>
      <c r="H10" s="228" t="s">
        <v>368</v>
      </c>
      <c r="I10" s="270">
        <v>44095</v>
      </c>
      <c r="J10" s="242">
        <v>3653</v>
      </c>
      <c r="K10" s="242">
        <v>1287</v>
      </c>
      <c r="L10" s="242">
        <v>2366</v>
      </c>
      <c r="M10" s="242">
        <v>1739</v>
      </c>
      <c r="N10" s="242">
        <v>31052</v>
      </c>
      <c r="O10" s="242">
        <v>0</v>
      </c>
      <c r="P10" s="242">
        <v>28001</v>
      </c>
      <c r="Q10" s="242">
        <v>2001</v>
      </c>
      <c r="R10" s="242">
        <v>26262</v>
      </c>
      <c r="S10" s="241">
        <v>0</v>
      </c>
      <c r="T10" s="250">
        <v>0</v>
      </c>
      <c r="U10" s="242">
        <v>28001</v>
      </c>
      <c r="V10" s="242">
        <v>0</v>
      </c>
    </row>
    <row r="11" spans="1:23" s="22" customFormat="1" ht="27">
      <c r="B11" s="15">
        <v>1</v>
      </c>
      <c r="C11" s="249" t="s">
        <v>417</v>
      </c>
      <c r="D11" s="230" t="s">
        <v>314</v>
      </c>
      <c r="E11" s="266">
        <v>713025</v>
      </c>
      <c r="F11" s="269" t="s">
        <v>418</v>
      </c>
      <c r="G11" s="268">
        <v>40669</v>
      </c>
      <c r="H11" s="228" t="s">
        <v>368</v>
      </c>
      <c r="I11" s="270">
        <v>44321</v>
      </c>
      <c r="J11" s="242">
        <v>3653</v>
      </c>
      <c r="K11" s="242">
        <v>1061</v>
      </c>
      <c r="L11" s="242">
        <v>2592</v>
      </c>
      <c r="M11" s="242">
        <v>35651</v>
      </c>
      <c r="N11" s="242">
        <v>643619</v>
      </c>
      <c r="O11" s="242">
        <v>0</v>
      </c>
      <c r="P11" s="242">
        <v>588637</v>
      </c>
      <c r="Q11" s="242">
        <v>2227</v>
      </c>
      <c r="R11" s="242">
        <v>552986</v>
      </c>
      <c r="S11" s="250">
        <v>35</v>
      </c>
      <c r="T11" s="250">
        <v>44343</v>
      </c>
      <c r="U11" s="242">
        <v>588637</v>
      </c>
      <c r="V11" s="242">
        <v>0</v>
      </c>
      <c r="W11" s="11"/>
    </row>
    <row r="12" spans="1:23" s="22" customFormat="1" ht="27">
      <c r="B12" s="15">
        <v>2</v>
      </c>
      <c r="C12" s="249" t="s">
        <v>1153</v>
      </c>
      <c r="D12" s="230" t="s">
        <v>42</v>
      </c>
      <c r="E12" s="266">
        <v>249600</v>
      </c>
      <c r="F12" s="269" t="s">
        <v>1154</v>
      </c>
      <c r="G12" s="268">
        <v>40707</v>
      </c>
      <c r="H12" s="228" t="s">
        <v>368</v>
      </c>
      <c r="I12" s="270">
        <v>44359</v>
      </c>
      <c r="J12" s="242">
        <v>3653</v>
      </c>
      <c r="K12" s="242">
        <v>1023</v>
      </c>
      <c r="L12" s="242">
        <v>2630</v>
      </c>
      <c r="M12" s="242">
        <v>12480</v>
      </c>
      <c r="N12" s="242">
        <v>225727</v>
      </c>
      <c r="O12" s="242">
        <v>0</v>
      </c>
      <c r="P12" s="242">
        <v>206880</v>
      </c>
      <c r="Q12" s="242">
        <v>2265</v>
      </c>
      <c r="R12" s="242">
        <v>194400</v>
      </c>
      <c r="S12" s="250">
        <v>73</v>
      </c>
      <c r="T12" s="250">
        <v>18746</v>
      </c>
      <c r="U12" s="242">
        <v>206880</v>
      </c>
      <c r="V12" s="242">
        <v>0</v>
      </c>
      <c r="W12" s="11"/>
    </row>
    <row r="13" spans="1:23" s="22" customFormat="1" ht="27">
      <c r="B13" s="15">
        <v>3</v>
      </c>
      <c r="C13" s="249" t="s">
        <v>1153</v>
      </c>
      <c r="D13" s="230" t="s">
        <v>42</v>
      </c>
      <c r="E13" s="266">
        <v>249600</v>
      </c>
      <c r="F13" s="269" t="s">
        <v>1260</v>
      </c>
      <c r="G13" s="268">
        <v>40719</v>
      </c>
      <c r="H13" s="228" t="s">
        <v>368</v>
      </c>
      <c r="I13" s="270">
        <v>44371</v>
      </c>
      <c r="J13" s="242">
        <v>3653</v>
      </c>
      <c r="K13" s="242">
        <v>1011</v>
      </c>
      <c r="L13" s="242">
        <v>2642</v>
      </c>
      <c r="M13" s="242">
        <v>12480</v>
      </c>
      <c r="N13" s="242">
        <v>225860</v>
      </c>
      <c r="O13" s="242">
        <v>0</v>
      </c>
      <c r="P13" s="242">
        <v>207137</v>
      </c>
      <c r="Q13" s="242">
        <v>2277</v>
      </c>
      <c r="R13" s="242">
        <v>194657</v>
      </c>
      <c r="S13" s="250">
        <v>85</v>
      </c>
      <c r="T13" s="250">
        <v>19747</v>
      </c>
      <c r="U13" s="242">
        <v>207137</v>
      </c>
      <c r="V13" s="242">
        <v>0</v>
      </c>
      <c r="W13" s="11"/>
    </row>
    <row r="14" spans="1:23" s="22" customFormat="1" ht="40.5">
      <c r="B14" s="15">
        <v>4</v>
      </c>
      <c r="C14" s="249" t="s">
        <v>1153</v>
      </c>
      <c r="D14" s="230">
        <v>1</v>
      </c>
      <c r="E14" s="266">
        <v>98800</v>
      </c>
      <c r="F14" s="269" t="s">
        <v>1360</v>
      </c>
      <c r="G14" s="268">
        <v>40796</v>
      </c>
      <c r="H14" s="228" t="s">
        <v>368</v>
      </c>
      <c r="I14" s="270">
        <v>44448</v>
      </c>
      <c r="J14" s="242">
        <v>3653</v>
      </c>
      <c r="K14" s="242">
        <v>934</v>
      </c>
      <c r="L14" s="242">
        <v>2719</v>
      </c>
      <c r="M14" s="242">
        <v>4940</v>
      </c>
      <c r="N14" s="242">
        <v>89742</v>
      </c>
      <c r="O14" s="242">
        <v>0</v>
      </c>
      <c r="P14" s="242">
        <v>82635</v>
      </c>
      <c r="Q14" s="242">
        <v>2354</v>
      </c>
      <c r="R14" s="242">
        <v>77695</v>
      </c>
      <c r="S14" s="250">
        <v>162</v>
      </c>
      <c r="T14" s="250">
        <v>10287</v>
      </c>
      <c r="U14" s="242">
        <v>82635</v>
      </c>
      <c r="V14" s="242">
        <v>0</v>
      </c>
      <c r="W14" s="11"/>
    </row>
    <row r="15" spans="1:23" s="22" customFormat="1" ht="27">
      <c r="B15" s="15">
        <v>5</v>
      </c>
      <c r="C15" s="249" t="s">
        <v>1408</v>
      </c>
      <c r="D15" s="230">
        <v>1</v>
      </c>
      <c r="E15" s="266">
        <v>97500</v>
      </c>
      <c r="F15" s="269" t="s">
        <v>1409</v>
      </c>
      <c r="G15" s="268">
        <v>40830</v>
      </c>
      <c r="H15" s="228" t="s">
        <v>368</v>
      </c>
      <c r="I15" s="270">
        <v>44482</v>
      </c>
      <c r="J15" s="242">
        <v>3653</v>
      </c>
      <c r="K15" s="242">
        <v>900</v>
      </c>
      <c r="L15" s="242">
        <v>2753</v>
      </c>
      <c r="M15" s="242">
        <v>4875</v>
      </c>
      <c r="N15" s="242">
        <v>88709</v>
      </c>
      <c r="O15" s="242">
        <v>0</v>
      </c>
      <c r="P15" s="242">
        <v>81823</v>
      </c>
      <c r="Q15" s="242">
        <v>2388</v>
      </c>
      <c r="R15" s="242">
        <v>76948</v>
      </c>
      <c r="S15" s="250">
        <v>196</v>
      </c>
      <c r="T15" s="250">
        <v>11191</v>
      </c>
      <c r="U15" s="242">
        <v>81823</v>
      </c>
      <c r="V15" s="242">
        <v>0</v>
      </c>
      <c r="W15" s="11"/>
    </row>
    <row r="16" spans="1:23" s="22" customFormat="1" ht="67.5">
      <c r="B16" s="15">
        <v>6</v>
      </c>
      <c r="C16" s="249" t="s">
        <v>1732</v>
      </c>
      <c r="D16" s="230" t="s">
        <v>42</v>
      </c>
      <c r="E16" s="266">
        <v>141669</v>
      </c>
      <c r="F16" s="269" t="s">
        <v>1733</v>
      </c>
      <c r="G16" s="268">
        <v>40911</v>
      </c>
      <c r="H16" s="249" t="s">
        <v>368</v>
      </c>
      <c r="I16" s="270">
        <v>44563</v>
      </c>
      <c r="J16" s="242">
        <v>3653</v>
      </c>
      <c r="K16" s="242">
        <v>819</v>
      </c>
      <c r="L16" s="242">
        <v>2834</v>
      </c>
      <c r="M16" s="242">
        <v>7083</v>
      </c>
      <c r="N16" s="242">
        <v>129406</v>
      </c>
      <c r="O16" s="242">
        <v>0</v>
      </c>
      <c r="P16" s="242">
        <v>119822</v>
      </c>
      <c r="Q16" s="242">
        <v>2469</v>
      </c>
      <c r="R16" s="242">
        <v>112739</v>
      </c>
      <c r="S16" s="250">
        <v>277</v>
      </c>
      <c r="T16" s="250">
        <v>19730</v>
      </c>
      <c r="U16" s="242">
        <v>119822</v>
      </c>
      <c r="V16" s="242">
        <v>0</v>
      </c>
      <c r="W16" s="11"/>
    </row>
    <row r="17" spans="2:24" s="22" customFormat="1" ht="54">
      <c r="B17" s="15">
        <v>7</v>
      </c>
      <c r="C17" s="249" t="s">
        <v>1736</v>
      </c>
      <c r="D17" s="230" t="s">
        <v>42</v>
      </c>
      <c r="E17" s="266">
        <v>105285</v>
      </c>
      <c r="F17" s="269" t="s">
        <v>1737</v>
      </c>
      <c r="G17" s="268">
        <v>40935</v>
      </c>
      <c r="H17" s="249" t="s">
        <v>368</v>
      </c>
      <c r="I17" s="270">
        <v>44587</v>
      </c>
      <c r="J17" s="242">
        <v>3653</v>
      </c>
      <c r="K17" s="242">
        <v>795</v>
      </c>
      <c r="L17" s="242">
        <v>2858</v>
      </c>
      <c r="M17" s="242">
        <v>5264</v>
      </c>
      <c r="N17" s="242">
        <v>96284</v>
      </c>
      <c r="O17" s="242">
        <v>0</v>
      </c>
      <c r="P17" s="242">
        <v>89251</v>
      </c>
      <c r="Q17" s="242">
        <v>2493</v>
      </c>
      <c r="R17" s="242">
        <v>83987</v>
      </c>
      <c r="S17" s="250">
        <v>301</v>
      </c>
      <c r="T17" s="250">
        <v>15403</v>
      </c>
      <c r="U17" s="242">
        <v>89251</v>
      </c>
      <c r="V17" s="242">
        <v>0</v>
      </c>
      <c r="W17" s="11"/>
    </row>
    <row r="18" spans="2:24" s="22" customFormat="1" ht="27">
      <c r="B18" s="15">
        <v>8</v>
      </c>
      <c r="C18" s="249" t="s">
        <v>1742</v>
      </c>
      <c r="D18" s="230" t="s">
        <v>42</v>
      </c>
      <c r="E18" s="266">
        <v>146506</v>
      </c>
      <c r="F18" s="269" t="s">
        <v>1743</v>
      </c>
      <c r="G18" s="268">
        <v>40918</v>
      </c>
      <c r="H18" s="249" t="s">
        <v>368</v>
      </c>
      <c r="I18" s="270">
        <v>44570</v>
      </c>
      <c r="J18" s="242">
        <v>3653</v>
      </c>
      <c r="K18" s="242">
        <v>812</v>
      </c>
      <c r="L18" s="242">
        <v>2841</v>
      </c>
      <c r="M18" s="242">
        <v>7325</v>
      </c>
      <c r="N18" s="242">
        <v>133870</v>
      </c>
      <c r="O18" s="242">
        <v>0</v>
      </c>
      <c r="P18" s="242">
        <v>123996</v>
      </c>
      <c r="Q18" s="242">
        <v>2476</v>
      </c>
      <c r="R18" s="242">
        <v>116671</v>
      </c>
      <c r="S18" s="250">
        <v>284</v>
      </c>
      <c r="T18" s="250">
        <v>20708</v>
      </c>
      <c r="U18" s="242">
        <v>123996</v>
      </c>
      <c r="V18" s="242">
        <v>0</v>
      </c>
      <c r="W18" s="11"/>
    </row>
    <row r="19" spans="2:24" s="22" customFormat="1" ht="27">
      <c r="B19" s="15">
        <v>9</v>
      </c>
      <c r="C19" s="249" t="s">
        <v>1746</v>
      </c>
      <c r="D19" s="230" t="s">
        <v>42</v>
      </c>
      <c r="E19" s="266">
        <v>1307759</v>
      </c>
      <c r="F19" s="269" t="s">
        <v>1747</v>
      </c>
      <c r="G19" s="268">
        <v>40933</v>
      </c>
      <c r="H19" s="249" t="s">
        <v>368</v>
      </c>
      <c r="I19" s="270">
        <v>44585</v>
      </c>
      <c r="J19" s="242">
        <v>3653</v>
      </c>
      <c r="K19" s="242">
        <v>797</v>
      </c>
      <c r="L19" s="242">
        <v>2856</v>
      </c>
      <c r="M19" s="242">
        <v>65388</v>
      </c>
      <c r="N19" s="242">
        <v>1195837</v>
      </c>
      <c r="O19" s="242">
        <v>0</v>
      </c>
      <c r="P19" s="242">
        <v>1108396</v>
      </c>
      <c r="Q19" s="242">
        <v>2491</v>
      </c>
      <c r="R19" s="242">
        <v>1043008</v>
      </c>
      <c r="S19" s="250">
        <v>299</v>
      </c>
      <c r="T19" s="250">
        <v>190584</v>
      </c>
      <c r="U19" s="242">
        <v>1108396</v>
      </c>
      <c r="V19" s="242">
        <v>0</v>
      </c>
      <c r="W19" s="11"/>
    </row>
    <row r="20" spans="2:24" s="22" customFormat="1" ht="27">
      <c r="B20" s="15">
        <v>10</v>
      </c>
      <c r="C20" s="249" t="s">
        <v>1922</v>
      </c>
      <c r="D20" s="230" t="s">
        <v>42</v>
      </c>
      <c r="E20" s="266">
        <v>134019</v>
      </c>
      <c r="F20" s="269" t="s">
        <v>1923</v>
      </c>
      <c r="G20" s="268">
        <v>41181</v>
      </c>
      <c r="H20" s="249" t="s">
        <v>368</v>
      </c>
      <c r="I20" s="270">
        <v>44832</v>
      </c>
      <c r="J20" s="242">
        <v>3652</v>
      </c>
      <c r="K20" s="242">
        <v>549</v>
      </c>
      <c r="L20" s="242">
        <v>3103</v>
      </c>
      <c r="M20" s="242">
        <v>6701</v>
      </c>
      <c r="N20" s="242">
        <v>124032</v>
      </c>
      <c r="O20" s="242">
        <v>0</v>
      </c>
      <c r="P20" s="242">
        <v>116143</v>
      </c>
      <c r="Q20" s="242">
        <v>2738</v>
      </c>
      <c r="R20" s="242">
        <v>109442</v>
      </c>
      <c r="S20" s="250">
        <v>365</v>
      </c>
      <c r="T20" s="250">
        <v>14590</v>
      </c>
      <c r="U20" s="242">
        <v>102210</v>
      </c>
      <c r="V20" s="242">
        <v>13933</v>
      </c>
      <c r="W20" s="11"/>
      <c r="X20" s="34"/>
    </row>
    <row r="21" spans="2:24" s="22" customFormat="1" ht="40.5">
      <c r="B21" s="15">
        <v>11</v>
      </c>
      <c r="C21" s="249" t="s">
        <v>1995</v>
      </c>
      <c r="D21" s="230" t="s">
        <v>42</v>
      </c>
      <c r="E21" s="266">
        <v>811816</v>
      </c>
      <c r="F21" s="269" t="s">
        <v>1996</v>
      </c>
      <c r="G21" s="268">
        <v>41183</v>
      </c>
      <c r="H21" s="249" t="s">
        <v>368</v>
      </c>
      <c r="I21" s="270">
        <v>44834</v>
      </c>
      <c r="J21" s="242">
        <v>3652</v>
      </c>
      <c r="K21" s="242">
        <v>547</v>
      </c>
      <c r="L21" s="242">
        <v>3105</v>
      </c>
      <c r="M21" s="242">
        <v>40591</v>
      </c>
      <c r="N21" s="242">
        <v>751394</v>
      </c>
      <c r="O21" s="242">
        <v>0</v>
      </c>
      <c r="P21" s="242">
        <v>703657</v>
      </c>
      <c r="Q21" s="242">
        <v>2740</v>
      </c>
      <c r="R21" s="242">
        <v>663066</v>
      </c>
      <c r="S21" s="250">
        <v>365</v>
      </c>
      <c r="T21" s="250">
        <v>88328</v>
      </c>
      <c r="U21" s="242">
        <v>618780</v>
      </c>
      <c r="V21" s="242">
        <v>84877</v>
      </c>
      <c r="W21" s="11"/>
      <c r="X21" s="34"/>
    </row>
    <row r="22" spans="2:24" s="22" customFormat="1" ht="40.5">
      <c r="B22" s="15">
        <v>12</v>
      </c>
      <c r="C22" s="249" t="s">
        <v>4383</v>
      </c>
      <c r="D22" s="230" t="s">
        <v>42</v>
      </c>
      <c r="E22" s="266">
        <v>11652000</v>
      </c>
      <c r="F22" s="269" t="s">
        <v>4289</v>
      </c>
      <c r="G22" s="268">
        <v>43245</v>
      </c>
      <c r="H22" s="249" t="s">
        <v>161</v>
      </c>
      <c r="I22" s="270">
        <v>46897</v>
      </c>
      <c r="J22" s="242">
        <v>3653</v>
      </c>
      <c r="K22" s="242">
        <v>0</v>
      </c>
      <c r="L22" s="242">
        <v>3653</v>
      </c>
      <c r="M22" s="242">
        <v>582600</v>
      </c>
      <c r="N22" s="242">
        <v>11069400</v>
      </c>
      <c r="O22" s="376"/>
      <c r="P22" s="266">
        <v>11652000</v>
      </c>
      <c r="Q22" s="266"/>
      <c r="R22" s="266"/>
      <c r="S22" s="376">
        <v>365</v>
      </c>
      <c r="T22" s="266">
        <v>1106031</v>
      </c>
      <c r="U22" s="266">
        <v>4263522</v>
      </c>
      <c r="V22" s="266">
        <v>7388478</v>
      </c>
      <c r="W22" s="11"/>
      <c r="X22" s="34"/>
    </row>
    <row r="23" spans="2:24" s="22" customFormat="1" ht="14.25">
      <c r="B23" s="32" t="s">
        <v>2480</v>
      </c>
      <c r="C23" s="229"/>
      <c r="D23" s="230"/>
      <c r="E23" s="271"/>
      <c r="F23" s="230"/>
      <c r="G23" s="230"/>
      <c r="H23" s="228"/>
      <c r="I23" s="242"/>
      <c r="J23" s="242"/>
      <c r="K23" s="242"/>
      <c r="L23" s="242"/>
      <c r="M23" s="242"/>
      <c r="N23" s="242"/>
      <c r="O23" s="242"/>
      <c r="P23" s="242">
        <v>0</v>
      </c>
      <c r="Q23" s="242"/>
      <c r="R23" s="242"/>
      <c r="S23" s="272"/>
      <c r="T23" s="242"/>
      <c r="U23" s="228"/>
      <c r="V23" s="228"/>
      <c r="W23" s="11"/>
      <c r="X23" s="34"/>
    </row>
    <row r="24" spans="2:24" s="22" customFormat="1" ht="40.5">
      <c r="B24" s="15">
        <v>1</v>
      </c>
      <c r="C24" s="228" t="s">
        <v>104</v>
      </c>
      <c r="D24" s="230" t="s">
        <v>42</v>
      </c>
      <c r="E24" s="266">
        <v>4944049</v>
      </c>
      <c r="F24" s="273" t="s">
        <v>105</v>
      </c>
      <c r="G24" s="268">
        <v>40359</v>
      </c>
      <c r="H24" s="228" t="s">
        <v>368</v>
      </c>
      <c r="I24" s="270">
        <v>62273</v>
      </c>
      <c r="J24" s="242">
        <v>21915</v>
      </c>
      <c r="K24" s="242">
        <v>1371</v>
      </c>
      <c r="L24" s="242">
        <v>20544</v>
      </c>
      <c r="M24" s="242">
        <v>247202</v>
      </c>
      <c r="N24" s="242">
        <v>4394366</v>
      </c>
      <c r="O24" s="242">
        <v>0</v>
      </c>
      <c r="P24" s="242">
        <v>4474264</v>
      </c>
      <c r="Q24" s="242">
        <v>20179</v>
      </c>
      <c r="R24" s="242">
        <v>4227062</v>
      </c>
      <c r="S24" s="250">
        <v>365</v>
      </c>
      <c r="T24" s="250">
        <v>76460</v>
      </c>
      <c r="U24" s="242">
        <v>535638</v>
      </c>
      <c r="V24" s="242">
        <v>3938626</v>
      </c>
      <c r="W24" s="11"/>
      <c r="X24" s="138"/>
    </row>
    <row r="25" spans="2:24" s="22" customFormat="1" ht="27">
      <c r="B25" s="15">
        <f>+B24+1</f>
        <v>2</v>
      </c>
      <c r="C25" s="228" t="s">
        <v>2870</v>
      </c>
      <c r="D25" s="230" t="s">
        <v>42</v>
      </c>
      <c r="E25" s="266">
        <v>182532</v>
      </c>
      <c r="F25" s="273" t="s">
        <v>42</v>
      </c>
      <c r="G25" s="268">
        <v>42095</v>
      </c>
      <c r="H25" s="228" t="s">
        <v>368</v>
      </c>
      <c r="I25" s="270">
        <v>64009</v>
      </c>
      <c r="J25" s="242">
        <v>21915</v>
      </c>
      <c r="K25" s="242">
        <v>0</v>
      </c>
      <c r="L25" s="242">
        <v>21915</v>
      </c>
      <c r="M25" s="242">
        <v>9127</v>
      </c>
      <c r="N25" s="242">
        <v>173405</v>
      </c>
      <c r="O25" s="242">
        <v>0</v>
      </c>
      <c r="P25" s="242">
        <v>182532</v>
      </c>
      <c r="Q25" s="242">
        <v>21915</v>
      </c>
      <c r="R25" s="242">
        <v>173405</v>
      </c>
      <c r="S25" s="250">
        <v>365</v>
      </c>
      <c r="T25" s="250">
        <v>2888</v>
      </c>
      <c r="U25" s="242">
        <v>20232</v>
      </c>
      <c r="V25" s="242">
        <v>162300</v>
      </c>
      <c r="W25" s="11"/>
      <c r="X25" s="34"/>
    </row>
    <row r="26" spans="2:24" s="22" customFormat="1" ht="27">
      <c r="B26" s="15">
        <f t="shared" ref="B26:B89" si="0">+B25+1</f>
        <v>3</v>
      </c>
      <c r="C26" s="228" t="s">
        <v>2871</v>
      </c>
      <c r="D26" s="230" t="s">
        <v>42</v>
      </c>
      <c r="E26" s="266">
        <v>1981788</v>
      </c>
      <c r="F26" s="273" t="s">
        <v>2051</v>
      </c>
      <c r="G26" s="268">
        <v>42095</v>
      </c>
      <c r="H26" s="228" t="s">
        <v>368</v>
      </c>
      <c r="I26" s="270">
        <v>64009</v>
      </c>
      <c r="J26" s="242">
        <v>21915</v>
      </c>
      <c r="K26" s="242">
        <v>0</v>
      </c>
      <c r="L26" s="242">
        <v>21915</v>
      </c>
      <c r="M26" s="242">
        <v>99089</v>
      </c>
      <c r="N26" s="242">
        <v>1882699</v>
      </c>
      <c r="O26" s="242">
        <v>0</v>
      </c>
      <c r="P26" s="242">
        <v>1981788</v>
      </c>
      <c r="Q26" s="242">
        <v>21915</v>
      </c>
      <c r="R26" s="242">
        <v>1882699</v>
      </c>
      <c r="S26" s="250">
        <v>365</v>
      </c>
      <c r="T26" s="250">
        <v>31357</v>
      </c>
      <c r="U26" s="242">
        <v>219671</v>
      </c>
      <c r="V26" s="242">
        <v>1762117</v>
      </c>
      <c r="W26" s="11"/>
      <c r="X26" s="34"/>
    </row>
    <row r="27" spans="2:24" s="22" customFormat="1" ht="27">
      <c r="B27" s="15">
        <f t="shared" si="0"/>
        <v>4</v>
      </c>
      <c r="C27" s="228" t="s">
        <v>2871</v>
      </c>
      <c r="D27" s="230" t="s">
        <v>42</v>
      </c>
      <c r="E27" s="266">
        <v>851940</v>
      </c>
      <c r="F27" s="273" t="s">
        <v>2912</v>
      </c>
      <c r="G27" s="268">
        <v>42095</v>
      </c>
      <c r="H27" s="228" t="s">
        <v>368</v>
      </c>
      <c r="I27" s="270">
        <v>64009</v>
      </c>
      <c r="J27" s="242">
        <v>21915</v>
      </c>
      <c r="K27" s="242">
        <v>0</v>
      </c>
      <c r="L27" s="242">
        <v>21915</v>
      </c>
      <c r="M27" s="242">
        <v>42597</v>
      </c>
      <c r="N27" s="242">
        <v>809343</v>
      </c>
      <c r="O27" s="242">
        <v>0</v>
      </c>
      <c r="P27" s="242">
        <v>851940</v>
      </c>
      <c r="Q27" s="242">
        <v>21915</v>
      </c>
      <c r="R27" s="242">
        <v>809343</v>
      </c>
      <c r="S27" s="250">
        <v>365</v>
      </c>
      <c r="T27" s="250">
        <v>13480</v>
      </c>
      <c r="U27" s="242">
        <v>94434</v>
      </c>
      <c r="V27" s="242">
        <v>757506</v>
      </c>
      <c r="W27" s="11"/>
      <c r="X27" s="34"/>
    </row>
    <row r="28" spans="2:24" s="22" customFormat="1" ht="27">
      <c r="B28" s="15">
        <f t="shared" si="0"/>
        <v>5</v>
      </c>
      <c r="C28" s="228" t="s">
        <v>2871</v>
      </c>
      <c r="D28" s="230" t="s">
        <v>42</v>
      </c>
      <c r="E28" s="266">
        <v>361152</v>
      </c>
      <c r="F28" s="273" t="s">
        <v>2913</v>
      </c>
      <c r="G28" s="268">
        <v>42095</v>
      </c>
      <c r="H28" s="228" t="s">
        <v>368</v>
      </c>
      <c r="I28" s="270">
        <v>64009</v>
      </c>
      <c r="J28" s="242">
        <v>21915</v>
      </c>
      <c r="K28" s="242">
        <v>0</v>
      </c>
      <c r="L28" s="242">
        <v>21915</v>
      </c>
      <c r="M28" s="242">
        <v>18058</v>
      </c>
      <c r="N28" s="242">
        <v>343094</v>
      </c>
      <c r="O28" s="242">
        <v>0</v>
      </c>
      <c r="P28" s="242">
        <v>361152</v>
      </c>
      <c r="Q28" s="242">
        <v>21915</v>
      </c>
      <c r="R28" s="242">
        <v>343094</v>
      </c>
      <c r="S28" s="250">
        <v>365</v>
      </c>
      <c r="T28" s="250">
        <v>5714</v>
      </c>
      <c r="U28" s="242">
        <v>40030</v>
      </c>
      <c r="V28" s="242">
        <v>321122</v>
      </c>
      <c r="W28" s="11"/>
      <c r="X28" s="34"/>
    </row>
    <row r="29" spans="2:24" s="22" customFormat="1" ht="27">
      <c r="B29" s="15">
        <f t="shared" si="0"/>
        <v>6</v>
      </c>
      <c r="C29" s="228" t="s">
        <v>2871</v>
      </c>
      <c r="D29" s="230" t="s">
        <v>42</v>
      </c>
      <c r="E29" s="266">
        <v>214206</v>
      </c>
      <c r="F29" s="273" t="s">
        <v>2914</v>
      </c>
      <c r="G29" s="268">
        <v>42095</v>
      </c>
      <c r="H29" s="228" t="s">
        <v>368</v>
      </c>
      <c r="I29" s="270">
        <v>64009</v>
      </c>
      <c r="J29" s="242">
        <v>21915</v>
      </c>
      <c r="K29" s="242">
        <v>0</v>
      </c>
      <c r="L29" s="242">
        <v>21915</v>
      </c>
      <c r="M29" s="242">
        <v>10710</v>
      </c>
      <c r="N29" s="242">
        <v>203496</v>
      </c>
      <c r="O29" s="242">
        <v>0</v>
      </c>
      <c r="P29" s="242">
        <v>214206</v>
      </c>
      <c r="Q29" s="242">
        <v>21915</v>
      </c>
      <c r="R29" s="242">
        <v>203496</v>
      </c>
      <c r="S29" s="250">
        <v>365</v>
      </c>
      <c r="T29" s="250">
        <v>3389</v>
      </c>
      <c r="U29" s="242">
        <v>23743</v>
      </c>
      <c r="V29" s="242">
        <v>190463</v>
      </c>
      <c r="W29" s="11"/>
      <c r="X29" s="34"/>
    </row>
    <row r="30" spans="2:24" s="22" customFormat="1" ht="27">
      <c r="B30" s="15">
        <f t="shared" si="0"/>
        <v>7</v>
      </c>
      <c r="C30" s="228" t="s">
        <v>2871</v>
      </c>
      <c r="D30" s="230" t="s">
        <v>42</v>
      </c>
      <c r="E30" s="266">
        <v>936825</v>
      </c>
      <c r="F30" s="273" t="s">
        <v>2051</v>
      </c>
      <c r="G30" s="268">
        <v>42095</v>
      </c>
      <c r="H30" s="228" t="s">
        <v>368</v>
      </c>
      <c r="I30" s="270">
        <v>64009</v>
      </c>
      <c r="J30" s="242">
        <v>21915</v>
      </c>
      <c r="K30" s="242">
        <v>0</v>
      </c>
      <c r="L30" s="242">
        <v>21915</v>
      </c>
      <c r="M30" s="242">
        <v>46841</v>
      </c>
      <c r="N30" s="242">
        <v>889984</v>
      </c>
      <c r="O30" s="242">
        <v>0</v>
      </c>
      <c r="P30" s="242">
        <v>936825</v>
      </c>
      <c r="Q30" s="242">
        <v>21915</v>
      </c>
      <c r="R30" s="242">
        <v>889984</v>
      </c>
      <c r="S30" s="250">
        <v>365</v>
      </c>
      <c r="T30" s="250">
        <v>14823</v>
      </c>
      <c r="U30" s="242">
        <v>103843</v>
      </c>
      <c r="V30" s="242">
        <v>832982</v>
      </c>
      <c r="W30" s="11"/>
      <c r="X30" s="34"/>
    </row>
    <row r="31" spans="2:24" s="22" customFormat="1" ht="27">
      <c r="B31" s="15">
        <f t="shared" si="0"/>
        <v>8</v>
      </c>
      <c r="C31" s="228" t="s">
        <v>2871</v>
      </c>
      <c r="D31" s="230" t="s">
        <v>42</v>
      </c>
      <c r="E31" s="266">
        <v>293013</v>
      </c>
      <c r="F31" s="273" t="s">
        <v>2915</v>
      </c>
      <c r="G31" s="268">
        <v>42095</v>
      </c>
      <c r="H31" s="228" t="s">
        <v>368</v>
      </c>
      <c r="I31" s="270">
        <v>64009</v>
      </c>
      <c r="J31" s="242">
        <v>21915</v>
      </c>
      <c r="K31" s="242">
        <v>0</v>
      </c>
      <c r="L31" s="242">
        <v>21915</v>
      </c>
      <c r="M31" s="242">
        <v>14651</v>
      </c>
      <c r="N31" s="242">
        <v>278362</v>
      </c>
      <c r="O31" s="242">
        <v>0</v>
      </c>
      <c r="P31" s="242">
        <v>293013</v>
      </c>
      <c r="Q31" s="242">
        <v>21915</v>
      </c>
      <c r="R31" s="242">
        <v>278362</v>
      </c>
      <c r="S31" s="250">
        <v>365</v>
      </c>
      <c r="T31" s="250">
        <v>4636</v>
      </c>
      <c r="U31" s="242">
        <v>32478</v>
      </c>
      <c r="V31" s="242">
        <v>260535</v>
      </c>
      <c r="W31" s="11"/>
      <c r="X31" s="34"/>
    </row>
    <row r="32" spans="2:24" s="22" customFormat="1" ht="27">
      <c r="B32" s="15">
        <f t="shared" si="0"/>
        <v>9</v>
      </c>
      <c r="C32" s="228" t="s">
        <v>2871</v>
      </c>
      <c r="D32" s="230" t="s">
        <v>42</v>
      </c>
      <c r="E32" s="266">
        <v>821280</v>
      </c>
      <c r="F32" s="273" t="s">
        <v>2916</v>
      </c>
      <c r="G32" s="268">
        <v>42095</v>
      </c>
      <c r="H32" s="228" t="s">
        <v>368</v>
      </c>
      <c r="I32" s="270">
        <v>64009</v>
      </c>
      <c r="J32" s="242">
        <v>21915</v>
      </c>
      <c r="K32" s="242">
        <v>0</v>
      </c>
      <c r="L32" s="242">
        <v>21915</v>
      </c>
      <c r="M32" s="242">
        <v>41064</v>
      </c>
      <c r="N32" s="242">
        <v>780216</v>
      </c>
      <c r="O32" s="242">
        <v>0</v>
      </c>
      <c r="P32" s="242">
        <v>821280</v>
      </c>
      <c r="Q32" s="242">
        <v>21915</v>
      </c>
      <c r="R32" s="242">
        <v>780216</v>
      </c>
      <c r="S32" s="250">
        <v>365</v>
      </c>
      <c r="T32" s="250">
        <v>12995</v>
      </c>
      <c r="U32" s="242">
        <v>91035</v>
      </c>
      <c r="V32" s="242">
        <v>730245</v>
      </c>
      <c r="W32" s="11"/>
      <c r="X32" s="34"/>
    </row>
    <row r="33" spans="2:24" s="22" customFormat="1" ht="27">
      <c r="B33" s="15">
        <f t="shared" si="0"/>
        <v>10</v>
      </c>
      <c r="C33" s="228" t="s">
        <v>2872</v>
      </c>
      <c r="D33" s="230" t="s">
        <v>42</v>
      </c>
      <c r="E33" s="266">
        <v>753059</v>
      </c>
      <c r="F33" s="273" t="s">
        <v>2917</v>
      </c>
      <c r="G33" s="268">
        <v>42095</v>
      </c>
      <c r="H33" s="228" t="s">
        <v>368</v>
      </c>
      <c r="I33" s="270">
        <v>64009</v>
      </c>
      <c r="J33" s="242">
        <v>21915</v>
      </c>
      <c r="K33" s="242">
        <v>0</v>
      </c>
      <c r="L33" s="242">
        <v>21915</v>
      </c>
      <c r="M33" s="242">
        <v>37653</v>
      </c>
      <c r="N33" s="242">
        <v>715406</v>
      </c>
      <c r="O33" s="242">
        <v>0</v>
      </c>
      <c r="P33" s="242">
        <v>753059</v>
      </c>
      <c r="Q33" s="242">
        <v>21915</v>
      </c>
      <c r="R33" s="242">
        <v>715406</v>
      </c>
      <c r="S33" s="250">
        <v>365</v>
      </c>
      <c r="T33" s="250">
        <v>11915</v>
      </c>
      <c r="U33" s="242">
        <v>83471</v>
      </c>
      <c r="V33" s="242">
        <v>669588</v>
      </c>
      <c r="W33" s="11"/>
      <c r="X33" s="34"/>
    </row>
    <row r="34" spans="2:24" s="22" customFormat="1">
      <c r="B34" s="15">
        <f t="shared" si="0"/>
        <v>11</v>
      </c>
      <c r="C34" s="228" t="s">
        <v>2873</v>
      </c>
      <c r="D34" s="230" t="s">
        <v>42</v>
      </c>
      <c r="E34" s="266">
        <v>398957</v>
      </c>
      <c r="F34" s="273" t="s">
        <v>2918</v>
      </c>
      <c r="G34" s="268">
        <v>42095</v>
      </c>
      <c r="H34" s="228" t="s">
        <v>368</v>
      </c>
      <c r="I34" s="270">
        <v>64009</v>
      </c>
      <c r="J34" s="242">
        <v>21915</v>
      </c>
      <c r="K34" s="242">
        <v>0</v>
      </c>
      <c r="L34" s="242">
        <v>21915</v>
      </c>
      <c r="M34" s="242">
        <v>19948</v>
      </c>
      <c r="N34" s="242">
        <v>379009</v>
      </c>
      <c r="O34" s="242">
        <v>0</v>
      </c>
      <c r="P34" s="242">
        <v>398957</v>
      </c>
      <c r="Q34" s="242">
        <v>21915</v>
      </c>
      <c r="R34" s="242">
        <v>379009</v>
      </c>
      <c r="S34" s="250">
        <v>365</v>
      </c>
      <c r="T34" s="250">
        <v>6312</v>
      </c>
      <c r="U34" s="242">
        <v>44220</v>
      </c>
      <c r="V34" s="242">
        <v>354737</v>
      </c>
      <c r="W34" s="11"/>
      <c r="X34" s="34"/>
    </row>
    <row r="35" spans="2:24" s="22" customFormat="1">
      <c r="B35" s="15">
        <f t="shared" si="0"/>
        <v>12</v>
      </c>
      <c r="C35" s="228" t="s">
        <v>2873</v>
      </c>
      <c r="D35" s="230" t="s">
        <v>42</v>
      </c>
      <c r="E35" s="266">
        <v>213913</v>
      </c>
      <c r="F35" s="273" t="s">
        <v>2919</v>
      </c>
      <c r="G35" s="268">
        <v>42095</v>
      </c>
      <c r="H35" s="228" t="s">
        <v>368</v>
      </c>
      <c r="I35" s="270">
        <v>64009</v>
      </c>
      <c r="J35" s="242">
        <v>21915</v>
      </c>
      <c r="K35" s="242">
        <v>0</v>
      </c>
      <c r="L35" s="242">
        <v>21915</v>
      </c>
      <c r="M35" s="242">
        <v>10696</v>
      </c>
      <c r="N35" s="242">
        <v>203217</v>
      </c>
      <c r="O35" s="242">
        <v>0</v>
      </c>
      <c r="P35" s="242">
        <v>213913</v>
      </c>
      <c r="Q35" s="242">
        <v>21915</v>
      </c>
      <c r="R35" s="242">
        <v>203217</v>
      </c>
      <c r="S35" s="250">
        <v>365</v>
      </c>
      <c r="T35" s="250">
        <v>3385</v>
      </c>
      <c r="U35" s="242">
        <v>23713</v>
      </c>
      <c r="V35" s="242">
        <v>190200</v>
      </c>
      <c r="W35" s="11"/>
      <c r="X35" s="34"/>
    </row>
    <row r="36" spans="2:24" s="22" customFormat="1" ht="27">
      <c r="B36" s="15">
        <f t="shared" si="0"/>
        <v>13</v>
      </c>
      <c r="C36" s="228" t="s">
        <v>2871</v>
      </c>
      <c r="D36" s="230" t="s">
        <v>42</v>
      </c>
      <c r="E36" s="266">
        <v>2284578</v>
      </c>
      <c r="F36" s="273" t="s">
        <v>2920</v>
      </c>
      <c r="G36" s="268">
        <v>42095</v>
      </c>
      <c r="H36" s="228" t="s">
        <v>368</v>
      </c>
      <c r="I36" s="270">
        <v>64009</v>
      </c>
      <c r="J36" s="242">
        <v>21915</v>
      </c>
      <c r="K36" s="242">
        <v>0</v>
      </c>
      <c r="L36" s="242">
        <v>21915</v>
      </c>
      <c r="M36" s="242">
        <v>114229</v>
      </c>
      <c r="N36" s="242">
        <v>2170349</v>
      </c>
      <c r="O36" s="242">
        <v>0</v>
      </c>
      <c r="P36" s="242">
        <v>2284578</v>
      </c>
      <c r="Q36" s="242">
        <v>21915</v>
      </c>
      <c r="R36" s="242">
        <v>2170349</v>
      </c>
      <c r="S36" s="250">
        <v>365</v>
      </c>
      <c r="T36" s="250">
        <v>36148</v>
      </c>
      <c r="U36" s="242">
        <v>253234</v>
      </c>
      <c r="V36" s="242">
        <v>2031344</v>
      </c>
      <c r="W36" s="11"/>
      <c r="X36" s="34"/>
    </row>
    <row r="37" spans="2:24" s="22" customFormat="1" ht="27">
      <c r="B37" s="15">
        <f t="shared" si="0"/>
        <v>14</v>
      </c>
      <c r="C37" s="228" t="s">
        <v>2871</v>
      </c>
      <c r="D37" s="230" t="s">
        <v>42</v>
      </c>
      <c r="E37" s="266">
        <v>818978</v>
      </c>
      <c r="F37" s="273" t="s">
        <v>2915</v>
      </c>
      <c r="G37" s="268">
        <v>42095</v>
      </c>
      <c r="H37" s="228" t="s">
        <v>368</v>
      </c>
      <c r="I37" s="270">
        <v>64009</v>
      </c>
      <c r="J37" s="242">
        <v>21915</v>
      </c>
      <c r="K37" s="242">
        <v>0</v>
      </c>
      <c r="L37" s="242">
        <v>21915</v>
      </c>
      <c r="M37" s="242">
        <v>40949</v>
      </c>
      <c r="N37" s="242">
        <v>778029</v>
      </c>
      <c r="O37" s="242">
        <v>0</v>
      </c>
      <c r="P37" s="242">
        <v>818978</v>
      </c>
      <c r="Q37" s="242">
        <v>21915</v>
      </c>
      <c r="R37" s="242">
        <v>778029</v>
      </c>
      <c r="S37" s="250">
        <v>365</v>
      </c>
      <c r="T37" s="250">
        <v>12958</v>
      </c>
      <c r="U37" s="242">
        <v>90778</v>
      </c>
      <c r="V37" s="242">
        <v>728200</v>
      </c>
      <c r="W37" s="11"/>
      <c r="X37" s="34"/>
    </row>
    <row r="38" spans="2:24" s="22" customFormat="1" ht="27">
      <c r="B38" s="15">
        <f t="shared" si="0"/>
        <v>15</v>
      </c>
      <c r="C38" s="228" t="s">
        <v>2871</v>
      </c>
      <c r="D38" s="230" t="s">
        <v>42</v>
      </c>
      <c r="E38" s="266">
        <v>214264</v>
      </c>
      <c r="F38" s="273" t="s">
        <v>2916</v>
      </c>
      <c r="G38" s="268">
        <v>42095</v>
      </c>
      <c r="H38" s="228" t="s">
        <v>368</v>
      </c>
      <c r="I38" s="270">
        <v>64009</v>
      </c>
      <c r="J38" s="242">
        <v>21915</v>
      </c>
      <c r="K38" s="242">
        <v>0</v>
      </c>
      <c r="L38" s="242">
        <v>21915</v>
      </c>
      <c r="M38" s="242">
        <v>10713</v>
      </c>
      <c r="N38" s="242">
        <v>203551</v>
      </c>
      <c r="O38" s="242">
        <v>0</v>
      </c>
      <c r="P38" s="242">
        <v>214264</v>
      </c>
      <c r="Q38" s="242">
        <v>21915</v>
      </c>
      <c r="R38" s="242">
        <v>203551</v>
      </c>
      <c r="S38" s="250">
        <v>365</v>
      </c>
      <c r="T38" s="250">
        <v>3390</v>
      </c>
      <c r="U38" s="242">
        <v>23748</v>
      </c>
      <c r="V38" s="242">
        <v>190516</v>
      </c>
      <c r="W38" s="11"/>
      <c r="X38" s="34"/>
    </row>
    <row r="39" spans="2:24" s="22" customFormat="1" ht="27">
      <c r="B39" s="15">
        <f t="shared" si="0"/>
        <v>16</v>
      </c>
      <c r="C39" s="228" t="s">
        <v>2874</v>
      </c>
      <c r="D39" s="230" t="s">
        <v>42</v>
      </c>
      <c r="E39" s="266">
        <v>920050</v>
      </c>
      <c r="F39" s="273" t="s">
        <v>2051</v>
      </c>
      <c r="G39" s="268">
        <v>42095</v>
      </c>
      <c r="H39" s="228" t="s">
        <v>368</v>
      </c>
      <c r="I39" s="270">
        <v>64009</v>
      </c>
      <c r="J39" s="242">
        <v>21915</v>
      </c>
      <c r="K39" s="242">
        <v>0</v>
      </c>
      <c r="L39" s="242">
        <v>21915</v>
      </c>
      <c r="M39" s="242">
        <v>46003</v>
      </c>
      <c r="N39" s="242">
        <v>874047</v>
      </c>
      <c r="O39" s="242">
        <v>0</v>
      </c>
      <c r="P39" s="242">
        <v>920050</v>
      </c>
      <c r="Q39" s="242">
        <v>21915</v>
      </c>
      <c r="R39" s="242">
        <v>874048</v>
      </c>
      <c r="S39" s="250">
        <v>365</v>
      </c>
      <c r="T39" s="250">
        <v>14557</v>
      </c>
      <c r="U39" s="242">
        <v>101979</v>
      </c>
      <c r="V39" s="242">
        <v>818071</v>
      </c>
      <c r="W39" s="11"/>
      <c r="X39" s="34"/>
    </row>
    <row r="40" spans="2:24" s="22" customFormat="1" ht="27">
      <c r="B40" s="15">
        <f t="shared" si="0"/>
        <v>17</v>
      </c>
      <c r="C40" s="228" t="s">
        <v>2871</v>
      </c>
      <c r="D40" s="230" t="s">
        <v>42</v>
      </c>
      <c r="E40" s="266">
        <v>1628018</v>
      </c>
      <c r="F40" s="273" t="s">
        <v>2912</v>
      </c>
      <c r="G40" s="268">
        <v>42095</v>
      </c>
      <c r="H40" s="228" t="s">
        <v>368</v>
      </c>
      <c r="I40" s="270">
        <v>64009</v>
      </c>
      <c r="J40" s="242">
        <v>21915</v>
      </c>
      <c r="K40" s="242">
        <v>0</v>
      </c>
      <c r="L40" s="242">
        <v>21915</v>
      </c>
      <c r="M40" s="242">
        <v>81401</v>
      </c>
      <c r="N40" s="242">
        <v>1546617</v>
      </c>
      <c r="O40" s="242">
        <v>0</v>
      </c>
      <c r="P40" s="242">
        <v>1628018</v>
      </c>
      <c r="Q40" s="242">
        <v>21915</v>
      </c>
      <c r="R40" s="242">
        <v>1546617</v>
      </c>
      <c r="S40" s="250">
        <v>365</v>
      </c>
      <c r="T40" s="250">
        <v>25759</v>
      </c>
      <c r="U40" s="242">
        <v>180455</v>
      </c>
      <c r="V40" s="242">
        <v>1447563</v>
      </c>
      <c r="W40" s="11"/>
      <c r="X40" s="34"/>
    </row>
    <row r="41" spans="2:24" s="22" customFormat="1" ht="27">
      <c r="B41" s="15">
        <f t="shared" si="0"/>
        <v>18</v>
      </c>
      <c r="C41" s="228" t="s">
        <v>2871</v>
      </c>
      <c r="D41" s="230" t="s">
        <v>42</v>
      </c>
      <c r="E41" s="266">
        <v>682376</v>
      </c>
      <c r="F41" s="273" t="s">
        <v>2913</v>
      </c>
      <c r="G41" s="268">
        <v>42095</v>
      </c>
      <c r="H41" s="228" t="s">
        <v>368</v>
      </c>
      <c r="I41" s="270">
        <v>64009</v>
      </c>
      <c r="J41" s="242">
        <v>21915</v>
      </c>
      <c r="K41" s="242">
        <v>0</v>
      </c>
      <c r="L41" s="242">
        <v>21915</v>
      </c>
      <c r="M41" s="242">
        <v>34119</v>
      </c>
      <c r="N41" s="242">
        <v>648257</v>
      </c>
      <c r="O41" s="242">
        <v>0</v>
      </c>
      <c r="P41" s="242">
        <v>682376</v>
      </c>
      <c r="Q41" s="242">
        <v>21915</v>
      </c>
      <c r="R41" s="242">
        <v>648257</v>
      </c>
      <c r="S41" s="250">
        <v>365</v>
      </c>
      <c r="T41" s="250">
        <v>10797</v>
      </c>
      <c r="U41" s="242">
        <v>75637</v>
      </c>
      <c r="V41" s="242">
        <v>606739</v>
      </c>
      <c r="W41" s="11"/>
      <c r="X41" s="34"/>
    </row>
    <row r="42" spans="2:24" s="22" customFormat="1" ht="27">
      <c r="B42" s="15">
        <f t="shared" si="0"/>
        <v>19</v>
      </c>
      <c r="C42" s="228" t="s">
        <v>2871</v>
      </c>
      <c r="D42" s="230" t="s">
        <v>42</v>
      </c>
      <c r="E42" s="266">
        <v>214264</v>
      </c>
      <c r="F42" s="273" t="s">
        <v>2914</v>
      </c>
      <c r="G42" s="268">
        <v>42095</v>
      </c>
      <c r="H42" s="228" t="s">
        <v>368</v>
      </c>
      <c r="I42" s="270">
        <v>64009</v>
      </c>
      <c r="J42" s="242">
        <v>21915</v>
      </c>
      <c r="K42" s="242">
        <v>0</v>
      </c>
      <c r="L42" s="242">
        <v>21915</v>
      </c>
      <c r="M42" s="242">
        <v>10713</v>
      </c>
      <c r="N42" s="242">
        <v>203551</v>
      </c>
      <c r="O42" s="242">
        <v>0</v>
      </c>
      <c r="P42" s="242">
        <v>214264</v>
      </c>
      <c r="Q42" s="242">
        <v>21915</v>
      </c>
      <c r="R42" s="242">
        <v>203551</v>
      </c>
      <c r="S42" s="250">
        <v>365</v>
      </c>
      <c r="T42" s="250">
        <v>3390</v>
      </c>
      <c r="U42" s="242">
        <v>23748</v>
      </c>
      <c r="V42" s="242">
        <v>190516</v>
      </c>
      <c r="W42" s="11"/>
      <c r="X42" s="34"/>
    </row>
    <row r="43" spans="2:24" s="22" customFormat="1" ht="27">
      <c r="B43" s="15">
        <f t="shared" si="0"/>
        <v>20</v>
      </c>
      <c r="C43" s="228" t="s">
        <v>2875</v>
      </c>
      <c r="D43" s="230" t="s">
        <v>42</v>
      </c>
      <c r="E43" s="266">
        <v>717450</v>
      </c>
      <c r="F43" s="273" t="s">
        <v>2051</v>
      </c>
      <c r="G43" s="268">
        <v>42095</v>
      </c>
      <c r="H43" s="228" t="s">
        <v>368</v>
      </c>
      <c r="I43" s="270">
        <v>64009</v>
      </c>
      <c r="J43" s="242">
        <v>21915</v>
      </c>
      <c r="K43" s="242">
        <v>0</v>
      </c>
      <c r="L43" s="242">
        <v>21915</v>
      </c>
      <c r="M43" s="242">
        <v>35873</v>
      </c>
      <c r="N43" s="242">
        <v>681577</v>
      </c>
      <c r="O43" s="242">
        <v>0</v>
      </c>
      <c r="P43" s="242">
        <v>717450</v>
      </c>
      <c r="Q43" s="242">
        <v>21915</v>
      </c>
      <c r="R43" s="242">
        <v>681578</v>
      </c>
      <c r="S43" s="250">
        <v>365</v>
      </c>
      <c r="T43" s="250">
        <v>11352</v>
      </c>
      <c r="U43" s="242">
        <v>79526</v>
      </c>
      <c r="V43" s="242">
        <v>637924</v>
      </c>
      <c r="W43" s="11"/>
      <c r="X43" s="34"/>
    </row>
    <row r="44" spans="2:24" s="22" customFormat="1" ht="27">
      <c r="B44" s="15">
        <f t="shared" si="0"/>
        <v>21</v>
      </c>
      <c r="C44" s="228" t="s">
        <v>2875</v>
      </c>
      <c r="D44" s="230" t="s">
        <v>42</v>
      </c>
      <c r="E44" s="266">
        <v>805796</v>
      </c>
      <c r="F44" s="273" t="s">
        <v>2912</v>
      </c>
      <c r="G44" s="268">
        <v>42095</v>
      </c>
      <c r="H44" s="228" t="s">
        <v>368</v>
      </c>
      <c r="I44" s="270">
        <v>64009</v>
      </c>
      <c r="J44" s="242">
        <v>21915</v>
      </c>
      <c r="K44" s="242">
        <v>0</v>
      </c>
      <c r="L44" s="242">
        <v>21915</v>
      </c>
      <c r="M44" s="242">
        <v>40290</v>
      </c>
      <c r="N44" s="242">
        <v>765506</v>
      </c>
      <c r="O44" s="242">
        <v>0</v>
      </c>
      <c r="P44" s="242">
        <v>805796</v>
      </c>
      <c r="Q44" s="242">
        <v>21915</v>
      </c>
      <c r="R44" s="242">
        <v>765506</v>
      </c>
      <c r="S44" s="250">
        <v>365</v>
      </c>
      <c r="T44" s="250">
        <v>12750</v>
      </c>
      <c r="U44" s="242">
        <v>89320</v>
      </c>
      <c r="V44" s="242">
        <v>716476</v>
      </c>
      <c r="W44" s="11"/>
      <c r="X44" s="34"/>
    </row>
    <row r="45" spans="2:24" s="22" customFormat="1" ht="27">
      <c r="B45" s="15">
        <f t="shared" si="0"/>
        <v>22</v>
      </c>
      <c r="C45" s="228" t="s">
        <v>2875</v>
      </c>
      <c r="D45" s="230" t="s">
        <v>42</v>
      </c>
      <c r="E45" s="266">
        <v>721423</v>
      </c>
      <c r="F45" s="273" t="s">
        <v>2913</v>
      </c>
      <c r="G45" s="268">
        <v>42095</v>
      </c>
      <c r="H45" s="228" t="s">
        <v>368</v>
      </c>
      <c r="I45" s="270">
        <v>64009</v>
      </c>
      <c r="J45" s="242">
        <v>21915</v>
      </c>
      <c r="K45" s="242">
        <v>0</v>
      </c>
      <c r="L45" s="242">
        <v>21915</v>
      </c>
      <c r="M45" s="242">
        <v>36071</v>
      </c>
      <c r="N45" s="242">
        <v>685352</v>
      </c>
      <c r="O45" s="242">
        <v>0</v>
      </c>
      <c r="P45" s="242">
        <v>721423</v>
      </c>
      <c r="Q45" s="242">
        <v>21915</v>
      </c>
      <c r="R45" s="242">
        <v>685352</v>
      </c>
      <c r="S45" s="250">
        <v>365</v>
      </c>
      <c r="T45" s="250">
        <v>11415</v>
      </c>
      <c r="U45" s="242">
        <v>79967</v>
      </c>
      <c r="V45" s="242">
        <v>641456</v>
      </c>
      <c r="W45" s="11"/>
      <c r="X45" s="34"/>
    </row>
    <row r="46" spans="2:24" s="22" customFormat="1" ht="27">
      <c r="B46" s="15">
        <f t="shared" si="0"/>
        <v>23</v>
      </c>
      <c r="C46" s="228" t="s">
        <v>2875</v>
      </c>
      <c r="D46" s="230" t="s">
        <v>42</v>
      </c>
      <c r="E46" s="266">
        <v>723392</v>
      </c>
      <c r="F46" s="273" t="s">
        <v>2914</v>
      </c>
      <c r="G46" s="268">
        <v>42095</v>
      </c>
      <c r="H46" s="228" t="s">
        <v>368</v>
      </c>
      <c r="I46" s="270">
        <v>64009</v>
      </c>
      <c r="J46" s="242">
        <v>21915</v>
      </c>
      <c r="K46" s="242">
        <v>0</v>
      </c>
      <c r="L46" s="242">
        <v>21915</v>
      </c>
      <c r="M46" s="242">
        <v>36170</v>
      </c>
      <c r="N46" s="242">
        <v>687222</v>
      </c>
      <c r="O46" s="242">
        <v>0</v>
      </c>
      <c r="P46" s="242">
        <v>723392</v>
      </c>
      <c r="Q46" s="242">
        <v>21915</v>
      </c>
      <c r="R46" s="242">
        <v>687222</v>
      </c>
      <c r="S46" s="250">
        <v>365</v>
      </c>
      <c r="T46" s="250">
        <v>11446</v>
      </c>
      <c r="U46" s="242">
        <v>80184</v>
      </c>
      <c r="V46" s="242">
        <v>643208</v>
      </c>
      <c r="W46" s="11"/>
      <c r="X46" s="34"/>
    </row>
    <row r="47" spans="2:24" s="22" customFormat="1" ht="27">
      <c r="B47" s="15">
        <f t="shared" si="0"/>
        <v>24</v>
      </c>
      <c r="C47" s="228" t="s">
        <v>2875</v>
      </c>
      <c r="D47" s="230" t="s">
        <v>42</v>
      </c>
      <c r="E47" s="266">
        <v>79277</v>
      </c>
      <c r="F47" s="273" t="s">
        <v>2921</v>
      </c>
      <c r="G47" s="268">
        <v>42095</v>
      </c>
      <c r="H47" s="228" t="s">
        <v>368</v>
      </c>
      <c r="I47" s="270">
        <v>64009</v>
      </c>
      <c r="J47" s="242">
        <v>21915</v>
      </c>
      <c r="K47" s="242">
        <v>0</v>
      </c>
      <c r="L47" s="242">
        <v>21915</v>
      </c>
      <c r="M47" s="242">
        <v>3964</v>
      </c>
      <c r="N47" s="242">
        <v>75313</v>
      </c>
      <c r="O47" s="242">
        <v>0</v>
      </c>
      <c r="P47" s="242">
        <v>79277</v>
      </c>
      <c r="Q47" s="242">
        <v>21915</v>
      </c>
      <c r="R47" s="242">
        <v>75313</v>
      </c>
      <c r="S47" s="250">
        <v>365</v>
      </c>
      <c r="T47" s="250">
        <v>1254</v>
      </c>
      <c r="U47" s="242">
        <v>8786</v>
      </c>
      <c r="V47" s="242">
        <v>70491</v>
      </c>
      <c r="W47" s="11"/>
      <c r="X47" s="34"/>
    </row>
    <row r="48" spans="2:24" s="22" customFormat="1" ht="27">
      <c r="B48" s="15">
        <f t="shared" si="0"/>
        <v>25</v>
      </c>
      <c r="C48" s="228" t="s">
        <v>2875</v>
      </c>
      <c r="D48" s="230" t="s">
        <v>42</v>
      </c>
      <c r="E48" s="266">
        <v>214206</v>
      </c>
      <c r="F48" s="273" t="s">
        <v>2922</v>
      </c>
      <c r="G48" s="268">
        <v>42095</v>
      </c>
      <c r="H48" s="228" t="s">
        <v>368</v>
      </c>
      <c r="I48" s="270">
        <v>64009</v>
      </c>
      <c r="J48" s="242">
        <v>21915</v>
      </c>
      <c r="K48" s="242">
        <v>0</v>
      </c>
      <c r="L48" s="242">
        <v>21915</v>
      </c>
      <c r="M48" s="242">
        <v>10710</v>
      </c>
      <c r="N48" s="242">
        <v>203496</v>
      </c>
      <c r="O48" s="242">
        <v>0</v>
      </c>
      <c r="P48" s="242">
        <v>214206</v>
      </c>
      <c r="Q48" s="242">
        <v>21915</v>
      </c>
      <c r="R48" s="242">
        <v>203496</v>
      </c>
      <c r="S48" s="250">
        <v>365</v>
      </c>
      <c r="T48" s="250">
        <v>3389</v>
      </c>
      <c r="U48" s="242">
        <v>23743</v>
      </c>
      <c r="V48" s="242">
        <v>190463</v>
      </c>
      <c r="W48" s="11"/>
      <c r="X48" s="34"/>
    </row>
    <row r="49" spans="2:24" s="22" customFormat="1" ht="27">
      <c r="B49" s="15">
        <f t="shared" si="0"/>
        <v>26</v>
      </c>
      <c r="C49" s="228" t="s">
        <v>2876</v>
      </c>
      <c r="D49" s="230" t="s">
        <v>42</v>
      </c>
      <c r="E49" s="266">
        <v>1842600</v>
      </c>
      <c r="F49" s="273" t="s">
        <v>2923</v>
      </c>
      <c r="G49" s="268">
        <v>42095</v>
      </c>
      <c r="H49" s="228" t="s">
        <v>368</v>
      </c>
      <c r="I49" s="270">
        <v>64009</v>
      </c>
      <c r="J49" s="242">
        <v>21915</v>
      </c>
      <c r="K49" s="242">
        <v>0</v>
      </c>
      <c r="L49" s="242">
        <v>21915</v>
      </c>
      <c r="M49" s="242">
        <v>92130</v>
      </c>
      <c r="N49" s="242">
        <v>1750470</v>
      </c>
      <c r="O49" s="242">
        <v>0</v>
      </c>
      <c r="P49" s="242">
        <v>1842600</v>
      </c>
      <c r="Q49" s="242">
        <v>21915</v>
      </c>
      <c r="R49" s="242">
        <v>1750470</v>
      </c>
      <c r="S49" s="250">
        <v>365</v>
      </c>
      <c r="T49" s="250">
        <v>29155</v>
      </c>
      <c r="U49" s="242">
        <v>204243</v>
      </c>
      <c r="V49" s="242">
        <v>1638357</v>
      </c>
      <c r="W49" s="11"/>
      <c r="X49" s="34"/>
    </row>
    <row r="50" spans="2:24" s="22" customFormat="1">
      <c r="B50" s="15">
        <f t="shared" si="0"/>
        <v>27</v>
      </c>
      <c r="C50" s="228" t="s">
        <v>2877</v>
      </c>
      <c r="D50" s="230" t="s">
        <v>42</v>
      </c>
      <c r="E50" s="266">
        <v>571440</v>
      </c>
      <c r="F50" s="273" t="s">
        <v>2394</v>
      </c>
      <c r="G50" s="268">
        <v>42095</v>
      </c>
      <c r="H50" s="228" t="s">
        <v>368</v>
      </c>
      <c r="I50" s="270">
        <v>64009</v>
      </c>
      <c r="J50" s="242">
        <v>21915</v>
      </c>
      <c r="K50" s="242">
        <v>0</v>
      </c>
      <c r="L50" s="242">
        <v>21915</v>
      </c>
      <c r="M50" s="242">
        <v>28572</v>
      </c>
      <c r="N50" s="242">
        <v>542868</v>
      </c>
      <c r="O50" s="242">
        <v>0</v>
      </c>
      <c r="P50" s="242">
        <v>571440</v>
      </c>
      <c r="Q50" s="242">
        <v>21915</v>
      </c>
      <c r="R50" s="242">
        <v>542868</v>
      </c>
      <c r="S50" s="250">
        <v>365</v>
      </c>
      <c r="T50" s="250">
        <v>9042</v>
      </c>
      <c r="U50" s="242">
        <v>63342</v>
      </c>
      <c r="V50" s="242">
        <v>508098</v>
      </c>
      <c r="W50" s="11"/>
      <c r="X50" s="34"/>
    </row>
    <row r="51" spans="2:24" s="22" customFormat="1">
      <c r="B51" s="15">
        <f t="shared" si="0"/>
        <v>28</v>
      </c>
      <c r="C51" s="228" t="s">
        <v>2877</v>
      </c>
      <c r="D51" s="230" t="s">
        <v>42</v>
      </c>
      <c r="E51" s="266">
        <v>1030138</v>
      </c>
      <c r="F51" s="273" t="s">
        <v>2397</v>
      </c>
      <c r="G51" s="268">
        <v>42095</v>
      </c>
      <c r="H51" s="228" t="s">
        <v>368</v>
      </c>
      <c r="I51" s="270">
        <v>64009</v>
      </c>
      <c r="J51" s="242">
        <v>21915</v>
      </c>
      <c r="K51" s="242">
        <v>0</v>
      </c>
      <c r="L51" s="242">
        <v>21915</v>
      </c>
      <c r="M51" s="242">
        <v>51507</v>
      </c>
      <c r="N51" s="242">
        <v>978631</v>
      </c>
      <c r="O51" s="242">
        <v>0</v>
      </c>
      <c r="P51" s="242">
        <v>1030138</v>
      </c>
      <c r="Q51" s="242">
        <v>21915</v>
      </c>
      <c r="R51" s="242">
        <v>978631</v>
      </c>
      <c r="S51" s="250">
        <v>365</v>
      </c>
      <c r="T51" s="250">
        <v>16299</v>
      </c>
      <c r="U51" s="242">
        <v>114183</v>
      </c>
      <c r="V51" s="242">
        <v>915955</v>
      </c>
      <c r="W51" s="11"/>
      <c r="X51" s="34"/>
    </row>
    <row r="52" spans="2:24" s="22" customFormat="1">
      <c r="B52" s="15">
        <f t="shared" si="0"/>
        <v>29</v>
      </c>
      <c r="C52" s="228" t="s">
        <v>2877</v>
      </c>
      <c r="D52" s="230" t="s">
        <v>42</v>
      </c>
      <c r="E52" s="266">
        <v>801118</v>
      </c>
      <c r="F52" s="273" t="s">
        <v>2924</v>
      </c>
      <c r="G52" s="268">
        <v>42095</v>
      </c>
      <c r="H52" s="228" t="s">
        <v>368</v>
      </c>
      <c r="I52" s="270">
        <v>64009</v>
      </c>
      <c r="J52" s="242">
        <v>21915</v>
      </c>
      <c r="K52" s="242">
        <v>0</v>
      </c>
      <c r="L52" s="242">
        <v>21915</v>
      </c>
      <c r="M52" s="242">
        <v>40056</v>
      </c>
      <c r="N52" s="242">
        <v>761062</v>
      </c>
      <c r="O52" s="242">
        <v>0</v>
      </c>
      <c r="P52" s="242">
        <v>801118</v>
      </c>
      <c r="Q52" s="242">
        <v>21915</v>
      </c>
      <c r="R52" s="242">
        <v>761062</v>
      </c>
      <c r="S52" s="250">
        <v>365</v>
      </c>
      <c r="T52" s="250">
        <v>12676</v>
      </c>
      <c r="U52" s="242">
        <v>88800</v>
      </c>
      <c r="V52" s="242">
        <v>712318</v>
      </c>
      <c r="W52" s="11"/>
      <c r="X52" s="34"/>
    </row>
    <row r="53" spans="2:24" s="22" customFormat="1">
      <c r="B53" s="15">
        <f t="shared" si="0"/>
        <v>30</v>
      </c>
      <c r="C53" s="228" t="s">
        <v>2877</v>
      </c>
      <c r="D53" s="230" t="s">
        <v>42</v>
      </c>
      <c r="E53" s="266">
        <v>757827</v>
      </c>
      <c r="F53" s="273" t="s">
        <v>2925</v>
      </c>
      <c r="G53" s="268">
        <v>42095</v>
      </c>
      <c r="H53" s="228" t="s">
        <v>368</v>
      </c>
      <c r="I53" s="270">
        <v>64009</v>
      </c>
      <c r="J53" s="242">
        <v>21915</v>
      </c>
      <c r="K53" s="242">
        <v>0</v>
      </c>
      <c r="L53" s="242">
        <v>21915</v>
      </c>
      <c r="M53" s="242">
        <v>37891</v>
      </c>
      <c r="N53" s="242">
        <v>719936</v>
      </c>
      <c r="O53" s="242">
        <v>0</v>
      </c>
      <c r="P53" s="242">
        <v>757827</v>
      </c>
      <c r="Q53" s="242">
        <v>21915</v>
      </c>
      <c r="R53" s="242">
        <v>719936</v>
      </c>
      <c r="S53" s="250">
        <v>365</v>
      </c>
      <c r="T53" s="250">
        <v>11991</v>
      </c>
      <c r="U53" s="242">
        <v>84003</v>
      </c>
      <c r="V53" s="242">
        <v>673824</v>
      </c>
      <c r="W53" s="11"/>
      <c r="X53" s="34"/>
    </row>
    <row r="54" spans="2:24" s="22" customFormat="1">
      <c r="B54" s="15">
        <f t="shared" si="0"/>
        <v>31</v>
      </c>
      <c r="C54" s="228" t="s">
        <v>2877</v>
      </c>
      <c r="D54" s="230" t="s">
        <v>42</v>
      </c>
      <c r="E54" s="266">
        <v>214206</v>
      </c>
      <c r="F54" s="273" t="s">
        <v>2926</v>
      </c>
      <c r="G54" s="268">
        <v>42095</v>
      </c>
      <c r="H54" s="228" t="s">
        <v>368</v>
      </c>
      <c r="I54" s="270">
        <v>64009</v>
      </c>
      <c r="J54" s="242">
        <v>21915</v>
      </c>
      <c r="K54" s="242">
        <v>0</v>
      </c>
      <c r="L54" s="242">
        <v>21915</v>
      </c>
      <c r="M54" s="242">
        <v>10710</v>
      </c>
      <c r="N54" s="242">
        <v>203496</v>
      </c>
      <c r="O54" s="242">
        <v>0</v>
      </c>
      <c r="P54" s="242">
        <v>214206</v>
      </c>
      <c r="Q54" s="242">
        <v>21915</v>
      </c>
      <c r="R54" s="242">
        <v>203496</v>
      </c>
      <c r="S54" s="250">
        <v>365</v>
      </c>
      <c r="T54" s="250">
        <v>3389</v>
      </c>
      <c r="U54" s="242">
        <v>23743</v>
      </c>
      <c r="V54" s="242">
        <v>190463</v>
      </c>
      <c r="W54" s="11"/>
      <c r="X54" s="34"/>
    </row>
    <row r="55" spans="2:24" s="22" customFormat="1" ht="27">
      <c r="B55" s="15">
        <f t="shared" si="0"/>
        <v>32</v>
      </c>
      <c r="C55" s="228" t="s">
        <v>2871</v>
      </c>
      <c r="D55" s="230" t="s">
        <v>42</v>
      </c>
      <c r="E55" s="266">
        <v>2867444</v>
      </c>
      <c r="F55" s="273" t="s">
        <v>2923</v>
      </c>
      <c r="G55" s="268">
        <v>42095</v>
      </c>
      <c r="H55" s="228" t="s">
        <v>368</v>
      </c>
      <c r="I55" s="270">
        <v>64009</v>
      </c>
      <c r="J55" s="242">
        <v>21915</v>
      </c>
      <c r="K55" s="242">
        <v>0</v>
      </c>
      <c r="L55" s="242">
        <v>21915</v>
      </c>
      <c r="M55" s="242">
        <v>143372</v>
      </c>
      <c r="N55" s="242">
        <v>2724072</v>
      </c>
      <c r="O55" s="242">
        <v>0</v>
      </c>
      <c r="P55" s="242">
        <v>2867444</v>
      </c>
      <c r="Q55" s="242">
        <v>21915</v>
      </c>
      <c r="R55" s="242">
        <v>2724072</v>
      </c>
      <c r="S55" s="250">
        <v>365</v>
      </c>
      <c r="T55" s="250">
        <v>45370</v>
      </c>
      <c r="U55" s="242">
        <v>317838</v>
      </c>
      <c r="V55" s="242">
        <v>2549606</v>
      </c>
      <c r="W55" s="11"/>
      <c r="X55" s="34"/>
    </row>
    <row r="56" spans="2:24" s="22" customFormat="1">
      <c r="B56" s="15">
        <f t="shared" si="0"/>
        <v>33</v>
      </c>
      <c r="C56" s="228" t="s">
        <v>2878</v>
      </c>
      <c r="D56" s="230" t="s">
        <v>42</v>
      </c>
      <c r="E56" s="266">
        <v>278093</v>
      </c>
      <c r="F56" s="273" t="s">
        <v>2915</v>
      </c>
      <c r="G56" s="268">
        <v>42095</v>
      </c>
      <c r="H56" s="228" t="s">
        <v>368</v>
      </c>
      <c r="I56" s="270">
        <v>64009</v>
      </c>
      <c r="J56" s="242">
        <v>21915</v>
      </c>
      <c r="K56" s="242">
        <v>0</v>
      </c>
      <c r="L56" s="242">
        <v>21915</v>
      </c>
      <c r="M56" s="242">
        <v>13905</v>
      </c>
      <c r="N56" s="242">
        <v>264188</v>
      </c>
      <c r="O56" s="242">
        <v>0</v>
      </c>
      <c r="P56" s="242">
        <v>278093</v>
      </c>
      <c r="Q56" s="242">
        <v>21915</v>
      </c>
      <c r="R56" s="242">
        <v>264188</v>
      </c>
      <c r="S56" s="250">
        <v>365</v>
      </c>
      <c r="T56" s="250">
        <v>4400</v>
      </c>
      <c r="U56" s="242">
        <v>30824</v>
      </c>
      <c r="V56" s="242">
        <v>247269</v>
      </c>
      <c r="W56" s="11"/>
      <c r="X56" s="34"/>
    </row>
    <row r="57" spans="2:24" s="22" customFormat="1">
      <c r="B57" s="15">
        <f t="shared" si="0"/>
        <v>34</v>
      </c>
      <c r="C57" s="228" t="s">
        <v>2878</v>
      </c>
      <c r="D57" s="230" t="s">
        <v>42</v>
      </c>
      <c r="E57" s="266">
        <v>214264</v>
      </c>
      <c r="F57" s="273" t="s">
        <v>2916</v>
      </c>
      <c r="G57" s="268">
        <v>42095</v>
      </c>
      <c r="H57" s="228" t="s">
        <v>368</v>
      </c>
      <c r="I57" s="270">
        <v>64009</v>
      </c>
      <c r="J57" s="242">
        <v>21915</v>
      </c>
      <c r="K57" s="242">
        <v>0</v>
      </c>
      <c r="L57" s="242">
        <v>21915</v>
      </c>
      <c r="M57" s="242">
        <v>10713</v>
      </c>
      <c r="N57" s="242">
        <v>203551</v>
      </c>
      <c r="O57" s="242">
        <v>0</v>
      </c>
      <c r="P57" s="242">
        <v>214264</v>
      </c>
      <c r="Q57" s="242">
        <v>21915</v>
      </c>
      <c r="R57" s="242">
        <v>203551</v>
      </c>
      <c r="S57" s="250">
        <v>365</v>
      </c>
      <c r="T57" s="250">
        <v>3390</v>
      </c>
      <c r="U57" s="242">
        <v>23748</v>
      </c>
      <c r="V57" s="242">
        <v>190516</v>
      </c>
      <c r="W57" s="11"/>
      <c r="X57" s="34"/>
    </row>
    <row r="58" spans="2:24" s="22" customFormat="1" ht="27">
      <c r="B58" s="15">
        <f t="shared" si="0"/>
        <v>35</v>
      </c>
      <c r="C58" s="228" t="s">
        <v>2879</v>
      </c>
      <c r="D58" s="230" t="s">
        <v>42</v>
      </c>
      <c r="E58" s="266">
        <v>571129</v>
      </c>
      <c r="F58" s="273" t="s">
        <v>2051</v>
      </c>
      <c r="G58" s="268">
        <v>42095</v>
      </c>
      <c r="H58" s="228" t="s">
        <v>368</v>
      </c>
      <c r="I58" s="270">
        <v>64009</v>
      </c>
      <c r="J58" s="242">
        <v>21915</v>
      </c>
      <c r="K58" s="242">
        <v>0</v>
      </c>
      <c r="L58" s="242">
        <v>21915</v>
      </c>
      <c r="M58" s="242">
        <v>28556</v>
      </c>
      <c r="N58" s="242">
        <v>542573</v>
      </c>
      <c r="O58" s="242">
        <v>0</v>
      </c>
      <c r="P58" s="242">
        <v>571129</v>
      </c>
      <c r="Q58" s="242">
        <v>21915</v>
      </c>
      <c r="R58" s="242">
        <v>542573</v>
      </c>
      <c r="S58" s="250">
        <v>365</v>
      </c>
      <c r="T58" s="250">
        <v>9037</v>
      </c>
      <c r="U58" s="242">
        <v>63307</v>
      </c>
      <c r="V58" s="242">
        <v>507822</v>
      </c>
      <c r="W58" s="11"/>
      <c r="X58" s="34"/>
    </row>
    <row r="59" spans="2:24" s="22" customFormat="1" ht="27">
      <c r="B59" s="15">
        <f t="shared" si="0"/>
        <v>36</v>
      </c>
      <c r="C59" s="228" t="s">
        <v>2879</v>
      </c>
      <c r="D59" s="230" t="s">
        <v>42</v>
      </c>
      <c r="E59" s="266">
        <v>1070395</v>
      </c>
      <c r="F59" s="273" t="s">
        <v>2912</v>
      </c>
      <c r="G59" s="268">
        <v>42095</v>
      </c>
      <c r="H59" s="228" t="s">
        <v>368</v>
      </c>
      <c r="I59" s="270">
        <v>64009</v>
      </c>
      <c r="J59" s="242">
        <v>21915</v>
      </c>
      <c r="K59" s="242">
        <v>0</v>
      </c>
      <c r="L59" s="242">
        <v>21915</v>
      </c>
      <c r="M59" s="242">
        <v>53520</v>
      </c>
      <c r="N59" s="242">
        <v>1016875</v>
      </c>
      <c r="O59" s="242">
        <v>0</v>
      </c>
      <c r="P59" s="242">
        <v>1070395</v>
      </c>
      <c r="Q59" s="242">
        <v>21915</v>
      </c>
      <c r="R59" s="242">
        <v>1016875</v>
      </c>
      <c r="S59" s="250">
        <v>365</v>
      </c>
      <c r="T59" s="250">
        <v>16936</v>
      </c>
      <c r="U59" s="242">
        <v>118646</v>
      </c>
      <c r="V59" s="242">
        <v>951749</v>
      </c>
      <c r="W59" s="11"/>
      <c r="X59" s="34"/>
    </row>
    <row r="60" spans="2:24" s="22" customFormat="1" ht="27">
      <c r="B60" s="15">
        <f t="shared" si="0"/>
        <v>37</v>
      </c>
      <c r="C60" s="228" t="s">
        <v>2879</v>
      </c>
      <c r="D60" s="230" t="s">
        <v>42</v>
      </c>
      <c r="E60" s="266">
        <v>802887</v>
      </c>
      <c r="F60" s="273" t="s">
        <v>2913</v>
      </c>
      <c r="G60" s="268">
        <v>42095</v>
      </c>
      <c r="H60" s="228" t="s">
        <v>368</v>
      </c>
      <c r="I60" s="270">
        <v>64009</v>
      </c>
      <c r="J60" s="242">
        <v>21915</v>
      </c>
      <c r="K60" s="242">
        <v>0</v>
      </c>
      <c r="L60" s="242">
        <v>21915</v>
      </c>
      <c r="M60" s="242">
        <v>40144</v>
      </c>
      <c r="N60" s="242">
        <v>762743</v>
      </c>
      <c r="O60" s="242">
        <v>0</v>
      </c>
      <c r="P60" s="242">
        <v>802887</v>
      </c>
      <c r="Q60" s="242">
        <v>21915</v>
      </c>
      <c r="R60" s="242">
        <v>762743</v>
      </c>
      <c r="S60" s="250">
        <v>365</v>
      </c>
      <c r="T60" s="250">
        <v>12704</v>
      </c>
      <c r="U60" s="242">
        <v>88996</v>
      </c>
      <c r="V60" s="242">
        <v>713891</v>
      </c>
      <c r="W60" s="11"/>
      <c r="X60" s="34"/>
    </row>
    <row r="61" spans="2:24" s="22" customFormat="1" ht="27">
      <c r="B61" s="15">
        <f t="shared" si="0"/>
        <v>38</v>
      </c>
      <c r="C61" s="228" t="s">
        <v>2879</v>
      </c>
      <c r="D61" s="230" t="s">
        <v>42</v>
      </c>
      <c r="E61" s="266">
        <v>758891</v>
      </c>
      <c r="F61" s="273" t="s">
        <v>2914</v>
      </c>
      <c r="G61" s="268">
        <v>42095</v>
      </c>
      <c r="H61" s="228" t="s">
        <v>368</v>
      </c>
      <c r="I61" s="270">
        <v>64009</v>
      </c>
      <c r="J61" s="242">
        <v>21915</v>
      </c>
      <c r="K61" s="242">
        <v>0</v>
      </c>
      <c r="L61" s="242">
        <v>21915</v>
      </c>
      <c r="M61" s="242">
        <v>37945</v>
      </c>
      <c r="N61" s="242">
        <v>720946</v>
      </c>
      <c r="O61" s="242">
        <v>0</v>
      </c>
      <c r="P61" s="242">
        <v>758891</v>
      </c>
      <c r="Q61" s="242">
        <v>21915</v>
      </c>
      <c r="R61" s="242">
        <v>720946</v>
      </c>
      <c r="S61" s="250">
        <v>365</v>
      </c>
      <c r="T61" s="250">
        <v>12008</v>
      </c>
      <c r="U61" s="242">
        <v>84120</v>
      </c>
      <c r="V61" s="242">
        <v>674771</v>
      </c>
      <c r="W61" s="11"/>
      <c r="X61" s="34"/>
    </row>
    <row r="62" spans="2:24" s="22" customFormat="1" ht="27">
      <c r="B62" s="15">
        <f t="shared" si="0"/>
        <v>39</v>
      </c>
      <c r="C62" s="228" t="s">
        <v>2872</v>
      </c>
      <c r="D62" s="230" t="s">
        <v>42</v>
      </c>
      <c r="E62" s="266">
        <v>70359</v>
      </c>
      <c r="F62" s="273" t="s">
        <v>2921</v>
      </c>
      <c r="G62" s="268">
        <v>42095</v>
      </c>
      <c r="H62" s="228" t="s">
        <v>368</v>
      </c>
      <c r="I62" s="270">
        <v>64009</v>
      </c>
      <c r="J62" s="242">
        <v>21915</v>
      </c>
      <c r="K62" s="242">
        <v>0</v>
      </c>
      <c r="L62" s="242">
        <v>21915</v>
      </c>
      <c r="M62" s="242">
        <v>3518</v>
      </c>
      <c r="N62" s="242">
        <v>66841</v>
      </c>
      <c r="O62" s="242">
        <v>0</v>
      </c>
      <c r="P62" s="242">
        <v>70359</v>
      </c>
      <c r="Q62" s="242">
        <v>21915</v>
      </c>
      <c r="R62" s="242">
        <v>66841</v>
      </c>
      <c r="S62" s="250">
        <v>365</v>
      </c>
      <c r="T62" s="250">
        <v>1113</v>
      </c>
      <c r="U62" s="242">
        <v>7797</v>
      </c>
      <c r="V62" s="242">
        <v>62562</v>
      </c>
      <c r="W62" s="11"/>
      <c r="X62" s="34"/>
    </row>
    <row r="63" spans="2:24" s="22" customFormat="1" ht="27">
      <c r="B63" s="15">
        <f t="shared" si="0"/>
        <v>40</v>
      </c>
      <c r="C63" s="228" t="s">
        <v>2872</v>
      </c>
      <c r="D63" s="230" t="s">
        <v>42</v>
      </c>
      <c r="E63" s="266">
        <v>214264</v>
      </c>
      <c r="F63" s="273" t="s">
        <v>2921</v>
      </c>
      <c r="G63" s="268">
        <v>42095</v>
      </c>
      <c r="H63" s="228" t="s">
        <v>368</v>
      </c>
      <c r="I63" s="270">
        <v>64009</v>
      </c>
      <c r="J63" s="242">
        <v>21915</v>
      </c>
      <c r="K63" s="242">
        <v>0</v>
      </c>
      <c r="L63" s="242">
        <v>21915</v>
      </c>
      <c r="M63" s="242">
        <v>10713</v>
      </c>
      <c r="N63" s="242">
        <v>203551</v>
      </c>
      <c r="O63" s="242">
        <v>0</v>
      </c>
      <c r="P63" s="242">
        <v>214264</v>
      </c>
      <c r="Q63" s="242">
        <v>21915</v>
      </c>
      <c r="R63" s="242">
        <v>203551</v>
      </c>
      <c r="S63" s="250">
        <v>365</v>
      </c>
      <c r="T63" s="250">
        <v>3390</v>
      </c>
      <c r="U63" s="242">
        <v>23748</v>
      </c>
      <c r="V63" s="242">
        <v>190516</v>
      </c>
      <c r="W63" s="11"/>
      <c r="X63" s="34"/>
    </row>
    <row r="64" spans="2:24" s="22" customFormat="1" ht="27">
      <c r="B64" s="15">
        <f t="shared" si="0"/>
        <v>41</v>
      </c>
      <c r="C64" s="228" t="s">
        <v>2879</v>
      </c>
      <c r="D64" s="230" t="s">
        <v>42</v>
      </c>
      <c r="E64" s="266">
        <v>590363</v>
      </c>
      <c r="F64" s="273" t="s">
        <v>2051</v>
      </c>
      <c r="G64" s="268">
        <v>42095</v>
      </c>
      <c r="H64" s="228" t="s">
        <v>368</v>
      </c>
      <c r="I64" s="270">
        <v>64009</v>
      </c>
      <c r="J64" s="242">
        <v>21915</v>
      </c>
      <c r="K64" s="242">
        <v>0</v>
      </c>
      <c r="L64" s="242">
        <v>21915</v>
      </c>
      <c r="M64" s="242">
        <v>29518</v>
      </c>
      <c r="N64" s="242">
        <v>560845</v>
      </c>
      <c r="O64" s="242">
        <v>0</v>
      </c>
      <c r="P64" s="242">
        <v>590363</v>
      </c>
      <c r="Q64" s="242">
        <v>21915</v>
      </c>
      <c r="R64" s="242">
        <v>560845</v>
      </c>
      <c r="S64" s="250">
        <v>365</v>
      </c>
      <c r="T64" s="250">
        <v>9341</v>
      </c>
      <c r="U64" s="242">
        <v>65439</v>
      </c>
      <c r="V64" s="242">
        <v>524924</v>
      </c>
      <c r="W64" s="11"/>
      <c r="X64" s="34"/>
    </row>
    <row r="65" spans="2:24" s="22" customFormat="1" ht="27">
      <c r="B65" s="15">
        <f t="shared" si="0"/>
        <v>42</v>
      </c>
      <c r="C65" s="228" t="s">
        <v>2879</v>
      </c>
      <c r="D65" s="230" t="s">
        <v>42</v>
      </c>
      <c r="E65" s="266">
        <v>842785</v>
      </c>
      <c r="F65" s="273" t="s">
        <v>2912</v>
      </c>
      <c r="G65" s="268">
        <v>42095</v>
      </c>
      <c r="H65" s="228" t="s">
        <v>368</v>
      </c>
      <c r="I65" s="270">
        <v>64009</v>
      </c>
      <c r="J65" s="242">
        <v>21915</v>
      </c>
      <c r="K65" s="242">
        <v>0</v>
      </c>
      <c r="L65" s="242">
        <v>21915</v>
      </c>
      <c r="M65" s="242">
        <v>42139</v>
      </c>
      <c r="N65" s="242">
        <v>800646</v>
      </c>
      <c r="O65" s="242">
        <v>0</v>
      </c>
      <c r="P65" s="242">
        <v>842785</v>
      </c>
      <c r="Q65" s="242">
        <v>21915</v>
      </c>
      <c r="R65" s="242">
        <v>800646</v>
      </c>
      <c r="S65" s="250">
        <v>365</v>
      </c>
      <c r="T65" s="250">
        <v>13335</v>
      </c>
      <c r="U65" s="242">
        <v>93419</v>
      </c>
      <c r="V65" s="242">
        <v>749366</v>
      </c>
      <c r="W65" s="11"/>
      <c r="X65" s="34"/>
    </row>
    <row r="66" spans="2:24" s="22" customFormat="1" ht="27">
      <c r="B66" s="15">
        <f t="shared" si="0"/>
        <v>43</v>
      </c>
      <c r="C66" s="228" t="s">
        <v>2879</v>
      </c>
      <c r="D66" s="230" t="s">
        <v>42</v>
      </c>
      <c r="E66" s="266">
        <v>500317</v>
      </c>
      <c r="F66" s="273" t="s">
        <v>2913</v>
      </c>
      <c r="G66" s="268">
        <v>42095</v>
      </c>
      <c r="H66" s="228" t="s">
        <v>368</v>
      </c>
      <c r="I66" s="270">
        <v>64009</v>
      </c>
      <c r="J66" s="242">
        <v>21915</v>
      </c>
      <c r="K66" s="242">
        <v>0</v>
      </c>
      <c r="L66" s="242">
        <v>21915</v>
      </c>
      <c r="M66" s="242">
        <v>25016</v>
      </c>
      <c r="N66" s="242">
        <v>475301</v>
      </c>
      <c r="O66" s="242">
        <v>0</v>
      </c>
      <c r="P66" s="242">
        <v>500317</v>
      </c>
      <c r="Q66" s="242">
        <v>21915</v>
      </c>
      <c r="R66" s="242">
        <v>475301</v>
      </c>
      <c r="S66" s="250">
        <v>365</v>
      </c>
      <c r="T66" s="250">
        <v>7916</v>
      </c>
      <c r="U66" s="242">
        <v>55456</v>
      </c>
      <c r="V66" s="242">
        <v>444861</v>
      </c>
      <c r="W66" s="11"/>
      <c r="X66" s="34"/>
    </row>
    <row r="67" spans="2:24" s="22" customFormat="1">
      <c r="B67" s="15">
        <f t="shared" si="0"/>
        <v>44</v>
      </c>
      <c r="C67" s="228" t="s">
        <v>2878</v>
      </c>
      <c r="D67" s="230" t="s">
        <v>42</v>
      </c>
      <c r="E67" s="266">
        <v>964257</v>
      </c>
      <c r="F67" s="273" t="s">
        <v>2914</v>
      </c>
      <c r="G67" s="268">
        <v>42095</v>
      </c>
      <c r="H67" s="228" t="s">
        <v>368</v>
      </c>
      <c r="I67" s="270">
        <v>64009</v>
      </c>
      <c r="J67" s="242">
        <v>21915</v>
      </c>
      <c r="K67" s="242">
        <v>0</v>
      </c>
      <c r="L67" s="242">
        <v>21915</v>
      </c>
      <c r="M67" s="242">
        <v>48213</v>
      </c>
      <c r="N67" s="242">
        <v>916044</v>
      </c>
      <c r="O67" s="242">
        <v>0</v>
      </c>
      <c r="P67" s="242">
        <v>964257</v>
      </c>
      <c r="Q67" s="242">
        <v>21915</v>
      </c>
      <c r="R67" s="242">
        <v>916044</v>
      </c>
      <c r="S67" s="250">
        <v>365</v>
      </c>
      <c r="T67" s="250">
        <v>15257</v>
      </c>
      <c r="U67" s="242">
        <v>106883</v>
      </c>
      <c r="V67" s="242">
        <v>857374</v>
      </c>
      <c r="W67" s="11"/>
      <c r="X67" s="34"/>
    </row>
    <row r="68" spans="2:24" s="22" customFormat="1">
      <c r="B68" s="15">
        <f t="shared" si="0"/>
        <v>45</v>
      </c>
      <c r="C68" s="228" t="s">
        <v>2878</v>
      </c>
      <c r="D68" s="230" t="s">
        <v>42</v>
      </c>
      <c r="E68" s="266">
        <v>214264</v>
      </c>
      <c r="F68" s="273" t="s">
        <v>2921</v>
      </c>
      <c r="G68" s="268">
        <v>42095</v>
      </c>
      <c r="H68" s="228" t="s">
        <v>368</v>
      </c>
      <c r="I68" s="270">
        <v>64009</v>
      </c>
      <c r="J68" s="242">
        <v>21915</v>
      </c>
      <c r="K68" s="242">
        <v>0</v>
      </c>
      <c r="L68" s="242">
        <v>21915</v>
      </c>
      <c r="M68" s="242">
        <v>10713</v>
      </c>
      <c r="N68" s="242">
        <v>203551</v>
      </c>
      <c r="O68" s="242">
        <v>0</v>
      </c>
      <c r="P68" s="242">
        <v>214264</v>
      </c>
      <c r="Q68" s="242">
        <v>21915</v>
      </c>
      <c r="R68" s="242">
        <v>203551</v>
      </c>
      <c r="S68" s="250">
        <v>365</v>
      </c>
      <c r="T68" s="250">
        <v>3390</v>
      </c>
      <c r="U68" s="242">
        <v>23748</v>
      </c>
      <c r="V68" s="242">
        <v>190516</v>
      </c>
      <c r="W68" s="11"/>
      <c r="X68" s="34"/>
    </row>
    <row r="69" spans="2:24" s="22" customFormat="1" ht="27">
      <c r="B69" s="15">
        <f t="shared" si="0"/>
        <v>46</v>
      </c>
      <c r="C69" s="228" t="s">
        <v>2879</v>
      </c>
      <c r="D69" s="230" t="s">
        <v>42</v>
      </c>
      <c r="E69" s="266">
        <v>694110</v>
      </c>
      <c r="F69" s="273" t="s">
        <v>2051</v>
      </c>
      <c r="G69" s="268">
        <v>42095</v>
      </c>
      <c r="H69" s="228" t="s">
        <v>368</v>
      </c>
      <c r="I69" s="270">
        <v>64009</v>
      </c>
      <c r="J69" s="242">
        <v>21915</v>
      </c>
      <c r="K69" s="242">
        <v>0</v>
      </c>
      <c r="L69" s="242">
        <v>21915</v>
      </c>
      <c r="M69" s="242">
        <v>34706</v>
      </c>
      <c r="N69" s="242">
        <v>659404</v>
      </c>
      <c r="O69" s="242">
        <v>0</v>
      </c>
      <c r="P69" s="242">
        <v>694110</v>
      </c>
      <c r="Q69" s="242">
        <v>21915</v>
      </c>
      <c r="R69" s="242">
        <v>659405</v>
      </c>
      <c r="S69" s="250">
        <v>365</v>
      </c>
      <c r="T69" s="250">
        <v>10983</v>
      </c>
      <c r="U69" s="242">
        <v>76941</v>
      </c>
      <c r="V69" s="242">
        <v>617169</v>
      </c>
      <c r="W69" s="11"/>
      <c r="X69" s="34"/>
    </row>
    <row r="70" spans="2:24" s="22" customFormat="1" ht="27">
      <c r="B70" s="15">
        <f t="shared" si="0"/>
        <v>47</v>
      </c>
      <c r="C70" s="228" t="s">
        <v>2880</v>
      </c>
      <c r="D70" s="230" t="s">
        <v>42</v>
      </c>
      <c r="E70" s="266">
        <v>1101513</v>
      </c>
      <c r="F70" s="273" t="s">
        <v>2912</v>
      </c>
      <c r="G70" s="268">
        <v>42095</v>
      </c>
      <c r="H70" s="228" t="s">
        <v>368</v>
      </c>
      <c r="I70" s="270">
        <v>64009</v>
      </c>
      <c r="J70" s="242">
        <v>21915</v>
      </c>
      <c r="K70" s="242">
        <v>0</v>
      </c>
      <c r="L70" s="242">
        <v>21915</v>
      </c>
      <c r="M70" s="242">
        <v>55076</v>
      </c>
      <c r="N70" s="242">
        <v>1046437</v>
      </c>
      <c r="O70" s="242">
        <v>0</v>
      </c>
      <c r="P70" s="242">
        <v>1101513</v>
      </c>
      <c r="Q70" s="242">
        <v>21915</v>
      </c>
      <c r="R70" s="242">
        <v>1046437</v>
      </c>
      <c r="S70" s="250">
        <v>365</v>
      </c>
      <c r="T70" s="250">
        <v>17429</v>
      </c>
      <c r="U70" s="242">
        <v>122097</v>
      </c>
      <c r="V70" s="242">
        <v>979416</v>
      </c>
      <c r="W70" s="11"/>
      <c r="X70" s="34"/>
    </row>
    <row r="71" spans="2:24" s="22" customFormat="1">
      <c r="B71" s="15">
        <f t="shared" si="0"/>
        <v>48</v>
      </c>
      <c r="C71" s="228" t="s">
        <v>2878</v>
      </c>
      <c r="D71" s="230" t="s">
        <v>42</v>
      </c>
      <c r="E71" s="266">
        <v>1224101</v>
      </c>
      <c r="F71" s="273" t="s">
        <v>2913</v>
      </c>
      <c r="G71" s="268">
        <v>42095</v>
      </c>
      <c r="H71" s="228" t="s">
        <v>368</v>
      </c>
      <c r="I71" s="270">
        <v>64009</v>
      </c>
      <c r="J71" s="242">
        <v>21915</v>
      </c>
      <c r="K71" s="242">
        <v>0</v>
      </c>
      <c r="L71" s="242">
        <v>21915</v>
      </c>
      <c r="M71" s="242">
        <v>61205</v>
      </c>
      <c r="N71" s="242">
        <v>1162896</v>
      </c>
      <c r="O71" s="242">
        <v>0</v>
      </c>
      <c r="P71" s="242">
        <v>1224101</v>
      </c>
      <c r="Q71" s="242">
        <v>21915</v>
      </c>
      <c r="R71" s="242">
        <v>1162896</v>
      </c>
      <c r="S71" s="250">
        <v>365</v>
      </c>
      <c r="T71" s="250">
        <v>19368</v>
      </c>
      <c r="U71" s="242">
        <v>135682</v>
      </c>
      <c r="V71" s="242">
        <v>1088419</v>
      </c>
      <c r="W71" s="11"/>
      <c r="X71" s="34"/>
    </row>
    <row r="72" spans="2:24" s="22" customFormat="1" ht="27">
      <c r="B72" s="15">
        <f t="shared" si="0"/>
        <v>49</v>
      </c>
      <c r="C72" s="228" t="s">
        <v>2879</v>
      </c>
      <c r="D72" s="230" t="s">
        <v>42</v>
      </c>
      <c r="E72" s="266">
        <v>1372352</v>
      </c>
      <c r="F72" s="273" t="s">
        <v>2923</v>
      </c>
      <c r="G72" s="268">
        <v>42095</v>
      </c>
      <c r="H72" s="228" t="s">
        <v>368</v>
      </c>
      <c r="I72" s="270">
        <v>64009</v>
      </c>
      <c r="J72" s="242">
        <v>21915</v>
      </c>
      <c r="K72" s="242">
        <v>0</v>
      </c>
      <c r="L72" s="242">
        <v>21915</v>
      </c>
      <c r="M72" s="242">
        <v>68618</v>
      </c>
      <c r="N72" s="242">
        <v>1303734</v>
      </c>
      <c r="O72" s="242">
        <v>0</v>
      </c>
      <c r="P72" s="242">
        <v>1372352</v>
      </c>
      <c r="Q72" s="242">
        <v>21915</v>
      </c>
      <c r="R72" s="242">
        <v>1303734</v>
      </c>
      <c r="S72" s="250">
        <v>365</v>
      </c>
      <c r="T72" s="250">
        <v>21714</v>
      </c>
      <c r="U72" s="242">
        <v>152118</v>
      </c>
      <c r="V72" s="242">
        <v>1220234</v>
      </c>
      <c r="W72" s="11"/>
      <c r="X72" s="34"/>
    </row>
    <row r="73" spans="2:24" s="22" customFormat="1" ht="27">
      <c r="B73" s="15">
        <f t="shared" si="0"/>
        <v>50</v>
      </c>
      <c r="C73" s="228" t="s">
        <v>2879</v>
      </c>
      <c r="D73" s="230" t="s">
        <v>42</v>
      </c>
      <c r="E73" s="266">
        <v>1297217</v>
      </c>
      <c r="F73" s="273" t="s">
        <v>2915</v>
      </c>
      <c r="G73" s="268">
        <v>42095</v>
      </c>
      <c r="H73" s="228" t="s">
        <v>368</v>
      </c>
      <c r="I73" s="270">
        <v>64009</v>
      </c>
      <c r="J73" s="242">
        <v>21915</v>
      </c>
      <c r="K73" s="242">
        <v>0</v>
      </c>
      <c r="L73" s="242">
        <v>21915</v>
      </c>
      <c r="M73" s="242">
        <v>64861</v>
      </c>
      <c r="N73" s="242">
        <v>1232356</v>
      </c>
      <c r="O73" s="242">
        <v>0</v>
      </c>
      <c r="P73" s="242">
        <v>1297217</v>
      </c>
      <c r="Q73" s="242">
        <v>21915</v>
      </c>
      <c r="R73" s="242">
        <v>1232356</v>
      </c>
      <c r="S73" s="250">
        <v>365</v>
      </c>
      <c r="T73" s="250">
        <v>20525</v>
      </c>
      <c r="U73" s="242">
        <v>143787</v>
      </c>
      <c r="V73" s="242">
        <v>1153430</v>
      </c>
      <c r="W73" s="11"/>
      <c r="X73" s="34"/>
    </row>
    <row r="74" spans="2:24" s="22" customFormat="1">
      <c r="B74" s="15">
        <f t="shared" si="0"/>
        <v>51</v>
      </c>
      <c r="C74" s="228" t="s">
        <v>2878</v>
      </c>
      <c r="D74" s="230" t="s">
        <v>42</v>
      </c>
      <c r="E74" s="266">
        <v>585148</v>
      </c>
      <c r="F74" s="273" t="s">
        <v>2916</v>
      </c>
      <c r="G74" s="268">
        <v>42095</v>
      </c>
      <c r="H74" s="228" t="s">
        <v>368</v>
      </c>
      <c r="I74" s="270">
        <v>64009</v>
      </c>
      <c r="J74" s="242">
        <v>21915</v>
      </c>
      <c r="K74" s="242">
        <v>0</v>
      </c>
      <c r="L74" s="242">
        <v>21915</v>
      </c>
      <c r="M74" s="242">
        <v>29257</v>
      </c>
      <c r="N74" s="242">
        <v>555891</v>
      </c>
      <c r="O74" s="242">
        <v>0</v>
      </c>
      <c r="P74" s="242">
        <v>585148</v>
      </c>
      <c r="Q74" s="242">
        <v>21915</v>
      </c>
      <c r="R74" s="242">
        <v>555891</v>
      </c>
      <c r="S74" s="250">
        <v>365</v>
      </c>
      <c r="T74" s="250">
        <v>9259</v>
      </c>
      <c r="U74" s="242">
        <v>64863</v>
      </c>
      <c r="V74" s="242">
        <v>520285</v>
      </c>
      <c r="W74" s="11"/>
      <c r="X74" s="34"/>
    </row>
    <row r="75" spans="2:24" s="22" customFormat="1">
      <c r="B75" s="15">
        <f t="shared" si="0"/>
        <v>52</v>
      </c>
      <c r="C75" s="228" t="s">
        <v>2878</v>
      </c>
      <c r="D75" s="230" t="s">
        <v>42</v>
      </c>
      <c r="E75" s="266">
        <v>213906</v>
      </c>
      <c r="F75" s="273" t="s">
        <v>2917</v>
      </c>
      <c r="G75" s="268">
        <v>42095</v>
      </c>
      <c r="H75" s="228" t="s">
        <v>368</v>
      </c>
      <c r="I75" s="270">
        <v>64009</v>
      </c>
      <c r="J75" s="242">
        <v>21915</v>
      </c>
      <c r="K75" s="242">
        <v>0</v>
      </c>
      <c r="L75" s="242">
        <v>21915</v>
      </c>
      <c r="M75" s="242">
        <v>10695</v>
      </c>
      <c r="N75" s="242">
        <v>203211</v>
      </c>
      <c r="O75" s="242">
        <v>0</v>
      </c>
      <c r="P75" s="242">
        <v>213906</v>
      </c>
      <c r="Q75" s="242">
        <v>21915</v>
      </c>
      <c r="R75" s="242">
        <v>203211</v>
      </c>
      <c r="S75" s="250">
        <v>365</v>
      </c>
      <c r="T75" s="250">
        <v>3385</v>
      </c>
      <c r="U75" s="242">
        <v>23713</v>
      </c>
      <c r="V75" s="242">
        <v>190193</v>
      </c>
      <c r="W75" s="11"/>
      <c r="X75" s="34"/>
    </row>
    <row r="76" spans="2:24" s="22" customFormat="1">
      <c r="B76" s="15">
        <f t="shared" si="0"/>
        <v>53</v>
      </c>
      <c r="C76" s="228" t="s">
        <v>2878</v>
      </c>
      <c r="D76" s="230" t="s">
        <v>42</v>
      </c>
      <c r="E76" s="266">
        <v>87343</v>
      </c>
      <c r="F76" s="273" t="s">
        <v>2927</v>
      </c>
      <c r="G76" s="268">
        <v>42095</v>
      </c>
      <c r="H76" s="228" t="s">
        <v>368</v>
      </c>
      <c r="I76" s="270">
        <v>64009</v>
      </c>
      <c r="J76" s="242">
        <v>21915</v>
      </c>
      <c r="K76" s="242">
        <v>0</v>
      </c>
      <c r="L76" s="242">
        <v>21915</v>
      </c>
      <c r="M76" s="242">
        <v>4367</v>
      </c>
      <c r="N76" s="242">
        <v>82976</v>
      </c>
      <c r="O76" s="242">
        <v>0</v>
      </c>
      <c r="P76" s="242">
        <v>87343</v>
      </c>
      <c r="Q76" s="242">
        <v>21915</v>
      </c>
      <c r="R76" s="242">
        <v>82976</v>
      </c>
      <c r="S76" s="250">
        <v>365</v>
      </c>
      <c r="T76" s="250">
        <v>1382</v>
      </c>
      <c r="U76" s="242">
        <v>9682</v>
      </c>
      <c r="V76" s="242">
        <v>77661</v>
      </c>
      <c r="W76" s="11"/>
      <c r="X76" s="34"/>
    </row>
    <row r="77" spans="2:24" s="22" customFormat="1" ht="27">
      <c r="B77" s="15">
        <f t="shared" si="0"/>
        <v>54</v>
      </c>
      <c r="C77" s="228" t="s">
        <v>2879</v>
      </c>
      <c r="D77" s="230" t="s">
        <v>42</v>
      </c>
      <c r="E77" s="266">
        <v>518732</v>
      </c>
      <c r="F77" s="273" t="s">
        <v>2051</v>
      </c>
      <c r="G77" s="268">
        <v>42095</v>
      </c>
      <c r="H77" s="228" t="s">
        <v>368</v>
      </c>
      <c r="I77" s="270">
        <v>64009</v>
      </c>
      <c r="J77" s="242">
        <v>21915</v>
      </c>
      <c r="K77" s="242">
        <v>0</v>
      </c>
      <c r="L77" s="242">
        <v>21915</v>
      </c>
      <c r="M77" s="242">
        <v>25937</v>
      </c>
      <c r="N77" s="242">
        <v>492795</v>
      </c>
      <c r="O77" s="242">
        <v>0</v>
      </c>
      <c r="P77" s="242">
        <v>518732</v>
      </c>
      <c r="Q77" s="242">
        <v>21915</v>
      </c>
      <c r="R77" s="242">
        <v>492795</v>
      </c>
      <c r="S77" s="250">
        <v>365</v>
      </c>
      <c r="T77" s="250">
        <v>8208</v>
      </c>
      <c r="U77" s="242">
        <v>57500</v>
      </c>
      <c r="V77" s="242">
        <v>461232</v>
      </c>
      <c r="W77" s="11"/>
      <c r="X77" s="34"/>
    </row>
    <row r="78" spans="2:24" s="22" customFormat="1" ht="27">
      <c r="B78" s="15">
        <f t="shared" si="0"/>
        <v>55</v>
      </c>
      <c r="C78" s="228" t="s">
        <v>2879</v>
      </c>
      <c r="D78" s="230" t="s">
        <v>42</v>
      </c>
      <c r="E78" s="266">
        <v>864218</v>
      </c>
      <c r="F78" s="273" t="s">
        <v>2912</v>
      </c>
      <c r="G78" s="268">
        <v>42095</v>
      </c>
      <c r="H78" s="228" t="s">
        <v>368</v>
      </c>
      <c r="I78" s="270">
        <v>64009</v>
      </c>
      <c r="J78" s="242">
        <v>21915</v>
      </c>
      <c r="K78" s="242">
        <v>0</v>
      </c>
      <c r="L78" s="242">
        <v>21915</v>
      </c>
      <c r="M78" s="242">
        <v>43211</v>
      </c>
      <c r="N78" s="242">
        <v>821007</v>
      </c>
      <c r="O78" s="242">
        <v>0</v>
      </c>
      <c r="P78" s="242">
        <v>864218</v>
      </c>
      <c r="Q78" s="242">
        <v>21915</v>
      </c>
      <c r="R78" s="242">
        <v>821007</v>
      </c>
      <c r="S78" s="250">
        <v>365</v>
      </c>
      <c r="T78" s="250">
        <v>13674</v>
      </c>
      <c r="U78" s="242">
        <v>95794</v>
      </c>
      <c r="V78" s="242">
        <v>768424</v>
      </c>
      <c r="W78" s="11"/>
      <c r="X78" s="34"/>
    </row>
    <row r="79" spans="2:24" s="22" customFormat="1" ht="27">
      <c r="B79" s="15">
        <f t="shared" si="0"/>
        <v>56</v>
      </c>
      <c r="C79" s="228" t="s">
        <v>2879</v>
      </c>
      <c r="D79" s="230" t="s">
        <v>42</v>
      </c>
      <c r="E79" s="266">
        <v>760167</v>
      </c>
      <c r="F79" s="273" t="s">
        <v>2913</v>
      </c>
      <c r="G79" s="268">
        <v>42095</v>
      </c>
      <c r="H79" s="228" t="s">
        <v>368</v>
      </c>
      <c r="I79" s="270">
        <v>64009</v>
      </c>
      <c r="J79" s="242">
        <v>21915</v>
      </c>
      <c r="K79" s="242">
        <v>0</v>
      </c>
      <c r="L79" s="242">
        <v>21915</v>
      </c>
      <c r="M79" s="242">
        <v>38008</v>
      </c>
      <c r="N79" s="242">
        <v>722159</v>
      </c>
      <c r="O79" s="242">
        <v>0</v>
      </c>
      <c r="P79" s="242">
        <v>760167</v>
      </c>
      <c r="Q79" s="242">
        <v>21915</v>
      </c>
      <c r="R79" s="242">
        <v>722159</v>
      </c>
      <c r="S79" s="250">
        <v>365</v>
      </c>
      <c r="T79" s="250">
        <v>12028</v>
      </c>
      <c r="U79" s="242">
        <v>84262</v>
      </c>
      <c r="V79" s="242">
        <v>675905</v>
      </c>
      <c r="W79" s="11"/>
      <c r="X79" s="34"/>
    </row>
    <row r="80" spans="2:24" s="22" customFormat="1" ht="27">
      <c r="B80" s="15">
        <f t="shared" si="0"/>
        <v>57</v>
      </c>
      <c r="C80" s="228" t="s">
        <v>2879</v>
      </c>
      <c r="D80" s="230" t="s">
        <v>42</v>
      </c>
      <c r="E80" s="266">
        <v>349200</v>
      </c>
      <c r="F80" s="273" t="s">
        <v>2914</v>
      </c>
      <c r="G80" s="268">
        <v>42095</v>
      </c>
      <c r="H80" s="228" t="s">
        <v>368</v>
      </c>
      <c r="I80" s="270">
        <v>64009</v>
      </c>
      <c r="J80" s="242">
        <v>21915</v>
      </c>
      <c r="K80" s="242">
        <v>0</v>
      </c>
      <c r="L80" s="242">
        <v>21915</v>
      </c>
      <c r="M80" s="242">
        <v>17460</v>
      </c>
      <c r="N80" s="242">
        <v>331740</v>
      </c>
      <c r="O80" s="242">
        <v>0</v>
      </c>
      <c r="P80" s="242">
        <v>349200</v>
      </c>
      <c r="Q80" s="242">
        <v>21915</v>
      </c>
      <c r="R80" s="242">
        <v>331740</v>
      </c>
      <c r="S80" s="250">
        <v>365</v>
      </c>
      <c r="T80" s="250">
        <v>5525</v>
      </c>
      <c r="U80" s="242">
        <v>38705</v>
      </c>
      <c r="V80" s="242">
        <v>310495</v>
      </c>
      <c r="W80" s="11"/>
      <c r="X80" s="34"/>
    </row>
    <row r="81" spans="2:24" s="22" customFormat="1">
      <c r="B81" s="15">
        <f t="shared" si="0"/>
        <v>58</v>
      </c>
      <c r="C81" s="228" t="s">
        <v>2878</v>
      </c>
      <c r="D81" s="230" t="s">
        <v>42</v>
      </c>
      <c r="E81" s="266">
        <v>405007</v>
      </c>
      <c r="F81" s="273" t="s">
        <v>2921</v>
      </c>
      <c r="G81" s="268">
        <v>42095</v>
      </c>
      <c r="H81" s="228" t="s">
        <v>368</v>
      </c>
      <c r="I81" s="270">
        <v>64009</v>
      </c>
      <c r="J81" s="242">
        <v>21915</v>
      </c>
      <c r="K81" s="242">
        <v>0</v>
      </c>
      <c r="L81" s="242">
        <v>21915</v>
      </c>
      <c r="M81" s="242">
        <v>20250</v>
      </c>
      <c r="N81" s="242">
        <v>384757</v>
      </c>
      <c r="O81" s="242">
        <v>0</v>
      </c>
      <c r="P81" s="242">
        <v>405007</v>
      </c>
      <c r="Q81" s="242">
        <v>21915</v>
      </c>
      <c r="R81" s="242">
        <v>384757</v>
      </c>
      <c r="S81" s="250">
        <v>365</v>
      </c>
      <c r="T81" s="250">
        <v>6408</v>
      </c>
      <c r="U81" s="242">
        <v>44892</v>
      </c>
      <c r="V81" s="242">
        <v>360115</v>
      </c>
      <c r="W81" s="11"/>
      <c r="X81" s="34"/>
    </row>
    <row r="82" spans="2:24" s="22" customFormat="1">
      <c r="B82" s="15">
        <f t="shared" si="0"/>
        <v>59</v>
      </c>
      <c r="C82" s="228" t="s">
        <v>2878</v>
      </c>
      <c r="D82" s="230" t="s">
        <v>42</v>
      </c>
      <c r="E82" s="266">
        <v>214264</v>
      </c>
      <c r="F82" s="273" t="s">
        <v>2922</v>
      </c>
      <c r="G82" s="268">
        <v>42095</v>
      </c>
      <c r="H82" s="228" t="s">
        <v>368</v>
      </c>
      <c r="I82" s="270">
        <v>64009</v>
      </c>
      <c r="J82" s="242">
        <v>21915</v>
      </c>
      <c r="K82" s="242">
        <v>0</v>
      </c>
      <c r="L82" s="242">
        <v>21915</v>
      </c>
      <c r="M82" s="242">
        <v>10713</v>
      </c>
      <c r="N82" s="242">
        <v>203551</v>
      </c>
      <c r="O82" s="242">
        <v>0</v>
      </c>
      <c r="P82" s="242">
        <v>214264</v>
      </c>
      <c r="Q82" s="242">
        <v>21915</v>
      </c>
      <c r="R82" s="242">
        <v>203551</v>
      </c>
      <c r="S82" s="250">
        <v>365</v>
      </c>
      <c r="T82" s="250">
        <v>3390</v>
      </c>
      <c r="U82" s="242">
        <v>23748</v>
      </c>
      <c r="V82" s="242">
        <v>190516</v>
      </c>
      <c r="W82" s="11"/>
      <c r="X82" s="34"/>
    </row>
    <row r="83" spans="2:24" s="22" customFormat="1" ht="27">
      <c r="B83" s="15">
        <f t="shared" si="0"/>
        <v>60</v>
      </c>
      <c r="C83" s="228" t="s">
        <v>2880</v>
      </c>
      <c r="D83" s="230" t="s">
        <v>42</v>
      </c>
      <c r="E83" s="266">
        <v>522999</v>
      </c>
      <c r="F83" s="273" t="s">
        <v>2051</v>
      </c>
      <c r="G83" s="268">
        <v>42095</v>
      </c>
      <c r="H83" s="228" t="s">
        <v>368</v>
      </c>
      <c r="I83" s="270">
        <v>64009</v>
      </c>
      <c r="J83" s="242">
        <v>21915</v>
      </c>
      <c r="K83" s="242">
        <v>0</v>
      </c>
      <c r="L83" s="242">
        <v>21915</v>
      </c>
      <c r="M83" s="242">
        <v>26150</v>
      </c>
      <c r="N83" s="242">
        <v>496849</v>
      </c>
      <c r="O83" s="242">
        <v>0</v>
      </c>
      <c r="P83" s="242">
        <v>522999</v>
      </c>
      <c r="Q83" s="242">
        <v>21915</v>
      </c>
      <c r="R83" s="242">
        <v>496849</v>
      </c>
      <c r="S83" s="250">
        <v>365</v>
      </c>
      <c r="T83" s="250">
        <v>8275</v>
      </c>
      <c r="U83" s="242">
        <v>57971</v>
      </c>
      <c r="V83" s="242">
        <v>465028</v>
      </c>
      <c r="W83" s="11"/>
      <c r="X83" s="34"/>
    </row>
    <row r="84" spans="2:24" s="22" customFormat="1" ht="27">
      <c r="B84" s="15">
        <f t="shared" si="0"/>
        <v>61</v>
      </c>
      <c r="C84" s="228" t="s">
        <v>2880</v>
      </c>
      <c r="D84" s="230" t="s">
        <v>42</v>
      </c>
      <c r="E84" s="266">
        <v>711784</v>
      </c>
      <c r="F84" s="273" t="s">
        <v>2912</v>
      </c>
      <c r="G84" s="268">
        <v>42095</v>
      </c>
      <c r="H84" s="228" t="s">
        <v>368</v>
      </c>
      <c r="I84" s="270">
        <v>64009</v>
      </c>
      <c r="J84" s="242">
        <v>21915</v>
      </c>
      <c r="K84" s="242">
        <v>0</v>
      </c>
      <c r="L84" s="242">
        <v>21915</v>
      </c>
      <c r="M84" s="242">
        <v>35589</v>
      </c>
      <c r="N84" s="242">
        <v>676195</v>
      </c>
      <c r="O84" s="242">
        <v>0</v>
      </c>
      <c r="P84" s="242">
        <v>711784</v>
      </c>
      <c r="Q84" s="242">
        <v>21915</v>
      </c>
      <c r="R84" s="242">
        <v>676195</v>
      </c>
      <c r="S84" s="250">
        <v>365</v>
      </c>
      <c r="T84" s="250">
        <v>11262</v>
      </c>
      <c r="U84" s="242">
        <v>78896</v>
      </c>
      <c r="V84" s="242">
        <v>632888</v>
      </c>
      <c r="W84" s="11"/>
      <c r="X84" s="34"/>
    </row>
    <row r="85" spans="2:24" s="22" customFormat="1" ht="27">
      <c r="B85" s="15">
        <f t="shared" si="0"/>
        <v>62</v>
      </c>
      <c r="C85" s="228" t="s">
        <v>2880</v>
      </c>
      <c r="D85" s="230" t="s">
        <v>42</v>
      </c>
      <c r="E85" s="266">
        <v>543693</v>
      </c>
      <c r="F85" s="273" t="s">
        <v>2913</v>
      </c>
      <c r="G85" s="268">
        <v>42095</v>
      </c>
      <c r="H85" s="228" t="s">
        <v>368</v>
      </c>
      <c r="I85" s="270">
        <v>64009</v>
      </c>
      <c r="J85" s="242">
        <v>21915</v>
      </c>
      <c r="K85" s="242">
        <v>0</v>
      </c>
      <c r="L85" s="242">
        <v>21915</v>
      </c>
      <c r="M85" s="242">
        <v>27185</v>
      </c>
      <c r="N85" s="242">
        <v>516508</v>
      </c>
      <c r="O85" s="242">
        <v>0</v>
      </c>
      <c r="P85" s="242">
        <v>543693</v>
      </c>
      <c r="Q85" s="242">
        <v>21915</v>
      </c>
      <c r="R85" s="242">
        <v>516508</v>
      </c>
      <c r="S85" s="250">
        <v>365</v>
      </c>
      <c r="T85" s="250">
        <v>8603</v>
      </c>
      <c r="U85" s="242">
        <v>60267</v>
      </c>
      <c r="V85" s="242">
        <v>483426</v>
      </c>
      <c r="W85" s="11"/>
      <c r="X85" s="34"/>
    </row>
    <row r="86" spans="2:24" s="22" customFormat="1" ht="27">
      <c r="B86" s="15">
        <f t="shared" si="0"/>
        <v>63</v>
      </c>
      <c r="C86" s="228" t="s">
        <v>2880</v>
      </c>
      <c r="D86" s="230" t="s">
        <v>42</v>
      </c>
      <c r="E86" s="266">
        <v>1141204</v>
      </c>
      <c r="F86" s="273" t="s">
        <v>2914</v>
      </c>
      <c r="G86" s="268">
        <v>42095</v>
      </c>
      <c r="H86" s="228" t="s">
        <v>368</v>
      </c>
      <c r="I86" s="270">
        <v>64009</v>
      </c>
      <c r="J86" s="242">
        <v>21915</v>
      </c>
      <c r="K86" s="242">
        <v>0</v>
      </c>
      <c r="L86" s="242">
        <v>21915</v>
      </c>
      <c r="M86" s="242">
        <v>57060</v>
      </c>
      <c r="N86" s="242">
        <v>1084144</v>
      </c>
      <c r="O86" s="242">
        <v>0</v>
      </c>
      <c r="P86" s="242">
        <v>1141204</v>
      </c>
      <c r="Q86" s="242">
        <v>21915</v>
      </c>
      <c r="R86" s="242">
        <v>1084144</v>
      </c>
      <c r="S86" s="250">
        <v>365</v>
      </c>
      <c r="T86" s="250">
        <v>18057</v>
      </c>
      <c r="U86" s="242">
        <v>126497</v>
      </c>
      <c r="V86" s="242">
        <v>1014707</v>
      </c>
      <c r="W86" s="11"/>
      <c r="X86" s="34"/>
    </row>
    <row r="87" spans="2:24" s="22" customFormat="1" ht="27">
      <c r="B87" s="15">
        <f t="shared" si="0"/>
        <v>64</v>
      </c>
      <c r="C87" s="228" t="s">
        <v>2880</v>
      </c>
      <c r="D87" s="230" t="s">
        <v>42</v>
      </c>
      <c r="E87" s="266">
        <v>249021</v>
      </c>
      <c r="F87" s="273" t="s">
        <v>2921</v>
      </c>
      <c r="G87" s="268">
        <v>42095</v>
      </c>
      <c r="H87" s="228" t="s">
        <v>368</v>
      </c>
      <c r="I87" s="270">
        <v>64009</v>
      </c>
      <c r="J87" s="242">
        <v>21915</v>
      </c>
      <c r="K87" s="242">
        <v>0</v>
      </c>
      <c r="L87" s="242">
        <v>21915</v>
      </c>
      <c r="M87" s="242">
        <v>12451</v>
      </c>
      <c r="N87" s="242">
        <v>236570</v>
      </c>
      <c r="O87" s="242">
        <v>0</v>
      </c>
      <c r="P87" s="242">
        <v>249021</v>
      </c>
      <c r="Q87" s="242">
        <v>21915</v>
      </c>
      <c r="R87" s="242">
        <v>236570</v>
      </c>
      <c r="S87" s="250">
        <v>365</v>
      </c>
      <c r="T87" s="250">
        <v>3940</v>
      </c>
      <c r="U87" s="242">
        <v>27602</v>
      </c>
      <c r="V87" s="242">
        <v>221419</v>
      </c>
      <c r="W87" s="11"/>
      <c r="X87" s="34"/>
    </row>
    <row r="88" spans="2:24" s="22" customFormat="1" ht="27">
      <c r="B88" s="15">
        <f t="shared" si="0"/>
        <v>65</v>
      </c>
      <c r="C88" s="228" t="s">
        <v>2880</v>
      </c>
      <c r="D88" s="230" t="s">
        <v>42</v>
      </c>
      <c r="E88" s="266">
        <v>214206</v>
      </c>
      <c r="F88" s="273" t="s">
        <v>2922</v>
      </c>
      <c r="G88" s="268">
        <v>42095</v>
      </c>
      <c r="H88" s="228" t="s">
        <v>368</v>
      </c>
      <c r="I88" s="270">
        <v>64009</v>
      </c>
      <c r="J88" s="242">
        <v>21915</v>
      </c>
      <c r="K88" s="242">
        <v>0</v>
      </c>
      <c r="L88" s="242">
        <v>21915</v>
      </c>
      <c r="M88" s="242">
        <v>10710</v>
      </c>
      <c r="N88" s="242">
        <v>203496</v>
      </c>
      <c r="O88" s="242">
        <v>0</v>
      </c>
      <c r="P88" s="242">
        <v>214206</v>
      </c>
      <c r="Q88" s="242">
        <v>21915</v>
      </c>
      <c r="R88" s="242">
        <v>203496</v>
      </c>
      <c r="S88" s="250">
        <v>365</v>
      </c>
      <c r="T88" s="250">
        <v>3389</v>
      </c>
      <c r="U88" s="242">
        <v>23743</v>
      </c>
      <c r="V88" s="242">
        <v>190463</v>
      </c>
      <c r="W88" s="11"/>
      <c r="X88" s="34"/>
    </row>
    <row r="89" spans="2:24" s="22" customFormat="1" ht="27">
      <c r="B89" s="15">
        <f t="shared" si="0"/>
        <v>66</v>
      </c>
      <c r="C89" s="228" t="s">
        <v>2880</v>
      </c>
      <c r="D89" s="230" t="s">
        <v>42</v>
      </c>
      <c r="E89" s="266">
        <v>556152</v>
      </c>
      <c r="F89" s="273" t="s">
        <v>2051</v>
      </c>
      <c r="G89" s="268">
        <v>42095</v>
      </c>
      <c r="H89" s="228" t="s">
        <v>368</v>
      </c>
      <c r="I89" s="270">
        <v>64009</v>
      </c>
      <c r="J89" s="242">
        <v>21915</v>
      </c>
      <c r="K89" s="242">
        <v>0</v>
      </c>
      <c r="L89" s="242">
        <v>21915</v>
      </c>
      <c r="M89" s="242">
        <v>27808</v>
      </c>
      <c r="N89" s="242">
        <v>528344</v>
      </c>
      <c r="O89" s="242">
        <v>0</v>
      </c>
      <c r="P89" s="242">
        <v>556152</v>
      </c>
      <c r="Q89" s="242">
        <v>21915</v>
      </c>
      <c r="R89" s="242">
        <v>528344</v>
      </c>
      <c r="S89" s="250">
        <v>365</v>
      </c>
      <c r="T89" s="250">
        <v>8800</v>
      </c>
      <c r="U89" s="242">
        <v>61648</v>
      </c>
      <c r="V89" s="242">
        <v>494504</v>
      </c>
      <c r="W89" s="11"/>
      <c r="X89" s="34"/>
    </row>
    <row r="90" spans="2:24" s="22" customFormat="1" ht="27">
      <c r="B90" s="15">
        <f t="shared" ref="B90:B153" si="1">+B89+1</f>
        <v>67</v>
      </c>
      <c r="C90" s="228" t="s">
        <v>2880</v>
      </c>
      <c r="D90" s="230" t="s">
        <v>42</v>
      </c>
      <c r="E90" s="266">
        <v>833052</v>
      </c>
      <c r="F90" s="273" t="s">
        <v>2912</v>
      </c>
      <c r="G90" s="268">
        <v>42095</v>
      </c>
      <c r="H90" s="228" t="s">
        <v>368</v>
      </c>
      <c r="I90" s="270">
        <v>64009</v>
      </c>
      <c r="J90" s="242">
        <v>21915</v>
      </c>
      <c r="K90" s="242">
        <v>0</v>
      </c>
      <c r="L90" s="242">
        <v>21915</v>
      </c>
      <c r="M90" s="242">
        <v>41653</v>
      </c>
      <c r="N90" s="242">
        <v>791399</v>
      </c>
      <c r="O90" s="242">
        <v>0</v>
      </c>
      <c r="P90" s="242">
        <v>833052</v>
      </c>
      <c r="Q90" s="242">
        <v>21915</v>
      </c>
      <c r="R90" s="242">
        <v>791399</v>
      </c>
      <c r="S90" s="250">
        <v>365</v>
      </c>
      <c r="T90" s="250">
        <v>13181</v>
      </c>
      <c r="U90" s="242">
        <v>92339</v>
      </c>
      <c r="V90" s="242">
        <v>740713</v>
      </c>
      <c r="W90" s="11"/>
      <c r="X90" s="34"/>
    </row>
    <row r="91" spans="2:24" s="22" customFormat="1" ht="27">
      <c r="B91" s="15">
        <f t="shared" si="1"/>
        <v>68</v>
      </c>
      <c r="C91" s="228" t="s">
        <v>2880</v>
      </c>
      <c r="D91" s="230" t="s">
        <v>42</v>
      </c>
      <c r="E91" s="266">
        <v>805737</v>
      </c>
      <c r="F91" s="273" t="s">
        <v>2913</v>
      </c>
      <c r="G91" s="268">
        <v>42095</v>
      </c>
      <c r="H91" s="228" t="s">
        <v>368</v>
      </c>
      <c r="I91" s="270">
        <v>64009</v>
      </c>
      <c r="J91" s="242">
        <v>21915</v>
      </c>
      <c r="K91" s="242">
        <v>0</v>
      </c>
      <c r="L91" s="242">
        <v>21915</v>
      </c>
      <c r="M91" s="242">
        <v>40287</v>
      </c>
      <c r="N91" s="242">
        <v>765450</v>
      </c>
      <c r="O91" s="242">
        <v>0</v>
      </c>
      <c r="P91" s="242">
        <v>805737</v>
      </c>
      <c r="Q91" s="242">
        <v>21915</v>
      </c>
      <c r="R91" s="242">
        <v>765450</v>
      </c>
      <c r="S91" s="250">
        <v>365</v>
      </c>
      <c r="T91" s="250">
        <v>12749</v>
      </c>
      <c r="U91" s="242">
        <v>89313</v>
      </c>
      <c r="V91" s="242">
        <v>716424</v>
      </c>
      <c r="W91" s="11"/>
      <c r="X91" s="34"/>
    </row>
    <row r="92" spans="2:24" s="22" customFormat="1" ht="27">
      <c r="B92" s="15">
        <f t="shared" si="1"/>
        <v>69</v>
      </c>
      <c r="C92" s="228" t="s">
        <v>2880</v>
      </c>
      <c r="D92" s="230" t="s">
        <v>42</v>
      </c>
      <c r="E92" s="266">
        <v>256666</v>
      </c>
      <c r="F92" s="273" t="s">
        <v>2914</v>
      </c>
      <c r="G92" s="268">
        <v>42095</v>
      </c>
      <c r="H92" s="228" t="s">
        <v>368</v>
      </c>
      <c r="I92" s="270">
        <v>64009</v>
      </c>
      <c r="J92" s="242">
        <v>21915</v>
      </c>
      <c r="K92" s="242">
        <v>0</v>
      </c>
      <c r="L92" s="242">
        <v>21915</v>
      </c>
      <c r="M92" s="242">
        <v>12833</v>
      </c>
      <c r="N92" s="242">
        <v>243833</v>
      </c>
      <c r="O92" s="242">
        <v>0</v>
      </c>
      <c r="P92" s="242">
        <v>256666</v>
      </c>
      <c r="Q92" s="242">
        <v>21915</v>
      </c>
      <c r="R92" s="242">
        <v>243833</v>
      </c>
      <c r="S92" s="250">
        <v>365</v>
      </c>
      <c r="T92" s="250">
        <v>4061</v>
      </c>
      <c r="U92" s="242">
        <v>28449</v>
      </c>
      <c r="V92" s="242">
        <v>228217</v>
      </c>
      <c r="W92" s="11"/>
      <c r="X92" s="34"/>
    </row>
    <row r="93" spans="2:24" s="22" customFormat="1" ht="27">
      <c r="B93" s="15">
        <f t="shared" si="1"/>
        <v>70</v>
      </c>
      <c r="C93" s="228" t="s">
        <v>2880</v>
      </c>
      <c r="D93" s="230" t="s">
        <v>42</v>
      </c>
      <c r="E93" s="266">
        <v>482178</v>
      </c>
      <c r="F93" s="273" t="s">
        <v>2921</v>
      </c>
      <c r="G93" s="268">
        <v>42095</v>
      </c>
      <c r="H93" s="228" t="s">
        <v>368</v>
      </c>
      <c r="I93" s="270">
        <v>64009</v>
      </c>
      <c r="J93" s="242">
        <v>21915</v>
      </c>
      <c r="K93" s="242">
        <v>0</v>
      </c>
      <c r="L93" s="242">
        <v>21915</v>
      </c>
      <c r="M93" s="242">
        <v>24109</v>
      </c>
      <c r="N93" s="242">
        <v>458069</v>
      </c>
      <c r="O93" s="242">
        <v>0</v>
      </c>
      <c r="P93" s="242">
        <v>482178</v>
      </c>
      <c r="Q93" s="242">
        <v>21915</v>
      </c>
      <c r="R93" s="242">
        <v>458069</v>
      </c>
      <c r="S93" s="250">
        <v>365</v>
      </c>
      <c r="T93" s="250">
        <v>7629</v>
      </c>
      <c r="U93" s="242">
        <v>53445</v>
      </c>
      <c r="V93" s="242">
        <v>428733</v>
      </c>
      <c r="W93" s="11"/>
      <c r="X93" s="34"/>
    </row>
    <row r="94" spans="2:24" s="22" customFormat="1" ht="27">
      <c r="B94" s="15">
        <f t="shared" si="1"/>
        <v>71</v>
      </c>
      <c r="C94" s="228" t="s">
        <v>2880</v>
      </c>
      <c r="D94" s="230" t="s">
        <v>42</v>
      </c>
      <c r="E94" s="266">
        <v>213943</v>
      </c>
      <c r="F94" s="273" t="s">
        <v>2922</v>
      </c>
      <c r="G94" s="268">
        <v>42095</v>
      </c>
      <c r="H94" s="228" t="s">
        <v>368</v>
      </c>
      <c r="I94" s="270">
        <v>64009</v>
      </c>
      <c r="J94" s="242">
        <v>21915</v>
      </c>
      <c r="K94" s="242">
        <v>0</v>
      </c>
      <c r="L94" s="242">
        <v>21915</v>
      </c>
      <c r="M94" s="242">
        <v>10697</v>
      </c>
      <c r="N94" s="242">
        <v>203246</v>
      </c>
      <c r="O94" s="242">
        <v>0</v>
      </c>
      <c r="P94" s="242">
        <v>213943</v>
      </c>
      <c r="Q94" s="242">
        <v>21915</v>
      </c>
      <c r="R94" s="242">
        <v>203246</v>
      </c>
      <c r="S94" s="250">
        <v>365</v>
      </c>
      <c r="T94" s="250">
        <v>3385</v>
      </c>
      <c r="U94" s="242">
        <v>23713</v>
      </c>
      <c r="V94" s="242">
        <v>190230</v>
      </c>
      <c r="W94" s="11"/>
      <c r="X94" s="34"/>
    </row>
    <row r="95" spans="2:24" s="22" customFormat="1" ht="27">
      <c r="B95" s="15">
        <f t="shared" si="1"/>
        <v>72</v>
      </c>
      <c r="C95" s="228" t="s">
        <v>2880</v>
      </c>
      <c r="D95" s="230" t="s">
        <v>42</v>
      </c>
      <c r="E95" s="266">
        <v>403976</v>
      </c>
      <c r="F95" s="273" t="s">
        <v>2928</v>
      </c>
      <c r="G95" s="268">
        <v>42095</v>
      </c>
      <c r="H95" s="228" t="s">
        <v>368</v>
      </c>
      <c r="I95" s="270">
        <v>64009</v>
      </c>
      <c r="J95" s="242">
        <v>21915</v>
      </c>
      <c r="K95" s="242">
        <v>0</v>
      </c>
      <c r="L95" s="242">
        <v>21915</v>
      </c>
      <c r="M95" s="242">
        <v>20199</v>
      </c>
      <c r="N95" s="242">
        <v>383777</v>
      </c>
      <c r="O95" s="242">
        <v>0</v>
      </c>
      <c r="P95" s="242">
        <v>403976</v>
      </c>
      <c r="Q95" s="242">
        <v>21915</v>
      </c>
      <c r="R95" s="242">
        <v>383777</v>
      </c>
      <c r="S95" s="250">
        <v>365</v>
      </c>
      <c r="T95" s="250">
        <v>6392</v>
      </c>
      <c r="U95" s="242">
        <v>44778</v>
      </c>
      <c r="V95" s="242">
        <v>359198</v>
      </c>
      <c r="W95" s="11"/>
      <c r="X95" s="34"/>
    </row>
    <row r="96" spans="2:24" s="22" customFormat="1" ht="27">
      <c r="B96" s="15">
        <f t="shared" si="1"/>
        <v>73</v>
      </c>
      <c r="C96" s="228" t="s">
        <v>2880</v>
      </c>
      <c r="D96" s="230" t="s">
        <v>42</v>
      </c>
      <c r="E96" s="266">
        <v>366323</v>
      </c>
      <c r="F96" s="273" t="s">
        <v>2051</v>
      </c>
      <c r="G96" s="268">
        <v>42095</v>
      </c>
      <c r="H96" s="228" t="s">
        <v>368</v>
      </c>
      <c r="I96" s="270">
        <v>64009</v>
      </c>
      <c r="J96" s="242">
        <v>21915</v>
      </c>
      <c r="K96" s="242">
        <v>0</v>
      </c>
      <c r="L96" s="242">
        <v>21915</v>
      </c>
      <c r="M96" s="242">
        <v>18316</v>
      </c>
      <c r="N96" s="242">
        <v>348007</v>
      </c>
      <c r="O96" s="242">
        <v>0</v>
      </c>
      <c r="P96" s="242">
        <v>366323</v>
      </c>
      <c r="Q96" s="242">
        <v>21915</v>
      </c>
      <c r="R96" s="242">
        <v>348007</v>
      </c>
      <c r="S96" s="250">
        <v>365</v>
      </c>
      <c r="T96" s="250">
        <v>5796</v>
      </c>
      <c r="U96" s="242">
        <v>40604</v>
      </c>
      <c r="V96" s="242">
        <v>325719</v>
      </c>
      <c r="W96" s="11"/>
      <c r="X96" s="34"/>
    </row>
    <row r="97" spans="2:24" s="22" customFormat="1" ht="27">
      <c r="B97" s="15">
        <f t="shared" si="1"/>
        <v>74</v>
      </c>
      <c r="C97" s="228" t="s">
        <v>2880</v>
      </c>
      <c r="D97" s="230" t="s">
        <v>42</v>
      </c>
      <c r="E97" s="266">
        <v>729580</v>
      </c>
      <c r="F97" s="273" t="s">
        <v>2912</v>
      </c>
      <c r="G97" s="268">
        <v>42095</v>
      </c>
      <c r="H97" s="228" t="s">
        <v>368</v>
      </c>
      <c r="I97" s="270">
        <v>64009</v>
      </c>
      <c r="J97" s="242">
        <v>21915</v>
      </c>
      <c r="K97" s="242">
        <v>0</v>
      </c>
      <c r="L97" s="242">
        <v>21915</v>
      </c>
      <c r="M97" s="242">
        <v>36479</v>
      </c>
      <c r="N97" s="242">
        <v>693101</v>
      </c>
      <c r="O97" s="242">
        <v>0</v>
      </c>
      <c r="P97" s="242">
        <v>729580</v>
      </c>
      <c r="Q97" s="242">
        <v>21915</v>
      </c>
      <c r="R97" s="242">
        <v>693101</v>
      </c>
      <c r="S97" s="250">
        <v>365</v>
      </c>
      <c r="T97" s="250">
        <v>11544</v>
      </c>
      <c r="U97" s="242">
        <v>80870</v>
      </c>
      <c r="V97" s="242">
        <v>648710</v>
      </c>
      <c r="W97" s="11"/>
      <c r="X97" s="34"/>
    </row>
    <row r="98" spans="2:24" s="22" customFormat="1" ht="27">
      <c r="B98" s="15">
        <f t="shared" si="1"/>
        <v>75</v>
      </c>
      <c r="C98" s="228" t="s">
        <v>2880</v>
      </c>
      <c r="D98" s="230" t="s">
        <v>42</v>
      </c>
      <c r="E98" s="266">
        <v>29132</v>
      </c>
      <c r="F98" s="273" t="s">
        <v>2913</v>
      </c>
      <c r="G98" s="268">
        <v>42095</v>
      </c>
      <c r="H98" s="228" t="s">
        <v>368</v>
      </c>
      <c r="I98" s="270">
        <v>64009</v>
      </c>
      <c r="J98" s="242">
        <v>21915</v>
      </c>
      <c r="K98" s="242">
        <v>0</v>
      </c>
      <c r="L98" s="242">
        <v>21915</v>
      </c>
      <c r="M98" s="242">
        <v>1457</v>
      </c>
      <c r="N98" s="242">
        <v>27675</v>
      </c>
      <c r="O98" s="242">
        <v>0</v>
      </c>
      <c r="P98" s="242">
        <v>29132</v>
      </c>
      <c r="Q98" s="242">
        <v>21915</v>
      </c>
      <c r="R98" s="242">
        <v>27675</v>
      </c>
      <c r="S98" s="250">
        <v>365</v>
      </c>
      <c r="T98" s="250">
        <v>461</v>
      </c>
      <c r="U98" s="242">
        <v>3229</v>
      </c>
      <c r="V98" s="242">
        <v>25903</v>
      </c>
      <c r="W98" s="11"/>
      <c r="X98" s="34"/>
    </row>
    <row r="99" spans="2:24" s="22" customFormat="1" ht="27">
      <c r="B99" s="15">
        <f t="shared" si="1"/>
        <v>76</v>
      </c>
      <c r="C99" s="228" t="s">
        <v>2881</v>
      </c>
      <c r="D99" s="230" t="s">
        <v>42</v>
      </c>
      <c r="E99" s="266">
        <v>200018</v>
      </c>
      <c r="F99" s="273"/>
      <c r="G99" s="268">
        <v>42095</v>
      </c>
      <c r="H99" s="228" t="s">
        <v>368</v>
      </c>
      <c r="I99" s="270">
        <v>64009</v>
      </c>
      <c r="J99" s="242">
        <v>21915</v>
      </c>
      <c r="K99" s="242">
        <v>0</v>
      </c>
      <c r="L99" s="242">
        <v>21915</v>
      </c>
      <c r="M99" s="242">
        <v>10001</v>
      </c>
      <c r="N99" s="242">
        <v>190017</v>
      </c>
      <c r="O99" s="242">
        <v>0</v>
      </c>
      <c r="P99" s="242">
        <v>200018</v>
      </c>
      <c r="Q99" s="242">
        <v>21915</v>
      </c>
      <c r="R99" s="242">
        <v>190017</v>
      </c>
      <c r="S99" s="250">
        <v>365</v>
      </c>
      <c r="T99" s="250">
        <v>3165</v>
      </c>
      <c r="U99" s="242">
        <v>22171</v>
      </c>
      <c r="V99" s="242">
        <v>177847</v>
      </c>
      <c r="W99" s="11"/>
      <c r="X99" s="34"/>
    </row>
    <row r="100" spans="2:24" s="22" customFormat="1" ht="27">
      <c r="B100" s="15">
        <f t="shared" si="1"/>
        <v>77</v>
      </c>
      <c r="C100" s="228" t="s">
        <v>2879</v>
      </c>
      <c r="D100" s="230" t="s">
        <v>42</v>
      </c>
      <c r="E100" s="266">
        <v>849451</v>
      </c>
      <c r="F100" s="273" t="s">
        <v>2051</v>
      </c>
      <c r="G100" s="268">
        <v>42095</v>
      </c>
      <c r="H100" s="228" t="s">
        <v>368</v>
      </c>
      <c r="I100" s="270">
        <v>64009</v>
      </c>
      <c r="J100" s="242">
        <v>21915</v>
      </c>
      <c r="K100" s="242">
        <v>0</v>
      </c>
      <c r="L100" s="242">
        <v>21915</v>
      </c>
      <c r="M100" s="242">
        <v>42473</v>
      </c>
      <c r="N100" s="242">
        <v>806978</v>
      </c>
      <c r="O100" s="242">
        <v>0</v>
      </c>
      <c r="P100" s="242">
        <v>849451</v>
      </c>
      <c r="Q100" s="242">
        <v>21915</v>
      </c>
      <c r="R100" s="242">
        <v>806978</v>
      </c>
      <c r="S100" s="250">
        <v>365</v>
      </c>
      <c r="T100" s="250">
        <v>13440</v>
      </c>
      <c r="U100" s="242">
        <v>94154</v>
      </c>
      <c r="V100" s="242">
        <v>755297</v>
      </c>
      <c r="W100" s="11"/>
      <c r="X100" s="34"/>
    </row>
    <row r="101" spans="2:24" s="22" customFormat="1" ht="27">
      <c r="B101" s="15">
        <f t="shared" si="1"/>
        <v>78</v>
      </c>
      <c r="C101" s="228" t="s">
        <v>2879</v>
      </c>
      <c r="D101" s="230" t="s">
        <v>42</v>
      </c>
      <c r="E101" s="266">
        <v>719892</v>
      </c>
      <c r="F101" s="273" t="s">
        <v>2912</v>
      </c>
      <c r="G101" s="268">
        <v>42095</v>
      </c>
      <c r="H101" s="228" t="s">
        <v>368</v>
      </c>
      <c r="I101" s="270">
        <v>64009</v>
      </c>
      <c r="J101" s="242">
        <v>21915</v>
      </c>
      <c r="K101" s="242">
        <v>0</v>
      </c>
      <c r="L101" s="242">
        <v>21915</v>
      </c>
      <c r="M101" s="242">
        <v>35995</v>
      </c>
      <c r="N101" s="242">
        <v>683897</v>
      </c>
      <c r="O101" s="242">
        <v>0</v>
      </c>
      <c r="P101" s="242">
        <v>719892</v>
      </c>
      <c r="Q101" s="242">
        <v>21915</v>
      </c>
      <c r="R101" s="242">
        <v>683897</v>
      </c>
      <c r="S101" s="250">
        <v>365</v>
      </c>
      <c r="T101" s="250">
        <v>11390</v>
      </c>
      <c r="U101" s="242">
        <v>79794</v>
      </c>
      <c r="V101" s="242">
        <v>640098</v>
      </c>
      <c r="W101" s="11"/>
      <c r="X101" s="34"/>
    </row>
    <row r="102" spans="2:24" s="22" customFormat="1">
      <c r="B102" s="15">
        <f t="shared" si="1"/>
        <v>79</v>
      </c>
      <c r="C102" s="228" t="s">
        <v>2878</v>
      </c>
      <c r="D102" s="230" t="s">
        <v>42</v>
      </c>
      <c r="E102" s="266">
        <v>736707</v>
      </c>
      <c r="F102" s="273" t="s">
        <v>2913</v>
      </c>
      <c r="G102" s="268">
        <v>42095</v>
      </c>
      <c r="H102" s="228" t="s">
        <v>368</v>
      </c>
      <c r="I102" s="270">
        <v>64009</v>
      </c>
      <c r="J102" s="242">
        <v>21915</v>
      </c>
      <c r="K102" s="242">
        <v>0</v>
      </c>
      <c r="L102" s="242">
        <v>21915</v>
      </c>
      <c r="M102" s="242">
        <v>36835</v>
      </c>
      <c r="N102" s="242">
        <v>699872</v>
      </c>
      <c r="O102" s="242">
        <v>0</v>
      </c>
      <c r="P102" s="242">
        <v>736707</v>
      </c>
      <c r="Q102" s="242">
        <v>21915</v>
      </c>
      <c r="R102" s="242">
        <v>699872</v>
      </c>
      <c r="S102" s="250">
        <v>365</v>
      </c>
      <c r="T102" s="250">
        <v>11657</v>
      </c>
      <c r="U102" s="242">
        <v>81661</v>
      </c>
      <c r="V102" s="242">
        <v>655046</v>
      </c>
      <c r="W102" s="11"/>
      <c r="X102" s="34"/>
    </row>
    <row r="103" spans="2:24" s="22" customFormat="1">
      <c r="B103" s="15">
        <f t="shared" si="1"/>
        <v>80</v>
      </c>
      <c r="C103" s="228" t="s">
        <v>2878</v>
      </c>
      <c r="D103" s="230" t="s">
        <v>42</v>
      </c>
      <c r="E103" s="266">
        <v>772254</v>
      </c>
      <c r="F103" s="273" t="s">
        <v>2914</v>
      </c>
      <c r="G103" s="268">
        <v>42095</v>
      </c>
      <c r="H103" s="228" t="s">
        <v>368</v>
      </c>
      <c r="I103" s="270">
        <v>64009</v>
      </c>
      <c r="J103" s="242">
        <v>21915</v>
      </c>
      <c r="K103" s="242">
        <v>0</v>
      </c>
      <c r="L103" s="242">
        <v>21915</v>
      </c>
      <c r="M103" s="242">
        <v>38613</v>
      </c>
      <c r="N103" s="242">
        <v>733641</v>
      </c>
      <c r="O103" s="242">
        <v>0</v>
      </c>
      <c r="P103" s="242">
        <v>772254</v>
      </c>
      <c r="Q103" s="242">
        <v>21915</v>
      </c>
      <c r="R103" s="242">
        <v>733641</v>
      </c>
      <c r="S103" s="250">
        <v>365</v>
      </c>
      <c r="T103" s="250">
        <v>12219</v>
      </c>
      <c r="U103" s="242">
        <v>85599</v>
      </c>
      <c r="V103" s="242">
        <v>686655</v>
      </c>
      <c r="W103" s="11"/>
      <c r="X103" s="34"/>
    </row>
    <row r="104" spans="2:24" s="22" customFormat="1">
      <c r="B104" s="15">
        <f t="shared" si="1"/>
        <v>81</v>
      </c>
      <c r="C104" s="228" t="s">
        <v>2878</v>
      </c>
      <c r="D104" s="230" t="s">
        <v>42</v>
      </c>
      <c r="E104" s="266">
        <v>213913</v>
      </c>
      <c r="F104" s="273" t="s">
        <v>2921</v>
      </c>
      <c r="G104" s="268">
        <v>42095</v>
      </c>
      <c r="H104" s="228" t="s">
        <v>368</v>
      </c>
      <c r="I104" s="270">
        <v>64009</v>
      </c>
      <c r="J104" s="242">
        <v>21915</v>
      </c>
      <c r="K104" s="242">
        <v>0</v>
      </c>
      <c r="L104" s="242">
        <v>21915</v>
      </c>
      <c r="M104" s="242">
        <v>10696</v>
      </c>
      <c r="N104" s="242">
        <v>203217</v>
      </c>
      <c r="O104" s="242">
        <v>0</v>
      </c>
      <c r="P104" s="242">
        <v>213913</v>
      </c>
      <c r="Q104" s="242">
        <v>21915</v>
      </c>
      <c r="R104" s="242">
        <v>203217</v>
      </c>
      <c r="S104" s="250">
        <v>365</v>
      </c>
      <c r="T104" s="250">
        <v>3385</v>
      </c>
      <c r="U104" s="242">
        <v>23713</v>
      </c>
      <c r="V104" s="242">
        <v>190200</v>
      </c>
      <c r="W104" s="11"/>
      <c r="X104" s="34"/>
    </row>
    <row r="105" spans="2:24" s="22" customFormat="1" ht="27">
      <c r="B105" s="15">
        <f t="shared" si="1"/>
        <v>82</v>
      </c>
      <c r="C105" s="228" t="s">
        <v>2879</v>
      </c>
      <c r="D105" s="230" t="s">
        <v>42</v>
      </c>
      <c r="E105" s="266">
        <v>359353</v>
      </c>
      <c r="F105" s="273" t="s">
        <v>2051</v>
      </c>
      <c r="G105" s="268">
        <v>42095</v>
      </c>
      <c r="H105" s="228" t="s">
        <v>368</v>
      </c>
      <c r="I105" s="270">
        <v>64009</v>
      </c>
      <c r="J105" s="242">
        <v>21915</v>
      </c>
      <c r="K105" s="242">
        <v>0</v>
      </c>
      <c r="L105" s="242">
        <v>21915</v>
      </c>
      <c r="M105" s="242">
        <v>17968</v>
      </c>
      <c r="N105" s="242">
        <v>341385</v>
      </c>
      <c r="O105" s="242">
        <v>0</v>
      </c>
      <c r="P105" s="242">
        <v>359353</v>
      </c>
      <c r="Q105" s="242">
        <v>21915</v>
      </c>
      <c r="R105" s="242">
        <v>341385</v>
      </c>
      <c r="S105" s="250">
        <v>365</v>
      </c>
      <c r="T105" s="250">
        <v>5686</v>
      </c>
      <c r="U105" s="242">
        <v>39832</v>
      </c>
      <c r="V105" s="242">
        <v>319521</v>
      </c>
      <c r="W105" s="11"/>
      <c r="X105" s="34"/>
    </row>
    <row r="106" spans="2:24" s="22" customFormat="1" ht="27">
      <c r="B106" s="15">
        <f t="shared" si="1"/>
        <v>83</v>
      </c>
      <c r="C106" s="228" t="s">
        <v>2879</v>
      </c>
      <c r="D106" s="230" t="s">
        <v>42</v>
      </c>
      <c r="E106" s="266">
        <v>427797</v>
      </c>
      <c r="F106" s="273" t="s">
        <v>2912</v>
      </c>
      <c r="G106" s="268">
        <v>42095</v>
      </c>
      <c r="H106" s="228" t="s">
        <v>368</v>
      </c>
      <c r="I106" s="270">
        <v>64009</v>
      </c>
      <c r="J106" s="242">
        <v>21915</v>
      </c>
      <c r="K106" s="242">
        <v>0</v>
      </c>
      <c r="L106" s="242">
        <v>21915</v>
      </c>
      <c r="M106" s="242">
        <v>21390</v>
      </c>
      <c r="N106" s="242">
        <v>406407</v>
      </c>
      <c r="O106" s="242">
        <v>0</v>
      </c>
      <c r="P106" s="242">
        <v>427797</v>
      </c>
      <c r="Q106" s="242">
        <v>21915</v>
      </c>
      <c r="R106" s="242">
        <v>406407</v>
      </c>
      <c r="S106" s="250">
        <v>365</v>
      </c>
      <c r="T106" s="250">
        <v>6769</v>
      </c>
      <c r="U106" s="242">
        <v>47419</v>
      </c>
      <c r="V106" s="242">
        <v>380378</v>
      </c>
      <c r="W106" s="11"/>
      <c r="X106" s="34"/>
    </row>
    <row r="107" spans="2:24" s="22" customFormat="1" ht="27">
      <c r="B107" s="15">
        <f t="shared" si="1"/>
        <v>84</v>
      </c>
      <c r="C107" s="228" t="s">
        <v>2879</v>
      </c>
      <c r="D107" s="230" t="s">
        <v>42</v>
      </c>
      <c r="E107" s="266">
        <v>339478</v>
      </c>
      <c r="F107" s="273" t="s">
        <v>2913</v>
      </c>
      <c r="G107" s="268">
        <v>42095</v>
      </c>
      <c r="H107" s="228" t="s">
        <v>368</v>
      </c>
      <c r="I107" s="270">
        <v>64009</v>
      </c>
      <c r="J107" s="242">
        <v>21915</v>
      </c>
      <c r="K107" s="242">
        <v>0</v>
      </c>
      <c r="L107" s="242">
        <v>21915</v>
      </c>
      <c r="M107" s="242">
        <v>16974</v>
      </c>
      <c r="N107" s="242">
        <v>322504</v>
      </c>
      <c r="O107" s="242">
        <v>0</v>
      </c>
      <c r="P107" s="242">
        <v>339478</v>
      </c>
      <c r="Q107" s="242">
        <v>21915</v>
      </c>
      <c r="R107" s="242">
        <v>322504</v>
      </c>
      <c r="S107" s="250">
        <v>365</v>
      </c>
      <c r="T107" s="250">
        <v>5371</v>
      </c>
      <c r="U107" s="242">
        <v>37627</v>
      </c>
      <c r="V107" s="242">
        <v>301851</v>
      </c>
      <c r="W107" s="11"/>
      <c r="X107" s="34"/>
    </row>
    <row r="108" spans="2:24" s="22" customFormat="1" ht="27">
      <c r="B108" s="15">
        <f t="shared" si="1"/>
        <v>85</v>
      </c>
      <c r="C108" s="228" t="s">
        <v>2879</v>
      </c>
      <c r="D108" s="230" t="s">
        <v>42</v>
      </c>
      <c r="E108" s="266">
        <v>407008</v>
      </c>
      <c r="F108" s="273" t="s">
        <v>2914</v>
      </c>
      <c r="G108" s="268">
        <v>42095</v>
      </c>
      <c r="H108" s="228" t="s">
        <v>368</v>
      </c>
      <c r="I108" s="270">
        <v>64009</v>
      </c>
      <c r="J108" s="242">
        <v>21915</v>
      </c>
      <c r="K108" s="242">
        <v>0</v>
      </c>
      <c r="L108" s="242">
        <v>21915</v>
      </c>
      <c r="M108" s="242">
        <v>20350</v>
      </c>
      <c r="N108" s="242">
        <v>386658</v>
      </c>
      <c r="O108" s="242">
        <v>0</v>
      </c>
      <c r="P108" s="242">
        <v>407008</v>
      </c>
      <c r="Q108" s="242">
        <v>21915</v>
      </c>
      <c r="R108" s="242">
        <v>386658</v>
      </c>
      <c r="S108" s="250">
        <v>365</v>
      </c>
      <c r="T108" s="250">
        <v>6440</v>
      </c>
      <c r="U108" s="242">
        <v>45116</v>
      </c>
      <c r="V108" s="242">
        <v>361892</v>
      </c>
      <c r="W108" s="11"/>
      <c r="X108" s="34"/>
    </row>
    <row r="109" spans="2:24" s="22" customFormat="1" ht="27">
      <c r="B109" s="15">
        <f t="shared" si="1"/>
        <v>86</v>
      </c>
      <c r="C109" s="228" t="s">
        <v>2880</v>
      </c>
      <c r="D109" s="230" t="s">
        <v>42</v>
      </c>
      <c r="E109" s="266">
        <v>438320</v>
      </c>
      <c r="F109" s="273" t="s">
        <v>2921</v>
      </c>
      <c r="G109" s="268">
        <v>42095</v>
      </c>
      <c r="H109" s="228" t="s">
        <v>368</v>
      </c>
      <c r="I109" s="270">
        <v>64009</v>
      </c>
      <c r="J109" s="242">
        <v>21915</v>
      </c>
      <c r="K109" s="242">
        <v>0</v>
      </c>
      <c r="L109" s="242">
        <v>21915</v>
      </c>
      <c r="M109" s="242">
        <v>21916</v>
      </c>
      <c r="N109" s="242">
        <v>416404</v>
      </c>
      <c r="O109" s="242">
        <v>0</v>
      </c>
      <c r="P109" s="242">
        <v>438320</v>
      </c>
      <c r="Q109" s="242">
        <v>21915</v>
      </c>
      <c r="R109" s="242">
        <v>416404</v>
      </c>
      <c r="S109" s="250">
        <v>365</v>
      </c>
      <c r="T109" s="250">
        <v>6935</v>
      </c>
      <c r="U109" s="242">
        <v>48583</v>
      </c>
      <c r="V109" s="242">
        <v>389737</v>
      </c>
      <c r="W109" s="11"/>
      <c r="X109" s="34"/>
    </row>
    <row r="110" spans="2:24" s="22" customFormat="1" ht="27">
      <c r="B110" s="15">
        <f t="shared" si="1"/>
        <v>87</v>
      </c>
      <c r="C110" s="228" t="s">
        <v>2880</v>
      </c>
      <c r="D110" s="230" t="s">
        <v>42</v>
      </c>
      <c r="E110" s="266">
        <v>547670</v>
      </c>
      <c r="F110" s="273" t="s">
        <v>2922</v>
      </c>
      <c r="G110" s="268">
        <v>42095</v>
      </c>
      <c r="H110" s="228" t="s">
        <v>368</v>
      </c>
      <c r="I110" s="270">
        <v>64009</v>
      </c>
      <c r="J110" s="242">
        <v>21915</v>
      </c>
      <c r="K110" s="242">
        <v>0</v>
      </c>
      <c r="L110" s="242">
        <v>21915</v>
      </c>
      <c r="M110" s="242">
        <v>27384</v>
      </c>
      <c r="N110" s="242">
        <v>520286</v>
      </c>
      <c r="O110" s="242">
        <v>0</v>
      </c>
      <c r="P110" s="242">
        <v>547670</v>
      </c>
      <c r="Q110" s="242">
        <v>21915</v>
      </c>
      <c r="R110" s="242">
        <v>520287</v>
      </c>
      <c r="S110" s="250">
        <v>365</v>
      </c>
      <c r="T110" s="250">
        <v>8666</v>
      </c>
      <c r="U110" s="242">
        <v>60708</v>
      </c>
      <c r="V110" s="242">
        <v>486962</v>
      </c>
      <c r="W110" s="11"/>
      <c r="X110" s="34"/>
    </row>
    <row r="111" spans="2:24" s="22" customFormat="1" ht="27">
      <c r="B111" s="15">
        <f t="shared" si="1"/>
        <v>88</v>
      </c>
      <c r="C111" s="228" t="s">
        <v>2880</v>
      </c>
      <c r="D111" s="230" t="s">
        <v>42</v>
      </c>
      <c r="E111" s="266">
        <v>419423</v>
      </c>
      <c r="F111" s="273" t="s">
        <v>2929</v>
      </c>
      <c r="G111" s="268">
        <v>42095</v>
      </c>
      <c r="H111" s="228" t="s">
        <v>368</v>
      </c>
      <c r="I111" s="270">
        <v>64009</v>
      </c>
      <c r="J111" s="242">
        <v>21915</v>
      </c>
      <c r="K111" s="242">
        <v>0</v>
      </c>
      <c r="L111" s="242">
        <v>21915</v>
      </c>
      <c r="M111" s="242">
        <v>20971</v>
      </c>
      <c r="N111" s="242">
        <v>398452</v>
      </c>
      <c r="O111" s="242">
        <v>0</v>
      </c>
      <c r="P111" s="242">
        <v>419423</v>
      </c>
      <c r="Q111" s="242">
        <v>21915</v>
      </c>
      <c r="R111" s="242">
        <v>398452</v>
      </c>
      <c r="S111" s="250">
        <v>365</v>
      </c>
      <c r="T111" s="250">
        <v>6636</v>
      </c>
      <c r="U111" s="242">
        <v>46490</v>
      </c>
      <c r="V111" s="242">
        <v>372933</v>
      </c>
      <c r="W111" s="11"/>
      <c r="X111" s="34"/>
    </row>
    <row r="112" spans="2:24" s="22" customFormat="1" ht="27">
      <c r="B112" s="15">
        <f t="shared" si="1"/>
        <v>89</v>
      </c>
      <c r="C112" s="228" t="s">
        <v>2880</v>
      </c>
      <c r="D112" s="230" t="s">
        <v>42</v>
      </c>
      <c r="E112" s="266">
        <v>213943</v>
      </c>
      <c r="F112" s="273" t="s">
        <v>2930</v>
      </c>
      <c r="G112" s="268">
        <v>42095</v>
      </c>
      <c r="H112" s="228" t="s">
        <v>368</v>
      </c>
      <c r="I112" s="270">
        <v>64009</v>
      </c>
      <c r="J112" s="242">
        <v>21915</v>
      </c>
      <c r="K112" s="242">
        <v>0</v>
      </c>
      <c r="L112" s="242">
        <v>21915</v>
      </c>
      <c r="M112" s="242">
        <v>10697</v>
      </c>
      <c r="N112" s="242">
        <v>203246</v>
      </c>
      <c r="O112" s="242">
        <v>0</v>
      </c>
      <c r="P112" s="242">
        <v>213943</v>
      </c>
      <c r="Q112" s="242">
        <v>21915</v>
      </c>
      <c r="R112" s="242">
        <v>203246</v>
      </c>
      <c r="S112" s="250">
        <v>365</v>
      </c>
      <c r="T112" s="250">
        <v>3385</v>
      </c>
      <c r="U112" s="242">
        <v>23713</v>
      </c>
      <c r="V112" s="242">
        <v>190230</v>
      </c>
      <c r="W112" s="11"/>
      <c r="X112" s="34"/>
    </row>
    <row r="113" spans="2:24" s="22" customFormat="1" ht="27">
      <c r="B113" s="15">
        <f t="shared" si="1"/>
        <v>90</v>
      </c>
      <c r="C113" s="228" t="s">
        <v>2880</v>
      </c>
      <c r="D113" s="230" t="s">
        <v>42</v>
      </c>
      <c r="E113" s="266">
        <v>32055</v>
      </c>
      <c r="F113" s="273" t="s">
        <v>2931</v>
      </c>
      <c r="G113" s="268">
        <v>42095</v>
      </c>
      <c r="H113" s="228" t="s">
        <v>368</v>
      </c>
      <c r="I113" s="270">
        <v>64009</v>
      </c>
      <c r="J113" s="242">
        <v>21915</v>
      </c>
      <c r="K113" s="242">
        <v>0</v>
      </c>
      <c r="L113" s="242">
        <v>21915</v>
      </c>
      <c r="M113" s="242">
        <v>1603</v>
      </c>
      <c r="N113" s="242">
        <v>30452</v>
      </c>
      <c r="O113" s="242">
        <v>0</v>
      </c>
      <c r="P113" s="242">
        <v>32055</v>
      </c>
      <c r="Q113" s="242">
        <v>21915</v>
      </c>
      <c r="R113" s="242">
        <v>30452</v>
      </c>
      <c r="S113" s="250">
        <v>365</v>
      </c>
      <c r="T113" s="250">
        <v>507</v>
      </c>
      <c r="U113" s="242">
        <v>3553</v>
      </c>
      <c r="V113" s="242">
        <v>28502</v>
      </c>
      <c r="W113" s="11"/>
      <c r="X113" s="34"/>
    </row>
    <row r="114" spans="2:24" s="22" customFormat="1">
      <c r="B114" s="15">
        <f t="shared" si="1"/>
        <v>91</v>
      </c>
      <c r="C114" s="228" t="s">
        <v>2878</v>
      </c>
      <c r="D114" s="230" t="s">
        <v>42</v>
      </c>
      <c r="E114" s="266">
        <v>100081</v>
      </c>
      <c r="F114" s="273" t="s">
        <v>2932</v>
      </c>
      <c r="G114" s="268">
        <v>42095</v>
      </c>
      <c r="H114" s="228" t="s">
        <v>368</v>
      </c>
      <c r="I114" s="270">
        <v>64009</v>
      </c>
      <c r="J114" s="242">
        <v>21915</v>
      </c>
      <c r="K114" s="242">
        <v>0</v>
      </c>
      <c r="L114" s="242">
        <v>21915</v>
      </c>
      <c r="M114" s="242">
        <v>5004</v>
      </c>
      <c r="N114" s="242">
        <v>95077</v>
      </c>
      <c r="O114" s="242">
        <v>0</v>
      </c>
      <c r="P114" s="242">
        <v>100081</v>
      </c>
      <c r="Q114" s="242">
        <v>21915</v>
      </c>
      <c r="R114" s="242">
        <v>95077</v>
      </c>
      <c r="S114" s="250">
        <v>365</v>
      </c>
      <c r="T114" s="250">
        <v>1584</v>
      </c>
      <c r="U114" s="242">
        <v>11096</v>
      </c>
      <c r="V114" s="242">
        <v>88985</v>
      </c>
      <c r="W114" s="11"/>
      <c r="X114" s="34"/>
    </row>
    <row r="115" spans="2:24" s="22" customFormat="1" ht="27">
      <c r="B115" s="15">
        <f t="shared" si="1"/>
        <v>92</v>
      </c>
      <c r="C115" s="228" t="s">
        <v>2882</v>
      </c>
      <c r="D115" s="230" t="s">
        <v>42</v>
      </c>
      <c r="E115" s="266">
        <f>290000-49382</f>
        <v>240618</v>
      </c>
      <c r="F115" s="273"/>
      <c r="G115" s="268">
        <v>42095</v>
      </c>
      <c r="H115" s="228" t="s">
        <v>368</v>
      </c>
      <c r="I115" s="270">
        <v>64009</v>
      </c>
      <c r="J115" s="242">
        <v>21915</v>
      </c>
      <c r="K115" s="242">
        <v>0</v>
      </c>
      <c r="L115" s="242">
        <v>21915</v>
      </c>
      <c r="M115" s="242">
        <v>12031</v>
      </c>
      <c r="N115" s="242">
        <v>228587</v>
      </c>
      <c r="O115" s="242">
        <v>0</v>
      </c>
      <c r="P115" s="242">
        <v>240618</v>
      </c>
      <c r="Q115" s="242">
        <v>21915</v>
      </c>
      <c r="R115" s="242">
        <v>228587</v>
      </c>
      <c r="S115" s="250">
        <v>365</v>
      </c>
      <c r="T115" s="250">
        <v>3807</v>
      </c>
      <c r="U115" s="242">
        <v>26671</v>
      </c>
      <c r="V115" s="242">
        <v>213947</v>
      </c>
      <c r="W115" s="11"/>
      <c r="X115" s="34"/>
    </row>
    <row r="116" spans="2:24" s="22" customFormat="1" ht="27">
      <c r="B116" s="15">
        <f t="shared" si="1"/>
        <v>93</v>
      </c>
      <c r="C116" s="228" t="s">
        <v>2879</v>
      </c>
      <c r="D116" s="230" t="s">
        <v>42</v>
      </c>
      <c r="E116" s="266">
        <v>547844</v>
      </c>
      <c r="F116" s="273" t="s">
        <v>2051</v>
      </c>
      <c r="G116" s="268">
        <v>42095</v>
      </c>
      <c r="H116" s="228" t="s">
        <v>368</v>
      </c>
      <c r="I116" s="270">
        <v>64009</v>
      </c>
      <c r="J116" s="242">
        <v>21915</v>
      </c>
      <c r="K116" s="242">
        <v>0</v>
      </c>
      <c r="L116" s="242">
        <v>21915</v>
      </c>
      <c r="M116" s="242">
        <v>27392</v>
      </c>
      <c r="N116" s="242">
        <v>520452</v>
      </c>
      <c r="O116" s="242">
        <v>0</v>
      </c>
      <c r="P116" s="242">
        <v>547844</v>
      </c>
      <c r="Q116" s="242">
        <v>21915</v>
      </c>
      <c r="R116" s="242">
        <v>520452</v>
      </c>
      <c r="S116" s="250">
        <v>365</v>
      </c>
      <c r="T116" s="250">
        <v>8668</v>
      </c>
      <c r="U116" s="242">
        <v>60724</v>
      </c>
      <c r="V116" s="242">
        <v>487120</v>
      </c>
      <c r="W116" s="11"/>
      <c r="X116" s="34"/>
    </row>
    <row r="117" spans="2:24" s="22" customFormat="1" ht="27">
      <c r="B117" s="15">
        <f t="shared" si="1"/>
        <v>94</v>
      </c>
      <c r="C117" s="228" t="s">
        <v>2879</v>
      </c>
      <c r="D117" s="230" t="s">
        <v>42</v>
      </c>
      <c r="E117" s="266">
        <v>660056</v>
      </c>
      <c r="F117" s="273" t="s">
        <v>2912</v>
      </c>
      <c r="G117" s="268">
        <v>42095</v>
      </c>
      <c r="H117" s="228" t="s">
        <v>368</v>
      </c>
      <c r="I117" s="270">
        <v>64009</v>
      </c>
      <c r="J117" s="242">
        <v>21915</v>
      </c>
      <c r="K117" s="242">
        <v>0</v>
      </c>
      <c r="L117" s="242">
        <v>21915</v>
      </c>
      <c r="M117" s="242">
        <v>33003</v>
      </c>
      <c r="N117" s="242">
        <v>627053</v>
      </c>
      <c r="O117" s="242">
        <v>0</v>
      </c>
      <c r="P117" s="242">
        <v>660056</v>
      </c>
      <c r="Q117" s="242">
        <v>21915</v>
      </c>
      <c r="R117" s="242">
        <v>627053</v>
      </c>
      <c r="S117" s="250">
        <v>365</v>
      </c>
      <c r="T117" s="250">
        <v>10444</v>
      </c>
      <c r="U117" s="242">
        <v>73164</v>
      </c>
      <c r="V117" s="242">
        <v>586892</v>
      </c>
      <c r="W117" s="11"/>
      <c r="X117" s="34"/>
    </row>
    <row r="118" spans="2:24" s="22" customFormat="1" ht="27">
      <c r="B118" s="15">
        <f t="shared" si="1"/>
        <v>95</v>
      </c>
      <c r="C118" s="228" t="s">
        <v>2879</v>
      </c>
      <c r="D118" s="230" t="s">
        <v>42</v>
      </c>
      <c r="E118" s="266">
        <v>628356</v>
      </c>
      <c r="F118" s="273" t="s">
        <v>2913</v>
      </c>
      <c r="G118" s="268">
        <v>42095</v>
      </c>
      <c r="H118" s="228" t="s">
        <v>368</v>
      </c>
      <c r="I118" s="270">
        <v>64009</v>
      </c>
      <c r="J118" s="242">
        <v>21915</v>
      </c>
      <c r="K118" s="242">
        <v>0</v>
      </c>
      <c r="L118" s="242">
        <v>21915</v>
      </c>
      <c r="M118" s="242">
        <v>31418</v>
      </c>
      <c r="N118" s="242">
        <v>596938</v>
      </c>
      <c r="O118" s="242">
        <v>0</v>
      </c>
      <c r="P118" s="242">
        <v>628356</v>
      </c>
      <c r="Q118" s="242">
        <v>21915</v>
      </c>
      <c r="R118" s="242">
        <v>596938</v>
      </c>
      <c r="S118" s="250">
        <v>365</v>
      </c>
      <c r="T118" s="250">
        <v>9942</v>
      </c>
      <c r="U118" s="242">
        <v>69648</v>
      </c>
      <c r="V118" s="242">
        <v>558708</v>
      </c>
      <c r="W118" s="11"/>
      <c r="X118" s="34"/>
    </row>
    <row r="119" spans="2:24" s="22" customFormat="1" ht="27">
      <c r="B119" s="15">
        <f t="shared" si="1"/>
        <v>96</v>
      </c>
      <c r="C119" s="228" t="s">
        <v>2879</v>
      </c>
      <c r="D119" s="230" t="s">
        <v>42</v>
      </c>
      <c r="E119" s="266">
        <v>593002</v>
      </c>
      <c r="F119" s="273" t="s">
        <v>2914</v>
      </c>
      <c r="G119" s="268">
        <v>42095</v>
      </c>
      <c r="H119" s="228" t="s">
        <v>368</v>
      </c>
      <c r="I119" s="270">
        <v>64009</v>
      </c>
      <c r="J119" s="242">
        <v>21915</v>
      </c>
      <c r="K119" s="242">
        <v>0</v>
      </c>
      <c r="L119" s="242">
        <v>21915</v>
      </c>
      <c r="M119" s="242">
        <v>29650</v>
      </c>
      <c r="N119" s="242">
        <v>563352</v>
      </c>
      <c r="O119" s="242">
        <v>0</v>
      </c>
      <c r="P119" s="242">
        <v>593002</v>
      </c>
      <c r="Q119" s="242">
        <v>21915</v>
      </c>
      <c r="R119" s="242">
        <v>563352</v>
      </c>
      <c r="S119" s="250">
        <v>365</v>
      </c>
      <c r="T119" s="250">
        <v>9383</v>
      </c>
      <c r="U119" s="242">
        <v>65731</v>
      </c>
      <c r="V119" s="242">
        <v>527271</v>
      </c>
      <c r="W119" s="11"/>
      <c r="X119" s="34"/>
    </row>
    <row r="120" spans="2:24" s="22" customFormat="1" ht="27">
      <c r="B120" s="15">
        <f t="shared" si="1"/>
        <v>97</v>
      </c>
      <c r="C120" s="228" t="s">
        <v>2880</v>
      </c>
      <c r="D120" s="230" t="s">
        <v>42</v>
      </c>
      <c r="E120" s="266">
        <v>766365</v>
      </c>
      <c r="F120" s="273" t="s">
        <v>2921</v>
      </c>
      <c r="G120" s="268">
        <v>42095</v>
      </c>
      <c r="H120" s="228" t="s">
        <v>368</v>
      </c>
      <c r="I120" s="270">
        <v>64009</v>
      </c>
      <c r="J120" s="242">
        <v>21915</v>
      </c>
      <c r="K120" s="242">
        <v>0</v>
      </c>
      <c r="L120" s="242">
        <v>21915</v>
      </c>
      <c r="M120" s="242">
        <v>38318</v>
      </c>
      <c r="N120" s="242">
        <v>728047</v>
      </c>
      <c r="O120" s="242">
        <v>0</v>
      </c>
      <c r="P120" s="242">
        <v>766365</v>
      </c>
      <c r="Q120" s="242">
        <v>21915</v>
      </c>
      <c r="R120" s="242">
        <v>728047</v>
      </c>
      <c r="S120" s="250">
        <v>365</v>
      </c>
      <c r="T120" s="250">
        <v>12126</v>
      </c>
      <c r="U120" s="242">
        <v>84948</v>
      </c>
      <c r="V120" s="242">
        <v>681417</v>
      </c>
      <c r="W120" s="11"/>
      <c r="X120" s="34"/>
    </row>
    <row r="121" spans="2:24" s="22" customFormat="1" ht="27">
      <c r="B121" s="15">
        <f t="shared" si="1"/>
        <v>98</v>
      </c>
      <c r="C121" s="228" t="s">
        <v>2880</v>
      </c>
      <c r="D121" s="230" t="s">
        <v>42</v>
      </c>
      <c r="E121" s="266">
        <v>214070</v>
      </c>
      <c r="F121" s="273" t="s">
        <v>2922</v>
      </c>
      <c r="G121" s="268">
        <v>42095</v>
      </c>
      <c r="H121" s="228" t="s">
        <v>368</v>
      </c>
      <c r="I121" s="270">
        <v>64009</v>
      </c>
      <c r="J121" s="242">
        <v>21915</v>
      </c>
      <c r="K121" s="242">
        <v>0</v>
      </c>
      <c r="L121" s="242">
        <v>21915</v>
      </c>
      <c r="M121" s="242">
        <v>10704</v>
      </c>
      <c r="N121" s="242">
        <v>203366</v>
      </c>
      <c r="O121" s="242">
        <v>0</v>
      </c>
      <c r="P121" s="242">
        <v>214070</v>
      </c>
      <c r="Q121" s="242">
        <v>21915</v>
      </c>
      <c r="R121" s="242">
        <v>203367</v>
      </c>
      <c r="S121" s="250">
        <v>365</v>
      </c>
      <c r="T121" s="250">
        <v>3387</v>
      </c>
      <c r="U121" s="242">
        <v>23727</v>
      </c>
      <c r="V121" s="242">
        <v>190343</v>
      </c>
      <c r="W121" s="11"/>
      <c r="X121" s="34"/>
    </row>
    <row r="122" spans="2:24" s="22" customFormat="1" ht="67.5">
      <c r="B122" s="15">
        <f t="shared" si="1"/>
        <v>99</v>
      </c>
      <c r="C122" s="228" t="s">
        <v>2883</v>
      </c>
      <c r="D122" s="230" t="s">
        <v>42</v>
      </c>
      <c r="E122" s="266">
        <v>15500</v>
      </c>
      <c r="F122" s="273" t="s">
        <v>2933</v>
      </c>
      <c r="G122" s="268">
        <v>42095</v>
      </c>
      <c r="H122" s="228" t="s">
        <v>368</v>
      </c>
      <c r="I122" s="270">
        <v>64009</v>
      </c>
      <c r="J122" s="242">
        <v>21915</v>
      </c>
      <c r="K122" s="242">
        <v>0</v>
      </c>
      <c r="L122" s="242">
        <v>21915</v>
      </c>
      <c r="M122" s="242">
        <v>775</v>
      </c>
      <c r="N122" s="242">
        <v>14725</v>
      </c>
      <c r="O122" s="242">
        <v>0</v>
      </c>
      <c r="P122" s="242">
        <v>15500</v>
      </c>
      <c r="Q122" s="242">
        <v>21915</v>
      </c>
      <c r="R122" s="242">
        <v>14725</v>
      </c>
      <c r="S122" s="250">
        <v>365</v>
      </c>
      <c r="T122" s="250">
        <v>245</v>
      </c>
      <c r="U122" s="242">
        <v>1717</v>
      </c>
      <c r="V122" s="242">
        <v>13783</v>
      </c>
      <c r="W122" s="11"/>
      <c r="X122" s="34"/>
    </row>
    <row r="123" spans="2:24" s="22" customFormat="1" ht="67.5">
      <c r="B123" s="15">
        <f t="shared" si="1"/>
        <v>100</v>
      </c>
      <c r="C123" s="228" t="s">
        <v>2884</v>
      </c>
      <c r="D123" s="230" t="s">
        <v>42</v>
      </c>
      <c r="E123" s="266">
        <v>3100</v>
      </c>
      <c r="F123" s="273" t="s">
        <v>2934</v>
      </c>
      <c r="G123" s="268">
        <v>42095</v>
      </c>
      <c r="H123" s="228" t="s">
        <v>368</v>
      </c>
      <c r="I123" s="270">
        <v>64009</v>
      </c>
      <c r="J123" s="242">
        <v>21915</v>
      </c>
      <c r="K123" s="242">
        <v>0</v>
      </c>
      <c r="L123" s="242">
        <v>21915</v>
      </c>
      <c r="M123" s="242">
        <v>155</v>
      </c>
      <c r="N123" s="242">
        <v>2945</v>
      </c>
      <c r="O123" s="242">
        <v>0</v>
      </c>
      <c r="P123" s="242">
        <v>3100</v>
      </c>
      <c r="Q123" s="242">
        <v>21915</v>
      </c>
      <c r="R123" s="242">
        <v>2945</v>
      </c>
      <c r="S123" s="250">
        <v>365</v>
      </c>
      <c r="T123" s="250">
        <v>49</v>
      </c>
      <c r="U123" s="242">
        <v>343</v>
      </c>
      <c r="V123" s="242">
        <v>2757</v>
      </c>
      <c r="W123" s="11"/>
      <c r="X123" s="34"/>
    </row>
    <row r="124" spans="2:24" s="22" customFormat="1" ht="27">
      <c r="B124" s="15">
        <f t="shared" si="1"/>
        <v>101</v>
      </c>
      <c r="C124" s="228" t="s">
        <v>2872</v>
      </c>
      <c r="D124" s="230" t="s">
        <v>42</v>
      </c>
      <c r="E124" s="266">
        <v>1624269</v>
      </c>
      <c r="F124" s="273" t="s">
        <v>2923</v>
      </c>
      <c r="G124" s="268">
        <v>42095</v>
      </c>
      <c r="H124" s="228" t="s">
        <v>368</v>
      </c>
      <c r="I124" s="270">
        <v>64009</v>
      </c>
      <c r="J124" s="242">
        <v>21915</v>
      </c>
      <c r="K124" s="242">
        <v>0</v>
      </c>
      <c r="L124" s="242">
        <v>21915</v>
      </c>
      <c r="M124" s="242">
        <v>81213</v>
      </c>
      <c r="N124" s="242">
        <v>1543056</v>
      </c>
      <c r="O124" s="242">
        <v>0</v>
      </c>
      <c r="P124" s="242">
        <v>1624269</v>
      </c>
      <c r="Q124" s="242">
        <v>21915</v>
      </c>
      <c r="R124" s="242">
        <v>1543056</v>
      </c>
      <c r="S124" s="250">
        <v>365</v>
      </c>
      <c r="T124" s="250">
        <v>25700</v>
      </c>
      <c r="U124" s="242">
        <v>180040</v>
      </c>
      <c r="V124" s="242">
        <v>1444229</v>
      </c>
      <c r="W124" s="11"/>
      <c r="X124" s="34"/>
    </row>
    <row r="125" spans="2:24" s="22" customFormat="1" ht="27">
      <c r="B125" s="15">
        <f t="shared" si="1"/>
        <v>102</v>
      </c>
      <c r="C125" s="228" t="s">
        <v>2872</v>
      </c>
      <c r="D125" s="230" t="s">
        <v>42</v>
      </c>
      <c r="E125" s="266">
        <v>1616143</v>
      </c>
      <c r="F125" s="273" t="s">
        <v>2915</v>
      </c>
      <c r="G125" s="268">
        <v>42095</v>
      </c>
      <c r="H125" s="228" t="s">
        <v>368</v>
      </c>
      <c r="I125" s="270">
        <v>64009</v>
      </c>
      <c r="J125" s="242">
        <v>21915</v>
      </c>
      <c r="K125" s="242">
        <v>0</v>
      </c>
      <c r="L125" s="242">
        <v>21915</v>
      </c>
      <c r="M125" s="242">
        <v>80807</v>
      </c>
      <c r="N125" s="242">
        <v>1535336</v>
      </c>
      <c r="O125" s="242">
        <v>0</v>
      </c>
      <c r="P125" s="242">
        <v>1616143</v>
      </c>
      <c r="Q125" s="242">
        <v>21915</v>
      </c>
      <c r="R125" s="242">
        <v>1535336</v>
      </c>
      <c r="S125" s="250">
        <v>365</v>
      </c>
      <c r="T125" s="250">
        <v>25571</v>
      </c>
      <c r="U125" s="242">
        <v>179137</v>
      </c>
      <c r="V125" s="242">
        <v>1437006</v>
      </c>
      <c r="W125" s="11"/>
      <c r="X125" s="34"/>
    </row>
    <row r="126" spans="2:24" s="22" customFormat="1" ht="27">
      <c r="B126" s="15">
        <f t="shared" si="1"/>
        <v>103</v>
      </c>
      <c r="C126" s="228" t="s">
        <v>2872</v>
      </c>
      <c r="D126" s="230" t="s">
        <v>42</v>
      </c>
      <c r="E126" s="266">
        <v>214264</v>
      </c>
      <c r="F126" s="273" t="s">
        <v>2916</v>
      </c>
      <c r="G126" s="268">
        <v>42095</v>
      </c>
      <c r="H126" s="228" t="s">
        <v>368</v>
      </c>
      <c r="I126" s="270">
        <v>64009</v>
      </c>
      <c r="J126" s="242">
        <v>21915</v>
      </c>
      <c r="K126" s="242">
        <v>0</v>
      </c>
      <c r="L126" s="242">
        <v>21915</v>
      </c>
      <c r="M126" s="242">
        <v>10713</v>
      </c>
      <c r="N126" s="242">
        <v>203551</v>
      </c>
      <c r="O126" s="242">
        <v>0</v>
      </c>
      <c r="P126" s="242">
        <v>214264</v>
      </c>
      <c r="Q126" s="242">
        <v>21915</v>
      </c>
      <c r="R126" s="242">
        <v>203551</v>
      </c>
      <c r="S126" s="250">
        <v>365</v>
      </c>
      <c r="T126" s="250">
        <v>3390</v>
      </c>
      <c r="U126" s="242">
        <v>23748</v>
      </c>
      <c r="V126" s="242">
        <v>190516</v>
      </c>
      <c r="W126" s="11"/>
      <c r="X126" s="34"/>
    </row>
    <row r="127" spans="2:24" s="22" customFormat="1" ht="27">
      <c r="B127" s="15">
        <f t="shared" si="1"/>
        <v>104</v>
      </c>
      <c r="C127" s="228" t="s">
        <v>2872</v>
      </c>
      <c r="D127" s="230" t="s">
        <v>42</v>
      </c>
      <c r="E127" s="266">
        <v>107303</v>
      </c>
      <c r="F127" s="273" t="s">
        <v>2935</v>
      </c>
      <c r="G127" s="268">
        <v>42095</v>
      </c>
      <c r="H127" s="228" t="s">
        <v>368</v>
      </c>
      <c r="I127" s="270">
        <v>64009</v>
      </c>
      <c r="J127" s="242">
        <v>21915</v>
      </c>
      <c r="K127" s="242">
        <v>0</v>
      </c>
      <c r="L127" s="242">
        <v>21915</v>
      </c>
      <c r="M127" s="242">
        <v>5365</v>
      </c>
      <c r="N127" s="242">
        <v>101938</v>
      </c>
      <c r="O127" s="242">
        <v>0</v>
      </c>
      <c r="P127" s="242">
        <v>107303</v>
      </c>
      <c r="Q127" s="242">
        <v>21915</v>
      </c>
      <c r="R127" s="242">
        <v>101938</v>
      </c>
      <c r="S127" s="250">
        <v>365</v>
      </c>
      <c r="T127" s="250">
        <v>1698</v>
      </c>
      <c r="U127" s="242">
        <v>11894</v>
      </c>
      <c r="V127" s="242">
        <v>95409</v>
      </c>
      <c r="W127" s="11"/>
      <c r="X127" s="34"/>
    </row>
    <row r="128" spans="2:24" s="22" customFormat="1" ht="27">
      <c r="B128" s="15">
        <f t="shared" si="1"/>
        <v>105</v>
      </c>
      <c r="C128" s="228" t="s">
        <v>2879</v>
      </c>
      <c r="D128" s="230" t="s">
        <v>42</v>
      </c>
      <c r="E128" s="266">
        <v>787151</v>
      </c>
      <c r="F128" s="273" t="s">
        <v>2923</v>
      </c>
      <c r="G128" s="268">
        <v>42095</v>
      </c>
      <c r="H128" s="228" t="s">
        <v>368</v>
      </c>
      <c r="I128" s="270">
        <v>64009</v>
      </c>
      <c r="J128" s="242">
        <v>21915</v>
      </c>
      <c r="K128" s="242">
        <v>0</v>
      </c>
      <c r="L128" s="242">
        <v>21915</v>
      </c>
      <c r="M128" s="242">
        <v>39358</v>
      </c>
      <c r="N128" s="242">
        <v>747793</v>
      </c>
      <c r="O128" s="242">
        <v>0</v>
      </c>
      <c r="P128" s="242">
        <v>787151</v>
      </c>
      <c r="Q128" s="242">
        <v>21915</v>
      </c>
      <c r="R128" s="242">
        <v>747793</v>
      </c>
      <c r="S128" s="250">
        <v>365</v>
      </c>
      <c r="T128" s="250">
        <v>12455</v>
      </c>
      <c r="U128" s="242">
        <v>87253</v>
      </c>
      <c r="V128" s="242">
        <v>699898</v>
      </c>
      <c r="W128" s="11"/>
      <c r="X128" s="34"/>
    </row>
    <row r="129" spans="2:24" s="22" customFormat="1" ht="27">
      <c r="B129" s="15">
        <f t="shared" si="1"/>
        <v>106</v>
      </c>
      <c r="C129" s="228" t="s">
        <v>2879</v>
      </c>
      <c r="D129" s="230" t="s">
        <v>42</v>
      </c>
      <c r="E129" s="266">
        <v>1292960</v>
      </c>
      <c r="F129" s="273" t="s">
        <v>2915</v>
      </c>
      <c r="G129" s="268">
        <v>42095</v>
      </c>
      <c r="H129" s="228" t="s">
        <v>368</v>
      </c>
      <c r="I129" s="270">
        <v>64009</v>
      </c>
      <c r="J129" s="242">
        <v>21915</v>
      </c>
      <c r="K129" s="242">
        <v>0</v>
      </c>
      <c r="L129" s="242">
        <v>21915</v>
      </c>
      <c r="M129" s="242">
        <v>64648</v>
      </c>
      <c r="N129" s="242">
        <v>1228312</v>
      </c>
      <c r="O129" s="242">
        <v>0</v>
      </c>
      <c r="P129" s="242">
        <v>1292960</v>
      </c>
      <c r="Q129" s="242">
        <v>21915</v>
      </c>
      <c r="R129" s="242">
        <v>1228312</v>
      </c>
      <c r="S129" s="250">
        <v>365</v>
      </c>
      <c r="T129" s="250">
        <v>20458</v>
      </c>
      <c r="U129" s="242">
        <v>143318</v>
      </c>
      <c r="V129" s="242">
        <v>1149642</v>
      </c>
      <c r="W129" s="11"/>
      <c r="X129" s="34"/>
    </row>
    <row r="130" spans="2:24" s="22" customFormat="1" ht="27">
      <c r="B130" s="15">
        <f t="shared" si="1"/>
        <v>107</v>
      </c>
      <c r="C130" s="228" t="s">
        <v>2879</v>
      </c>
      <c r="D130" s="230" t="s">
        <v>42</v>
      </c>
      <c r="E130" s="266">
        <v>405936</v>
      </c>
      <c r="F130" s="273" t="s">
        <v>2916</v>
      </c>
      <c r="G130" s="268">
        <v>42095</v>
      </c>
      <c r="H130" s="228" t="s">
        <v>368</v>
      </c>
      <c r="I130" s="270">
        <v>64009</v>
      </c>
      <c r="J130" s="242">
        <v>21915</v>
      </c>
      <c r="K130" s="242">
        <v>0</v>
      </c>
      <c r="L130" s="242">
        <v>21915</v>
      </c>
      <c r="M130" s="242">
        <v>20297</v>
      </c>
      <c r="N130" s="242">
        <v>385639</v>
      </c>
      <c r="O130" s="242">
        <v>0</v>
      </c>
      <c r="P130" s="242">
        <v>405936</v>
      </c>
      <c r="Q130" s="242">
        <v>21915</v>
      </c>
      <c r="R130" s="242">
        <v>385639</v>
      </c>
      <c r="S130" s="250">
        <v>365</v>
      </c>
      <c r="T130" s="250">
        <v>6423</v>
      </c>
      <c r="U130" s="242">
        <v>44997</v>
      </c>
      <c r="V130" s="242">
        <v>360939</v>
      </c>
      <c r="W130" s="11"/>
      <c r="X130" s="34"/>
    </row>
    <row r="131" spans="2:24" s="22" customFormat="1" ht="27">
      <c r="B131" s="15">
        <f t="shared" si="1"/>
        <v>108</v>
      </c>
      <c r="C131" s="228" t="s">
        <v>2880</v>
      </c>
      <c r="D131" s="230" t="s">
        <v>42</v>
      </c>
      <c r="E131" s="266">
        <v>468070</v>
      </c>
      <c r="F131" s="273" t="s">
        <v>2917</v>
      </c>
      <c r="G131" s="268">
        <v>42095</v>
      </c>
      <c r="H131" s="228" t="s">
        <v>368</v>
      </c>
      <c r="I131" s="270">
        <v>64009</v>
      </c>
      <c r="J131" s="242">
        <v>21915</v>
      </c>
      <c r="K131" s="242">
        <v>0</v>
      </c>
      <c r="L131" s="242">
        <v>21915</v>
      </c>
      <c r="M131" s="242">
        <v>23404</v>
      </c>
      <c r="N131" s="242">
        <v>444666</v>
      </c>
      <c r="O131" s="242">
        <v>0</v>
      </c>
      <c r="P131" s="242">
        <v>468070</v>
      </c>
      <c r="Q131" s="242">
        <v>21915</v>
      </c>
      <c r="R131" s="242">
        <v>444667</v>
      </c>
      <c r="S131" s="250">
        <v>365</v>
      </c>
      <c r="T131" s="250">
        <v>7406</v>
      </c>
      <c r="U131" s="242">
        <v>51882</v>
      </c>
      <c r="V131" s="242">
        <v>416188</v>
      </c>
      <c r="W131" s="11"/>
      <c r="X131" s="34"/>
    </row>
    <row r="132" spans="2:24" s="22" customFormat="1" ht="27">
      <c r="B132" s="15">
        <f t="shared" si="1"/>
        <v>109</v>
      </c>
      <c r="C132" s="228" t="s">
        <v>2880</v>
      </c>
      <c r="D132" s="230" t="s">
        <v>42</v>
      </c>
      <c r="E132" s="266">
        <v>213911</v>
      </c>
      <c r="F132" s="273" t="s">
        <v>2918</v>
      </c>
      <c r="G132" s="268">
        <v>42095</v>
      </c>
      <c r="H132" s="228" t="s">
        <v>368</v>
      </c>
      <c r="I132" s="270">
        <v>64009</v>
      </c>
      <c r="J132" s="242">
        <v>21915</v>
      </c>
      <c r="K132" s="242">
        <v>0</v>
      </c>
      <c r="L132" s="242">
        <v>21915</v>
      </c>
      <c r="M132" s="242">
        <v>10696</v>
      </c>
      <c r="N132" s="242">
        <v>203215</v>
      </c>
      <c r="O132" s="242">
        <v>0</v>
      </c>
      <c r="P132" s="242">
        <v>213911</v>
      </c>
      <c r="Q132" s="242">
        <v>21915</v>
      </c>
      <c r="R132" s="242">
        <v>203215</v>
      </c>
      <c r="S132" s="250">
        <v>365</v>
      </c>
      <c r="T132" s="250">
        <v>3385</v>
      </c>
      <c r="U132" s="242">
        <v>23713</v>
      </c>
      <c r="V132" s="242">
        <v>190198</v>
      </c>
      <c r="W132" s="11"/>
      <c r="X132" s="34"/>
    </row>
    <row r="133" spans="2:24" s="22" customFormat="1">
      <c r="B133" s="15">
        <f t="shared" si="1"/>
        <v>110</v>
      </c>
      <c r="C133" s="228" t="s">
        <v>2878</v>
      </c>
      <c r="D133" s="230" t="s">
        <v>42</v>
      </c>
      <c r="E133" s="266">
        <v>420338</v>
      </c>
      <c r="F133" s="273" t="s">
        <v>2936</v>
      </c>
      <c r="G133" s="268">
        <v>42095</v>
      </c>
      <c r="H133" s="228" t="s">
        <v>368</v>
      </c>
      <c r="I133" s="270">
        <v>64009</v>
      </c>
      <c r="J133" s="242">
        <v>21915</v>
      </c>
      <c r="K133" s="242">
        <v>0</v>
      </c>
      <c r="L133" s="242">
        <v>21915</v>
      </c>
      <c r="M133" s="242">
        <v>21017</v>
      </c>
      <c r="N133" s="242">
        <v>399321</v>
      </c>
      <c r="O133" s="242">
        <v>0</v>
      </c>
      <c r="P133" s="242">
        <v>420338</v>
      </c>
      <c r="Q133" s="242">
        <v>21915</v>
      </c>
      <c r="R133" s="242">
        <v>399321</v>
      </c>
      <c r="S133" s="250">
        <v>365</v>
      </c>
      <c r="T133" s="250">
        <v>6651</v>
      </c>
      <c r="U133" s="242">
        <v>46593</v>
      </c>
      <c r="V133" s="242">
        <v>373745</v>
      </c>
      <c r="W133" s="11"/>
      <c r="X133" s="34"/>
    </row>
    <row r="134" spans="2:24" s="22" customFormat="1" ht="27">
      <c r="B134" s="15">
        <f t="shared" si="1"/>
        <v>111</v>
      </c>
      <c r="C134" s="228" t="s">
        <v>2879</v>
      </c>
      <c r="D134" s="230" t="s">
        <v>42</v>
      </c>
      <c r="E134" s="266">
        <v>885545</v>
      </c>
      <c r="F134" s="273" t="s">
        <v>2923</v>
      </c>
      <c r="G134" s="268">
        <v>42095</v>
      </c>
      <c r="H134" s="228" t="s">
        <v>368</v>
      </c>
      <c r="I134" s="270">
        <v>64009</v>
      </c>
      <c r="J134" s="242">
        <v>21915</v>
      </c>
      <c r="K134" s="242">
        <v>0</v>
      </c>
      <c r="L134" s="242">
        <v>21915</v>
      </c>
      <c r="M134" s="242">
        <v>44277</v>
      </c>
      <c r="N134" s="242">
        <v>841268</v>
      </c>
      <c r="O134" s="242">
        <v>0</v>
      </c>
      <c r="P134" s="242">
        <v>885545</v>
      </c>
      <c r="Q134" s="242">
        <v>21915</v>
      </c>
      <c r="R134" s="242">
        <v>841268</v>
      </c>
      <c r="S134" s="250">
        <v>365</v>
      </c>
      <c r="T134" s="250">
        <v>14012</v>
      </c>
      <c r="U134" s="242">
        <v>98160</v>
      </c>
      <c r="V134" s="242">
        <v>787385</v>
      </c>
      <c r="W134" s="11"/>
      <c r="X134" s="34"/>
    </row>
    <row r="135" spans="2:24" s="22" customFormat="1" ht="27">
      <c r="B135" s="15">
        <f t="shared" si="1"/>
        <v>112</v>
      </c>
      <c r="C135" s="228" t="s">
        <v>2879</v>
      </c>
      <c r="D135" s="230" t="s">
        <v>42</v>
      </c>
      <c r="E135" s="266">
        <v>534890</v>
      </c>
      <c r="F135" s="273" t="s">
        <v>2915</v>
      </c>
      <c r="G135" s="268">
        <v>42095</v>
      </c>
      <c r="H135" s="228" t="s">
        <v>368</v>
      </c>
      <c r="I135" s="270">
        <v>64009</v>
      </c>
      <c r="J135" s="242">
        <v>21915</v>
      </c>
      <c r="K135" s="242">
        <v>0</v>
      </c>
      <c r="L135" s="242">
        <v>21915</v>
      </c>
      <c r="M135" s="242">
        <v>26745</v>
      </c>
      <c r="N135" s="242">
        <v>508145</v>
      </c>
      <c r="O135" s="242">
        <v>0</v>
      </c>
      <c r="P135" s="242">
        <v>534890</v>
      </c>
      <c r="Q135" s="242">
        <v>21915</v>
      </c>
      <c r="R135" s="242">
        <v>508146</v>
      </c>
      <c r="S135" s="250">
        <v>365</v>
      </c>
      <c r="T135" s="250">
        <v>8463</v>
      </c>
      <c r="U135" s="242">
        <v>59287</v>
      </c>
      <c r="V135" s="242">
        <v>475603</v>
      </c>
      <c r="W135" s="11"/>
      <c r="X135" s="34"/>
    </row>
    <row r="136" spans="2:24" s="22" customFormat="1" ht="27">
      <c r="B136" s="15">
        <f t="shared" si="1"/>
        <v>113</v>
      </c>
      <c r="C136" s="228" t="s">
        <v>2879</v>
      </c>
      <c r="D136" s="230" t="s">
        <v>42</v>
      </c>
      <c r="E136" s="266">
        <v>816747</v>
      </c>
      <c r="F136" s="273" t="s">
        <v>2916</v>
      </c>
      <c r="G136" s="268">
        <v>42095</v>
      </c>
      <c r="H136" s="228" t="s">
        <v>368</v>
      </c>
      <c r="I136" s="270">
        <v>64009</v>
      </c>
      <c r="J136" s="242">
        <v>21915</v>
      </c>
      <c r="K136" s="242">
        <v>0</v>
      </c>
      <c r="L136" s="242">
        <v>21915</v>
      </c>
      <c r="M136" s="242">
        <v>40837</v>
      </c>
      <c r="N136" s="242">
        <v>775910</v>
      </c>
      <c r="O136" s="242">
        <v>0</v>
      </c>
      <c r="P136" s="242">
        <v>816747</v>
      </c>
      <c r="Q136" s="242">
        <v>21915</v>
      </c>
      <c r="R136" s="242">
        <v>775910</v>
      </c>
      <c r="S136" s="250">
        <v>365</v>
      </c>
      <c r="T136" s="250">
        <v>12923</v>
      </c>
      <c r="U136" s="242">
        <v>90531</v>
      </c>
      <c r="V136" s="242">
        <v>726216</v>
      </c>
      <c r="W136" s="11"/>
      <c r="X136" s="34"/>
    </row>
    <row r="137" spans="2:24" s="22" customFormat="1">
      <c r="B137" s="15">
        <f t="shared" si="1"/>
        <v>114</v>
      </c>
      <c r="C137" s="228" t="s">
        <v>2878</v>
      </c>
      <c r="D137" s="230" t="s">
        <v>42</v>
      </c>
      <c r="E137" s="266">
        <v>1074233</v>
      </c>
      <c r="F137" s="273" t="s">
        <v>2917</v>
      </c>
      <c r="G137" s="268">
        <v>42095</v>
      </c>
      <c r="H137" s="228" t="s">
        <v>368</v>
      </c>
      <c r="I137" s="270">
        <v>64009</v>
      </c>
      <c r="J137" s="242">
        <v>21915</v>
      </c>
      <c r="K137" s="242">
        <v>0</v>
      </c>
      <c r="L137" s="242">
        <v>21915</v>
      </c>
      <c r="M137" s="242">
        <v>53712</v>
      </c>
      <c r="N137" s="242">
        <v>1020521</v>
      </c>
      <c r="O137" s="242">
        <v>0</v>
      </c>
      <c r="P137" s="242">
        <v>1074233</v>
      </c>
      <c r="Q137" s="242">
        <v>21915</v>
      </c>
      <c r="R137" s="242">
        <v>1020521</v>
      </c>
      <c r="S137" s="250">
        <v>365</v>
      </c>
      <c r="T137" s="250">
        <v>16997</v>
      </c>
      <c r="U137" s="242">
        <v>119073</v>
      </c>
      <c r="V137" s="242">
        <v>955160</v>
      </c>
      <c r="W137" s="11"/>
      <c r="X137" s="34"/>
    </row>
    <row r="138" spans="2:24" s="22" customFormat="1">
      <c r="B138" s="15">
        <f t="shared" si="1"/>
        <v>115</v>
      </c>
      <c r="C138" s="228" t="s">
        <v>2878</v>
      </c>
      <c r="D138" s="230" t="s">
        <v>42</v>
      </c>
      <c r="E138" s="266">
        <v>213943</v>
      </c>
      <c r="F138" s="273" t="s">
        <v>2918</v>
      </c>
      <c r="G138" s="268">
        <v>42095</v>
      </c>
      <c r="H138" s="228" t="s">
        <v>368</v>
      </c>
      <c r="I138" s="270">
        <v>64009</v>
      </c>
      <c r="J138" s="242">
        <v>21915</v>
      </c>
      <c r="K138" s="242">
        <v>0</v>
      </c>
      <c r="L138" s="242">
        <v>21915</v>
      </c>
      <c r="M138" s="242">
        <v>10697</v>
      </c>
      <c r="N138" s="242">
        <v>203246</v>
      </c>
      <c r="O138" s="242">
        <v>0</v>
      </c>
      <c r="P138" s="242">
        <v>213943</v>
      </c>
      <c r="Q138" s="242">
        <v>21915</v>
      </c>
      <c r="R138" s="242">
        <v>203246</v>
      </c>
      <c r="S138" s="250">
        <v>365</v>
      </c>
      <c r="T138" s="250">
        <v>3385</v>
      </c>
      <c r="U138" s="242">
        <v>23713</v>
      </c>
      <c r="V138" s="242">
        <v>190230</v>
      </c>
      <c r="W138" s="11"/>
      <c r="X138" s="34"/>
    </row>
    <row r="139" spans="2:24" s="22" customFormat="1">
      <c r="B139" s="15">
        <f t="shared" si="1"/>
        <v>116</v>
      </c>
      <c r="C139" s="228" t="s">
        <v>2878</v>
      </c>
      <c r="D139" s="230" t="s">
        <v>42</v>
      </c>
      <c r="E139" s="266">
        <v>124836</v>
      </c>
      <c r="F139" s="273" t="s">
        <v>2919</v>
      </c>
      <c r="G139" s="268">
        <v>42095</v>
      </c>
      <c r="H139" s="228" t="s">
        <v>368</v>
      </c>
      <c r="I139" s="270">
        <v>64009</v>
      </c>
      <c r="J139" s="242">
        <v>21915</v>
      </c>
      <c r="K139" s="242">
        <v>0</v>
      </c>
      <c r="L139" s="242">
        <v>21915</v>
      </c>
      <c r="M139" s="242">
        <v>6242</v>
      </c>
      <c r="N139" s="242">
        <v>118594</v>
      </c>
      <c r="O139" s="242">
        <v>0</v>
      </c>
      <c r="P139" s="242">
        <v>124836</v>
      </c>
      <c r="Q139" s="242">
        <v>21915</v>
      </c>
      <c r="R139" s="242">
        <v>118594</v>
      </c>
      <c r="S139" s="250">
        <v>365</v>
      </c>
      <c r="T139" s="250">
        <v>1975</v>
      </c>
      <c r="U139" s="242">
        <v>13837</v>
      </c>
      <c r="V139" s="242">
        <v>110999</v>
      </c>
      <c r="W139" s="11"/>
      <c r="X139" s="34"/>
    </row>
    <row r="140" spans="2:24" s="22" customFormat="1" ht="27">
      <c r="B140" s="15">
        <f t="shared" si="1"/>
        <v>117</v>
      </c>
      <c r="C140" s="228" t="s">
        <v>2879</v>
      </c>
      <c r="D140" s="230" t="s">
        <v>42</v>
      </c>
      <c r="E140" s="266">
        <v>966750</v>
      </c>
      <c r="F140" s="273" t="s">
        <v>2923</v>
      </c>
      <c r="G140" s="268">
        <v>42095</v>
      </c>
      <c r="H140" s="228" t="s">
        <v>368</v>
      </c>
      <c r="I140" s="270">
        <v>64009</v>
      </c>
      <c r="J140" s="242">
        <v>21915</v>
      </c>
      <c r="K140" s="242">
        <v>0</v>
      </c>
      <c r="L140" s="242">
        <v>21915</v>
      </c>
      <c r="M140" s="242">
        <v>48338</v>
      </c>
      <c r="N140" s="242">
        <v>918412</v>
      </c>
      <c r="O140" s="242">
        <v>0</v>
      </c>
      <c r="P140" s="242">
        <v>966750</v>
      </c>
      <c r="Q140" s="242">
        <v>21915</v>
      </c>
      <c r="R140" s="242">
        <v>918413</v>
      </c>
      <c r="S140" s="250">
        <v>365</v>
      </c>
      <c r="T140" s="250">
        <v>15296</v>
      </c>
      <c r="U140" s="242">
        <v>107156</v>
      </c>
      <c r="V140" s="242">
        <v>859594</v>
      </c>
      <c r="W140" s="11"/>
      <c r="X140" s="34"/>
    </row>
    <row r="141" spans="2:24" s="22" customFormat="1" ht="27">
      <c r="B141" s="15">
        <f t="shared" si="1"/>
        <v>118</v>
      </c>
      <c r="C141" s="228" t="s">
        <v>2879</v>
      </c>
      <c r="D141" s="230" t="s">
        <v>42</v>
      </c>
      <c r="E141" s="266">
        <v>1393504</v>
      </c>
      <c r="F141" s="273" t="s">
        <v>2915</v>
      </c>
      <c r="G141" s="268">
        <v>42095</v>
      </c>
      <c r="H141" s="228" t="s">
        <v>368</v>
      </c>
      <c r="I141" s="270">
        <v>64009</v>
      </c>
      <c r="J141" s="242">
        <v>21915</v>
      </c>
      <c r="K141" s="242">
        <v>0</v>
      </c>
      <c r="L141" s="242">
        <v>21915</v>
      </c>
      <c r="M141" s="242">
        <v>69675</v>
      </c>
      <c r="N141" s="242">
        <v>1323829</v>
      </c>
      <c r="O141" s="242">
        <v>0</v>
      </c>
      <c r="P141" s="242">
        <v>1393504</v>
      </c>
      <c r="Q141" s="242">
        <v>21915</v>
      </c>
      <c r="R141" s="242">
        <v>1323829</v>
      </c>
      <c r="S141" s="250">
        <v>365</v>
      </c>
      <c r="T141" s="250">
        <v>22049</v>
      </c>
      <c r="U141" s="242">
        <v>154463</v>
      </c>
      <c r="V141" s="242">
        <v>1239041</v>
      </c>
      <c r="W141" s="11"/>
      <c r="X141" s="34"/>
    </row>
    <row r="142" spans="2:24" s="22" customFormat="1" ht="27">
      <c r="B142" s="15">
        <f t="shared" si="1"/>
        <v>119</v>
      </c>
      <c r="C142" s="228" t="s">
        <v>2880</v>
      </c>
      <c r="D142" s="230" t="s">
        <v>42</v>
      </c>
      <c r="E142" s="266">
        <v>783711</v>
      </c>
      <c r="F142" s="273" t="s">
        <v>2916</v>
      </c>
      <c r="G142" s="268">
        <v>42095</v>
      </c>
      <c r="H142" s="228" t="s">
        <v>368</v>
      </c>
      <c r="I142" s="270">
        <v>64009</v>
      </c>
      <c r="J142" s="242">
        <v>21915</v>
      </c>
      <c r="K142" s="242">
        <v>0</v>
      </c>
      <c r="L142" s="242">
        <v>21915</v>
      </c>
      <c r="M142" s="242">
        <v>39186</v>
      </c>
      <c r="N142" s="242">
        <v>744525</v>
      </c>
      <c r="O142" s="242">
        <v>0</v>
      </c>
      <c r="P142" s="242">
        <v>783711</v>
      </c>
      <c r="Q142" s="242">
        <v>21915</v>
      </c>
      <c r="R142" s="242">
        <v>744525</v>
      </c>
      <c r="S142" s="250">
        <v>365</v>
      </c>
      <c r="T142" s="250">
        <v>12400</v>
      </c>
      <c r="U142" s="242">
        <v>86868</v>
      </c>
      <c r="V142" s="242">
        <v>696843</v>
      </c>
      <c r="W142" s="11"/>
      <c r="X142" s="34"/>
    </row>
    <row r="143" spans="2:24" s="22" customFormat="1" ht="27">
      <c r="B143" s="15">
        <f t="shared" si="1"/>
        <v>120</v>
      </c>
      <c r="C143" s="228" t="s">
        <v>2880</v>
      </c>
      <c r="D143" s="230" t="s">
        <v>42</v>
      </c>
      <c r="E143" s="266">
        <v>168078</v>
      </c>
      <c r="F143" s="273" t="s">
        <v>2917</v>
      </c>
      <c r="G143" s="268">
        <v>42095</v>
      </c>
      <c r="H143" s="228" t="s">
        <v>368</v>
      </c>
      <c r="I143" s="270">
        <v>64009</v>
      </c>
      <c r="J143" s="242">
        <v>21915</v>
      </c>
      <c r="K143" s="242">
        <v>0</v>
      </c>
      <c r="L143" s="242">
        <v>21915</v>
      </c>
      <c r="M143" s="242">
        <v>8404</v>
      </c>
      <c r="N143" s="242">
        <v>159674</v>
      </c>
      <c r="O143" s="242">
        <v>0</v>
      </c>
      <c r="P143" s="242">
        <v>168078</v>
      </c>
      <c r="Q143" s="242">
        <v>21915</v>
      </c>
      <c r="R143" s="242">
        <v>159674</v>
      </c>
      <c r="S143" s="250">
        <v>365</v>
      </c>
      <c r="T143" s="250">
        <v>2659</v>
      </c>
      <c r="U143" s="242">
        <v>18629</v>
      </c>
      <c r="V143" s="242">
        <v>149449</v>
      </c>
      <c r="W143" s="11"/>
      <c r="X143" s="34"/>
    </row>
    <row r="144" spans="2:24" s="22" customFormat="1" ht="27">
      <c r="B144" s="15">
        <f t="shared" si="1"/>
        <v>121</v>
      </c>
      <c r="C144" s="228" t="s">
        <v>2880</v>
      </c>
      <c r="D144" s="230" t="s">
        <v>42</v>
      </c>
      <c r="E144" s="266">
        <v>213905</v>
      </c>
      <c r="F144" s="273" t="s">
        <v>2918</v>
      </c>
      <c r="G144" s="268">
        <v>42095</v>
      </c>
      <c r="H144" s="228" t="s">
        <v>368</v>
      </c>
      <c r="I144" s="270">
        <v>64009</v>
      </c>
      <c r="J144" s="242">
        <v>21915</v>
      </c>
      <c r="K144" s="242">
        <v>0</v>
      </c>
      <c r="L144" s="242">
        <v>21915</v>
      </c>
      <c r="M144" s="242">
        <v>10695</v>
      </c>
      <c r="N144" s="242">
        <v>203210</v>
      </c>
      <c r="O144" s="242">
        <v>0</v>
      </c>
      <c r="P144" s="242">
        <v>213905</v>
      </c>
      <c r="Q144" s="242">
        <v>21915</v>
      </c>
      <c r="R144" s="242">
        <v>203210</v>
      </c>
      <c r="S144" s="250">
        <v>365</v>
      </c>
      <c r="T144" s="250">
        <v>3385</v>
      </c>
      <c r="U144" s="242">
        <v>23713</v>
      </c>
      <c r="V144" s="242">
        <v>190192</v>
      </c>
      <c r="W144" s="11"/>
      <c r="X144" s="34"/>
    </row>
    <row r="145" spans="2:24" s="22" customFormat="1" ht="27">
      <c r="B145" s="15">
        <f t="shared" si="1"/>
        <v>122</v>
      </c>
      <c r="C145" s="228" t="s">
        <v>2879</v>
      </c>
      <c r="D145" s="230" t="s">
        <v>42</v>
      </c>
      <c r="E145" s="266">
        <v>722221</v>
      </c>
      <c r="F145" s="273" t="s">
        <v>2923</v>
      </c>
      <c r="G145" s="268">
        <v>42095</v>
      </c>
      <c r="H145" s="228" t="s">
        <v>368</v>
      </c>
      <c r="I145" s="270">
        <v>64009</v>
      </c>
      <c r="J145" s="242">
        <v>21915</v>
      </c>
      <c r="K145" s="242">
        <v>0</v>
      </c>
      <c r="L145" s="242">
        <v>21915</v>
      </c>
      <c r="M145" s="242">
        <v>36111</v>
      </c>
      <c r="N145" s="242">
        <v>686110</v>
      </c>
      <c r="O145" s="242">
        <v>0</v>
      </c>
      <c r="P145" s="242">
        <v>722221</v>
      </c>
      <c r="Q145" s="242">
        <v>21915</v>
      </c>
      <c r="R145" s="242">
        <v>686110</v>
      </c>
      <c r="S145" s="250">
        <v>365</v>
      </c>
      <c r="T145" s="250">
        <v>11427</v>
      </c>
      <c r="U145" s="242">
        <v>80053</v>
      </c>
      <c r="V145" s="242">
        <v>642168</v>
      </c>
      <c r="W145" s="11"/>
      <c r="X145" s="34"/>
    </row>
    <row r="146" spans="2:24" s="22" customFormat="1" ht="27">
      <c r="B146" s="15">
        <f t="shared" si="1"/>
        <v>123</v>
      </c>
      <c r="C146" s="228" t="s">
        <v>2879</v>
      </c>
      <c r="D146" s="230" t="s">
        <v>42</v>
      </c>
      <c r="E146" s="266">
        <v>433113</v>
      </c>
      <c r="F146" s="273" t="s">
        <v>2915</v>
      </c>
      <c r="G146" s="268">
        <v>42095</v>
      </c>
      <c r="H146" s="228" t="s">
        <v>368</v>
      </c>
      <c r="I146" s="270">
        <v>64009</v>
      </c>
      <c r="J146" s="242">
        <v>21915</v>
      </c>
      <c r="K146" s="242">
        <v>0</v>
      </c>
      <c r="L146" s="242">
        <v>21915</v>
      </c>
      <c r="M146" s="242">
        <v>21656</v>
      </c>
      <c r="N146" s="242">
        <v>411457</v>
      </c>
      <c r="O146" s="242">
        <v>0</v>
      </c>
      <c r="P146" s="242">
        <v>433113</v>
      </c>
      <c r="Q146" s="242">
        <v>21915</v>
      </c>
      <c r="R146" s="242">
        <v>411457</v>
      </c>
      <c r="S146" s="250">
        <v>365</v>
      </c>
      <c r="T146" s="250">
        <v>6853</v>
      </c>
      <c r="U146" s="242">
        <v>48009</v>
      </c>
      <c r="V146" s="242">
        <v>385104</v>
      </c>
      <c r="W146" s="11"/>
      <c r="X146" s="34"/>
    </row>
    <row r="147" spans="2:24" s="22" customFormat="1" ht="27">
      <c r="B147" s="15">
        <f t="shared" si="1"/>
        <v>124</v>
      </c>
      <c r="C147" s="228" t="s">
        <v>2879</v>
      </c>
      <c r="D147" s="230" t="s">
        <v>42</v>
      </c>
      <c r="E147" s="266">
        <v>850822</v>
      </c>
      <c r="F147" s="273" t="s">
        <v>2916</v>
      </c>
      <c r="G147" s="268">
        <v>42095</v>
      </c>
      <c r="H147" s="228" t="s">
        <v>368</v>
      </c>
      <c r="I147" s="270">
        <v>64009</v>
      </c>
      <c r="J147" s="242">
        <v>21915</v>
      </c>
      <c r="K147" s="242">
        <v>0</v>
      </c>
      <c r="L147" s="242">
        <v>21915</v>
      </c>
      <c r="M147" s="242">
        <v>42541</v>
      </c>
      <c r="N147" s="242">
        <v>808281</v>
      </c>
      <c r="O147" s="242">
        <v>0</v>
      </c>
      <c r="P147" s="242">
        <v>850822</v>
      </c>
      <c r="Q147" s="242">
        <v>21915</v>
      </c>
      <c r="R147" s="242">
        <v>808281</v>
      </c>
      <c r="S147" s="250">
        <v>365</v>
      </c>
      <c r="T147" s="250">
        <v>13462</v>
      </c>
      <c r="U147" s="242">
        <v>94308</v>
      </c>
      <c r="V147" s="242">
        <v>756514</v>
      </c>
      <c r="W147" s="11"/>
      <c r="X147" s="34"/>
    </row>
    <row r="148" spans="2:24" s="22" customFormat="1" ht="27">
      <c r="B148" s="15">
        <f t="shared" si="1"/>
        <v>125</v>
      </c>
      <c r="C148" s="228" t="s">
        <v>2880</v>
      </c>
      <c r="D148" s="230" t="s">
        <v>42</v>
      </c>
      <c r="E148" s="266">
        <v>1200749</v>
      </c>
      <c r="F148" s="273" t="s">
        <v>2917</v>
      </c>
      <c r="G148" s="268">
        <v>42095</v>
      </c>
      <c r="H148" s="228" t="s">
        <v>368</v>
      </c>
      <c r="I148" s="270">
        <v>64009</v>
      </c>
      <c r="J148" s="242">
        <v>21915</v>
      </c>
      <c r="K148" s="242">
        <v>0</v>
      </c>
      <c r="L148" s="242">
        <v>21915</v>
      </c>
      <c r="M148" s="242">
        <v>60037</v>
      </c>
      <c r="N148" s="242">
        <v>1140712</v>
      </c>
      <c r="O148" s="242">
        <v>0</v>
      </c>
      <c r="P148" s="242">
        <v>1200749</v>
      </c>
      <c r="Q148" s="242">
        <v>21915</v>
      </c>
      <c r="R148" s="242">
        <v>1140712</v>
      </c>
      <c r="S148" s="250">
        <v>365</v>
      </c>
      <c r="T148" s="250">
        <v>18999</v>
      </c>
      <c r="U148" s="242">
        <v>133097</v>
      </c>
      <c r="V148" s="242">
        <v>1067652</v>
      </c>
      <c r="W148" s="11"/>
      <c r="X148" s="34"/>
    </row>
    <row r="149" spans="2:24" s="22" customFormat="1" ht="27">
      <c r="B149" s="15">
        <f t="shared" si="1"/>
        <v>126</v>
      </c>
      <c r="C149" s="228" t="s">
        <v>2880</v>
      </c>
      <c r="D149" s="230" t="s">
        <v>42</v>
      </c>
      <c r="E149" s="266">
        <v>213983</v>
      </c>
      <c r="F149" s="273" t="s">
        <v>2918</v>
      </c>
      <c r="G149" s="268">
        <v>42095</v>
      </c>
      <c r="H149" s="228" t="s">
        <v>368</v>
      </c>
      <c r="I149" s="270">
        <v>64009</v>
      </c>
      <c r="J149" s="242">
        <v>21915</v>
      </c>
      <c r="K149" s="242">
        <v>0</v>
      </c>
      <c r="L149" s="242">
        <v>21915</v>
      </c>
      <c r="M149" s="242">
        <v>10699</v>
      </c>
      <c r="N149" s="242">
        <v>203284</v>
      </c>
      <c r="O149" s="242">
        <v>0</v>
      </c>
      <c r="P149" s="242">
        <v>213983</v>
      </c>
      <c r="Q149" s="242">
        <v>21915</v>
      </c>
      <c r="R149" s="242">
        <v>203284</v>
      </c>
      <c r="S149" s="250">
        <v>365</v>
      </c>
      <c r="T149" s="250">
        <v>3386</v>
      </c>
      <c r="U149" s="242">
        <v>23720</v>
      </c>
      <c r="V149" s="242">
        <v>190263</v>
      </c>
      <c r="W149" s="11"/>
      <c r="X149" s="34"/>
    </row>
    <row r="150" spans="2:24" s="22" customFormat="1" ht="27">
      <c r="B150" s="15">
        <f t="shared" si="1"/>
        <v>127</v>
      </c>
      <c r="C150" s="228" t="s">
        <v>2879</v>
      </c>
      <c r="D150" s="230" t="s">
        <v>42</v>
      </c>
      <c r="E150" s="266">
        <v>731545</v>
      </c>
      <c r="F150" s="273" t="s">
        <v>2923</v>
      </c>
      <c r="G150" s="268">
        <v>42095</v>
      </c>
      <c r="H150" s="228" t="s">
        <v>368</v>
      </c>
      <c r="I150" s="270">
        <v>64009</v>
      </c>
      <c r="J150" s="242">
        <v>21915</v>
      </c>
      <c r="K150" s="242">
        <v>0</v>
      </c>
      <c r="L150" s="242">
        <v>21915</v>
      </c>
      <c r="M150" s="242">
        <v>36577</v>
      </c>
      <c r="N150" s="242">
        <v>694968</v>
      </c>
      <c r="O150" s="242">
        <v>0</v>
      </c>
      <c r="P150" s="242">
        <v>731545</v>
      </c>
      <c r="Q150" s="242">
        <v>21915</v>
      </c>
      <c r="R150" s="242">
        <v>694968</v>
      </c>
      <c r="S150" s="250">
        <v>365</v>
      </c>
      <c r="T150" s="250">
        <v>11575</v>
      </c>
      <c r="U150" s="242">
        <v>81089</v>
      </c>
      <c r="V150" s="242">
        <v>650456</v>
      </c>
      <c r="W150" s="11"/>
      <c r="X150" s="34"/>
    </row>
    <row r="151" spans="2:24" s="22" customFormat="1" ht="27">
      <c r="B151" s="15">
        <f t="shared" si="1"/>
        <v>128</v>
      </c>
      <c r="C151" s="228" t="s">
        <v>2879</v>
      </c>
      <c r="D151" s="230" t="s">
        <v>42</v>
      </c>
      <c r="E151" s="266">
        <v>1927651</v>
      </c>
      <c r="F151" s="273" t="s">
        <v>2915</v>
      </c>
      <c r="G151" s="268">
        <v>42095</v>
      </c>
      <c r="H151" s="228" t="s">
        <v>368</v>
      </c>
      <c r="I151" s="270">
        <v>64009</v>
      </c>
      <c r="J151" s="242">
        <v>21915</v>
      </c>
      <c r="K151" s="242">
        <v>0</v>
      </c>
      <c r="L151" s="242">
        <v>21915</v>
      </c>
      <c r="M151" s="242">
        <v>96383</v>
      </c>
      <c r="N151" s="242">
        <v>1831268</v>
      </c>
      <c r="O151" s="242">
        <v>0</v>
      </c>
      <c r="P151" s="242">
        <v>1927651</v>
      </c>
      <c r="Q151" s="242">
        <v>21915</v>
      </c>
      <c r="R151" s="242">
        <v>1831268</v>
      </c>
      <c r="S151" s="250">
        <v>365</v>
      </c>
      <c r="T151" s="250">
        <v>30500</v>
      </c>
      <c r="U151" s="242">
        <v>213668</v>
      </c>
      <c r="V151" s="242">
        <v>1713983</v>
      </c>
      <c r="W151" s="11"/>
      <c r="X151" s="34"/>
    </row>
    <row r="152" spans="2:24" s="22" customFormat="1" ht="27">
      <c r="B152" s="15">
        <f t="shared" si="1"/>
        <v>129</v>
      </c>
      <c r="C152" s="228" t="s">
        <v>2879</v>
      </c>
      <c r="D152" s="230" t="s">
        <v>42</v>
      </c>
      <c r="E152" s="266">
        <v>555145</v>
      </c>
      <c r="F152" s="273" t="s">
        <v>2916</v>
      </c>
      <c r="G152" s="268">
        <v>42095</v>
      </c>
      <c r="H152" s="228" t="s">
        <v>368</v>
      </c>
      <c r="I152" s="270">
        <v>64009</v>
      </c>
      <c r="J152" s="242">
        <v>21915</v>
      </c>
      <c r="K152" s="242">
        <v>0</v>
      </c>
      <c r="L152" s="242">
        <v>21915</v>
      </c>
      <c r="M152" s="242">
        <v>27757</v>
      </c>
      <c r="N152" s="242">
        <v>527388</v>
      </c>
      <c r="O152" s="242">
        <v>0</v>
      </c>
      <c r="P152" s="242">
        <v>555145</v>
      </c>
      <c r="Q152" s="242">
        <v>21915</v>
      </c>
      <c r="R152" s="242">
        <v>527388</v>
      </c>
      <c r="S152" s="250">
        <v>365</v>
      </c>
      <c r="T152" s="250">
        <v>8784</v>
      </c>
      <c r="U152" s="242">
        <v>61536</v>
      </c>
      <c r="V152" s="242">
        <v>493609</v>
      </c>
      <c r="W152" s="11"/>
      <c r="X152" s="34"/>
    </row>
    <row r="153" spans="2:24" s="22" customFormat="1" ht="27">
      <c r="B153" s="15">
        <f t="shared" si="1"/>
        <v>130</v>
      </c>
      <c r="C153" s="228" t="s">
        <v>2879</v>
      </c>
      <c r="D153" s="230" t="s">
        <v>42</v>
      </c>
      <c r="E153" s="266">
        <v>214264</v>
      </c>
      <c r="F153" s="273" t="s">
        <v>2917</v>
      </c>
      <c r="G153" s="268">
        <v>42095</v>
      </c>
      <c r="H153" s="228" t="s">
        <v>368</v>
      </c>
      <c r="I153" s="270">
        <v>64009</v>
      </c>
      <c r="J153" s="242">
        <v>21915</v>
      </c>
      <c r="K153" s="242">
        <v>0</v>
      </c>
      <c r="L153" s="242">
        <v>21915</v>
      </c>
      <c r="M153" s="242">
        <v>10713</v>
      </c>
      <c r="N153" s="242">
        <v>203551</v>
      </c>
      <c r="O153" s="242">
        <v>0</v>
      </c>
      <c r="P153" s="242">
        <v>214264</v>
      </c>
      <c r="Q153" s="242">
        <v>21915</v>
      </c>
      <c r="R153" s="242">
        <v>203551</v>
      </c>
      <c r="S153" s="250">
        <v>365</v>
      </c>
      <c r="T153" s="250">
        <v>3390</v>
      </c>
      <c r="U153" s="242">
        <v>23748</v>
      </c>
      <c r="V153" s="242">
        <v>190516</v>
      </c>
      <c r="W153" s="11"/>
      <c r="X153" s="34"/>
    </row>
    <row r="154" spans="2:24" s="22" customFormat="1" ht="27">
      <c r="B154" s="15">
        <f t="shared" ref="B154:B217" si="2">+B153+1</f>
        <v>131</v>
      </c>
      <c r="C154" s="228" t="s">
        <v>2879</v>
      </c>
      <c r="D154" s="230" t="s">
        <v>42</v>
      </c>
      <c r="E154" s="266">
        <v>650262</v>
      </c>
      <c r="F154" s="273" t="s">
        <v>2923</v>
      </c>
      <c r="G154" s="268">
        <v>42095</v>
      </c>
      <c r="H154" s="228" t="s">
        <v>368</v>
      </c>
      <c r="I154" s="270">
        <v>64009</v>
      </c>
      <c r="J154" s="242">
        <v>21915</v>
      </c>
      <c r="K154" s="242">
        <v>0</v>
      </c>
      <c r="L154" s="242">
        <v>21915</v>
      </c>
      <c r="M154" s="242">
        <v>32513</v>
      </c>
      <c r="N154" s="242">
        <v>617749</v>
      </c>
      <c r="O154" s="242">
        <v>0</v>
      </c>
      <c r="P154" s="242">
        <v>650262</v>
      </c>
      <c r="Q154" s="242">
        <v>21915</v>
      </c>
      <c r="R154" s="242">
        <v>617749</v>
      </c>
      <c r="S154" s="250">
        <v>365</v>
      </c>
      <c r="T154" s="250">
        <v>10289</v>
      </c>
      <c r="U154" s="242">
        <v>72079</v>
      </c>
      <c r="V154" s="242">
        <v>578183</v>
      </c>
      <c r="W154" s="11"/>
      <c r="X154" s="34"/>
    </row>
    <row r="155" spans="2:24" s="22" customFormat="1" ht="27">
      <c r="B155" s="15">
        <f t="shared" si="2"/>
        <v>132</v>
      </c>
      <c r="C155" s="228" t="s">
        <v>2879</v>
      </c>
      <c r="D155" s="230" t="s">
        <v>42</v>
      </c>
      <c r="E155" s="266">
        <v>1918863</v>
      </c>
      <c r="F155" s="273" t="s">
        <v>2915</v>
      </c>
      <c r="G155" s="268">
        <v>42095</v>
      </c>
      <c r="H155" s="228" t="s">
        <v>368</v>
      </c>
      <c r="I155" s="270">
        <v>64009</v>
      </c>
      <c r="J155" s="242">
        <v>21915</v>
      </c>
      <c r="K155" s="242">
        <v>0</v>
      </c>
      <c r="L155" s="242">
        <v>21915</v>
      </c>
      <c r="M155" s="242">
        <v>95943</v>
      </c>
      <c r="N155" s="242">
        <v>1822920</v>
      </c>
      <c r="O155" s="242">
        <v>0</v>
      </c>
      <c r="P155" s="242">
        <v>1918863</v>
      </c>
      <c r="Q155" s="242">
        <v>21915</v>
      </c>
      <c r="R155" s="242">
        <v>1822920</v>
      </c>
      <c r="S155" s="250">
        <v>365</v>
      </c>
      <c r="T155" s="250">
        <v>30361</v>
      </c>
      <c r="U155" s="242">
        <v>212693</v>
      </c>
      <c r="V155" s="242">
        <v>1706170</v>
      </c>
      <c r="W155" s="11"/>
      <c r="X155" s="34"/>
    </row>
    <row r="156" spans="2:24" s="22" customFormat="1" ht="27">
      <c r="B156" s="15">
        <f t="shared" si="2"/>
        <v>133</v>
      </c>
      <c r="C156" s="228" t="s">
        <v>2879</v>
      </c>
      <c r="D156" s="230" t="s">
        <v>42</v>
      </c>
      <c r="E156" s="266">
        <v>581040</v>
      </c>
      <c r="F156" s="273" t="s">
        <v>2916</v>
      </c>
      <c r="G156" s="268">
        <v>42095</v>
      </c>
      <c r="H156" s="228" t="s">
        <v>368</v>
      </c>
      <c r="I156" s="270">
        <v>64009</v>
      </c>
      <c r="J156" s="242">
        <v>21915</v>
      </c>
      <c r="K156" s="242">
        <v>0</v>
      </c>
      <c r="L156" s="242">
        <v>21915</v>
      </c>
      <c r="M156" s="242">
        <v>29052</v>
      </c>
      <c r="N156" s="242">
        <v>551988</v>
      </c>
      <c r="O156" s="242">
        <v>0</v>
      </c>
      <c r="P156" s="242">
        <v>581040</v>
      </c>
      <c r="Q156" s="242">
        <v>21915</v>
      </c>
      <c r="R156" s="242">
        <v>551988</v>
      </c>
      <c r="S156" s="250">
        <v>365</v>
      </c>
      <c r="T156" s="250">
        <v>9194</v>
      </c>
      <c r="U156" s="242">
        <v>64408</v>
      </c>
      <c r="V156" s="242">
        <v>516632</v>
      </c>
      <c r="W156" s="11"/>
      <c r="X156" s="34"/>
    </row>
    <row r="157" spans="2:24" s="22" customFormat="1" ht="27">
      <c r="B157" s="15">
        <f t="shared" si="2"/>
        <v>134</v>
      </c>
      <c r="C157" s="228" t="s">
        <v>2879</v>
      </c>
      <c r="D157" s="230" t="s">
        <v>42</v>
      </c>
      <c r="E157" s="266">
        <v>213906</v>
      </c>
      <c r="F157" s="273" t="s">
        <v>2917</v>
      </c>
      <c r="G157" s="268">
        <v>42095</v>
      </c>
      <c r="H157" s="228" t="s">
        <v>368</v>
      </c>
      <c r="I157" s="270">
        <v>64009</v>
      </c>
      <c r="J157" s="242">
        <v>21915</v>
      </c>
      <c r="K157" s="242">
        <v>0</v>
      </c>
      <c r="L157" s="242">
        <v>21915</v>
      </c>
      <c r="M157" s="242">
        <v>10695</v>
      </c>
      <c r="N157" s="242">
        <v>203211</v>
      </c>
      <c r="O157" s="242">
        <v>0</v>
      </c>
      <c r="P157" s="242">
        <v>213906</v>
      </c>
      <c r="Q157" s="242">
        <v>21915</v>
      </c>
      <c r="R157" s="242">
        <v>203211</v>
      </c>
      <c r="S157" s="250">
        <v>365</v>
      </c>
      <c r="T157" s="250">
        <v>3385</v>
      </c>
      <c r="U157" s="242">
        <v>23713</v>
      </c>
      <c r="V157" s="242">
        <v>190193</v>
      </c>
      <c r="W157" s="11"/>
      <c r="X157" s="34"/>
    </row>
    <row r="158" spans="2:24" s="22" customFormat="1" ht="27">
      <c r="B158" s="15">
        <f t="shared" si="2"/>
        <v>135</v>
      </c>
      <c r="C158" s="228" t="s">
        <v>2879</v>
      </c>
      <c r="D158" s="230" t="s">
        <v>42</v>
      </c>
      <c r="E158" s="266">
        <v>500124</v>
      </c>
      <c r="F158" s="273" t="s">
        <v>2923</v>
      </c>
      <c r="G158" s="268">
        <v>42095</v>
      </c>
      <c r="H158" s="228" t="s">
        <v>368</v>
      </c>
      <c r="I158" s="270">
        <v>64009</v>
      </c>
      <c r="J158" s="242">
        <v>21915</v>
      </c>
      <c r="K158" s="242">
        <v>0</v>
      </c>
      <c r="L158" s="242">
        <v>21915</v>
      </c>
      <c r="M158" s="242">
        <v>25006</v>
      </c>
      <c r="N158" s="242">
        <v>475118</v>
      </c>
      <c r="O158" s="242">
        <v>0</v>
      </c>
      <c r="P158" s="242">
        <v>500124</v>
      </c>
      <c r="Q158" s="242">
        <v>21915</v>
      </c>
      <c r="R158" s="242">
        <v>475118</v>
      </c>
      <c r="S158" s="250">
        <v>365</v>
      </c>
      <c r="T158" s="250">
        <v>7913</v>
      </c>
      <c r="U158" s="242">
        <v>55435</v>
      </c>
      <c r="V158" s="242">
        <v>444689</v>
      </c>
      <c r="W158" s="11"/>
      <c r="X158" s="34"/>
    </row>
    <row r="159" spans="2:24" s="22" customFormat="1" ht="27">
      <c r="B159" s="15">
        <f t="shared" si="2"/>
        <v>136</v>
      </c>
      <c r="C159" s="228" t="s">
        <v>2879</v>
      </c>
      <c r="D159" s="230" t="s">
        <v>42</v>
      </c>
      <c r="E159" s="266">
        <v>483815</v>
      </c>
      <c r="F159" s="273" t="s">
        <v>2915</v>
      </c>
      <c r="G159" s="268">
        <v>42095</v>
      </c>
      <c r="H159" s="228" t="s">
        <v>368</v>
      </c>
      <c r="I159" s="270">
        <v>64009</v>
      </c>
      <c r="J159" s="242">
        <v>21915</v>
      </c>
      <c r="K159" s="242">
        <v>0</v>
      </c>
      <c r="L159" s="242">
        <v>21915</v>
      </c>
      <c r="M159" s="242">
        <v>24191</v>
      </c>
      <c r="N159" s="242">
        <v>459624</v>
      </c>
      <c r="O159" s="242">
        <v>0</v>
      </c>
      <c r="P159" s="242">
        <v>483815</v>
      </c>
      <c r="Q159" s="242">
        <v>21915</v>
      </c>
      <c r="R159" s="242">
        <v>459624</v>
      </c>
      <c r="S159" s="250">
        <v>365</v>
      </c>
      <c r="T159" s="250">
        <v>7655</v>
      </c>
      <c r="U159" s="242">
        <v>53627</v>
      </c>
      <c r="V159" s="242">
        <v>430188</v>
      </c>
      <c r="W159" s="11"/>
      <c r="X159" s="34"/>
    </row>
    <row r="160" spans="2:24" s="22" customFormat="1">
      <c r="B160" s="15">
        <f t="shared" si="2"/>
        <v>137</v>
      </c>
      <c r="C160" s="228" t="s">
        <v>2878</v>
      </c>
      <c r="D160" s="230" t="s">
        <v>42</v>
      </c>
      <c r="E160" s="266">
        <v>1095011</v>
      </c>
      <c r="F160" s="273" t="s">
        <v>2916</v>
      </c>
      <c r="G160" s="268">
        <v>42095</v>
      </c>
      <c r="H160" s="228" t="s">
        <v>368</v>
      </c>
      <c r="I160" s="270">
        <v>64009</v>
      </c>
      <c r="J160" s="242">
        <v>21915</v>
      </c>
      <c r="K160" s="242">
        <v>0</v>
      </c>
      <c r="L160" s="242">
        <v>21915</v>
      </c>
      <c r="M160" s="242">
        <v>54751</v>
      </c>
      <c r="N160" s="242">
        <v>1040260</v>
      </c>
      <c r="O160" s="242">
        <v>0</v>
      </c>
      <c r="P160" s="242">
        <v>1095011</v>
      </c>
      <c r="Q160" s="242">
        <v>21915</v>
      </c>
      <c r="R160" s="242">
        <v>1040260</v>
      </c>
      <c r="S160" s="250">
        <v>365</v>
      </c>
      <c r="T160" s="250">
        <v>17326</v>
      </c>
      <c r="U160" s="242">
        <v>121376</v>
      </c>
      <c r="V160" s="242">
        <v>973635</v>
      </c>
      <c r="W160" s="11"/>
      <c r="X160" s="34"/>
    </row>
    <row r="161" spans="2:24" s="22" customFormat="1" ht="27">
      <c r="B161" s="15">
        <f t="shared" si="2"/>
        <v>138</v>
      </c>
      <c r="C161" s="228" t="s">
        <v>2879</v>
      </c>
      <c r="D161" s="230" t="s">
        <v>42</v>
      </c>
      <c r="E161" s="266">
        <v>1172566</v>
      </c>
      <c r="F161" s="273" t="s">
        <v>2917</v>
      </c>
      <c r="G161" s="268">
        <v>42095</v>
      </c>
      <c r="H161" s="228" t="s">
        <v>368</v>
      </c>
      <c r="I161" s="270">
        <v>64009</v>
      </c>
      <c r="J161" s="242">
        <v>21915</v>
      </c>
      <c r="K161" s="242">
        <v>0</v>
      </c>
      <c r="L161" s="242">
        <v>21915</v>
      </c>
      <c r="M161" s="242">
        <v>58628</v>
      </c>
      <c r="N161" s="242">
        <v>1113938</v>
      </c>
      <c r="O161" s="242">
        <v>0</v>
      </c>
      <c r="P161" s="242">
        <v>1172566</v>
      </c>
      <c r="Q161" s="242">
        <v>21915</v>
      </c>
      <c r="R161" s="242">
        <v>1113938</v>
      </c>
      <c r="S161" s="250">
        <v>365</v>
      </c>
      <c r="T161" s="250">
        <v>18553</v>
      </c>
      <c r="U161" s="242">
        <v>129973</v>
      </c>
      <c r="V161" s="242">
        <v>1042593</v>
      </c>
      <c r="W161" s="11"/>
      <c r="X161" s="34"/>
    </row>
    <row r="162" spans="2:24" s="22" customFormat="1" ht="27">
      <c r="B162" s="15">
        <f t="shared" si="2"/>
        <v>139</v>
      </c>
      <c r="C162" s="228" t="s">
        <v>2879</v>
      </c>
      <c r="D162" s="230" t="s">
        <v>42</v>
      </c>
      <c r="E162" s="266">
        <v>214206</v>
      </c>
      <c r="F162" s="273" t="s">
        <v>2918</v>
      </c>
      <c r="G162" s="268">
        <v>42095</v>
      </c>
      <c r="H162" s="228" t="s">
        <v>368</v>
      </c>
      <c r="I162" s="270">
        <v>64009</v>
      </c>
      <c r="J162" s="242">
        <v>21915</v>
      </c>
      <c r="K162" s="242">
        <v>0</v>
      </c>
      <c r="L162" s="242">
        <v>21915</v>
      </c>
      <c r="M162" s="242">
        <v>10710</v>
      </c>
      <c r="N162" s="242">
        <v>203496</v>
      </c>
      <c r="O162" s="242">
        <v>0</v>
      </c>
      <c r="P162" s="242">
        <v>214206</v>
      </c>
      <c r="Q162" s="242">
        <v>21915</v>
      </c>
      <c r="R162" s="242">
        <v>203496</v>
      </c>
      <c r="S162" s="250">
        <v>365</v>
      </c>
      <c r="T162" s="250">
        <v>3389</v>
      </c>
      <c r="U162" s="242">
        <v>23743</v>
      </c>
      <c r="V162" s="242">
        <v>190463</v>
      </c>
      <c r="W162" s="11"/>
      <c r="X162" s="34"/>
    </row>
    <row r="163" spans="2:24" s="22" customFormat="1" ht="27">
      <c r="B163" s="15">
        <f t="shared" si="2"/>
        <v>140</v>
      </c>
      <c r="C163" s="228" t="s">
        <v>2879</v>
      </c>
      <c r="D163" s="230" t="s">
        <v>42</v>
      </c>
      <c r="E163" s="266">
        <v>787151</v>
      </c>
      <c r="F163" s="273" t="s">
        <v>2923</v>
      </c>
      <c r="G163" s="268">
        <v>42095</v>
      </c>
      <c r="H163" s="228" t="s">
        <v>368</v>
      </c>
      <c r="I163" s="270">
        <v>64009</v>
      </c>
      <c r="J163" s="242">
        <v>21915</v>
      </c>
      <c r="K163" s="242">
        <v>0</v>
      </c>
      <c r="L163" s="242">
        <v>21915</v>
      </c>
      <c r="M163" s="242">
        <v>39358</v>
      </c>
      <c r="N163" s="242">
        <v>747793</v>
      </c>
      <c r="O163" s="242">
        <v>0</v>
      </c>
      <c r="P163" s="242">
        <v>787151</v>
      </c>
      <c r="Q163" s="242">
        <v>21915</v>
      </c>
      <c r="R163" s="242">
        <v>747793</v>
      </c>
      <c r="S163" s="250">
        <v>365</v>
      </c>
      <c r="T163" s="250">
        <v>12455</v>
      </c>
      <c r="U163" s="242">
        <v>87253</v>
      </c>
      <c r="V163" s="242">
        <v>699898</v>
      </c>
      <c r="W163" s="11"/>
      <c r="X163" s="34"/>
    </row>
    <row r="164" spans="2:24" s="22" customFormat="1" ht="27">
      <c r="B164" s="15">
        <f t="shared" si="2"/>
        <v>141</v>
      </c>
      <c r="C164" s="228" t="s">
        <v>2879</v>
      </c>
      <c r="D164" s="230" t="s">
        <v>42</v>
      </c>
      <c r="E164" s="266">
        <v>1170365</v>
      </c>
      <c r="F164" s="273" t="s">
        <v>2915</v>
      </c>
      <c r="G164" s="268">
        <v>42095</v>
      </c>
      <c r="H164" s="228" t="s">
        <v>368</v>
      </c>
      <c r="I164" s="270">
        <v>64009</v>
      </c>
      <c r="J164" s="242">
        <v>21915</v>
      </c>
      <c r="K164" s="242">
        <v>0</v>
      </c>
      <c r="L164" s="242">
        <v>21915</v>
      </c>
      <c r="M164" s="242">
        <v>58518</v>
      </c>
      <c r="N164" s="242">
        <v>1111847</v>
      </c>
      <c r="O164" s="242">
        <v>0</v>
      </c>
      <c r="P164" s="242">
        <v>1170365</v>
      </c>
      <c r="Q164" s="242">
        <v>21915</v>
      </c>
      <c r="R164" s="242">
        <v>1111847</v>
      </c>
      <c r="S164" s="250">
        <v>365</v>
      </c>
      <c r="T164" s="250">
        <v>18518</v>
      </c>
      <c r="U164" s="242">
        <v>129728</v>
      </c>
      <c r="V164" s="242">
        <v>1040637</v>
      </c>
      <c r="W164" s="11"/>
      <c r="X164" s="34"/>
    </row>
    <row r="165" spans="2:24" s="22" customFormat="1" ht="27">
      <c r="B165" s="15">
        <f t="shared" si="2"/>
        <v>142</v>
      </c>
      <c r="C165" s="228" t="s">
        <v>2879</v>
      </c>
      <c r="D165" s="230" t="s">
        <v>42</v>
      </c>
      <c r="E165" s="266">
        <v>671544</v>
      </c>
      <c r="F165" s="273" t="s">
        <v>2916</v>
      </c>
      <c r="G165" s="268">
        <v>42095</v>
      </c>
      <c r="H165" s="228" t="s">
        <v>368</v>
      </c>
      <c r="I165" s="270">
        <v>64009</v>
      </c>
      <c r="J165" s="242">
        <v>21915</v>
      </c>
      <c r="K165" s="242">
        <v>0</v>
      </c>
      <c r="L165" s="242">
        <v>21915</v>
      </c>
      <c r="M165" s="242">
        <v>33577</v>
      </c>
      <c r="N165" s="242">
        <v>637967</v>
      </c>
      <c r="O165" s="242">
        <v>0</v>
      </c>
      <c r="P165" s="242">
        <v>671544</v>
      </c>
      <c r="Q165" s="242">
        <v>21915</v>
      </c>
      <c r="R165" s="242">
        <v>637967</v>
      </c>
      <c r="S165" s="250">
        <v>365</v>
      </c>
      <c r="T165" s="250">
        <v>10626</v>
      </c>
      <c r="U165" s="242">
        <v>74440</v>
      </c>
      <c r="V165" s="242">
        <v>597104</v>
      </c>
      <c r="W165" s="11"/>
      <c r="X165" s="34"/>
    </row>
    <row r="166" spans="2:24" s="22" customFormat="1" ht="27">
      <c r="B166" s="15">
        <f t="shared" si="2"/>
        <v>143</v>
      </c>
      <c r="C166" s="228" t="s">
        <v>2880</v>
      </c>
      <c r="D166" s="230" t="s">
        <v>42</v>
      </c>
      <c r="E166" s="266">
        <v>539635</v>
      </c>
      <c r="F166" s="273" t="s">
        <v>2917</v>
      </c>
      <c r="G166" s="268">
        <v>42095</v>
      </c>
      <c r="H166" s="228" t="s">
        <v>368</v>
      </c>
      <c r="I166" s="270">
        <v>64009</v>
      </c>
      <c r="J166" s="242">
        <v>21915</v>
      </c>
      <c r="K166" s="242">
        <v>0</v>
      </c>
      <c r="L166" s="242">
        <v>21915</v>
      </c>
      <c r="M166" s="242">
        <v>26982</v>
      </c>
      <c r="N166" s="242">
        <v>512653</v>
      </c>
      <c r="O166" s="242">
        <v>0</v>
      </c>
      <c r="P166" s="242">
        <v>539635</v>
      </c>
      <c r="Q166" s="242">
        <v>21915</v>
      </c>
      <c r="R166" s="242">
        <v>512653</v>
      </c>
      <c r="S166" s="250">
        <v>365</v>
      </c>
      <c r="T166" s="250">
        <v>8538</v>
      </c>
      <c r="U166" s="242">
        <v>59814</v>
      </c>
      <c r="V166" s="242">
        <v>479821</v>
      </c>
      <c r="W166" s="11"/>
      <c r="X166" s="34"/>
    </row>
    <row r="167" spans="2:24" s="22" customFormat="1" ht="27">
      <c r="B167" s="15">
        <f t="shared" si="2"/>
        <v>144</v>
      </c>
      <c r="C167" s="228" t="s">
        <v>2880</v>
      </c>
      <c r="D167" s="230" t="s">
        <v>42</v>
      </c>
      <c r="E167" s="266">
        <v>214264</v>
      </c>
      <c r="F167" s="273" t="s">
        <v>2918</v>
      </c>
      <c r="G167" s="268">
        <v>42095</v>
      </c>
      <c r="H167" s="228" t="s">
        <v>368</v>
      </c>
      <c r="I167" s="270">
        <v>64009</v>
      </c>
      <c r="J167" s="242">
        <v>21915</v>
      </c>
      <c r="K167" s="242">
        <v>0</v>
      </c>
      <c r="L167" s="242">
        <v>21915</v>
      </c>
      <c r="M167" s="242">
        <v>10713</v>
      </c>
      <c r="N167" s="242">
        <v>203551</v>
      </c>
      <c r="O167" s="242">
        <v>0</v>
      </c>
      <c r="P167" s="242">
        <v>214264</v>
      </c>
      <c r="Q167" s="242">
        <v>21915</v>
      </c>
      <c r="R167" s="242">
        <v>203551</v>
      </c>
      <c r="S167" s="250">
        <v>365</v>
      </c>
      <c r="T167" s="250">
        <v>3390</v>
      </c>
      <c r="U167" s="242">
        <v>23748</v>
      </c>
      <c r="V167" s="242">
        <v>190516</v>
      </c>
      <c r="W167" s="11"/>
      <c r="X167" s="34"/>
    </row>
    <row r="168" spans="2:24" s="22" customFormat="1" ht="27">
      <c r="B168" s="15">
        <f t="shared" si="2"/>
        <v>145</v>
      </c>
      <c r="C168" s="228" t="s">
        <v>2872</v>
      </c>
      <c r="D168" s="230" t="s">
        <v>42</v>
      </c>
      <c r="E168" s="266">
        <v>983938</v>
      </c>
      <c r="F168" s="273" t="s">
        <v>2923</v>
      </c>
      <c r="G168" s="268">
        <v>42095</v>
      </c>
      <c r="H168" s="228" t="s">
        <v>368</v>
      </c>
      <c r="I168" s="270">
        <v>64009</v>
      </c>
      <c r="J168" s="242">
        <v>21915</v>
      </c>
      <c r="K168" s="242">
        <v>0</v>
      </c>
      <c r="L168" s="242">
        <v>21915</v>
      </c>
      <c r="M168" s="242">
        <v>49197</v>
      </c>
      <c r="N168" s="242">
        <v>934741</v>
      </c>
      <c r="O168" s="242">
        <v>0</v>
      </c>
      <c r="P168" s="242">
        <v>983938</v>
      </c>
      <c r="Q168" s="242">
        <v>21915</v>
      </c>
      <c r="R168" s="242">
        <v>934741</v>
      </c>
      <c r="S168" s="250">
        <v>365</v>
      </c>
      <c r="T168" s="250">
        <v>15568</v>
      </c>
      <c r="U168" s="242">
        <v>109062</v>
      </c>
      <c r="V168" s="242">
        <v>874876</v>
      </c>
      <c r="W168" s="11"/>
      <c r="X168" s="34"/>
    </row>
    <row r="169" spans="2:24" s="22" customFormat="1" ht="27">
      <c r="B169" s="15">
        <f t="shared" si="2"/>
        <v>146</v>
      </c>
      <c r="C169" s="228" t="s">
        <v>2872</v>
      </c>
      <c r="D169" s="230" t="s">
        <v>42</v>
      </c>
      <c r="E169" s="266">
        <v>404505</v>
      </c>
      <c r="F169" s="273" t="s">
        <v>2915</v>
      </c>
      <c r="G169" s="268">
        <v>42095</v>
      </c>
      <c r="H169" s="228" t="s">
        <v>368</v>
      </c>
      <c r="I169" s="270">
        <v>64009</v>
      </c>
      <c r="J169" s="242">
        <v>21915</v>
      </c>
      <c r="K169" s="242">
        <v>0</v>
      </c>
      <c r="L169" s="242">
        <v>21915</v>
      </c>
      <c r="M169" s="242">
        <v>20225</v>
      </c>
      <c r="N169" s="242">
        <v>384280</v>
      </c>
      <c r="O169" s="242">
        <v>0</v>
      </c>
      <c r="P169" s="242">
        <v>404505</v>
      </c>
      <c r="Q169" s="242">
        <v>21915</v>
      </c>
      <c r="R169" s="242">
        <v>384280</v>
      </c>
      <c r="S169" s="250">
        <v>365</v>
      </c>
      <c r="T169" s="250">
        <v>6400</v>
      </c>
      <c r="U169" s="242">
        <v>44836</v>
      </c>
      <c r="V169" s="242">
        <v>359669</v>
      </c>
      <c r="W169" s="11"/>
      <c r="X169" s="34"/>
    </row>
    <row r="170" spans="2:24" s="22" customFormat="1" ht="27">
      <c r="B170" s="15">
        <f t="shared" si="2"/>
        <v>147</v>
      </c>
      <c r="C170" s="228" t="s">
        <v>2872</v>
      </c>
      <c r="D170" s="230" t="s">
        <v>42</v>
      </c>
      <c r="E170" s="266">
        <v>955502</v>
      </c>
      <c r="F170" s="273" t="s">
        <v>2916</v>
      </c>
      <c r="G170" s="268">
        <v>42095</v>
      </c>
      <c r="H170" s="228" t="s">
        <v>368</v>
      </c>
      <c r="I170" s="270">
        <v>64009</v>
      </c>
      <c r="J170" s="242">
        <v>21915</v>
      </c>
      <c r="K170" s="242">
        <v>0</v>
      </c>
      <c r="L170" s="242">
        <v>21915</v>
      </c>
      <c r="M170" s="242">
        <v>47775</v>
      </c>
      <c r="N170" s="242">
        <v>907727</v>
      </c>
      <c r="O170" s="242">
        <v>0</v>
      </c>
      <c r="P170" s="242">
        <v>955502</v>
      </c>
      <c r="Q170" s="242">
        <v>21915</v>
      </c>
      <c r="R170" s="242">
        <v>907727</v>
      </c>
      <c r="S170" s="250">
        <v>365</v>
      </c>
      <c r="T170" s="250">
        <v>15118</v>
      </c>
      <c r="U170" s="242">
        <v>105910</v>
      </c>
      <c r="V170" s="242">
        <v>849592</v>
      </c>
      <c r="W170" s="11"/>
      <c r="X170" s="34"/>
    </row>
    <row r="171" spans="2:24" s="22" customFormat="1">
      <c r="B171" s="15">
        <f t="shared" si="2"/>
        <v>148</v>
      </c>
      <c r="C171" s="228" t="s">
        <v>2873</v>
      </c>
      <c r="D171" s="230" t="s">
        <v>42</v>
      </c>
      <c r="E171" s="266">
        <v>602267</v>
      </c>
      <c r="F171" s="273" t="s">
        <v>2917</v>
      </c>
      <c r="G171" s="268">
        <v>42095</v>
      </c>
      <c r="H171" s="228" t="s">
        <v>368</v>
      </c>
      <c r="I171" s="270">
        <v>64009</v>
      </c>
      <c r="J171" s="242">
        <v>21915</v>
      </c>
      <c r="K171" s="242">
        <v>0</v>
      </c>
      <c r="L171" s="242">
        <v>21915</v>
      </c>
      <c r="M171" s="242">
        <v>30113</v>
      </c>
      <c r="N171" s="242">
        <v>572154</v>
      </c>
      <c r="O171" s="242">
        <v>0</v>
      </c>
      <c r="P171" s="242">
        <v>602267</v>
      </c>
      <c r="Q171" s="242">
        <v>21915</v>
      </c>
      <c r="R171" s="242">
        <v>572154</v>
      </c>
      <c r="S171" s="250">
        <v>365</v>
      </c>
      <c r="T171" s="250">
        <v>9529</v>
      </c>
      <c r="U171" s="242">
        <v>66755</v>
      </c>
      <c r="V171" s="242">
        <v>535512</v>
      </c>
      <c r="W171" s="11"/>
      <c r="X171" s="34"/>
    </row>
    <row r="172" spans="2:24" s="22" customFormat="1">
      <c r="B172" s="15">
        <f t="shared" si="2"/>
        <v>149</v>
      </c>
      <c r="C172" s="228" t="s">
        <v>2873</v>
      </c>
      <c r="D172" s="230" t="s">
        <v>42</v>
      </c>
      <c r="E172" s="266">
        <v>213906</v>
      </c>
      <c r="F172" s="273" t="s">
        <v>2918</v>
      </c>
      <c r="G172" s="268">
        <v>42095</v>
      </c>
      <c r="H172" s="228" t="s">
        <v>368</v>
      </c>
      <c r="I172" s="270">
        <v>64009</v>
      </c>
      <c r="J172" s="242">
        <v>21915</v>
      </c>
      <c r="K172" s="242">
        <v>0</v>
      </c>
      <c r="L172" s="242">
        <v>21915</v>
      </c>
      <c r="M172" s="242">
        <v>10695</v>
      </c>
      <c r="N172" s="242">
        <v>203211</v>
      </c>
      <c r="O172" s="242">
        <v>0</v>
      </c>
      <c r="P172" s="242">
        <v>213906</v>
      </c>
      <c r="Q172" s="242">
        <v>21915</v>
      </c>
      <c r="R172" s="242">
        <v>203211</v>
      </c>
      <c r="S172" s="250">
        <v>365</v>
      </c>
      <c r="T172" s="250">
        <v>3385</v>
      </c>
      <c r="U172" s="242">
        <v>23713</v>
      </c>
      <c r="V172" s="242">
        <v>190193</v>
      </c>
      <c r="W172" s="11"/>
      <c r="X172" s="34"/>
    </row>
    <row r="173" spans="2:24" s="22" customFormat="1" ht="27">
      <c r="B173" s="15">
        <f t="shared" si="2"/>
        <v>150</v>
      </c>
      <c r="C173" s="228" t="s">
        <v>2872</v>
      </c>
      <c r="D173" s="230" t="s">
        <v>42</v>
      </c>
      <c r="E173" s="266">
        <v>829939</v>
      </c>
      <c r="F173" s="273" t="s">
        <v>2923</v>
      </c>
      <c r="G173" s="268">
        <v>42095</v>
      </c>
      <c r="H173" s="228" t="s">
        <v>368</v>
      </c>
      <c r="I173" s="270">
        <v>64009</v>
      </c>
      <c r="J173" s="242">
        <v>21915</v>
      </c>
      <c r="K173" s="242">
        <v>0</v>
      </c>
      <c r="L173" s="242">
        <v>21915</v>
      </c>
      <c r="M173" s="242">
        <v>41497</v>
      </c>
      <c r="N173" s="242">
        <v>788442</v>
      </c>
      <c r="O173" s="242">
        <v>0</v>
      </c>
      <c r="P173" s="242">
        <v>829939</v>
      </c>
      <c r="Q173" s="242">
        <v>21915</v>
      </c>
      <c r="R173" s="242">
        <v>788442</v>
      </c>
      <c r="S173" s="250">
        <v>365</v>
      </c>
      <c r="T173" s="250">
        <v>13132</v>
      </c>
      <c r="U173" s="242">
        <v>91996</v>
      </c>
      <c r="V173" s="242">
        <v>737943</v>
      </c>
      <c r="W173" s="11"/>
      <c r="X173" s="34"/>
    </row>
    <row r="174" spans="2:24" s="22" customFormat="1" ht="27">
      <c r="B174" s="15">
        <f t="shared" si="2"/>
        <v>151</v>
      </c>
      <c r="C174" s="228" t="s">
        <v>2872</v>
      </c>
      <c r="D174" s="230" t="s">
        <v>42</v>
      </c>
      <c r="E174" s="266">
        <v>1398366</v>
      </c>
      <c r="F174" s="273" t="s">
        <v>2915</v>
      </c>
      <c r="G174" s="268">
        <v>42095</v>
      </c>
      <c r="H174" s="228" t="s">
        <v>368</v>
      </c>
      <c r="I174" s="270">
        <v>64009</v>
      </c>
      <c r="J174" s="242">
        <v>21915</v>
      </c>
      <c r="K174" s="242">
        <v>0</v>
      </c>
      <c r="L174" s="242">
        <v>21915</v>
      </c>
      <c r="M174" s="242">
        <v>69918</v>
      </c>
      <c r="N174" s="242">
        <v>1328448</v>
      </c>
      <c r="O174" s="242">
        <v>0</v>
      </c>
      <c r="P174" s="242">
        <v>1398366</v>
      </c>
      <c r="Q174" s="242">
        <v>21915</v>
      </c>
      <c r="R174" s="242">
        <v>1328448</v>
      </c>
      <c r="S174" s="250">
        <v>365</v>
      </c>
      <c r="T174" s="250">
        <v>22126</v>
      </c>
      <c r="U174" s="242">
        <v>155002</v>
      </c>
      <c r="V174" s="242">
        <v>1243364</v>
      </c>
      <c r="W174" s="11"/>
      <c r="X174" s="34"/>
    </row>
    <row r="175" spans="2:24" s="22" customFormat="1">
      <c r="B175" s="15">
        <f t="shared" si="2"/>
        <v>152</v>
      </c>
      <c r="C175" s="228" t="s">
        <v>2873</v>
      </c>
      <c r="D175" s="230" t="s">
        <v>42</v>
      </c>
      <c r="E175" s="266">
        <v>963002</v>
      </c>
      <c r="F175" s="273" t="s">
        <v>2916</v>
      </c>
      <c r="G175" s="268">
        <v>42095</v>
      </c>
      <c r="H175" s="228" t="s">
        <v>368</v>
      </c>
      <c r="I175" s="270">
        <v>64009</v>
      </c>
      <c r="J175" s="242">
        <v>21915</v>
      </c>
      <c r="K175" s="242">
        <v>0</v>
      </c>
      <c r="L175" s="242">
        <v>21915</v>
      </c>
      <c r="M175" s="242">
        <v>48150</v>
      </c>
      <c r="N175" s="242">
        <v>914852</v>
      </c>
      <c r="O175" s="242">
        <v>0</v>
      </c>
      <c r="P175" s="242">
        <v>963002</v>
      </c>
      <c r="Q175" s="242">
        <v>21915</v>
      </c>
      <c r="R175" s="242">
        <v>914852</v>
      </c>
      <c r="S175" s="250">
        <v>365</v>
      </c>
      <c r="T175" s="250">
        <v>15237</v>
      </c>
      <c r="U175" s="242">
        <v>106743</v>
      </c>
      <c r="V175" s="242">
        <v>856259</v>
      </c>
      <c r="W175" s="11"/>
      <c r="X175" s="34"/>
    </row>
    <row r="176" spans="2:24" s="22" customFormat="1">
      <c r="B176" s="15">
        <f t="shared" si="2"/>
        <v>153</v>
      </c>
      <c r="C176" s="228" t="s">
        <v>2873</v>
      </c>
      <c r="D176" s="230" t="s">
        <v>42</v>
      </c>
      <c r="E176" s="266">
        <v>213983</v>
      </c>
      <c r="F176" s="273" t="s">
        <v>2917</v>
      </c>
      <c r="G176" s="268">
        <v>42095</v>
      </c>
      <c r="H176" s="228" t="s">
        <v>368</v>
      </c>
      <c r="I176" s="270">
        <v>64009</v>
      </c>
      <c r="J176" s="242">
        <v>21915</v>
      </c>
      <c r="K176" s="242">
        <v>0</v>
      </c>
      <c r="L176" s="242">
        <v>21915</v>
      </c>
      <c r="M176" s="242">
        <v>10699</v>
      </c>
      <c r="N176" s="242">
        <v>203284</v>
      </c>
      <c r="O176" s="242">
        <v>0</v>
      </c>
      <c r="P176" s="242">
        <v>213983</v>
      </c>
      <c r="Q176" s="242">
        <v>21915</v>
      </c>
      <c r="R176" s="242">
        <v>203284</v>
      </c>
      <c r="S176" s="250">
        <v>365</v>
      </c>
      <c r="T176" s="250">
        <v>3386</v>
      </c>
      <c r="U176" s="242">
        <v>23720</v>
      </c>
      <c r="V176" s="242">
        <v>190263</v>
      </c>
      <c r="W176" s="11"/>
      <c r="X176" s="34"/>
    </row>
    <row r="177" spans="2:24" s="22" customFormat="1" ht="27">
      <c r="B177" s="15">
        <f t="shared" si="2"/>
        <v>154</v>
      </c>
      <c r="C177" s="228" t="s">
        <v>2872</v>
      </c>
      <c r="D177" s="230" t="s">
        <v>42</v>
      </c>
      <c r="E177" s="266">
        <v>611043</v>
      </c>
      <c r="F177" s="273" t="s">
        <v>2923</v>
      </c>
      <c r="G177" s="268">
        <v>42095</v>
      </c>
      <c r="H177" s="228" t="s">
        <v>368</v>
      </c>
      <c r="I177" s="270">
        <v>64009</v>
      </c>
      <c r="J177" s="242">
        <v>21915</v>
      </c>
      <c r="K177" s="242">
        <v>0</v>
      </c>
      <c r="L177" s="242">
        <v>21915</v>
      </c>
      <c r="M177" s="242">
        <v>30552</v>
      </c>
      <c r="N177" s="242">
        <v>580491</v>
      </c>
      <c r="O177" s="242">
        <v>0</v>
      </c>
      <c r="P177" s="242">
        <v>611043</v>
      </c>
      <c r="Q177" s="242">
        <v>21915</v>
      </c>
      <c r="R177" s="242">
        <v>580491</v>
      </c>
      <c r="S177" s="250">
        <v>365</v>
      </c>
      <c r="T177" s="250">
        <v>9668</v>
      </c>
      <c r="U177" s="242">
        <v>67730</v>
      </c>
      <c r="V177" s="242">
        <v>543313</v>
      </c>
      <c r="W177" s="11"/>
      <c r="X177" s="34"/>
    </row>
    <row r="178" spans="2:24" s="22" customFormat="1" ht="27">
      <c r="B178" s="15">
        <f t="shared" si="2"/>
        <v>155</v>
      </c>
      <c r="C178" s="228" t="s">
        <v>2872</v>
      </c>
      <c r="D178" s="230" t="s">
        <v>42</v>
      </c>
      <c r="E178" s="266">
        <v>752192</v>
      </c>
      <c r="F178" s="273" t="s">
        <v>2915</v>
      </c>
      <c r="G178" s="268">
        <v>42095</v>
      </c>
      <c r="H178" s="228" t="s">
        <v>368</v>
      </c>
      <c r="I178" s="270">
        <v>64009</v>
      </c>
      <c r="J178" s="242">
        <v>21915</v>
      </c>
      <c r="K178" s="242">
        <v>0</v>
      </c>
      <c r="L178" s="242">
        <v>21915</v>
      </c>
      <c r="M178" s="242">
        <v>37610</v>
      </c>
      <c r="N178" s="242">
        <v>714582</v>
      </c>
      <c r="O178" s="242">
        <v>0</v>
      </c>
      <c r="P178" s="242">
        <v>752192</v>
      </c>
      <c r="Q178" s="242">
        <v>21915</v>
      </c>
      <c r="R178" s="242">
        <v>714582</v>
      </c>
      <c r="S178" s="250">
        <v>365</v>
      </c>
      <c r="T178" s="250">
        <v>11902</v>
      </c>
      <c r="U178" s="242">
        <v>83378</v>
      </c>
      <c r="V178" s="242">
        <v>668814</v>
      </c>
      <c r="W178" s="11"/>
      <c r="X178" s="34"/>
    </row>
    <row r="179" spans="2:24" s="22" customFormat="1" ht="27">
      <c r="B179" s="15">
        <f t="shared" si="2"/>
        <v>156</v>
      </c>
      <c r="C179" s="228" t="s">
        <v>2872</v>
      </c>
      <c r="D179" s="230" t="s">
        <v>42</v>
      </c>
      <c r="E179" s="266">
        <v>684979</v>
      </c>
      <c r="F179" s="273" t="s">
        <v>2916</v>
      </c>
      <c r="G179" s="268">
        <v>42095</v>
      </c>
      <c r="H179" s="228" t="s">
        <v>368</v>
      </c>
      <c r="I179" s="270">
        <v>64009</v>
      </c>
      <c r="J179" s="242">
        <v>21915</v>
      </c>
      <c r="K179" s="242">
        <v>0</v>
      </c>
      <c r="L179" s="242">
        <v>21915</v>
      </c>
      <c r="M179" s="242">
        <v>34249</v>
      </c>
      <c r="N179" s="242">
        <v>650730</v>
      </c>
      <c r="O179" s="242">
        <v>0</v>
      </c>
      <c r="P179" s="242">
        <v>684979</v>
      </c>
      <c r="Q179" s="242">
        <v>21915</v>
      </c>
      <c r="R179" s="242">
        <v>650730</v>
      </c>
      <c r="S179" s="250">
        <v>365</v>
      </c>
      <c r="T179" s="250">
        <v>10838</v>
      </c>
      <c r="U179" s="242">
        <v>75926</v>
      </c>
      <c r="V179" s="242">
        <v>609053</v>
      </c>
      <c r="W179" s="11"/>
      <c r="X179" s="34"/>
    </row>
    <row r="180" spans="2:24" s="22" customFormat="1" ht="40.5">
      <c r="B180" s="15">
        <f t="shared" si="2"/>
        <v>157</v>
      </c>
      <c r="C180" s="228" t="s">
        <v>2872</v>
      </c>
      <c r="D180" s="230" t="s">
        <v>42</v>
      </c>
      <c r="E180" s="266">
        <v>1015749</v>
      </c>
      <c r="F180" s="273" t="s">
        <v>2937</v>
      </c>
      <c r="G180" s="268">
        <v>42095</v>
      </c>
      <c r="H180" s="228" t="s">
        <v>368</v>
      </c>
      <c r="I180" s="270">
        <v>64009</v>
      </c>
      <c r="J180" s="242">
        <v>21915</v>
      </c>
      <c r="K180" s="242">
        <v>0</v>
      </c>
      <c r="L180" s="242">
        <v>21915</v>
      </c>
      <c r="M180" s="242">
        <v>50787</v>
      </c>
      <c r="N180" s="242">
        <v>964962</v>
      </c>
      <c r="O180" s="242">
        <v>0</v>
      </c>
      <c r="P180" s="242">
        <v>1015749</v>
      </c>
      <c r="Q180" s="242">
        <v>21915</v>
      </c>
      <c r="R180" s="242">
        <v>964962</v>
      </c>
      <c r="S180" s="250">
        <v>365</v>
      </c>
      <c r="T180" s="250">
        <v>16072</v>
      </c>
      <c r="U180" s="242">
        <v>112592</v>
      </c>
      <c r="V180" s="242">
        <v>903157</v>
      </c>
      <c r="W180" s="11"/>
      <c r="X180" s="34"/>
    </row>
    <row r="181" spans="2:24" s="22" customFormat="1" ht="27">
      <c r="B181" s="15">
        <f t="shared" si="2"/>
        <v>158</v>
      </c>
      <c r="C181" s="228" t="s">
        <v>2878</v>
      </c>
      <c r="D181" s="230" t="s">
        <v>42</v>
      </c>
      <c r="E181" s="266">
        <v>578263</v>
      </c>
      <c r="F181" s="273" t="s">
        <v>2938</v>
      </c>
      <c r="G181" s="268">
        <v>42095</v>
      </c>
      <c r="H181" s="228" t="s">
        <v>368</v>
      </c>
      <c r="I181" s="270">
        <v>64009</v>
      </c>
      <c r="J181" s="242">
        <v>21915</v>
      </c>
      <c r="K181" s="242">
        <v>0</v>
      </c>
      <c r="L181" s="242">
        <v>21915</v>
      </c>
      <c r="M181" s="242">
        <v>28913</v>
      </c>
      <c r="N181" s="242">
        <v>549350</v>
      </c>
      <c r="O181" s="242">
        <v>0</v>
      </c>
      <c r="P181" s="242">
        <v>578263</v>
      </c>
      <c r="Q181" s="242">
        <v>21915</v>
      </c>
      <c r="R181" s="242">
        <v>549350</v>
      </c>
      <c r="S181" s="250">
        <v>365</v>
      </c>
      <c r="T181" s="250">
        <v>9150</v>
      </c>
      <c r="U181" s="242">
        <v>64100</v>
      </c>
      <c r="V181" s="242">
        <v>514163</v>
      </c>
      <c r="W181" s="11"/>
      <c r="X181" s="34"/>
    </row>
    <row r="182" spans="2:24" s="22" customFormat="1" ht="27">
      <c r="B182" s="15">
        <f t="shared" si="2"/>
        <v>159</v>
      </c>
      <c r="C182" s="228" t="s">
        <v>2885</v>
      </c>
      <c r="D182" s="230" t="s">
        <v>42</v>
      </c>
      <c r="E182" s="266">
        <v>225165</v>
      </c>
      <c r="F182" s="273" t="s">
        <v>2051</v>
      </c>
      <c r="G182" s="268">
        <v>42095</v>
      </c>
      <c r="H182" s="228" t="s">
        <v>368</v>
      </c>
      <c r="I182" s="270">
        <v>64009</v>
      </c>
      <c r="J182" s="242">
        <v>21915</v>
      </c>
      <c r="K182" s="242">
        <v>0</v>
      </c>
      <c r="L182" s="242">
        <v>21915</v>
      </c>
      <c r="M182" s="242">
        <v>11258</v>
      </c>
      <c r="N182" s="242">
        <v>213907</v>
      </c>
      <c r="O182" s="242">
        <v>0</v>
      </c>
      <c r="P182" s="242">
        <v>225165</v>
      </c>
      <c r="Q182" s="242">
        <v>21915</v>
      </c>
      <c r="R182" s="242">
        <v>213907</v>
      </c>
      <c r="S182" s="250">
        <v>365</v>
      </c>
      <c r="T182" s="250">
        <v>3563</v>
      </c>
      <c r="U182" s="242">
        <v>24959</v>
      </c>
      <c r="V182" s="242">
        <v>200206</v>
      </c>
      <c r="W182" s="11"/>
      <c r="X182" s="34"/>
    </row>
    <row r="183" spans="2:24" s="22" customFormat="1" ht="27">
      <c r="B183" s="15">
        <f t="shared" si="2"/>
        <v>160</v>
      </c>
      <c r="C183" s="228" t="s">
        <v>2872</v>
      </c>
      <c r="D183" s="230" t="s">
        <v>42</v>
      </c>
      <c r="E183" s="266">
        <v>1195436</v>
      </c>
      <c r="F183" s="273" t="s">
        <v>2051</v>
      </c>
      <c r="G183" s="268">
        <v>42095</v>
      </c>
      <c r="H183" s="228" t="s">
        <v>368</v>
      </c>
      <c r="I183" s="270">
        <v>64009</v>
      </c>
      <c r="J183" s="242">
        <v>21915</v>
      </c>
      <c r="K183" s="242">
        <v>0</v>
      </c>
      <c r="L183" s="242">
        <v>21915</v>
      </c>
      <c r="M183" s="242">
        <v>59772</v>
      </c>
      <c r="N183" s="242">
        <v>1135664</v>
      </c>
      <c r="O183" s="242">
        <v>0</v>
      </c>
      <c r="P183" s="242">
        <v>1195436</v>
      </c>
      <c r="Q183" s="242">
        <v>21915</v>
      </c>
      <c r="R183" s="242">
        <v>1135664</v>
      </c>
      <c r="S183" s="250">
        <v>365</v>
      </c>
      <c r="T183" s="250">
        <v>18915</v>
      </c>
      <c r="U183" s="242">
        <v>132509</v>
      </c>
      <c r="V183" s="242">
        <v>1062927</v>
      </c>
      <c r="W183" s="11"/>
      <c r="X183" s="34"/>
    </row>
    <row r="184" spans="2:24" s="22" customFormat="1" ht="27">
      <c r="B184" s="15">
        <f t="shared" si="2"/>
        <v>161</v>
      </c>
      <c r="C184" s="228" t="s">
        <v>2872</v>
      </c>
      <c r="D184" s="230" t="s">
        <v>42</v>
      </c>
      <c r="E184" s="266">
        <v>898041</v>
      </c>
      <c r="F184" s="273" t="s">
        <v>2912</v>
      </c>
      <c r="G184" s="268">
        <v>42095</v>
      </c>
      <c r="H184" s="228" t="s">
        <v>368</v>
      </c>
      <c r="I184" s="270">
        <v>64009</v>
      </c>
      <c r="J184" s="242">
        <v>21915</v>
      </c>
      <c r="K184" s="242">
        <v>0</v>
      </c>
      <c r="L184" s="242">
        <v>21915</v>
      </c>
      <c r="M184" s="242">
        <v>44902</v>
      </c>
      <c r="N184" s="242">
        <v>853139</v>
      </c>
      <c r="O184" s="242">
        <v>0</v>
      </c>
      <c r="P184" s="242">
        <v>898041</v>
      </c>
      <c r="Q184" s="242">
        <v>21915</v>
      </c>
      <c r="R184" s="242">
        <v>853139</v>
      </c>
      <c r="S184" s="250">
        <v>365</v>
      </c>
      <c r="T184" s="250">
        <v>14209</v>
      </c>
      <c r="U184" s="242">
        <v>99541</v>
      </c>
      <c r="V184" s="242">
        <v>798500</v>
      </c>
      <c r="W184" s="11"/>
      <c r="X184" s="34"/>
    </row>
    <row r="185" spans="2:24" s="22" customFormat="1" ht="27">
      <c r="B185" s="15">
        <f t="shared" si="2"/>
        <v>162</v>
      </c>
      <c r="C185" s="228" t="s">
        <v>2872</v>
      </c>
      <c r="D185" s="230" t="s">
        <v>42</v>
      </c>
      <c r="E185" s="266">
        <v>843304</v>
      </c>
      <c r="F185" s="273" t="s">
        <v>2913</v>
      </c>
      <c r="G185" s="268">
        <v>42095</v>
      </c>
      <c r="H185" s="228" t="s">
        <v>368</v>
      </c>
      <c r="I185" s="270">
        <v>64009</v>
      </c>
      <c r="J185" s="242">
        <v>21915</v>
      </c>
      <c r="K185" s="242">
        <v>0</v>
      </c>
      <c r="L185" s="242">
        <v>21915</v>
      </c>
      <c r="M185" s="242">
        <v>42165</v>
      </c>
      <c r="N185" s="242">
        <v>801139</v>
      </c>
      <c r="O185" s="242">
        <v>0</v>
      </c>
      <c r="P185" s="242">
        <v>843304</v>
      </c>
      <c r="Q185" s="242">
        <v>21915</v>
      </c>
      <c r="R185" s="242">
        <v>801139</v>
      </c>
      <c r="S185" s="250">
        <v>365</v>
      </c>
      <c r="T185" s="250">
        <v>13343</v>
      </c>
      <c r="U185" s="242">
        <v>93475</v>
      </c>
      <c r="V185" s="242">
        <v>749829</v>
      </c>
      <c r="W185" s="11"/>
      <c r="X185" s="34"/>
    </row>
    <row r="186" spans="2:24" s="22" customFormat="1" ht="27">
      <c r="B186" s="15">
        <f t="shared" si="2"/>
        <v>163</v>
      </c>
      <c r="C186" s="228" t="s">
        <v>2872</v>
      </c>
      <c r="D186" s="230" t="s">
        <v>42</v>
      </c>
      <c r="E186" s="266">
        <v>213911</v>
      </c>
      <c r="F186" s="273" t="s">
        <v>2914</v>
      </c>
      <c r="G186" s="268">
        <v>42095</v>
      </c>
      <c r="H186" s="228" t="s">
        <v>368</v>
      </c>
      <c r="I186" s="270">
        <v>64009</v>
      </c>
      <c r="J186" s="242">
        <v>21915</v>
      </c>
      <c r="K186" s="242">
        <v>0</v>
      </c>
      <c r="L186" s="242">
        <v>21915</v>
      </c>
      <c r="M186" s="242">
        <v>10696</v>
      </c>
      <c r="N186" s="242">
        <v>203215</v>
      </c>
      <c r="O186" s="242">
        <v>0</v>
      </c>
      <c r="P186" s="242">
        <v>213911</v>
      </c>
      <c r="Q186" s="242">
        <v>21915</v>
      </c>
      <c r="R186" s="242">
        <v>203215</v>
      </c>
      <c r="S186" s="250">
        <v>365</v>
      </c>
      <c r="T186" s="250">
        <v>3385</v>
      </c>
      <c r="U186" s="242">
        <v>23713</v>
      </c>
      <c r="V186" s="242">
        <v>190198</v>
      </c>
      <c r="W186" s="11"/>
      <c r="X186" s="34"/>
    </row>
    <row r="187" spans="2:24" s="22" customFormat="1" ht="27">
      <c r="B187" s="15">
        <f t="shared" si="2"/>
        <v>164</v>
      </c>
      <c r="C187" s="228" t="s">
        <v>2872</v>
      </c>
      <c r="D187" s="230" t="s">
        <v>42</v>
      </c>
      <c r="E187" s="266">
        <v>1280694</v>
      </c>
      <c r="F187" s="273" t="s">
        <v>2051</v>
      </c>
      <c r="G187" s="268">
        <v>42095</v>
      </c>
      <c r="H187" s="228" t="s">
        <v>368</v>
      </c>
      <c r="I187" s="270">
        <v>64009</v>
      </c>
      <c r="J187" s="242">
        <v>21915</v>
      </c>
      <c r="K187" s="242">
        <v>0</v>
      </c>
      <c r="L187" s="242">
        <v>21915</v>
      </c>
      <c r="M187" s="242">
        <v>64035</v>
      </c>
      <c r="N187" s="242">
        <v>1216659</v>
      </c>
      <c r="O187" s="242">
        <v>0</v>
      </c>
      <c r="P187" s="242">
        <v>1280694</v>
      </c>
      <c r="Q187" s="242">
        <v>21915</v>
      </c>
      <c r="R187" s="242">
        <v>1216659</v>
      </c>
      <c r="S187" s="250">
        <v>365</v>
      </c>
      <c r="T187" s="250">
        <v>20264</v>
      </c>
      <c r="U187" s="242">
        <v>141958</v>
      </c>
      <c r="V187" s="242">
        <v>1138736</v>
      </c>
      <c r="W187" s="11"/>
      <c r="X187" s="34"/>
    </row>
    <row r="188" spans="2:24" s="22" customFormat="1" ht="27">
      <c r="B188" s="15">
        <f t="shared" si="2"/>
        <v>165</v>
      </c>
      <c r="C188" s="228" t="s">
        <v>2872</v>
      </c>
      <c r="D188" s="230" t="s">
        <v>42</v>
      </c>
      <c r="E188" s="266">
        <v>889380</v>
      </c>
      <c r="F188" s="273" t="s">
        <v>2912</v>
      </c>
      <c r="G188" s="268">
        <v>42095</v>
      </c>
      <c r="H188" s="228" t="s">
        <v>368</v>
      </c>
      <c r="I188" s="270">
        <v>64009</v>
      </c>
      <c r="J188" s="242">
        <v>21915</v>
      </c>
      <c r="K188" s="242">
        <v>0</v>
      </c>
      <c r="L188" s="242">
        <v>21915</v>
      </c>
      <c r="M188" s="242">
        <v>44469</v>
      </c>
      <c r="N188" s="242">
        <v>844911</v>
      </c>
      <c r="O188" s="242">
        <v>0</v>
      </c>
      <c r="P188" s="242">
        <v>889380</v>
      </c>
      <c r="Q188" s="242">
        <v>21915</v>
      </c>
      <c r="R188" s="242">
        <v>844911</v>
      </c>
      <c r="S188" s="250">
        <v>365</v>
      </c>
      <c r="T188" s="250">
        <v>14072</v>
      </c>
      <c r="U188" s="242">
        <v>98582</v>
      </c>
      <c r="V188" s="242">
        <v>790798</v>
      </c>
      <c r="W188" s="11"/>
      <c r="X188" s="34"/>
    </row>
    <row r="189" spans="2:24" s="22" customFormat="1" ht="27">
      <c r="B189" s="15">
        <f t="shared" si="2"/>
        <v>166</v>
      </c>
      <c r="C189" s="228" t="s">
        <v>2872</v>
      </c>
      <c r="D189" s="230" t="s">
        <v>42</v>
      </c>
      <c r="E189" s="266">
        <v>730442</v>
      </c>
      <c r="F189" s="273" t="s">
        <v>2913</v>
      </c>
      <c r="G189" s="268">
        <v>42095</v>
      </c>
      <c r="H189" s="228" t="s">
        <v>368</v>
      </c>
      <c r="I189" s="270">
        <v>64009</v>
      </c>
      <c r="J189" s="242">
        <v>21915</v>
      </c>
      <c r="K189" s="242">
        <v>0</v>
      </c>
      <c r="L189" s="242">
        <v>21915</v>
      </c>
      <c r="M189" s="242">
        <v>36522</v>
      </c>
      <c r="N189" s="242">
        <v>693920</v>
      </c>
      <c r="O189" s="242">
        <v>0</v>
      </c>
      <c r="P189" s="242">
        <v>730442</v>
      </c>
      <c r="Q189" s="242">
        <v>21915</v>
      </c>
      <c r="R189" s="242">
        <v>693920</v>
      </c>
      <c r="S189" s="250">
        <v>365</v>
      </c>
      <c r="T189" s="250">
        <v>11557</v>
      </c>
      <c r="U189" s="242">
        <v>80963</v>
      </c>
      <c r="V189" s="242">
        <v>649479</v>
      </c>
      <c r="W189" s="11"/>
      <c r="X189" s="34"/>
    </row>
    <row r="190" spans="2:24" s="22" customFormat="1" ht="27">
      <c r="B190" s="15">
        <f t="shared" si="2"/>
        <v>167</v>
      </c>
      <c r="C190" s="228" t="s">
        <v>2872</v>
      </c>
      <c r="D190" s="230" t="s">
        <v>42</v>
      </c>
      <c r="E190" s="266">
        <v>209906</v>
      </c>
      <c r="F190" s="273" t="s">
        <v>2914</v>
      </c>
      <c r="G190" s="268">
        <v>42095</v>
      </c>
      <c r="H190" s="228" t="s">
        <v>368</v>
      </c>
      <c r="I190" s="270">
        <v>64009</v>
      </c>
      <c r="J190" s="242">
        <v>21915</v>
      </c>
      <c r="K190" s="242">
        <v>0</v>
      </c>
      <c r="L190" s="242">
        <v>21915</v>
      </c>
      <c r="M190" s="242">
        <v>10495</v>
      </c>
      <c r="N190" s="242">
        <v>199411</v>
      </c>
      <c r="O190" s="242">
        <v>0</v>
      </c>
      <c r="P190" s="242">
        <v>209906</v>
      </c>
      <c r="Q190" s="242">
        <v>21915</v>
      </c>
      <c r="R190" s="242">
        <v>199411</v>
      </c>
      <c r="S190" s="250">
        <v>365</v>
      </c>
      <c r="T190" s="250">
        <v>3321</v>
      </c>
      <c r="U190" s="242">
        <v>23265</v>
      </c>
      <c r="V190" s="242">
        <v>186641</v>
      </c>
      <c r="W190" s="11"/>
      <c r="X190" s="34"/>
    </row>
    <row r="191" spans="2:24" s="22" customFormat="1">
      <c r="B191" s="15">
        <f t="shared" si="2"/>
        <v>168</v>
      </c>
      <c r="C191" s="228" t="s">
        <v>2877</v>
      </c>
      <c r="D191" s="230" t="s">
        <v>42</v>
      </c>
      <c r="E191" s="266">
        <v>1020764</v>
      </c>
      <c r="F191" s="273" t="s">
        <v>2051</v>
      </c>
      <c r="G191" s="268">
        <v>42095</v>
      </c>
      <c r="H191" s="228" t="s">
        <v>368</v>
      </c>
      <c r="I191" s="270">
        <v>64009</v>
      </c>
      <c r="J191" s="242">
        <v>21915</v>
      </c>
      <c r="K191" s="242">
        <v>0</v>
      </c>
      <c r="L191" s="242">
        <v>21915</v>
      </c>
      <c r="M191" s="242">
        <v>51038</v>
      </c>
      <c r="N191" s="242">
        <v>969726</v>
      </c>
      <c r="O191" s="242">
        <v>0</v>
      </c>
      <c r="P191" s="242">
        <v>1020764</v>
      </c>
      <c r="Q191" s="242">
        <v>21915</v>
      </c>
      <c r="R191" s="242">
        <v>969726</v>
      </c>
      <c r="S191" s="250">
        <v>365</v>
      </c>
      <c r="T191" s="250">
        <v>16151</v>
      </c>
      <c r="U191" s="242">
        <v>113145</v>
      </c>
      <c r="V191" s="242">
        <v>907619</v>
      </c>
      <c r="W191" s="11"/>
      <c r="X191" s="34"/>
    </row>
    <row r="192" spans="2:24" s="22" customFormat="1" ht="27">
      <c r="B192" s="15">
        <f t="shared" si="2"/>
        <v>169</v>
      </c>
      <c r="C192" s="228" t="s">
        <v>2872</v>
      </c>
      <c r="D192" s="230" t="s">
        <v>42</v>
      </c>
      <c r="E192" s="266">
        <v>1626763</v>
      </c>
      <c r="F192" s="273" t="s">
        <v>2912</v>
      </c>
      <c r="G192" s="268">
        <v>42095</v>
      </c>
      <c r="H192" s="228" t="s">
        <v>368</v>
      </c>
      <c r="I192" s="270">
        <v>64009</v>
      </c>
      <c r="J192" s="242">
        <v>21915</v>
      </c>
      <c r="K192" s="242">
        <v>0</v>
      </c>
      <c r="L192" s="242">
        <v>21915</v>
      </c>
      <c r="M192" s="242">
        <v>81338</v>
      </c>
      <c r="N192" s="242">
        <v>1545425</v>
      </c>
      <c r="O192" s="242">
        <v>0</v>
      </c>
      <c r="P192" s="242">
        <v>1626763</v>
      </c>
      <c r="Q192" s="242">
        <v>21915</v>
      </c>
      <c r="R192" s="242">
        <v>1545425</v>
      </c>
      <c r="S192" s="250">
        <v>365</v>
      </c>
      <c r="T192" s="250">
        <v>25739</v>
      </c>
      <c r="U192" s="242">
        <v>180315</v>
      </c>
      <c r="V192" s="242">
        <v>1446448</v>
      </c>
      <c r="W192" s="11"/>
      <c r="X192" s="34"/>
    </row>
    <row r="193" spans="2:24" s="22" customFormat="1" ht="27">
      <c r="B193" s="15">
        <f t="shared" si="2"/>
        <v>170</v>
      </c>
      <c r="C193" s="228" t="s">
        <v>2872</v>
      </c>
      <c r="D193" s="230" t="s">
        <v>42</v>
      </c>
      <c r="E193" s="266">
        <v>214264</v>
      </c>
      <c r="F193" s="273" t="s">
        <v>2913</v>
      </c>
      <c r="G193" s="268">
        <v>42095</v>
      </c>
      <c r="H193" s="228" t="s">
        <v>368</v>
      </c>
      <c r="I193" s="270">
        <v>64009</v>
      </c>
      <c r="J193" s="242">
        <v>21915</v>
      </c>
      <c r="K193" s="242">
        <v>0</v>
      </c>
      <c r="L193" s="242">
        <v>21915</v>
      </c>
      <c r="M193" s="242">
        <v>10713</v>
      </c>
      <c r="N193" s="242">
        <v>203551</v>
      </c>
      <c r="O193" s="242">
        <v>0</v>
      </c>
      <c r="P193" s="242">
        <v>214264</v>
      </c>
      <c r="Q193" s="242">
        <v>21915</v>
      </c>
      <c r="R193" s="242">
        <v>203551</v>
      </c>
      <c r="S193" s="250">
        <v>365</v>
      </c>
      <c r="T193" s="250">
        <v>3390</v>
      </c>
      <c r="U193" s="242">
        <v>23748</v>
      </c>
      <c r="V193" s="242">
        <v>190516</v>
      </c>
      <c r="W193" s="11"/>
      <c r="X193" s="34"/>
    </row>
    <row r="194" spans="2:24" s="22" customFormat="1" ht="27">
      <c r="B194" s="15">
        <f t="shared" si="2"/>
        <v>171</v>
      </c>
      <c r="C194" s="228" t="s">
        <v>2886</v>
      </c>
      <c r="D194" s="230" t="s">
        <v>42</v>
      </c>
      <c r="E194" s="266">
        <v>678717</v>
      </c>
      <c r="F194" s="273"/>
      <c r="G194" s="268">
        <v>42095</v>
      </c>
      <c r="H194" s="228" t="s">
        <v>368</v>
      </c>
      <c r="I194" s="270">
        <v>64009</v>
      </c>
      <c r="J194" s="242">
        <v>21915</v>
      </c>
      <c r="K194" s="242">
        <v>0</v>
      </c>
      <c r="L194" s="242">
        <v>21915</v>
      </c>
      <c r="M194" s="242">
        <v>33936</v>
      </c>
      <c r="N194" s="242">
        <v>644781</v>
      </c>
      <c r="O194" s="242">
        <v>0</v>
      </c>
      <c r="P194" s="242">
        <v>678717</v>
      </c>
      <c r="Q194" s="242">
        <v>21915</v>
      </c>
      <c r="R194" s="242">
        <v>644781</v>
      </c>
      <c r="S194" s="250">
        <v>365</v>
      </c>
      <c r="T194" s="250">
        <v>10739</v>
      </c>
      <c r="U194" s="242">
        <v>75231</v>
      </c>
      <c r="V194" s="242">
        <v>603486</v>
      </c>
      <c r="W194" s="11"/>
      <c r="X194" s="34"/>
    </row>
    <row r="195" spans="2:24" s="22" customFormat="1" ht="27">
      <c r="B195" s="15">
        <f t="shared" si="2"/>
        <v>172</v>
      </c>
      <c r="C195" s="228" t="s">
        <v>2879</v>
      </c>
      <c r="D195" s="230" t="s">
        <v>42</v>
      </c>
      <c r="E195" s="266">
        <v>544164</v>
      </c>
      <c r="F195" s="273" t="s">
        <v>2051</v>
      </c>
      <c r="G195" s="268">
        <v>42095</v>
      </c>
      <c r="H195" s="228" t="s">
        <v>368</v>
      </c>
      <c r="I195" s="270">
        <v>64009</v>
      </c>
      <c r="J195" s="242">
        <v>21915</v>
      </c>
      <c r="K195" s="242">
        <v>0</v>
      </c>
      <c r="L195" s="242">
        <v>21915</v>
      </c>
      <c r="M195" s="242">
        <v>27208</v>
      </c>
      <c r="N195" s="242">
        <v>516956</v>
      </c>
      <c r="O195" s="242">
        <v>0</v>
      </c>
      <c r="P195" s="242">
        <v>544164</v>
      </c>
      <c r="Q195" s="242">
        <v>21915</v>
      </c>
      <c r="R195" s="242">
        <v>516956</v>
      </c>
      <c r="S195" s="250">
        <v>365</v>
      </c>
      <c r="T195" s="250">
        <v>8610</v>
      </c>
      <c r="U195" s="242">
        <v>60318</v>
      </c>
      <c r="V195" s="242">
        <v>483846</v>
      </c>
      <c r="W195" s="11"/>
      <c r="X195" s="34"/>
    </row>
    <row r="196" spans="2:24" s="22" customFormat="1" ht="27">
      <c r="B196" s="15">
        <f t="shared" si="2"/>
        <v>173</v>
      </c>
      <c r="C196" s="228" t="s">
        <v>2880</v>
      </c>
      <c r="D196" s="230" t="s">
        <v>42</v>
      </c>
      <c r="E196" s="266">
        <v>255785</v>
      </c>
      <c r="F196" s="273" t="s">
        <v>2912</v>
      </c>
      <c r="G196" s="268">
        <v>42095</v>
      </c>
      <c r="H196" s="228" t="s">
        <v>368</v>
      </c>
      <c r="I196" s="270">
        <v>64009</v>
      </c>
      <c r="J196" s="242">
        <v>21915</v>
      </c>
      <c r="K196" s="242">
        <v>0</v>
      </c>
      <c r="L196" s="242">
        <v>21915</v>
      </c>
      <c r="M196" s="242">
        <v>12789</v>
      </c>
      <c r="N196" s="242">
        <v>242996</v>
      </c>
      <c r="O196" s="242">
        <v>0</v>
      </c>
      <c r="P196" s="242">
        <v>255785</v>
      </c>
      <c r="Q196" s="242">
        <v>21915</v>
      </c>
      <c r="R196" s="242">
        <v>242996</v>
      </c>
      <c r="S196" s="250">
        <v>365</v>
      </c>
      <c r="T196" s="250">
        <v>4047</v>
      </c>
      <c r="U196" s="242">
        <v>28351</v>
      </c>
      <c r="V196" s="242">
        <v>227434</v>
      </c>
      <c r="W196" s="11"/>
      <c r="X196" s="34"/>
    </row>
    <row r="197" spans="2:24" s="22" customFormat="1">
      <c r="B197" s="15">
        <f t="shared" si="2"/>
        <v>174</v>
      </c>
      <c r="C197" s="228" t="s">
        <v>2878</v>
      </c>
      <c r="D197" s="230" t="s">
        <v>42</v>
      </c>
      <c r="E197" s="266">
        <v>572349</v>
      </c>
      <c r="F197" s="273" t="s">
        <v>2913</v>
      </c>
      <c r="G197" s="268">
        <v>42095</v>
      </c>
      <c r="H197" s="228" t="s">
        <v>368</v>
      </c>
      <c r="I197" s="270">
        <v>64009</v>
      </c>
      <c r="J197" s="242">
        <v>21915</v>
      </c>
      <c r="K197" s="242">
        <v>0</v>
      </c>
      <c r="L197" s="242">
        <v>21915</v>
      </c>
      <c r="M197" s="242">
        <v>28617</v>
      </c>
      <c r="N197" s="242">
        <v>543732</v>
      </c>
      <c r="O197" s="242">
        <v>0</v>
      </c>
      <c r="P197" s="242">
        <v>572349</v>
      </c>
      <c r="Q197" s="242">
        <v>21915</v>
      </c>
      <c r="R197" s="242">
        <v>543732</v>
      </c>
      <c r="S197" s="250">
        <v>365</v>
      </c>
      <c r="T197" s="250">
        <v>9056</v>
      </c>
      <c r="U197" s="242">
        <v>63442</v>
      </c>
      <c r="V197" s="242">
        <v>508907</v>
      </c>
      <c r="W197" s="11"/>
      <c r="X197" s="34"/>
    </row>
    <row r="198" spans="2:24" s="22" customFormat="1">
      <c r="B198" s="15">
        <f t="shared" si="2"/>
        <v>175</v>
      </c>
      <c r="C198" s="228" t="s">
        <v>2878</v>
      </c>
      <c r="D198" s="230" t="s">
        <v>42</v>
      </c>
      <c r="E198" s="266">
        <v>492698</v>
      </c>
      <c r="F198" s="273" t="s">
        <v>2921</v>
      </c>
      <c r="G198" s="268">
        <v>42095</v>
      </c>
      <c r="H198" s="228" t="s">
        <v>368</v>
      </c>
      <c r="I198" s="270">
        <v>64009</v>
      </c>
      <c r="J198" s="242">
        <v>21915</v>
      </c>
      <c r="K198" s="242">
        <v>0</v>
      </c>
      <c r="L198" s="242">
        <v>21915</v>
      </c>
      <c r="M198" s="242">
        <v>24635</v>
      </c>
      <c r="N198" s="242">
        <v>468063</v>
      </c>
      <c r="O198" s="242">
        <v>0</v>
      </c>
      <c r="P198" s="242">
        <v>492698</v>
      </c>
      <c r="Q198" s="242">
        <v>21915</v>
      </c>
      <c r="R198" s="242">
        <v>468063</v>
      </c>
      <c r="S198" s="250">
        <v>365</v>
      </c>
      <c r="T198" s="250">
        <v>7796</v>
      </c>
      <c r="U198" s="242">
        <v>54614</v>
      </c>
      <c r="V198" s="242">
        <v>438084</v>
      </c>
      <c r="W198" s="11"/>
      <c r="X198" s="34"/>
    </row>
    <row r="199" spans="2:24" s="22" customFormat="1">
      <c r="B199" s="15">
        <f t="shared" si="2"/>
        <v>176</v>
      </c>
      <c r="C199" s="228" t="s">
        <v>2878</v>
      </c>
      <c r="D199" s="230" t="s">
        <v>42</v>
      </c>
      <c r="E199" s="266">
        <v>1060222</v>
      </c>
      <c r="F199" s="273" t="s">
        <v>2914</v>
      </c>
      <c r="G199" s="268">
        <v>42095</v>
      </c>
      <c r="H199" s="228" t="s">
        <v>368</v>
      </c>
      <c r="I199" s="270">
        <v>64009</v>
      </c>
      <c r="J199" s="242">
        <v>21915</v>
      </c>
      <c r="K199" s="242">
        <v>0</v>
      </c>
      <c r="L199" s="242">
        <v>21915</v>
      </c>
      <c r="M199" s="242">
        <v>53011</v>
      </c>
      <c r="N199" s="242">
        <v>1007211</v>
      </c>
      <c r="O199" s="242">
        <v>0</v>
      </c>
      <c r="P199" s="242">
        <v>1060222</v>
      </c>
      <c r="Q199" s="242">
        <v>21915</v>
      </c>
      <c r="R199" s="242">
        <v>1007211</v>
      </c>
      <c r="S199" s="250">
        <v>365</v>
      </c>
      <c r="T199" s="250">
        <v>16775</v>
      </c>
      <c r="U199" s="242">
        <v>117517</v>
      </c>
      <c r="V199" s="242">
        <v>942705</v>
      </c>
      <c r="W199" s="11"/>
      <c r="X199" s="34"/>
    </row>
    <row r="200" spans="2:24" s="22" customFormat="1">
      <c r="B200" s="15">
        <f t="shared" si="2"/>
        <v>177</v>
      </c>
      <c r="C200" s="228" t="s">
        <v>2878</v>
      </c>
      <c r="D200" s="230" t="s">
        <v>42</v>
      </c>
      <c r="E200" s="266">
        <v>213913</v>
      </c>
      <c r="F200" s="273" t="s">
        <v>2922</v>
      </c>
      <c r="G200" s="268">
        <v>42095</v>
      </c>
      <c r="H200" s="228" t="s">
        <v>368</v>
      </c>
      <c r="I200" s="270">
        <v>64009</v>
      </c>
      <c r="J200" s="242">
        <v>21915</v>
      </c>
      <c r="K200" s="242">
        <v>0</v>
      </c>
      <c r="L200" s="242">
        <v>21915</v>
      </c>
      <c r="M200" s="242">
        <v>10696</v>
      </c>
      <c r="N200" s="242">
        <v>203217</v>
      </c>
      <c r="O200" s="242">
        <v>0</v>
      </c>
      <c r="P200" s="242">
        <v>213913</v>
      </c>
      <c r="Q200" s="242">
        <v>21915</v>
      </c>
      <c r="R200" s="242">
        <v>203217</v>
      </c>
      <c r="S200" s="250">
        <v>365</v>
      </c>
      <c r="T200" s="250">
        <v>3385</v>
      </c>
      <c r="U200" s="242">
        <v>23713</v>
      </c>
      <c r="V200" s="242">
        <v>190200</v>
      </c>
      <c r="W200" s="11"/>
      <c r="X200" s="34"/>
    </row>
    <row r="201" spans="2:24" s="22" customFormat="1" ht="27">
      <c r="B201" s="15">
        <f t="shared" si="2"/>
        <v>178</v>
      </c>
      <c r="C201" s="228" t="s">
        <v>2882</v>
      </c>
      <c r="D201" s="230" t="s">
        <v>42</v>
      </c>
      <c r="E201" s="266">
        <f>291374-13763</f>
        <v>277611</v>
      </c>
      <c r="F201" s="273"/>
      <c r="G201" s="268">
        <v>42095</v>
      </c>
      <c r="H201" s="228" t="s">
        <v>368</v>
      </c>
      <c r="I201" s="270">
        <v>64009</v>
      </c>
      <c r="J201" s="242">
        <v>21915</v>
      </c>
      <c r="K201" s="242">
        <v>0</v>
      </c>
      <c r="L201" s="242">
        <v>21915</v>
      </c>
      <c r="M201" s="242">
        <v>13881</v>
      </c>
      <c r="N201" s="242">
        <v>263730</v>
      </c>
      <c r="O201" s="242">
        <v>0</v>
      </c>
      <c r="P201" s="242">
        <v>277611</v>
      </c>
      <c r="Q201" s="242">
        <v>21915</v>
      </c>
      <c r="R201" s="242">
        <v>263730</v>
      </c>
      <c r="S201" s="250">
        <v>365</v>
      </c>
      <c r="T201" s="250">
        <v>4392</v>
      </c>
      <c r="U201" s="242">
        <v>30770</v>
      </c>
      <c r="V201" s="242">
        <v>246841</v>
      </c>
      <c r="W201" s="11"/>
      <c r="X201" s="34"/>
    </row>
    <row r="202" spans="2:24" s="22" customFormat="1" ht="27">
      <c r="B202" s="15">
        <f t="shared" si="2"/>
        <v>179</v>
      </c>
      <c r="C202" s="228" t="s">
        <v>2879</v>
      </c>
      <c r="D202" s="230" t="s">
        <v>42</v>
      </c>
      <c r="E202" s="266">
        <v>661193</v>
      </c>
      <c r="F202" s="273" t="s">
        <v>2051</v>
      </c>
      <c r="G202" s="268">
        <v>42095</v>
      </c>
      <c r="H202" s="228" t="s">
        <v>368</v>
      </c>
      <c r="I202" s="270">
        <v>64009</v>
      </c>
      <c r="J202" s="242">
        <v>21915</v>
      </c>
      <c r="K202" s="242">
        <v>0</v>
      </c>
      <c r="L202" s="242">
        <v>21915</v>
      </c>
      <c r="M202" s="242">
        <v>33060</v>
      </c>
      <c r="N202" s="242">
        <v>628133</v>
      </c>
      <c r="O202" s="242">
        <v>0</v>
      </c>
      <c r="P202" s="242">
        <v>661193</v>
      </c>
      <c r="Q202" s="242">
        <v>21915</v>
      </c>
      <c r="R202" s="242">
        <v>628133</v>
      </c>
      <c r="S202" s="250">
        <v>365</v>
      </c>
      <c r="T202" s="250">
        <v>10462</v>
      </c>
      <c r="U202" s="242">
        <v>73290</v>
      </c>
      <c r="V202" s="242">
        <v>587903</v>
      </c>
      <c r="W202" s="11"/>
      <c r="X202" s="34"/>
    </row>
    <row r="203" spans="2:24" s="22" customFormat="1" ht="27">
      <c r="B203" s="15">
        <f t="shared" si="2"/>
        <v>180</v>
      </c>
      <c r="C203" s="228" t="s">
        <v>2880</v>
      </c>
      <c r="D203" s="230" t="s">
        <v>42</v>
      </c>
      <c r="E203" s="266">
        <v>745789</v>
      </c>
      <c r="F203" s="273" t="s">
        <v>2912</v>
      </c>
      <c r="G203" s="268">
        <v>42095</v>
      </c>
      <c r="H203" s="228" t="s">
        <v>368</v>
      </c>
      <c r="I203" s="270">
        <v>64009</v>
      </c>
      <c r="J203" s="242">
        <v>21915</v>
      </c>
      <c r="K203" s="242">
        <v>0</v>
      </c>
      <c r="L203" s="242">
        <v>21915</v>
      </c>
      <c r="M203" s="242">
        <v>37289</v>
      </c>
      <c r="N203" s="242">
        <v>708500</v>
      </c>
      <c r="O203" s="242">
        <v>0</v>
      </c>
      <c r="P203" s="242">
        <v>745789</v>
      </c>
      <c r="Q203" s="242">
        <v>21915</v>
      </c>
      <c r="R203" s="242">
        <v>708500</v>
      </c>
      <c r="S203" s="250">
        <v>365</v>
      </c>
      <c r="T203" s="250">
        <v>11800</v>
      </c>
      <c r="U203" s="242">
        <v>82666</v>
      </c>
      <c r="V203" s="242">
        <v>663123</v>
      </c>
      <c r="W203" s="11"/>
      <c r="X203" s="34"/>
    </row>
    <row r="204" spans="2:24" s="22" customFormat="1" ht="27">
      <c r="B204" s="15">
        <f t="shared" si="2"/>
        <v>181</v>
      </c>
      <c r="C204" s="228" t="s">
        <v>2880</v>
      </c>
      <c r="D204" s="230" t="s">
        <v>42</v>
      </c>
      <c r="E204" s="266">
        <v>56209</v>
      </c>
      <c r="F204" s="273" t="s">
        <v>2913</v>
      </c>
      <c r="G204" s="268">
        <v>42095</v>
      </c>
      <c r="H204" s="228" t="s">
        <v>368</v>
      </c>
      <c r="I204" s="270">
        <v>64009</v>
      </c>
      <c r="J204" s="242">
        <v>21915</v>
      </c>
      <c r="K204" s="242">
        <v>0</v>
      </c>
      <c r="L204" s="242">
        <v>21915</v>
      </c>
      <c r="M204" s="242">
        <v>2810</v>
      </c>
      <c r="N204" s="242">
        <v>53399</v>
      </c>
      <c r="O204" s="242">
        <v>0</v>
      </c>
      <c r="P204" s="242">
        <v>56209</v>
      </c>
      <c r="Q204" s="242">
        <v>21915</v>
      </c>
      <c r="R204" s="242">
        <v>53399</v>
      </c>
      <c r="S204" s="250">
        <v>365</v>
      </c>
      <c r="T204" s="250">
        <v>889</v>
      </c>
      <c r="U204" s="242">
        <v>6229</v>
      </c>
      <c r="V204" s="242">
        <v>49980</v>
      </c>
      <c r="W204" s="11"/>
      <c r="X204" s="34"/>
    </row>
    <row r="205" spans="2:24" s="22" customFormat="1" ht="27">
      <c r="B205" s="15">
        <f t="shared" si="2"/>
        <v>182</v>
      </c>
      <c r="C205" s="228" t="s">
        <v>2879</v>
      </c>
      <c r="D205" s="230" t="s">
        <v>42</v>
      </c>
      <c r="E205" s="266">
        <v>15483</v>
      </c>
      <c r="F205" s="273" t="s">
        <v>2939</v>
      </c>
      <c r="G205" s="268">
        <v>42095</v>
      </c>
      <c r="H205" s="228" t="s">
        <v>368</v>
      </c>
      <c r="I205" s="270">
        <v>64009</v>
      </c>
      <c r="J205" s="242">
        <v>21915</v>
      </c>
      <c r="K205" s="242">
        <v>0</v>
      </c>
      <c r="L205" s="242">
        <v>21915</v>
      </c>
      <c r="M205" s="242">
        <v>774</v>
      </c>
      <c r="N205" s="242">
        <v>14709</v>
      </c>
      <c r="O205" s="242">
        <v>0</v>
      </c>
      <c r="P205" s="242">
        <v>15483</v>
      </c>
      <c r="Q205" s="242">
        <v>21915</v>
      </c>
      <c r="R205" s="242">
        <v>14709</v>
      </c>
      <c r="S205" s="250">
        <v>365</v>
      </c>
      <c r="T205" s="250">
        <v>245</v>
      </c>
      <c r="U205" s="242">
        <v>1717</v>
      </c>
      <c r="V205" s="242">
        <v>13766</v>
      </c>
      <c r="W205" s="11"/>
      <c r="X205" s="34"/>
    </row>
    <row r="206" spans="2:24" s="22" customFormat="1" ht="27">
      <c r="B206" s="15">
        <f t="shared" si="2"/>
        <v>183</v>
      </c>
      <c r="C206" s="228" t="s">
        <v>2879</v>
      </c>
      <c r="D206" s="230" t="s">
        <v>42</v>
      </c>
      <c r="E206" s="266">
        <v>1599487</v>
      </c>
      <c r="F206" s="273" t="s">
        <v>2051</v>
      </c>
      <c r="G206" s="268">
        <v>42095</v>
      </c>
      <c r="H206" s="228" t="s">
        <v>368</v>
      </c>
      <c r="I206" s="270">
        <v>64009</v>
      </c>
      <c r="J206" s="242">
        <v>21915</v>
      </c>
      <c r="K206" s="242">
        <v>0</v>
      </c>
      <c r="L206" s="242">
        <v>21915</v>
      </c>
      <c r="M206" s="242">
        <v>79974</v>
      </c>
      <c r="N206" s="242">
        <v>1519513</v>
      </c>
      <c r="O206" s="242">
        <v>0</v>
      </c>
      <c r="P206" s="242">
        <v>1599487</v>
      </c>
      <c r="Q206" s="242">
        <v>21915</v>
      </c>
      <c r="R206" s="242">
        <v>1519513</v>
      </c>
      <c r="S206" s="250">
        <v>365</v>
      </c>
      <c r="T206" s="250">
        <v>25308</v>
      </c>
      <c r="U206" s="242">
        <v>177294</v>
      </c>
      <c r="V206" s="242">
        <v>1422193</v>
      </c>
      <c r="W206" s="11"/>
      <c r="X206" s="34"/>
    </row>
    <row r="207" spans="2:24" s="22" customFormat="1" ht="27">
      <c r="B207" s="15">
        <f t="shared" si="2"/>
        <v>184</v>
      </c>
      <c r="C207" s="228" t="s">
        <v>2879</v>
      </c>
      <c r="D207" s="230" t="s">
        <v>42</v>
      </c>
      <c r="E207" s="266">
        <v>668648</v>
      </c>
      <c r="F207" s="273" t="s">
        <v>2912</v>
      </c>
      <c r="G207" s="268">
        <v>42095</v>
      </c>
      <c r="H207" s="228" t="s">
        <v>368</v>
      </c>
      <c r="I207" s="270">
        <v>64009</v>
      </c>
      <c r="J207" s="242">
        <v>21915</v>
      </c>
      <c r="K207" s="242">
        <v>0</v>
      </c>
      <c r="L207" s="242">
        <v>21915</v>
      </c>
      <c r="M207" s="242">
        <v>33432</v>
      </c>
      <c r="N207" s="242">
        <v>635216</v>
      </c>
      <c r="O207" s="242">
        <v>0</v>
      </c>
      <c r="P207" s="242">
        <v>668648</v>
      </c>
      <c r="Q207" s="242">
        <v>21915</v>
      </c>
      <c r="R207" s="242">
        <v>635216</v>
      </c>
      <c r="S207" s="250">
        <v>365</v>
      </c>
      <c r="T207" s="250">
        <v>10580</v>
      </c>
      <c r="U207" s="242">
        <v>74118</v>
      </c>
      <c r="V207" s="242">
        <v>594530</v>
      </c>
      <c r="W207" s="11"/>
      <c r="X207" s="34"/>
    </row>
    <row r="208" spans="2:24" s="22" customFormat="1" ht="27">
      <c r="B208" s="15">
        <f t="shared" si="2"/>
        <v>185</v>
      </c>
      <c r="C208" s="228" t="s">
        <v>2879</v>
      </c>
      <c r="D208" s="230" t="s">
        <v>42</v>
      </c>
      <c r="E208" s="266">
        <v>214264</v>
      </c>
      <c r="F208" s="273" t="s">
        <v>2913</v>
      </c>
      <c r="G208" s="268">
        <v>42095</v>
      </c>
      <c r="H208" s="228" t="s">
        <v>368</v>
      </c>
      <c r="I208" s="270">
        <v>64009</v>
      </c>
      <c r="J208" s="242">
        <v>21915</v>
      </c>
      <c r="K208" s="242">
        <v>0</v>
      </c>
      <c r="L208" s="242">
        <v>21915</v>
      </c>
      <c r="M208" s="242">
        <v>10713</v>
      </c>
      <c r="N208" s="242">
        <v>203551</v>
      </c>
      <c r="O208" s="242">
        <v>0</v>
      </c>
      <c r="P208" s="242">
        <v>214264</v>
      </c>
      <c r="Q208" s="242">
        <v>21915</v>
      </c>
      <c r="R208" s="242">
        <v>203551</v>
      </c>
      <c r="S208" s="250">
        <v>365</v>
      </c>
      <c r="T208" s="250">
        <v>3390</v>
      </c>
      <c r="U208" s="242">
        <v>23748</v>
      </c>
      <c r="V208" s="242">
        <v>190516</v>
      </c>
      <c r="W208" s="11"/>
      <c r="X208" s="34"/>
    </row>
    <row r="209" spans="2:24" s="22" customFormat="1" ht="27">
      <c r="B209" s="15">
        <f t="shared" si="2"/>
        <v>186</v>
      </c>
      <c r="C209" s="228" t="s">
        <v>2880</v>
      </c>
      <c r="D209" s="230" t="s">
        <v>42</v>
      </c>
      <c r="E209" s="266">
        <v>482140</v>
      </c>
      <c r="F209" s="273" t="s">
        <v>2939</v>
      </c>
      <c r="G209" s="268">
        <v>42095</v>
      </c>
      <c r="H209" s="228" t="s">
        <v>368</v>
      </c>
      <c r="I209" s="270">
        <v>64009</v>
      </c>
      <c r="J209" s="242">
        <v>21915</v>
      </c>
      <c r="K209" s="242">
        <v>0</v>
      </c>
      <c r="L209" s="242">
        <v>21915</v>
      </c>
      <c r="M209" s="242">
        <v>24107</v>
      </c>
      <c r="N209" s="242">
        <v>458033</v>
      </c>
      <c r="O209" s="242">
        <v>0</v>
      </c>
      <c r="P209" s="242">
        <v>482140</v>
      </c>
      <c r="Q209" s="242">
        <v>21915</v>
      </c>
      <c r="R209" s="242">
        <v>458033</v>
      </c>
      <c r="S209" s="250">
        <v>365</v>
      </c>
      <c r="T209" s="250">
        <v>7629</v>
      </c>
      <c r="U209" s="242">
        <v>53445</v>
      </c>
      <c r="V209" s="242">
        <v>428695</v>
      </c>
      <c r="W209" s="11"/>
      <c r="X209" s="34"/>
    </row>
    <row r="210" spans="2:24" s="22" customFormat="1" ht="27">
      <c r="B210" s="15">
        <f t="shared" si="2"/>
        <v>187</v>
      </c>
      <c r="C210" s="228" t="s">
        <v>2879</v>
      </c>
      <c r="D210" s="230" t="s">
        <v>42</v>
      </c>
      <c r="E210" s="266">
        <v>1464383</v>
      </c>
      <c r="F210" s="273" t="s">
        <v>2051</v>
      </c>
      <c r="G210" s="268">
        <v>42095</v>
      </c>
      <c r="H210" s="228" t="s">
        <v>368</v>
      </c>
      <c r="I210" s="270">
        <v>64009</v>
      </c>
      <c r="J210" s="242">
        <v>21915</v>
      </c>
      <c r="K210" s="242">
        <v>0</v>
      </c>
      <c r="L210" s="242">
        <v>21915</v>
      </c>
      <c r="M210" s="242">
        <v>73219</v>
      </c>
      <c r="N210" s="242">
        <v>1391164</v>
      </c>
      <c r="O210" s="242">
        <v>0</v>
      </c>
      <c r="P210" s="242">
        <v>1464383</v>
      </c>
      <c r="Q210" s="242">
        <v>21915</v>
      </c>
      <c r="R210" s="242">
        <v>1391164</v>
      </c>
      <c r="S210" s="250">
        <v>365</v>
      </c>
      <c r="T210" s="250">
        <v>23170</v>
      </c>
      <c r="U210" s="242">
        <v>162318</v>
      </c>
      <c r="V210" s="242">
        <v>1302065</v>
      </c>
      <c r="W210" s="11"/>
      <c r="X210" s="34"/>
    </row>
    <row r="211" spans="2:24" s="22" customFormat="1" ht="27">
      <c r="B211" s="15">
        <f t="shared" si="2"/>
        <v>188</v>
      </c>
      <c r="C211" s="228" t="s">
        <v>2879</v>
      </c>
      <c r="D211" s="230" t="s">
        <v>42</v>
      </c>
      <c r="E211" s="266">
        <v>1033943</v>
      </c>
      <c r="F211" s="273" t="s">
        <v>2912</v>
      </c>
      <c r="G211" s="268">
        <v>42095</v>
      </c>
      <c r="H211" s="228" t="s">
        <v>368</v>
      </c>
      <c r="I211" s="270">
        <v>64009</v>
      </c>
      <c r="J211" s="242">
        <v>21915</v>
      </c>
      <c r="K211" s="242">
        <v>0</v>
      </c>
      <c r="L211" s="242">
        <v>21915</v>
      </c>
      <c r="M211" s="242">
        <v>51697</v>
      </c>
      <c r="N211" s="242">
        <v>982246</v>
      </c>
      <c r="O211" s="242">
        <v>0</v>
      </c>
      <c r="P211" s="242">
        <v>1033943</v>
      </c>
      <c r="Q211" s="242">
        <v>21915</v>
      </c>
      <c r="R211" s="242">
        <v>982246</v>
      </c>
      <c r="S211" s="250">
        <v>365</v>
      </c>
      <c r="T211" s="250">
        <v>16360</v>
      </c>
      <c r="U211" s="242">
        <v>114608</v>
      </c>
      <c r="V211" s="242">
        <v>919335</v>
      </c>
      <c r="W211" s="11"/>
      <c r="X211" s="34"/>
    </row>
    <row r="212" spans="2:24" s="22" customFormat="1" ht="27">
      <c r="B212" s="15">
        <f t="shared" si="2"/>
        <v>189</v>
      </c>
      <c r="C212" s="228" t="s">
        <v>2879</v>
      </c>
      <c r="D212" s="230" t="s">
        <v>42</v>
      </c>
      <c r="E212" s="266">
        <v>214264</v>
      </c>
      <c r="F212" s="273" t="s">
        <v>2913</v>
      </c>
      <c r="G212" s="268">
        <v>42095</v>
      </c>
      <c r="H212" s="228" t="s">
        <v>368</v>
      </c>
      <c r="I212" s="270">
        <v>64009</v>
      </c>
      <c r="J212" s="242">
        <v>21915</v>
      </c>
      <c r="K212" s="242">
        <v>0</v>
      </c>
      <c r="L212" s="242">
        <v>21915</v>
      </c>
      <c r="M212" s="242">
        <v>10713</v>
      </c>
      <c r="N212" s="242">
        <v>203551</v>
      </c>
      <c r="O212" s="242">
        <v>0</v>
      </c>
      <c r="P212" s="242">
        <v>214264</v>
      </c>
      <c r="Q212" s="242">
        <v>21915</v>
      </c>
      <c r="R212" s="242">
        <v>203551</v>
      </c>
      <c r="S212" s="250">
        <v>365</v>
      </c>
      <c r="T212" s="250">
        <v>3390</v>
      </c>
      <c r="U212" s="242">
        <v>23748</v>
      </c>
      <c r="V212" s="242">
        <v>190516</v>
      </c>
      <c r="W212" s="11"/>
      <c r="X212" s="34"/>
    </row>
    <row r="213" spans="2:24" s="22" customFormat="1" ht="27">
      <c r="B213" s="15">
        <f t="shared" si="2"/>
        <v>190</v>
      </c>
      <c r="C213" s="228" t="s">
        <v>2887</v>
      </c>
      <c r="D213" s="230" t="s">
        <v>42</v>
      </c>
      <c r="E213" s="266">
        <v>836961</v>
      </c>
      <c r="F213" s="273"/>
      <c r="G213" s="268">
        <v>42095</v>
      </c>
      <c r="H213" s="228" t="s">
        <v>368</v>
      </c>
      <c r="I213" s="270">
        <v>64009</v>
      </c>
      <c r="J213" s="242">
        <v>21915</v>
      </c>
      <c r="K213" s="242">
        <v>0</v>
      </c>
      <c r="L213" s="242">
        <v>21915</v>
      </c>
      <c r="M213" s="242">
        <v>41848</v>
      </c>
      <c r="N213" s="242">
        <v>795113</v>
      </c>
      <c r="O213" s="242">
        <v>0</v>
      </c>
      <c r="P213" s="242">
        <v>836961</v>
      </c>
      <c r="Q213" s="242">
        <v>21915</v>
      </c>
      <c r="R213" s="242">
        <v>795113</v>
      </c>
      <c r="S213" s="250">
        <v>365</v>
      </c>
      <c r="T213" s="250">
        <v>13243</v>
      </c>
      <c r="U213" s="242">
        <v>92773</v>
      </c>
      <c r="V213" s="242">
        <v>744188</v>
      </c>
      <c r="W213" s="11"/>
      <c r="X213" s="34"/>
    </row>
    <row r="214" spans="2:24" s="22" customFormat="1" ht="27">
      <c r="B214" s="15">
        <f t="shared" si="2"/>
        <v>191</v>
      </c>
      <c r="C214" s="228" t="s">
        <v>2879</v>
      </c>
      <c r="D214" s="230" t="s">
        <v>42</v>
      </c>
      <c r="E214" s="266">
        <v>1029019</v>
      </c>
      <c r="F214" s="273" t="s">
        <v>2051</v>
      </c>
      <c r="G214" s="268">
        <v>42095</v>
      </c>
      <c r="H214" s="228" t="s">
        <v>368</v>
      </c>
      <c r="I214" s="270">
        <v>64009</v>
      </c>
      <c r="J214" s="242">
        <v>21915</v>
      </c>
      <c r="K214" s="242">
        <v>0</v>
      </c>
      <c r="L214" s="242">
        <v>21915</v>
      </c>
      <c r="M214" s="242">
        <v>51451</v>
      </c>
      <c r="N214" s="242">
        <v>977568</v>
      </c>
      <c r="O214" s="242">
        <v>0</v>
      </c>
      <c r="P214" s="242">
        <v>1029019</v>
      </c>
      <c r="Q214" s="242">
        <v>21915</v>
      </c>
      <c r="R214" s="242">
        <v>977568</v>
      </c>
      <c r="S214" s="250">
        <v>365</v>
      </c>
      <c r="T214" s="250">
        <v>16282</v>
      </c>
      <c r="U214" s="242">
        <v>114062</v>
      </c>
      <c r="V214" s="242">
        <v>914957</v>
      </c>
      <c r="W214" s="11"/>
      <c r="X214" s="34"/>
    </row>
    <row r="215" spans="2:24" s="22" customFormat="1" ht="27">
      <c r="B215" s="15">
        <f t="shared" si="2"/>
        <v>192</v>
      </c>
      <c r="C215" s="228" t="s">
        <v>2879</v>
      </c>
      <c r="D215" s="230" t="s">
        <v>42</v>
      </c>
      <c r="E215" s="266">
        <v>842280</v>
      </c>
      <c r="F215" s="273" t="s">
        <v>2912</v>
      </c>
      <c r="G215" s="268">
        <v>42095</v>
      </c>
      <c r="H215" s="228" t="s">
        <v>368</v>
      </c>
      <c r="I215" s="270">
        <v>64009</v>
      </c>
      <c r="J215" s="242">
        <v>21915</v>
      </c>
      <c r="K215" s="242">
        <v>0</v>
      </c>
      <c r="L215" s="242">
        <v>21915</v>
      </c>
      <c r="M215" s="242">
        <v>42114</v>
      </c>
      <c r="N215" s="242">
        <v>800166</v>
      </c>
      <c r="O215" s="242">
        <v>0</v>
      </c>
      <c r="P215" s="242">
        <v>842280</v>
      </c>
      <c r="Q215" s="242">
        <v>21915</v>
      </c>
      <c r="R215" s="242">
        <v>800166</v>
      </c>
      <c r="S215" s="250">
        <v>365</v>
      </c>
      <c r="T215" s="250">
        <v>13327</v>
      </c>
      <c r="U215" s="242">
        <v>93361</v>
      </c>
      <c r="V215" s="242">
        <v>748919</v>
      </c>
      <c r="W215" s="11"/>
      <c r="X215" s="34"/>
    </row>
    <row r="216" spans="2:24" s="22" customFormat="1">
      <c r="B216" s="15">
        <f t="shared" si="2"/>
        <v>193</v>
      </c>
      <c r="C216" s="228" t="s">
        <v>2878</v>
      </c>
      <c r="D216" s="230" t="s">
        <v>42</v>
      </c>
      <c r="E216" s="266">
        <v>447844</v>
      </c>
      <c r="F216" s="273" t="s">
        <v>2913</v>
      </c>
      <c r="G216" s="268">
        <v>42095</v>
      </c>
      <c r="H216" s="228" t="s">
        <v>368</v>
      </c>
      <c r="I216" s="270">
        <v>64009</v>
      </c>
      <c r="J216" s="242">
        <v>21915</v>
      </c>
      <c r="K216" s="242">
        <v>0</v>
      </c>
      <c r="L216" s="242">
        <v>21915</v>
      </c>
      <c r="M216" s="242">
        <v>22392</v>
      </c>
      <c r="N216" s="242">
        <v>425452</v>
      </c>
      <c r="O216" s="242">
        <v>0</v>
      </c>
      <c r="P216" s="242">
        <v>447844</v>
      </c>
      <c r="Q216" s="242">
        <v>21915</v>
      </c>
      <c r="R216" s="242">
        <v>425452</v>
      </c>
      <c r="S216" s="250">
        <v>365</v>
      </c>
      <c r="T216" s="250">
        <v>7086</v>
      </c>
      <c r="U216" s="242">
        <v>49640</v>
      </c>
      <c r="V216" s="242">
        <v>398204</v>
      </c>
      <c r="W216" s="11"/>
      <c r="X216" s="34"/>
    </row>
    <row r="217" spans="2:24" s="22" customFormat="1">
      <c r="B217" s="15">
        <f t="shared" si="2"/>
        <v>194</v>
      </c>
      <c r="C217" s="228" t="s">
        <v>2878</v>
      </c>
      <c r="D217" s="230" t="s">
        <v>42</v>
      </c>
      <c r="E217" s="266">
        <v>662007</v>
      </c>
      <c r="F217" s="273" t="s">
        <v>2914</v>
      </c>
      <c r="G217" s="268">
        <v>42095</v>
      </c>
      <c r="H217" s="228" t="s">
        <v>368</v>
      </c>
      <c r="I217" s="270">
        <v>64009</v>
      </c>
      <c r="J217" s="242">
        <v>21915</v>
      </c>
      <c r="K217" s="242">
        <v>0</v>
      </c>
      <c r="L217" s="242">
        <v>21915</v>
      </c>
      <c r="M217" s="242">
        <v>33100</v>
      </c>
      <c r="N217" s="242">
        <v>628907</v>
      </c>
      <c r="O217" s="242">
        <v>0</v>
      </c>
      <c r="P217" s="242">
        <v>662007</v>
      </c>
      <c r="Q217" s="242">
        <v>21915</v>
      </c>
      <c r="R217" s="242">
        <v>628907</v>
      </c>
      <c r="S217" s="250">
        <v>365</v>
      </c>
      <c r="T217" s="250">
        <v>10475</v>
      </c>
      <c r="U217" s="242">
        <v>73381</v>
      </c>
      <c r="V217" s="242">
        <v>588626</v>
      </c>
      <c r="W217" s="11"/>
      <c r="X217" s="34"/>
    </row>
    <row r="218" spans="2:24" s="22" customFormat="1" ht="27">
      <c r="B218" s="15">
        <f t="shared" ref="B218:B281" si="3">+B217+1</f>
        <v>195</v>
      </c>
      <c r="C218" s="228" t="s">
        <v>2879</v>
      </c>
      <c r="D218" s="230" t="s">
        <v>42</v>
      </c>
      <c r="E218" s="266">
        <v>214206</v>
      </c>
      <c r="F218" s="273" t="s">
        <v>2921</v>
      </c>
      <c r="G218" s="268">
        <v>42095</v>
      </c>
      <c r="H218" s="228" t="s">
        <v>368</v>
      </c>
      <c r="I218" s="270">
        <v>64009</v>
      </c>
      <c r="J218" s="242">
        <v>21915</v>
      </c>
      <c r="K218" s="242">
        <v>0</v>
      </c>
      <c r="L218" s="242">
        <v>21915</v>
      </c>
      <c r="M218" s="242">
        <v>10710</v>
      </c>
      <c r="N218" s="242">
        <v>203496</v>
      </c>
      <c r="O218" s="242">
        <v>0</v>
      </c>
      <c r="P218" s="242">
        <v>214206</v>
      </c>
      <c r="Q218" s="242">
        <v>21915</v>
      </c>
      <c r="R218" s="242">
        <v>203496</v>
      </c>
      <c r="S218" s="250">
        <v>365</v>
      </c>
      <c r="T218" s="250">
        <v>3389</v>
      </c>
      <c r="U218" s="242">
        <v>23743</v>
      </c>
      <c r="V218" s="242">
        <v>190463</v>
      </c>
      <c r="W218" s="11"/>
      <c r="X218" s="34"/>
    </row>
    <row r="219" spans="2:24" s="22" customFormat="1" ht="27">
      <c r="B219" s="15">
        <f t="shared" si="3"/>
        <v>196</v>
      </c>
      <c r="C219" s="228" t="s">
        <v>2880</v>
      </c>
      <c r="D219" s="230" t="s">
        <v>42</v>
      </c>
      <c r="E219" s="266">
        <v>1453153</v>
      </c>
      <c r="F219" s="273" t="s">
        <v>2051</v>
      </c>
      <c r="G219" s="268">
        <v>42095</v>
      </c>
      <c r="H219" s="228" t="s">
        <v>368</v>
      </c>
      <c r="I219" s="270">
        <v>64009</v>
      </c>
      <c r="J219" s="242">
        <v>21915</v>
      </c>
      <c r="K219" s="242">
        <v>0</v>
      </c>
      <c r="L219" s="242">
        <v>21915</v>
      </c>
      <c r="M219" s="242">
        <v>72658</v>
      </c>
      <c r="N219" s="242">
        <v>1380495</v>
      </c>
      <c r="O219" s="242">
        <v>0</v>
      </c>
      <c r="P219" s="242">
        <v>1453153</v>
      </c>
      <c r="Q219" s="242">
        <v>21915</v>
      </c>
      <c r="R219" s="242">
        <v>1380495</v>
      </c>
      <c r="S219" s="250">
        <v>365</v>
      </c>
      <c r="T219" s="250">
        <v>22993</v>
      </c>
      <c r="U219" s="242">
        <v>161075</v>
      </c>
      <c r="V219" s="242">
        <v>1292078</v>
      </c>
      <c r="W219" s="11"/>
      <c r="X219" s="34"/>
    </row>
    <row r="220" spans="2:24" s="22" customFormat="1" ht="27">
      <c r="B220" s="15">
        <f t="shared" si="3"/>
        <v>197</v>
      </c>
      <c r="C220" s="228" t="s">
        <v>2880</v>
      </c>
      <c r="D220" s="230" t="s">
        <v>42</v>
      </c>
      <c r="E220" s="266">
        <v>613226</v>
      </c>
      <c r="F220" s="273" t="s">
        <v>2912</v>
      </c>
      <c r="G220" s="268">
        <v>42095</v>
      </c>
      <c r="H220" s="228" t="s">
        <v>368</v>
      </c>
      <c r="I220" s="270">
        <v>64009</v>
      </c>
      <c r="J220" s="242">
        <v>21915</v>
      </c>
      <c r="K220" s="242">
        <v>0</v>
      </c>
      <c r="L220" s="242">
        <v>21915</v>
      </c>
      <c r="M220" s="242">
        <v>30661</v>
      </c>
      <c r="N220" s="242">
        <v>582565</v>
      </c>
      <c r="O220" s="242">
        <v>0</v>
      </c>
      <c r="P220" s="242">
        <v>613226</v>
      </c>
      <c r="Q220" s="242">
        <v>21915</v>
      </c>
      <c r="R220" s="242">
        <v>582565</v>
      </c>
      <c r="S220" s="250">
        <v>365</v>
      </c>
      <c r="T220" s="250">
        <v>9703</v>
      </c>
      <c r="U220" s="242">
        <v>67973</v>
      </c>
      <c r="V220" s="242">
        <v>545253</v>
      </c>
      <c r="W220" s="11"/>
      <c r="X220" s="34"/>
    </row>
    <row r="221" spans="2:24" s="22" customFormat="1" ht="27">
      <c r="B221" s="15">
        <f t="shared" si="3"/>
        <v>198</v>
      </c>
      <c r="C221" s="228" t="s">
        <v>2880</v>
      </c>
      <c r="D221" s="230" t="s">
        <v>42</v>
      </c>
      <c r="E221" s="266">
        <v>568820</v>
      </c>
      <c r="F221" s="273" t="s">
        <v>2913</v>
      </c>
      <c r="G221" s="268">
        <v>42095</v>
      </c>
      <c r="H221" s="228" t="s">
        <v>368</v>
      </c>
      <c r="I221" s="270">
        <v>64009</v>
      </c>
      <c r="J221" s="242">
        <v>21915</v>
      </c>
      <c r="K221" s="242">
        <v>0</v>
      </c>
      <c r="L221" s="242">
        <v>21915</v>
      </c>
      <c r="M221" s="242">
        <v>28441</v>
      </c>
      <c r="N221" s="242">
        <v>540379</v>
      </c>
      <c r="O221" s="242">
        <v>0</v>
      </c>
      <c r="P221" s="242">
        <v>568820</v>
      </c>
      <c r="Q221" s="242">
        <v>21915</v>
      </c>
      <c r="R221" s="242">
        <v>540379</v>
      </c>
      <c r="S221" s="250">
        <v>365</v>
      </c>
      <c r="T221" s="250">
        <v>9000</v>
      </c>
      <c r="U221" s="242">
        <v>63050</v>
      </c>
      <c r="V221" s="242">
        <v>505770</v>
      </c>
      <c r="W221" s="11"/>
      <c r="X221" s="34"/>
    </row>
    <row r="222" spans="2:24" s="22" customFormat="1" ht="27">
      <c r="B222" s="15">
        <f t="shared" si="3"/>
        <v>199</v>
      </c>
      <c r="C222" s="228" t="s">
        <v>2880</v>
      </c>
      <c r="D222" s="230" t="s">
        <v>42</v>
      </c>
      <c r="E222" s="266">
        <v>214264</v>
      </c>
      <c r="F222" s="273" t="s">
        <v>2914</v>
      </c>
      <c r="G222" s="268">
        <v>42095</v>
      </c>
      <c r="H222" s="228" t="s">
        <v>368</v>
      </c>
      <c r="I222" s="270">
        <v>64009</v>
      </c>
      <c r="J222" s="242">
        <v>21915</v>
      </c>
      <c r="K222" s="242">
        <v>0</v>
      </c>
      <c r="L222" s="242">
        <v>21915</v>
      </c>
      <c r="M222" s="242">
        <v>10713</v>
      </c>
      <c r="N222" s="242">
        <v>203551</v>
      </c>
      <c r="O222" s="242">
        <v>0</v>
      </c>
      <c r="P222" s="242">
        <v>214264</v>
      </c>
      <c r="Q222" s="242">
        <v>21915</v>
      </c>
      <c r="R222" s="242">
        <v>203551</v>
      </c>
      <c r="S222" s="250">
        <v>365</v>
      </c>
      <c r="T222" s="250">
        <v>3390</v>
      </c>
      <c r="U222" s="242">
        <v>23748</v>
      </c>
      <c r="V222" s="242">
        <v>190516</v>
      </c>
      <c r="W222" s="11"/>
      <c r="X222" s="34"/>
    </row>
    <row r="223" spans="2:24" s="22" customFormat="1" ht="27">
      <c r="B223" s="15">
        <f t="shared" si="3"/>
        <v>200</v>
      </c>
      <c r="C223" s="228" t="s">
        <v>2880</v>
      </c>
      <c r="D223" s="230" t="s">
        <v>42</v>
      </c>
      <c r="E223" s="266">
        <v>324446</v>
      </c>
      <c r="F223" s="273" t="s">
        <v>2921</v>
      </c>
      <c r="G223" s="268">
        <v>42095</v>
      </c>
      <c r="H223" s="228" t="s">
        <v>368</v>
      </c>
      <c r="I223" s="270">
        <v>64009</v>
      </c>
      <c r="J223" s="242">
        <v>21915</v>
      </c>
      <c r="K223" s="242">
        <v>0</v>
      </c>
      <c r="L223" s="242">
        <v>21915</v>
      </c>
      <c r="M223" s="242">
        <v>16222</v>
      </c>
      <c r="N223" s="242">
        <v>308224</v>
      </c>
      <c r="O223" s="242">
        <v>0</v>
      </c>
      <c r="P223" s="242">
        <v>324446</v>
      </c>
      <c r="Q223" s="242">
        <v>21915</v>
      </c>
      <c r="R223" s="242">
        <v>308224</v>
      </c>
      <c r="S223" s="250">
        <v>365</v>
      </c>
      <c r="T223" s="250">
        <v>5134</v>
      </c>
      <c r="U223" s="242">
        <v>35966</v>
      </c>
      <c r="V223" s="242">
        <v>288480</v>
      </c>
      <c r="W223" s="11"/>
      <c r="X223" s="34"/>
    </row>
    <row r="224" spans="2:24" s="22" customFormat="1" ht="27">
      <c r="B224" s="15">
        <f t="shared" si="3"/>
        <v>201</v>
      </c>
      <c r="C224" s="228" t="s">
        <v>2880</v>
      </c>
      <c r="D224" s="230" t="s">
        <v>42</v>
      </c>
      <c r="E224" s="266">
        <v>1132166</v>
      </c>
      <c r="F224" s="273" t="s">
        <v>2051</v>
      </c>
      <c r="G224" s="268">
        <v>42095</v>
      </c>
      <c r="H224" s="228" t="s">
        <v>368</v>
      </c>
      <c r="I224" s="270">
        <v>64009</v>
      </c>
      <c r="J224" s="242">
        <v>21915</v>
      </c>
      <c r="K224" s="242">
        <v>0</v>
      </c>
      <c r="L224" s="242">
        <v>21915</v>
      </c>
      <c r="M224" s="242">
        <v>56608</v>
      </c>
      <c r="N224" s="242">
        <v>1075558</v>
      </c>
      <c r="O224" s="242">
        <v>0</v>
      </c>
      <c r="P224" s="242">
        <v>1132166</v>
      </c>
      <c r="Q224" s="242">
        <v>21915</v>
      </c>
      <c r="R224" s="242">
        <v>1075558</v>
      </c>
      <c r="S224" s="250">
        <v>365</v>
      </c>
      <c r="T224" s="250">
        <v>17914</v>
      </c>
      <c r="U224" s="242">
        <v>125496</v>
      </c>
      <c r="V224" s="242">
        <v>1006670</v>
      </c>
      <c r="W224" s="11"/>
      <c r="X224" s="34"/>
    </row>
    <row r="225" spans="2:24" s="22" customFormat="1" ht="27">
      <c r="B225" s="15">
        <f t="shared" si="3"/>
        <v>202</v>
      </c>
      <c r="C225" s="228" t="s">
        <v>2879</v>
      </c>
      <c r="D225" s="230" t="s">
        <v>42</v>
      </c>
      <c r="E225" s="266">
        <v>1917895</v>
      </c>
      <c r="F225" s="273" t="s">
        <v>2912</v>
      </c>
      <c r="G225" s="268">
        <v>42095</v>
      </c>
      <c r="H225" s="228" t="s">
        <v>368</v>
      </c>
      <c r="I225" s="270">
        <v>64009</v>
      </c>
      <c r="J225" s="242">
        <v>21915</v>
      </c>
      <c r="K225" s="242">
        <v>0</v>
      </c>
      <c r="L225" s="242">
        <v>21915</v>
      </c>
      <c r="M225" s="242">
        <v>95895</v>
      </c>
      <c r="N225" s="242">
        <v>1822000</v>
      </c>
      <c r="O225" s="242">
        <v>0</v>
      </c>
      <c r="P225" s="242">
        <v>1917895</v>
      </c>
      <c r="Q225" s="242">
        <v>21915</v>
      </c>
      <c r="R225" s="242">
        <v>1822000</v>
      </c>
      <c r="S225" s="250">
        <v>365</v>
      </c>
      <c r="T225" s="250">
        <v>30346</v>
      </c>
      <c r="U225" s="242">
        <v>212588</v>
      </c>
      <c r="V225" s="242">
        <v>1705307</v>
      </c>
      <c r="W225" s="11"/>
      <c r="X225" s="34"/>
    </row>
    <row r="226" spans="2:24" s="22" customFormat="1" ht="27">
      <c r="B226" s="15">
        <f t="shared" si="3"/>
        <v>203</v>
      </c>
      <c r="C226" s="228" t="s">
        <v>2879</v>
      </c>
      <c r="D226" s="230" t="s">
        <v>42</v>
      </c>
      <c r="E226" s="266">
        <v>213906</v>
      </c>
      <c r="F226" s="273" t="s">
        <v>2913</v>
      </c>
      <c r="G226" s="268">
        <v>42095</v>
      </c>
      <c r="H226" s="228" t="s">
        <v>368</v>
      </c>
      <c r="I226" s="270">
        <v>64009</v>
      </c>
      <c r="J226" s="242">
        <v>21915</v>
      </c>
      <c r="K226" s="242">
        <v>0</v>
      </c>
      <c r="L226" s="242">
        <v>21915</v>
      </c>
      <c r="M226" s="242">
        <v>10695</v>
      </c>
      <c r="N226" s="242">
        <v>203211</v>
      </c>
      <c r="O226" s="242">
        <v>0</v>
      </c>
      <c r="P226" s="242">
        <v>213906</v>
      </c>
      <c r="Q226" s="242">
        <v>21915</v>
      </c>
      <c r="R226" s="242">
        <v>203211</v>
      </c>
      <c r="S226" s="250">
        <v>365</v>
      </c>
      <c r="T226" s="250">
        <v>3385</v>
      </c>
      <c r="U226" s="242">
        <v>23713</v>
      </c>
      <c r="V226" s="242">
        <v>190193</v>
      </c>
      <c r="W226" s="11"/>
      <c r="X226" s="34"/>
    </row>
    <row r="227" spans="2:24" s="22" customFormat="1" ht="27">
      <c r="B227" s="15">
        <f t="shared" si="3"/>
        <v>204</v>
      </c>
      <c r="C227" s="228" t="s">
        <v>2888</v>
      </c>
      <c r="D227" s="230" t="s">
        <v>42</v>
      </c>
      <c r="E227" s="266">
        <v>30437</v>
      </c>
      <c r="F227" s="273" t="s">
        <v>2051</v>
      </c>
      <c r="G227" s="268">
        <v>42095</v>
      </c>
      <c r="H227" s="228" t="s">
        <v>368</v>
      </c>
      <c r="I227" s="270">
        <v>64009</v>
      </c>
      <c r="J227" s="242">
        <v>21915</v>
      </c>
      <c r="K227" s="242">
        <v>0</v>
      </c>
      <c r="L227" s="242">
        <v>21915</v>
      </c>
      <c r="M227" s="242">
        <v>1522</v>
      </c>
      <c r="N227" s="242">
        <v>28915</v>
      </c>
      <c r="O227" s="242">
        <v>0</v>
      </c>
      <c r="P227" s="242">
        <v>30437</v>
      </c>
      <c r="Q227" s="242">
        <v>21915</v>
      </c>
      <c r="R227" s="242">
        <v>28915</v>
      </c>
      <c r="S227" s="250">
        <v>365</v>
      </c>
      <c r="T227" s="250">
        <v>482</v>
      </c>
      <c r="U227" s="242">
        <v>3376</v>
      </c>
      <c r="V227" s="242">
        <v>27061</v>
      </c>
      <c r="W227" s="11"/>
      <c r="X227" s="34"/>
    </row>
    <row r="228" spans="2:24" s="22" customFormat="1" ht="27">
      <c r="B228" s="15">
        <f t="shared" si="3"/>
        <v>205</v>
      </c>
      <c r="C228" s="228" t="s">
        <v>2880</v>
      </c>
      <c r="D228" s="230" t="s">
        <v>42</v>
      </c>
      <c r="E228" s="266">
        <v>2675786</v>
      </c>
      <c r="F228" s="273" t="s">
        <v>2051</v>
      </c>
      <c r="G228" s="268">
        <v>42095</v>
      </c>
      <c r="H228" s="228" t="s">
        <v>368</v>
      </c>
      <c r="I228" s="270">
        <v>64009</v>
      </c>
      <c r="J228" s="242">
        <v>21915</v>
      </c>
      <c r="K228" s="242">
        <v>0</v>
      </c>
      <c r="L228" s="242">
        <v>21915</v>
      </c>
      <c r="M228" s="242">
        <v>133789</v>
      </c>
      <c r="N228" s="242">
        <v>2541997</v>
      </c>
      <c r="O228" s="242">
        <v>0</v>
      </c>
      <c r="P228" s="242">
        <v>2675786</v>
      </c>
      <c r="Q228" s="242">
        <v>21915</v>
      </c>
      <c r="R228" s="242">
        <v>2541997</v>
      </c>
      <c r="S228" s="250">
        <v>365</v>
      </c>
      <c r="T228" s="250">
        <v>42338</v>
      </c>
      <c r="U228" s="242">
        <v>296598</v>
      </c>
      <c r="V228" s="242">
        <v>2379188</v>
      </c>
      <c r="W228" s="11"/>
      <c r="X228" s="34"/>
    </row>
    <row r="229" spans="2:24" s="22" customFormat="1">
      <c r="B229" s="15">
        <f t="shared" si="3"/>
        <v>206</v>
      </c>
      <c r="C229" s="228" t="s">
        <v>2878</v>
      </c>
      <c r="D229" s="230" t="s">
        <v>42</v>
      </c>
      <c r="E229" s="266">
        <v>541096</v>
      </c>
      <c r="F229" s="273" t="s">
        <v>2912</v>
      </c>
      <c r="G229" s="268">
        <v>42095</v>
      </c>
      <c r="H229" s="228" t="s">
        <v>368</v>
      </c>
      <c r="I229" s="270">
        <v>64009</v>
      </c>
      <c r="J229" s="242">
        <v>21915</v>
      </c>
      <c r="K229" s="242">
        <v>0</v>
      </c>
      <c r="L229" s="242">
        <v>21915</v>
      </c>
      <c r="M229" s="242">
        <v>27055</v>
      </c>
      <c r="N229" s="242">
        <v>514041</v>
      </c>
      <c r="O229" s="242">
        <v>0</v>
      </c>
      <c r="P229" s="242">
        <v>541096</v>
      </c>
      <c r="Q229" s="242">
        <v>21915</v>
      </c>
      <c r="R229" s="242">
        <v>514041</v>
      </c>
      <c r="S229" s="250">
        <v>365</v>
      </c>
      <c r="T229" s="250">
        <v>8561</v>
      </c>
      <c r="U229" s="242">
        <v>59975</v>
      </c>
      <c r="V229" s="242">
        <v>481121</v>
      </c>
      <c r="W229" s="11"/>
      <c r="X229" s="34"/>
    </row>
    <row r="230" spans="2:24" s="22" customFormat="1">
      <c r="B230" s="15">
        <f t="shared" si="3"/>
        <v>207</v>
      </c>
      <c r="C230" s="228" t="s">
        <v>2878</v>
      </c>
      <c r="D230" s="230" t="s">
        <v>42</v>
      </c>
      <c r="E230" s="266">
        <v>214264</v>
      </c>
      <c r="F230" s="273" t="s">
        <v>2913</v>
      </c>
      <c r="G230" s="268">
        <v>42095</v>
      </c>
      <c r="H230" s="228" t="s">
        <v>368</v>
      </c>
      <c r="I230" s="270">
        <v>64009</v>
      </c>
      <c r="J230" s="242">
        <v>21915</v>
      </c>
      <c r="K230" s="242">
        <v>0</v>
      </c>
      <c r="L230" s="242">
        <v>21915</v>
      </c>
      <c r="M230" s="242">
        <v>10713</v>
      </c>
      <c r="N230" s="242">
        <v>203551</v>
      </c>
      <c r="O230" s="242">
        <v>0</v>
      </c>
      <c r="P230" s="242">
        <v>214264</v>
      </c>
      <c r="Q230" s="242">
        <v>21915</v>
      </c>
      <c r="R230" s="242">
        <v>203551</v>
      </c>
      <c r="S230" s="250">
        <v>365</v>
      </c>
      <c r="T230" s="250">
        <v>3390</v>
      </c>
      <c r="U230" s="242">
        <v>23748</v>
      </c>
      <c r="V230" s="242">
        <v>190516</v>
      </c>
      <c r="W230" s="11"/>
      <c r="X230" s="34"/>
    </row>
    <row r="231" spans="2:24" s="22" customFormat="1" ht="27">
      <c r="B231" s="15">
        <f t="shared" si="3"/>
        <v>208</v>
      </c>
      <c r="C231" s="228" t="s">
        <v>2880</v>
      </c>
      <c r="D231" s="230" t="s">
        <v>42</v>
      </c>
      <c r="E231" s="266">
        <v>1654508</v>
      </c>
      <c r="F231" s="273" t="s">
        <v>2051</v>
      </c>
      <c r="G231" s="268">
        <v>42095</v>
      </c>
      <c r="H231" s="228" t="s">
        <v>368</v>
      </c>
      <c r="I231" s="270">
        <v>64009</v>
      </c>
      <c r="J231" s="242">
        <v>21915</v>
      </c>
      <c r="K231" s="242">
        <v>0</v>
      </c>
      <c r="L231" s="242">
        <v>21915</v>
      </c>
      <c r="M231" s="242">
        <v>82725</v>
      </c>
      <c r="N231" s="242">
        <v>1571783</v>
      </c>
      <c r="O231" s="242">
        <v>0</v>
      </c>
      <c r="P231" s="242">
        <v>1654508</v>
      </c>
      <c r="Q231" s="242">
        <v>21915</v>
      </c>
      <c r="R231" s="242">
        <v>1571783</v>
      </c>
      <c r="S231" s="250">
        <v>365</v>
      </c>
      <c r="T231" s="250">
        <v>26178</v>
      </c>
      <c r="U231" s="242">
        <v>183390</v>
      </c>
      <c r="V231" s="242">
        <v>1471118</v>
      </c>
      <c r="W231" s="11"/>
      <c r="X231" s="34"/>
    </row>
    <row r="232" spans="2:24" s="22" customFormat="1">
      <c r="B232" s="15">
        <f t="shared" si="3"/>
        <v>209</v>
      </c>
      <c r="C232" s="228" t="s">
        <v>2878</v>
      </c>
      <c r="D232" s="230" t="s">
        <v>42</v>
      </c>
      <c r="E232" s="266">
        <v>752941</v>
      </c>
      <c r="F232" s="273" t="s">
        <v>2912</v>
      </c>
      <c r="G232" s="268">
        <v>42095</v>
      </c>
      <c r="H232" s="228" t="s">
        <v>368</v>
      </c>
      <c r="I232" s="270">
        <v>64009</v>
      </c>
      <c r="J232" s="242">
        <v>21915</v>
      </c>
      <c r="K232" s="242">
        <v>0</v>
      </c>
      <c r="L232" s="242">
        <v>21915</v>
      </c>
      <c r="M232" s="242">
        <v>37647</v>
      </c>
      <c r="N232" s="242">
        <v>715294</v>
      </c>
      <c r="O232" s="242">
        <v>0</v>
      </c>
      <c r="P232" s="242">
        <v>752941</v>
      </c>
      <c r="Q232" s="242">
        <v>21915</v>
      </c>
      <c r="R232" s="242">
        <v>715294</v>
      </c>
      <c r="S232" s="250">
        <v>365</v>
      </c>
      <c r="T232" s="250">
        <v>11913</v>
      </c>
      <c r="U232" s="242">
        <v>83457</v>
      </c>
      <c r="V232" s="242">
        <v>669484</v>
      </c>
      <c r="W232" s="11"/>
      <c r="X232" s="34"/>
    </row>
    <row r="233" spans="2:24" s="22" customFormat="1" ht="27">
      <c r="B233" s="15">
        <f t="shared" si="3"/>
        <v>210</v>
      </c>
      <c r="C233" s="228" t="s">
        <v>2880</v>
      </c>
      <c r="D233" s="230" t="s">
        <v>42</v>
      </c>
      <c r="E233" s="266">
        <v>413843</v>
      </c>
      <c r="F233" s="273" t="s">
        <v>2913</v>
      </c>
      <c r="G233" s="268">
        <v>42095</v>
      </c>
      <c r="H233" s="228" t="s">
        <v>368</v>
      </c>
      <c r="I233" s="270">
        <v>64009</v>
      </c>
      <c r="J233" s="242">
        <v>21915</v>
      </c>
      <c r="K233" s="242">
        <v>0</v>
      </c>
      <c r="L233" s="242">
        <v>21915</v>
      </c>
      <c r="M233" s="242">
        <v>20692</v>
      </c>
      <c r="N233" s="242">
        <v>393151</v>
      </c>
      <c r="O233" s="242">
        <v>0</v>
      </c>
      <c r="P233" s="242">
        <v>413843</v>
      </c>
      <c r="Q233" s="242">
        <v>21915</v>
      </c>
      <c r="R233" s="242">
        <v>393151</v>
      </c>
      <c r="S233" s="250">
        <v>365</v>
      </c>
      <c r="T233" s="250">
        <v>6548</v>
      </c>
      <c r="U233" s="242">
        <v>45872</v>
      </c>
      <c r="V233" s="242">
        <v>367971</v>
      </c>
      <c r="W233" s="11"/>
      <c r="X233" s="34"/>
    </row>
    <row r="234" spans="2:24" s="22" customFormat="1" ht="27">
      <c r="B234" s="15">
        <f t="shared" si="3"/>
        <v>211</v>
      </c>
      <c r="C234" s="228" t="s">
        <v>2880</v>
      </c>
      <c r="D234" s="230" t="s">
        <v>42</v>
      </c>
      <c r="E234" s="266">
        <v>213911</v>
      </c>
      <c r="F234" s="273" t="s">
        <v>2914</v>
      </c>
      <c r="G234" s="268">
        <v>42095</v>
      </c>
      <c r="H234" s="228" t="s">
        <v>368</v>
      </c>
      <c r="I234" s="270">
        <v>64009</v>
      </c>
      <c r="J234" s="242">
        <v>21915</v>
      </c>
      <c r="K234" s="242">
        <v>0</v>
      </c>
      <c r="L234" s="242">
        <v>21915</v>
      </c>
      <c r="M234" s="242">
        <v>10696</v>
      </c>
      <c r="N234" s="242">
        <v>203215</v>
      </c>
      <c r="O234" s="242">
        <v>0</v>
      </c>
      <c r="P234" s="242">
        <v>213911</v>
      </c>
      <c r="Q234" s="242">
        <v>21915</v>
      </c>
      <c r="R234" s="242">
        <v>203215</v>
      </c>
      <c r="S234" s="250">
        <v>365</v>
      </c>
      <c r="T234" s="250">
        <v>3385</v>
      </c>
      <c r="U234" s="242">
        <v>23713</v>
      </c>
      <c r="V234" s="242">
        <v>190198</v>
      </c>
      <c r="W234" s="11"/>
      <c r="X234" s="34"/>
    </row>
    <row r="235" spans="2:24" s="22" customFormat="1" ht="27">
      <c r="B235" s="15">
        <f t="shared" si="3"/>
        <v>212</v>
      </c>
      <c r="C235" s="228" t="s">
        <v>2880</v>
      </c>
      <c r="D235" s="230" t="s">
        <v>42</v>
      </c>
      <c r="E235" s="266">
        <v>1847728</v>
      </c>
      <c r="F235" s="273" t="s">
        <v>2051</v>
      </c>
      <c r="G235" s="268">
        <v>42095</v>
      </c>
      <c r="H235" s="228" t="s">
        <v>368</v>
      </c>
      <c r="I235" s="270">
        <v>64009</v>
      </c>
      <c r="J235" s="242">
        <v>21915</v>
      </c>
      <c r="K235" s="242">
        <v>0</v>
      </c>
      <c r="L235" s="242">
        <v>21915</v>
      </c>
      <c r="M235" s="242">
        <v>92386</v>
      </c>
      <c r="N235" s="242">
        <v>1755342</v>
      </c>
      <c r="O235" s="242">
        <v>0</v>
      </c>
      <c r="P235" s="242">
        <v>1847728</v>
      </c>
      <c r="Q235" s="242">
        <v>21915</v>
      </c>
      <c r="R235" s="242">
        <v>1755342</v>
      </c>
      <c r="S235" s="250">
        <v>365</v>
      </c>
      <c r="T235" s="250">
        <v>29236</v>
      </c>
      <c r="U235" s="242">
        <v>204812</v>
      </c>
      <c r="V235" s="242">
        <v>1642916</v>
      </c>
      <c r="W235" s="11"/>
      <c r="X235" s="34"/>
    </row>
    <row r="236" spans="2:24" s="22" customFormat="1">
      <c r="B236" s="15">
        <f t="shared" si="3"/>
        <v>213</v>
      </c>
      <c r="C236" s="228" t="s">
        <v>2878</v>
      </c>
      <c r="D236" s="230" t="s">
        <v>42</v>
      </c>
      <c r="E236" s="266">
        <v>880642</v>
      </c>
      <c r="F236" s="273" t="s">
        <v>2912</v>
      </c>
      <c r="G236" s="268">
        <v>42095</v>
      </c>
      <c r="H236" s="228" t="s">
        <v>368</v>
      </c>
      <c r="I236" s="270">
        <v>64009</v>
      </c>
      <c r="J236" s="242">
        <v>21915</v>
      </c>
      <c r="K236" s="242">
        <v>0</v>
      </c>
      <c r="L236" s="242">
        <v>21915</v>
      </c>
      <c r="M236" s="242">
        <v>44032</v>
      </c>
      <c r="N236" s="242">
        <v>836610</v>
      </c>
      <c r="O236" s="242">
        <v>0</v>
      </c>
      <c r="P236" s="242">
        <v>880642</v>
      </c>
      <c r="Q236" s="242">
        <v>21915</v>
      </c>
      <c r="R236" s="242">
        <v>836610</v>
      </c>
      <c r="S236" s="250">
        <v>365</v>
      </c>
      <c r="T236" s="250">
        <v>13934</v>
      </c>
      <c r="U236" s="242">
        <v>97614</v>
      </c>
      <c r="V236" s="242">
        <v>783028</v>
      </c>
      <c r="W236" s="11"/>
      <c r="X236" s="34"/>
    </row>
    <row r="237" spans="2:24" s="22" customFormat="1">
      <c r="B237" s="15">
        <f t="shared" si="3"/>
        <v>214</v>
      </c>
      <c r="C237" s="228" t="s">
        <v>2878</v>
      </c>
      <c r="D237" s="230" t="s">
        <v>42</v>
      </c>
      <c r="E237" s="266">
        <v>214206</v>
      </c>
      <c r="F237" s="273" t="s">
        <v>2914</v>
      </c>
      <c r="G237" s="268">
        <v>42095</v>
      </c>
      <c r="H237" s="228" t="s">
        <v>368</v>
      </c>
      <c r="I237" s="270">
        <v>64009</v>
      </c>
      <c r="J237" s="242">
        <v>21915</v>
      </c>
      <c r="K237" s="242">
        <v>0</v>
      </c>
      <c r="L237" s="242">
        <v>21915</v>
      </c>
      <c r="M237" s="242">
        <v>10710</v>
      </c>
      <c r="N237" s="242">
        <v>203496</v>
      </c>
      <c r="O237" s="242">
        <v>0</v>
      </c>
      <c r="P237" s="242">
        <v>214206</v>
      </c>
      <c r="Q237" s="242">
        <v>21915</v>
      </c>
      <c r="R237" s="242">
        <v>203496</v>
      </c>
      <c r="S237" s="250">
        <v>365</v>
      </c>
      <c r="T237" s="250">
        <v>3389</v>
      </c>
      <c r="U237" s="242">
        <v>23743</v>
      </c>
      <c r="V237" s="242">
        <v>190463</v>
      </c>
      <c r="W237" s="11"/>
      <c r="X237" s="34"/>
    </row>
    <row r="238" spans="2:24" s="22" customFormat="1">
      <c r="B238" s="15">
        <f t="shared" si="3"/>
        <v>215</v>
      </c>
      <c r="C238" s="228" t="s">
        <v>2878</v>
      </c>
      <c r="D238" s="230" t="s">
        <v>42</v>
      </c>
      <c r="E238" s="266">
        <v>429202</v>
      </c>
      <c r="F238" s="273" t="s">
        <v>2913</v>
      </c>
      <c r="G238" s="268">
        <v>42095</v>
      </c>
      <c r="H238" s="228" t="s">
        <v>368</v>
      </c>
      <c r="I238" s="270">
        <v>64009</v>
      </c>
      <c r="J238" s="242">
        <v>21915</v>
      </c>
      <c r="K238" s="242">
        <v>0</v>
      </c>
      <c r="L238" s="242">
        <v>21915</v>
      </c>
      <c r="M238" s="242">
        <v>21460</v>
      </c>
      <c r="N238" s="242">
        <v>407742</v>
      </c>
      <c r="O238" s="242">
        <v>0</v>
      </c>
      <c r="P238" s="242">
        <v>429202</v>
      </c>
      <c r="Q238" s="242">
        <v>21915</v>
      </c>
      <c r="R238" s="242">
        <v>407742</v>
      </c>
      <c r="S238" s="250">
        <v>365</v>
      </c>
      <c r="T238" s="250">
        <v>6791</v>
      </c>
      <c r="U238" s="242">
        <v>47575</v>
      </c>
      <c r="V238" s="242">
        <v>381627</v>
      </c>
      <c r="W238" s="11"/>
      <c r="X238" s="34"/>
    </row>
    <row r="239" spans="2:24" s="22" customFormat="1" ht="54">
      <c r="B239" s="15">
        <f t="shared" si="3"/>
        <v>216</v>
      </c>
      <c r="C239" s="228" t="s">
        <v>2889</v>
      </c>
      <c r="D239" s="230" t="s">
        <v>42</v>
      </c>
      <c r="E239" s="266">
        <v>14167</v>
      </c>
      <c r="F239" s="273" t="s">
        <v>2940</v>
      </c>
      <c r="G239" s="268">
        <v>42095</v>
      </c>
      <c r="H239" s="228" t="s">
        <v>368</v>
      </c>
      <c r="I239" s="270">
        <v>64009</v>
      </c>
      <c r="J239" s="242">
        <v>21915</v>
      </c>
      <c r="K239" s="242">
        <v>0</v>
      </c>
      <c r="L239" s="242">
        <v>21915</v>
      </c>
      <c r="M239" s="242">
        <v>708</v>
      </c>
      <c r="N239" s="242">
        <v>13459</v>
      </c>
      <c r="O239" s="242">
        <v>0</v>
      </c>
      <c r="P239" s="242">
        <v>14167</v>
      </c>
      <c r="Q239" s="242">
        <v>21915</v>
      </c>
      <c r="R239" s="242">
        <v>13459</v>
      </c>
      <c r="S239" s="250">
        <v>365</v>
      </c>
      <c r="T239" s="250">
        <v>224</v>
      </c>
      <c r="U239" s="242">
        <v>1570</v>
      </c>
      <c r="V239" s="242">
        <v>12597</v>
      </c>
      <c r="W239" s="11"/>
      <c r="X239" s="34"/>
    </row>
    <row r="240" spans="2:24" s="22" customFormat="1" ht="27">
      <c r="B240" s="15">
        <f t="shared" si="3"/>
        <v>217</v>
      </c>
      <c r="C240" s="228" t="s">
        <v>2879</v>
      </c>
      <c r="D240" s="230" t="s">
        <v>42</v>
      </c>
      <c r="E240" s="266">
        <v>955035</v>
      </c>
      <c r="F240" s="273" t="s">
        <v>2923</v>
      </c>
      <c r="G240" s="268">
        <v>42095</v>
      </c>
      <c r="H240" s="228" t="s">
        <v>368</v>
      </c>
      <c r="I240" s="270">
        <v>64009</v>
      </c>
      <c r="J240" s="242">
        <v>21915</v>
      </c>
      <c r="K240" s="242">
        <v>0</v>
      </c>
      <c r="L240" s="242">
        <v>21915</v>
      </c>
      <c r="M240" s="242">
        <v>47752</v>
      </c>
      <c r="N240" s="242">
        <v>907283</v>
      </c>
      <c r="O240" s="242">
        <v>0</v>
      </c>
      <c r="P240" s="242">
        <v>955035</v>
      </c>
      <c r="Q240" s="242">
        <v>21915</v>
      </c>
      <c r="R240" s="242">
        <v>907283</v>
      </c>
      <c r="S240" s="250">
        <v>365</v>
      </c>
      <c r="T240" s="250">
        <v>15111</v>
      </c>
      <c r="U240" s="242">
        <v>105859</v>
      </c>
      <c r="V240" s="242">
        <v>849176</v>
      </c>
      <c r="W240" s="11"/>
      <c r="X240" s="34"/>
    </row>
    <row r="241" spans="2:24" s="22" customFormat="1" ht="27">
      <c r="B241" s="15">
        <f t="shared" si="3"/>
        <v>218</v>
      </c>
      <c r="C241" s="228" t="s">
        <v>2879</v>
      </c>
      <c r="D241" s="230" t="s">
        <v>42</v>
      </c>
      <c r="E241" s="266">
        <v>813381</v>
      </c>
      <c r="F241" s="273" t="s">
        <v>2915</v>
      </c>
      <c r="G241" s="268">
        <v>42095</v>
      </c>
      <c r="H241" s="228" t="s">
        <v>368</v>
      </c>
      <c r="I241" s="270">
        <v>64009</v>
      </c>
      <c r="J241" s="242">
        <v>21915</v>
      </c>
      <c r="K241" s="242">
        <v>0</v>
      </c>
      <c r="L241" s="242">
        <v>21915</v>
      </c>
      <c r="M241" s="242">
        <v>40669</v>
      </c>
      <c r="N241" s="242">
        <v>772712</v>
      </c>
      <c r="O241" s="242">
        <v>0</v>
      </c>
      <c r="P241" s="242">
        <v>813381</v>
      </c>
      <c r="Q241" s="242">
        <v>21915</v>
      </c>
      <c r="R241" s="242">
        <v>772712</v>
      </c>
      <c r="S241" s="250">
        <v>365</v>
      </c>
      <c r="T241" s="250">
        <v>12870</v>
      </c>
      <c r="U241" s="242">
        <v>90160</v>
      </c>
      <c r="V241" s="242">
        <v>723221</v>
      </c>
      <c r="W241" s="11"/>
      <c r="X241" s="34"/>
    </row>
    <row r="242" spans="2:24" s="22" customFormat="1" ht="27">
      <c r="B242" s="15">
        <f t="shared" si="3"/>
        <v>219</v>
      </c>
      <c r="C242" s="228" t="s">
        <v>2879</v>
      </c>
      <c r="D242" s="230" t="s">
        <v>42</v>
      </c>
      <c r="E242" s="266">
        <v>214264</v>
      </c>
      <c r="F242" s="273" t="s">
        <v>2916</v>
      </c>
      <c r="G242" s="268">
        <v>42095</v>
      </c>
      <c r="H242" s="228" t="s">
        <v>368</v>
      </c>
      <c r="I242" s="270">
        <v>64009</v>
      </c>
      <c r="J242" s="242">
        <v>21915</v>
      </c>
      <c r="K242" s="242">
        <v>0</v>
      </c>
      <c r="L242" s="242">
        <v>21915</v>
      </c>
      <c r="M242" s="242">
        <v>10713</v>
      </c>
      <c r="N242" s="242">
        <v>203551</v>
      </c>
      <c r="O242" s="242">
        <v>0</v>
      </c>
      <c r="P242" s="242">
        <v>214264</v>
      </c>
      <c r="Q242" s="242">
        <v>21915</v>
      </c>
      <c r="R242" s="242">
        <v>203551</v>
      </c>
      <c r="S242" s="250">
        <v>365</v>
      </c>
      <c r="T242" s="250">
        <v>3390</v>
      </c>
      <c r="U242" s="242">
        <v>23748</v>
      </c>
      <c r="V242" s="242">
        <v>190516</v>
      </c>
      <c r="W242" s="11"/>
      <c r="X242" s="34"/>
    </row>
    <row r="243" spans="2:24" s="22" customFormat="1" ht="27">
      <c r="B243" s="15">
        <f t="shared" si="3"/>
        <v>220</v>
      </c>
      <c r="C243" s="228" t="s">
        <v>2879</v>
      </c>
      <c r="D243" s="230" t="s">
        <v>42</v>
      </c>
      <c r="E243" s="266">
        <v>219317</v>
      </c>
      <c r="F243" s="273" t="s">
        <v>2917</v>
      </c>
      <c r="G243" s="268">
        <v>42095</v>
      </c>
      <c r="H243" s="228" t="s">
        <v>368</v>
      </c>
      <c r="I243" s="270">
        <v>64009</v>
      </c>
      <c r="J243" s="242">
        <v>21915</v>
      </c>
      <c r="K243" s="242">
        <v>0</v>
      </c>
      <c r="L243" s="242">
        <v>21915</v>
      </c>
      <c r="M243" s="242">
        <v>10966</v>
      </c>
      <c r="N243" s="242">
        <v>208351</v>
      </c>
      <c r="O243" s="242">
        <v>0</v>
      </c>
      <c r="P243" s="242">
        <v>219317</v>
      </c>
      <c r="Q243" s="242">
        <v>21915</v>
      </c>
      <c r="R243" s="242">
        <v>208351</v>
      </c>
      <c r="S243" s="250">
        <v>365</v>
      </c>
      <c r="T243" s="250">
        <v>3470</v>
      </c>
      <c r="U243" s="242">
        <v>24310</v>
      </c>
      <c r="V243" s="242">
        <v>195007</v>
      </c>
      <c r="W243" s="11"/>
      <c r="X243" s="34"/>
    </row>
    <row r="244" spans="2:24" s="22" customFormat="1" ht="27">
      <c r="B244" s="15">
        <f t="shared" si="3"/>
        <v>221</v>
      </c>
      <c r="C244" s="228" t="s">
        <v>2879</v>
      </c>
      <c r="D244" s="230" t="s">
        <v>42</v>
      </c>
      <c r="E244" s="266">
        <v>1515449</v>
      </c>
      <c r="F244" s="273" t="s">
        <v>2923</v>
      </c>
      <c r="G244" s="268">
        <v>42095</v>
      </c>
      <c r="H244" s="228" t="s">
        <v>368</v>
      </c>
      <c r="I244" s="270">
        <v>64009</v>
      </c>
      <c r="J244" s="242">
        <v>21915</v>
      </c>
      <c r="K244" s="242">
        <v>0</v>
      </c>
      <c r="L244" s="242">
        <v>21915</v>
      </c>
      <c r="M244" s="242">
        <v>75772</v>
      </c>
      <c r="N244" s="242">
        <v>1439677</v>
      </c>
      <c r="O244" s="242">
        <v>0</v>
      </c>
      <c r="P244" s="242">
        <v>1515449</v>
      </c>
      <c r="Q244" s="242">
        <v>21915</v>
      </c>
      <c r="R244" s="242">
        <v>1439677</v>
      </c>
      <c r="S244" s="250">
        <v>365</v>
      </c>
      <c r="T244" s="250">
        <v>23978</v>
      </c>
      <c r="U244" s="242">
        <v>167978</v>
      </c>
      <c r="V244" s="242">
        <v>1347471</v>
      </c>
      <c r="W244" s="11"/>
      <c r="X244" s="34"/>
    </row>
    <row r="245" spans="2:24" s="22" customFormat="1" ht="27">
      <c r="B245" s="15">
        <f t="shared" si="3"/>
        <v>222</v>
      </c>
      <c r="C245" s="228" t="s">
        <v>2879</v>
      </c>
      <c r="D245" s="230" t="s">
        <v>42</v>
      </c>
      <c r="E245" s="266">
        <v>175218</v>
      </c>
      <c r="F245" s="273" t="s">
        <v>2915</v>
      </c>
      <c r="G245" s="268">
        <v>42095</v>
      </c>
      <c r="H245" s="228" t="s">
        <v>368</v>
      </c>
      <c r="I245" s="270">
        <v>64009</v>
      </c>
      <c r="J245" s="242">
        <v>21915</v>
      </c>
      <c r="K245" s="242">
        <v>0</v>
      </c>
      <c r="L245" s="242">
        <v>21915</v>
      </c>
      <c r="M245" s="242">
        <v>8761</v>
      </c>
      <c r="N245" s="242">
        <v>166457</v>
      </c>
      <c r="O245" s="242">
        <v>0</v>
      </c>
      <c r="P245" s="242">
        <v>175218</v>
      </c>
      <c r="Q245" s="242">
        <v>21915</v>
      </c>
      <c r="R245" s="242">
        <v>166457</v>
      </c>
      <c r="S245" s="250">
        <v>365</v>
      </c>
      <c r="T245" s="250">
        <v>2772</v>
      </c>
      <c r="U245" s="242">
        <v>19420</v>
      </c>
      <c r="V245" s="242">
        <v>155798</v>
      </c>
      <c r="W245" s="11"/>
      <c r="X245" s="34"/>
    </row>
    <row r="246" spans="2:24" s="22" customFormat="1" ht="27">
      <c r="B246" s="15">
        <f t="shared" si="3"/>
        <v>223</v>
      </c>
      <c r="C246" s="228" t="s">
        <v>2879</v>
      </c>
      <c r="D246" s="230" t="s">
        <v>42</v>
      </c>
      <c r="E246" s="266">
        <v>214264</v>
      </c>
      <c r="F246" s="273" t="s">
        <v>2916</v>
      </c>
      <c r="G246" s="268">
        <v>42095</v>
      </c>
      <c r="H246" s="228" t="s">
        <v>368</v>
      </c>
      <c r="I246" s="270">
        <v>64009</v>
      </c>
      <c r="J246" s="242">
        <v>21915</v>
      </c>
      <c r="K246" s="242">
        <v>0</v>
      </c>
      <c r="L246" s="242">
        <v>21915</v>
      </c>
      <c r="M246" s="242">
        <v>10713</v>
      </c>
      <c r="N246" s="242">
        <v>203551</v>
      </c>
      <c r="O246" s="242">
        <v>0</v>
      </c>
      <c r="P246" s="242">
        <v>214264</v>
      </c>
      <c r="Q246" s="242">
        <v>21915</v>
      </c>
      <c r="R246" s="242">
        <v>203551</v>
      </c>
      <c r="S246" s="250">
        <v>365</v>
      </c>
      <c r="T246" s="250">
        <v>3390</v>
      </c>
      <c r="U246" s="242">
        <v>23748</v>
      </c>
      <c r="V246" s="242">
        <v>190516</v>
      </c>
      <c r="W246" s="11"/>
      <c r="X246" s="34"/>
    </row>
    <row r="247" spans="2:24" s="22" customFormat="1" ht="67.5">
      <c r="B247" s="15">
        <f t="shared" si="3"/>
        <v>224</v>
      </c>
      <c r="C247" s="228" t="s">
        <v>2890</v>
      </c>
      <c r="D247" s="230" t="s">
        <v>42</v>
      </c>
      <c r="E247" s="266">
        <v>40000</v>
      </c>
      <c r="F247" s="273" t="s">
        <v>2941</v>
      </c>
      <c r="G247" s="268">
        <v>42095</v>
      </c>
      <c r="H247" s="228" t="s">
        <v>368</v>
      </c>
      <c r="I247" s="270">
        <v>64009</v>
      </c>
      <c r="J247" s="242">
        <v>21915</v>
      </c>
      <c r="K247" s="242">
        <v>0</v>
      </c>
      <c r="L247" s="242">
        <v>21915</v>
      </c>
      <c r="M247" s="242">
        <v>2000</v>
      </c>
      <c r="N247" s="242">
        <v>38000</v>
      </c>
      <c r="O247" s="242">
        <v>0</v>
      </c>
      <c r="P247" s="242">
        <v>40000</v>
      </c>
      <c r="Q247" s="242">
        <v>21915</v>
      </c>
      <c r="R247" s="242">
        <v>38000</v>
      </c>
      <c r="S247" s="250">
        <v>365</v>
      </c>
      <c r="T247" s="250">
        <v>633</v>
      </c>
      <c r="U247" s="242">
        <v>4435</v>
      </c>
      <c r="V247" s="242">
        <v>35565</v>
      </c>
      <c r="W247" s="11"/>
      <c r="X247" s="34"/>
    </row>
    <row r="248" spans="2:24" s="22" customFormat="1" ht="67.5">
      <c r="B248" s="15">
        <f t="shared" si="3"/>
        <v>225</v>
      </c>
      <c r="C248" s="228" t="s">
        <v>2891</v>
      </c>
      <c r="D248" s="230" t="s">
        <v>42</v>
      </c>
      <c r="E248" s="266">
        <v>693000</v>
      </c>
      <c r="F248" s="273" t="s">
        <v>2942</v>
      </c>
      <c r="G248" s="268">
        <v>42095</v>
      </c>
      <c r="H248" s="228" t="s">
        <v>368</v>
      </c>
      <c r="I248" s="270">
        <v>64009</v>
      </c>
      <c r="J248" s="242">
        <v>21915</v>
      </c>
      <c r="K248" s="242">
        <v>0</v>
      </c>
      <c r="L248" s="242">
        <v>21915</v>
      </c>
      <c r="M248" s="242">
        <v>34650</v>
      </c>
      <c r="N248" s="242">
        <v>658350</v>
      </c>
      <c r="O248" s="242">
        <v>0</v>
      </c>
      <c r="P248" s="242">
        <v>693000</v>
      </c>
      <c r="Q248" s="242">
        <v>21915</v>
      </c>
      <c r="R248" s="242">
        <v>658350</v>
      </c>
      <c r="S248" s="250">
        <v>365</v>
      </c>
      <c r="T248" s="250">
        <v>10965</v>
      </c>
      <c r="U248" s="242">
        <v>76815</v>
      </c>
      <c r="V248" s="242">
        <v>616185</v>
      </c>
      <c r="W248" s="11"/>
      <c r="X248" s="34"/>
    </row>
    <row r="249" spans="2:24" s="22" customFormat="1" ht="40.5">
      <c r="B249" s="15">
        <f t="shared" si="3"/>
        <v>226</v>
      </c>
      <c r="C249" s="228" t="s">
        <v>2892</v>
      </c>
      <c r="D249" s="230" t="s">
        <v>42</v>
      </c>
      <c r="E249" s="266">
        <v>4043</v>
      </c>
      <c r="F249" s="273">
        <v>1947</v>
      </c>
      <c r="G249" s="268">
        <v>42095</v>
      </c>
      <c r="H249" s="228" t="s">
        <v>368</v>
      </c>
      <c r="I249" s="270">
        <v>64009</v>
      </c>
      <c r="J249" s="242">
        <v>21915</v>
      </c>
      <c r="K249" s="242">
        <v>0</v>
      </c>
      <c r="L249" s="242">
        <v>21915</v>
      </c>
      <c r="M249" s="242">
        <v>202</v>
      </c>
      <c r="N249" s="242">
        <v>3841</v>
      </c>
      <c r="O249" s="242">
        <v>0</v>
      </c>
      <c r="P249" s="242">
        <v>4043</v>
      </c>
      <c r="Q249" s="242">
        <v>21915</v>
      </c>
      <c r="R249" s="242">
        <v>3841</v>
      </c>
      <c r="S249" s="250">
        <v>365</v>
      </c>
      <c r="T249" s="250">
        <v>64</v>
      </c>
      <c r="U249" s="242">
        <v>448</v>
      </c>
      <c r="V249" s="242">
        <v>3595</v>
      </c>
      <c r="W249" s="11"/>
      <c r="X249" s="34"/>
    </row>
    <row r="250" spans="2:24" s="22" customFormat="1">
      <c r="B250" s="15">
        <f t="shared" si="3"/>
        <v>227</v>
      </c>
      <c r="C250" s="228" t="s">
        <v>2878</v>
      </c>
      <c r="D250" s="230" t="s">
        <v>42</v>
      </c>
      <c r="E250" s="266">
        <v>1386273</v>
      </c>
      <c r="F250" s="273" t="s">
        <v>2051</v>
      </c>
      <c r="G250" s="268">
        <v>42095</v>
      </c>
      <c r="H250" s="228" t="s">
        <v>368</v>
      </c>
      <c r="I250" s="270">
        <v>64009</v>
      </c>
      <c r="J250" s="242">
        <v>21915</v>
      </c>
      <c r="K250" s="242">
        <v>0</v>
      </c>
      <c r="L250" s="242">
        <v>21915</v>
      </c>
      <c r="M250" s="242">
        <v>69314</v>
      </c>
      <c r="N250" s="242">
        <v>1316959</v>
      </c>
      <c r="O250" s="242">
        <v>0</v>
      </c>
      <c r="P250" s="242">
        <v>1386273</v>
      </c>
      <c r="Q250" s="242">
        <v>21915</v>
      </c>
      <c r="R250" s="242">
        <v>1316959</v>
      </c>
      <c r="S250" s="250">
        <v>365</v>
      </c>
      <c r="T250" s="250">
        <v>21934</v>
      </c>
      <c r="U250" s="242">
        <v>153658</v>
      </c>
      <c r="V250" s="242">
        <v>1232615</v>
      </c>
      <c r="W250" s="11"/>
      <c r="X250" s="34"/>
    </row>
    <row r="251" spans="2:24" s="22" customFormat="1">
      <c r="B251" s="15">
        <f t="shared" si="3"/>
        <v>228</v>
      </c>
      <c r="C251" s="228" t="s">
        <v>2878</v>
      </c>
      <c r="D251" s="230" t="s">
        <v>42</v>
      </c>
      <c r="E251" s="266">
        <v>1565619</v>
      </c>
      <c r="F251" s="273" t="s">
        <v>2912</v>
      </c>
      <c r="G251" s="268">
        <v>42095</v>
      </c>
      <c r="H251" s="228" t="s">
        <v>368</v>
      </c>
      <c r="I251" s="270">
        <v>64009</v>
      </c>
      <c r="J251" s="242">
        <v>21915</v>
      </c>
      <c r="K251" s="242">
        <v>0</v>
      </c>
      <c r="L251" s="242">
        <v>21915</v>
      </c>
      <c r="M251" s="242">
        <v>78281</v>
      </c>
      <c r="N251" s="242">
        <v>1487338</v>
      </c>
      <c r="O251" s="242">
        <v>0</v>
      </c>
      <c r="P251" s="242">
        <v>1565619</v>
      </c>
      <c r="Q251" s="242">
        <v>21915</v>
      </c>
      <c r="R251" s="242">
        <v>1487338</v>
      </c>
      <c r="S251" s="250">
        <v>365</v>
      </c>
      <c r="T251" s="250">
        <v>24772</v>
      </c>
      <c r="U251" s="242">
        <v>173540</v>
      </c>
      <c r="V251" s="242">
        <v>1392079</v>
      </c>
      <c r="W251" s="11"/>
      <c r="X251" s="34"/>
    </row>
    <row r="252" spans="2:24" s="22" customFormat="1">
      <c r="B252" s="15">
        <f t="shared" si="3"/>
        <v>229</v>
      </c>
      <c r="C252" s="228" t="s">
        <v>2878</v>
      </c>
      <c r="D252" s="230" t="s">
        <v>42</v>
      </c>
      <c r="E252" s="266">
        <v>214264</v>
      </c>
      <c r="F252" s="273" t="s">
        <v>2913</v>
      </c>
      <c r="G252" s="268">
        <v>42095</v>
      </c>
      <c r="H252" s="228" t="s">
        <v>368</v>
      </c>
      <c r="I252" s="270">
        <v>64009</v>
      </c>
      <c r="J252" s="242">
        <v>21915</v>
      </c>
      <c r="K252" s="242">
        <v>0</v>
      </c>
      <c r="L252" s="242">
        <v>21915</v>
      </c>
      <c r="M252" s="242">
        <v>10713</v>
      </c>
      <c r="N252" s="242">
        <v>203551</v>
      </c>
      <c r="O252" s="242">
        <v>0</v>
      </c>
      <c r="P252" s="242">
        <v>214264</v>
      </c>
      <c r="Q252" s="242">
        <v>21915</v>
      </c>
      <c r="R252" s="242">
        <v>203551</v>
      </c>
      <c r="S252" s="250">
        <v>365</v>
      </c>
      <c r="T252" s="250">
        <v>3390</v>
      </c>
      <c r="U252" s="242">
        <v>23748</v>
      </c>
      <c r="V252" s="242">
        <v>190516</v>
      </c>
      <c r="W252" s="11"/>
      <c r="X252" s="34"/>
    </row>
    <row r="253" spans="2:24" s="22" customFormat="1" ht="27">
      <c r="B253" s="15">
        <f t="shared" si="3"/>
        <v>230</v>
      </c>
      <c r="C253" s="228" t="s">
        <v>2893</v>
      </c>
      <c r="D253" s="230" t="s">
        <v>42</v>
      </c>
      <c r="E253" s="266">
        <v>6973</v>
      </c>
      <c r="F253" s="273" t="s">
        <v>2943</v>
      </c>
      <c r="G253" s="268">
        <v>42095</v>
      </c>
      <c r="H253" s="228" t="s">
        <v>368</v>
      </c>
      <c r="I253" s="270">
        <v>64009</v>
      </c>
      <c r="J253" s="242">
        <v>21915</v>
      </c>
      <c r="K253" s="242">
        <v>0</v>
      </c>
      <c r="L253" s="242">
        <v>21915</v>
      </c>
      <c r="M253" s="242">
        <v>349</v>
      </c>
      <c r="N253" s="242">
        <v>6624</v>
      </c>
      <c r="O253" s="242">
        <v>0</v>
      </c>
      <c r="P253" s="242">
        <v>6973</v>
      </c>
      <c r="Q253" s="242">
        <v>21915</v>
      </c>
      <c r="R253" s="242">
        <v>6624</v>
      </c>
      <c r="S253" s="250">
        <v>365</v>
      </c>
      <c r="T253" s="250">
        <v>110</v>
      </c>
      <c r="U253" s="242">
        <v>772</v>
      </c>
      <c r="V253" s="242">
        <v>6201</v>
      </c>
      <c r="W253" s="11"/>
      <c r="X253" s="34"/>
    </row>
    <row r="254" spans="2:24" s="22" customFormat="1" ht="40.5">
      <c r="B254" s="15">
        <f t="shared" si="3"/>
        <v>231</v>
      </c>
      <c r="C254" s="228" t="s">
        <v>2894</v>
      </c>
      <c r="D254" s="230" t="s">
        <v>42</v>
      </c>
      <c r="E254" s="266">
        <v>30857</v>
      </c>
      <c r="F254" s="273" t="s">
        <v>2944</v>
      </c>
      <c r="G254" s="268">
        <v>42095</v>
      </c>
      <c r="H254" s="228" t="s">
        <v>368</v>
      </c>
      <c r="I254" s="270">
        <v>64009</v>
      </c>
      <c r="J254" s="242">
        <v>21915</v>
      </c>
      <c r="K254" s="242">
        <v>0</v>
      </c>
      <c r="L254" s="242">
        <v>21915</v>
      </c>
      <c r="M254" s="242">
        <v>1543</v>
      </c>
      <c r="N254" s="242">
        <v>29314</v>
      </c>
      <c r="O254" s="242">
        <v>0</v>
      </c>
      <c r="P254" s="242">
        <v>30857</v>
      </c>
      <c r="Q254" s="242">
        <v>21915</v>
      </c>
      <c r="R254" s="242">
        <v>29314</v>
      </c>
      <c r="S254" s="250">
        <v>365</v>
      </c>
      <c r="T254" s="250">
        <v>488</v>
      </c>
      <c r="U254" s="242">
        <v>3420</v>
      </c>
      <c r="V254" s="242">
        <v>27437</v>
      </c>
      <c r="W254" s="11"/>
      <c r="X254" s="34"/>
    </row>
    <row r="255" spans="2:24" s="22" customFormat="1" ht="27">
      <c r="B255" s="15">
        <f t="shared" si="3"/>
        <v>232</v>
      </c>
      <c r="C255" s="228" t="s">
        <v>2895</v>
      </c>
      <c r="D255" s="230" t="s">
        <v>42</v>
      </c>
      <c r="E255" s="266">
        <v>21000</v>
      </c>
      <c r="F255" s="273">
        <v>27</v>
      </c>
      <c r="G255" s="268">
        <v>42095</v>
      </c>
      <c r="H255" s="228" t="s">
        <v>368</v>
      </c>
      <c r="I255" s="270">
        <v>64009</v>
      </c>
      <c r="J255" s="242">
        <v>21915</v>
      </c>
      <c r="K255" s="242">
        <v>0</v>
      </c>
      <c r="L255" s="242">
        <v>21915</v>
      </c>
      <c r="M255" s="242">
        <v>1050</v>
      </c>
      <c r="N255" s="242">
        <v>19950</v>
      </c>
      <c r="O255" s="242">
        <v>0</v>
      </c>
      <c r="P255" s="242">
        <v>21000</v>
      </c>
      <c r="Q255" s="242">
        <v>21915</v>
      </c>
      <c r="R255" s="242">
        <v>19950</v>
      </c>
      <c r="S255" s="250">
        <v>365</v>
      </c>
      <c r="T255" s="250">
        <v>332</v>
      </c>
      <c r="U255" s="242">
        <v>2326</v>
      </c>
      <c r="V255" s="242">
        <v>18674</v>
      </c>
      <c r="W255" s="11"/>
      <c r="X255" s="34"/>
    </row>
    <row r="256" spans="2:24" s="22" customFormat="1" ht="54">
      <c r="B256" s="15">
        <f t="shared" si="3"/>
        <v>233</v>
      </c>
      <c r="C256" s="228" t="s">
        <v>2896</v>
      </c>
      <c r="D256" s="230" t="s">
        <v>42</v>
      </c>
      <c r="E256" s="266">
        <v>58366</v>
      </c>
      <c r="F256" s="273" t="s">
        <v>2944</v>
      </c>
      <c r="G256" s="268">
        <v>42095</v>
      </c>
      <c r="H256" s="228" t="s">
        <v>368</v>
      </c>
      <c r="I256" s="270">
        <v>64009</v>
      </c>
      <c r="J256" s="242">
        <v>21915</v>
      </c>
      <c r="K256" s="242">
        <v>0</v>
      </c>
      <c r="L256" s="242">
        <v>21915</v>
      </c>
      <c r="M256" s="242">
        <v>2918</v>
      </c>
      <c r="N256" s="242">
        <v>55448</v>
      </c>
      <c r="O256" s="242">
        <v>0</v>
      </c>
      <c r="P256" s="242">
        <v>58366</v>
      </c>
      <c r="Q256" s="242">
        <v>21915</v>
      </c>
      <c r="R256" s="242">
        <v>55448</v>
      </c>
      <c r="S256" s="250">
        <v>365</v>
      </c>
      <c r="T256" s="250">
        <v>924</v>
      </c>
      <c r="U256" s="242">
        <v>6472</v>
      </c>
      <c r="V256" s="242">
        <v>51894</v>
      </c>
      <c r="W256" s="11"/>
      <c r="X256" s="34"/>
    </row>
    <row r="257" spans="2:24" s="22" customFormat="1" ht="27">
      <c r="B257" s="15">
        <f t="shared" si="3"/>
        <v>234</v>
      </c>
      <c r="C257" s="228" t="s">
        <v>2897</v>
      </c>
      <c r="D257" s="230" t="s">
        <v>42</v>
      </c>
      <c r="E257" s="266">
        <v>51450</v>
      </c>
      <c r="F257" s="273" t="s">
        <v>2397</v>
      </c>
      <c r="G257" s="268">
        <v>42095</v>
      </c>
      <c r="H257" s="228" t="s">
        <v>368</v>
      </c>
      <c r="I257" s="270">
        <v>64009</v>
      </c>
      <c r="J257" s="242">
        <v>21915</v>
      </c>
      <c r="K257" s="242">
        <v>0</v>
      </c>
      <c r="L257" s="242">
        <v>21915</v>
      </c>
      <c r="M257" s="242">
        <v>2573</v>
      </c>
      <c r="N257" s="242">
        <v>48877</v>
      </c>
      <c r="O257" s="242">
        <v>0</v>
      </c>
      <c r="P257" s="242">
        <v>51450</v>
      </c>
      <c r="Q257" s="242">
        <v>21915</v>
      </c>
      <c r="R257" s="242">
        <v>48878</v>
      </c>
      <c r="S257" s="250">
        <v>365</v>
      </c>
      <c r="T257" s="250">
        <v>814</v>
      </c>
      <c r="U257" s="242">
        <v>5702</v>
      </c>
      <c r="V257" s="242">
        <v>45748</v>
      </c>
      <c r="W257" s="11"/>
      <c r="X257" s="34"/>
    </row>
    <row r="258" spans="2:24" s="22" customFormat="1">
      <c r="B258" s="15">
        <f t="shared" si="3"/>
        <v>235</v>
      </c>
      <c r="C258" s="228" t="s">
        <v>2873</v>
      </c>
      <c r="D258" s="230" t="s">
        <v>42</v>
      </c>
      <c r="E258" s="266">
        <v>694908</v>
      </c>
      <c r="F258" s="273" t="s">
        <v>2923</v>
      </c>
      <c r="G258" s="268">
        <v>42095</v>
      </c>
      <c r="H258" s="228" t="s">
        <v>368</v>
      </c>
      <c r="I258" s="270">
        <v>64009</v>
      </c>
      <c r="J258" s="242">
        <v>21915</v>
      </c>
      <c r="K258" s="242">
        <v>0</v>
      </c>
      <c r="L258" s="242">
        <v>21915</v>
      </c>
      <c r="M258" s="242">
        <v>34745</v>
      </c>
      <c r="N258" s="242">
        <v>660163</v>
      </c>
      <c r="O258" s="242">
        <v>0</v>
      </c>
      <c r="P258" s="242">
        <v>694908</v>
      </c>
      <c r="Q258" s="242">
        <v>21915</v>
      </c>
      <c r="R258" s="242">
        <v>660163</v>
      </c>
      <c r="S258" s="250">
        <v>365</v>
      </c>
      <c r="T258" s="250">
        <v>10995</v>
      </c>
      <c r="U258" s="242">
        <v>77025</v>
      </c>
      <c r="V258" s="242">
        <v>617883</v>
      </c>
      <c r="W258" s="11"/>
      <c r="X258" s="34"/>
    </row>
    <row r="259" spans="2:24" s="22" customFormat="1" ht="27">
      <c r="B259" s="15">
        <f t="shared" si="3"/>
        <v>236</v>
      </c>
      <c r="C259" s="228" t="s">
        <v>2898</v>
      </c>
      <c r="D259" s="230" t="s">
        <v>42</v>
      </c>
      <c r="E259" s="266">
        <v>36285</v>
      </c>
      <c r="F259" s="273">
        <v>190</v>
      </c>
      <c r="G259" s="268">
        <v>42095</v>
      </c>
      <c r="H259" s="228" t="s">
        <v>368</v>
      </c>
      <c r="I259" s="270">
        <v>64009</v>
      </c>
      <c r="J259" s="242">
        <v>21915</v>
      </c>
      <c r="K259" s="242">
        <v>0</v>
      </c>
      <c r="L259" s="242">
        <v>21915</v>
      </c>
      <c r="M259" s="242">
        <v>1814</v>
      </c>
      <c r="N259" s="242">
        <v>34471</v>
      </c>
      <c r="O259" s="242">
        <v>0</v>
      </c>
      <c r="P259" s="242">
        <v>36285</v>
      </c>
      <c r="Q259" s="242">
        <v>21915</v>
      </c>
      <c r="R259" s="242">
        <v>34471</v>
      </c>
      <c r="S259" s="250">
        <v>365</v>
      </c>
      <c r="T259" s="250">
        <v>574</v>
      </c>
      <c r="U259" s="242">
        <v>4022</v>
      </c>
      <c r="V259" s="242">
        <v>32263</v>
      </c>
      <c r="W259" s="11"/>
      <c r="X259" s="34"/>
    </row>
    <row r="260" spans="2:24" s="22" customFormat="1" ht="27">
      <c r="B260" s="15">
        <f t="shared" si="3"/>
        <v>237</v>
      </c>
      <c r="C260" s="228" t="s">
        <v>2899</v>
      </c>
      <c r="D260" s="230" t="s">
        <v>42</v>
      </c>
      <c r="E260" s="266">
        <v>40685</v>
      </c>
      <c r="F260" s="273" t="s">
        <v>2386</v>
      </c>
      <c r="G260" s="268">
        <v>42095</v>
      </c>
      <c r="H260" s="228" t="s">
        <v>368</v>
      </c>
      <c r="I260" s="270">
        <v>64009</v>
      </c>
      <c r="J260" s="242">
        <v>21915</v>
      </c>
      <c r="K260" s="242">
        <v>0</v>
      </c>
      <c r="L260" s="242">
        <v>21915</v>
      </c>
      <c r="M260" s="242">
        <v>2034</v>
      </c>
      <c r="N260" s="242">
        <v>38651</v>
      </c>
      <c r="O260" s="242">
        <v>0</v>
      </c>
      <c r="P260" s="242">
        <v>40685</v>
      </c>
      <c r="Q260" s="242">
        <v>21915</v>
      </c>
      <c r="R260" s="242">
        <v>38651</v>
      </c>
      <c r="S260" s="250">
        <v>365</v>
      </c>
      <c r="T260" s="250">
        <v>644</v>
      </c>
      <c r="U260" s="242">
        <v>4512</v>
      </c>
      <c r="V260" s="242">
        <v>36173</v>
      </c>
      <c r="W260" s="11"/>
      <c r="X260" s="34"/>
    </row>
    <row r="261" spans="2:24" s="22" customFormat="1" ht="27">
      <c r="B261" s="15">
        <f t="shared" si="3"/>
        <v>238</v>
      </c>
      <c r="C261" s="228" t="s">
        <v>2879</v>
      </c>
      <c r="D261" s="230" t="s">
        <v>42</v>
      </c>
      <c r="E261" s="266">
        <v>246634</v>
      </c>
      <c r="F261" s="273" t="s">
        <v>2923</v>
      </c>
      <c r="G261" s="268">
        <v>42095</v>
      </c>
      <c r="H261" s="228" t="s">
        <v>368</v>
      </c>
      <c r="I261" s="270">
        <v>64009</v>
      </c>
      <c r="J261" s="242">
        <v>21915</v>
      </c>
      <c r="K261" s="242">
        <v>0</v>
      </c>
      <c r="L261" s="242">
        <v>21915</v>
      </c>
      <c r="M261" s="242">
        <v>12332</v>
      </c>
      <c r="N261" s="242">
        <v>234302</v>
      </c>
      <c r="O261" s="242">
        <v>0</v>
      </c>
      <c r="P261" s="242">
        <v>246634</v>
      </c>
      <c r="Q261" s="242">
        <v>21915</v>
      </c>
      <c r="R261" s="242">
        <v>234302</v>
      </c>
      <c r="S261" s="250">
        <v>365</v>
      </c>
      <c r="T261" s="250">
        <v>3902</v>
      </c>
      <c r="U261" s="242">
        <v>27336</v>
      </c>
      <c r="V261" s="242">
        <v>219298</v>
      </c>
      <c r="W261" s="11"/>
      <c r="X261" s="34"/>
    </row>
    <row r="262" spans="2:24" s="22" customFormat="1" ht="27">
      <c r="B262" s="15">
        <f t="shared" si="3"/>
        <v>239</v>
      </c>
      <c r="C262" s="228" t="s">
        <v>2879</v>
      </c>
      <c r="D262" s="230" t="s">
        <v>42</v>
      </c>
      <c r="E262" s="266">
        <v>4906</v>
      </c>
      <c r="F262" s="273" t="s">
        <v>2945</v>
      </c>
      <c r="G262" s="268">
        <v>42095</v>
      </c>
      <c r="H262" s="228" t="s">
        <v>368</v>
      </c>
      <c r="I262" s="270">
        <v>64009</v>
      </c>
      <c r="J262" s="242">
        <v>21915</v>
      </c>
      <c r="K262" s="242">
        <v>0</v>
      </c>
      <c r="L262" s="242">
        <v>21915</v>
      </c>
      <c r="M262" s="242">
        <v>245</v>
      </c>
      <c r="N262" s="242">
        <v>4661</v>
      </c>
      <c r="O262" s="242">
        <v>0</v>
      </c>
      <c r="P262" s="242">
        <v>4906</v>
      </c>
      <c r="Q262" s="242">
        <v>21915</v>
      </c>
      <c r="R262" s="242">
        <v>4661</v>
      </c>
      <c r="S262" s="250">
        <v>365</v>
      </c>
      <c r="T262" s="250">
        <v>78</v>
      </c>
      <c r="U262" s="242">
        <v>546</v>
      </c>
      <c r="V262" s="242">
        <v>4360</v>
      </c>
      <c r="W262" s="11"/>
      <c r="X262" s="34"/>
    </row>
    <row r="263" spans="2:24" s="22" customFormat="1" ht="27">
      <c r="B263" s="15">
        <f t="shared" si="3"/>
        <v>240</v>
      </c>
      <c r="C263" s="228" t="s">
        <v>2900</v>
      </c>
      <c r="D263" s="230" t="s">
        <v>42</v>
      </c>
      <c r="E263" s="266">
        <v>40775</v>
      </c>
      <c r="F263" s="273" t="s">
        <v>2391</v>
      </c>
      <c r="G263" s="268">
        <v>42095</v>
      </c>
      <c r="H263" s="228" t="s">
        <v>368</v>
      </c>
      <c r="I263" s="270">
        <v>64009</v>
      </c>
      <c r="J263" s="242">
        <v>21915</v>
      </c>
      <c r="K263" s="242">
        <v>0</v>
      </c>
      <c r="L263" s="242">
        <v>21915</v>
      </c>
      <c r="M263" s="242">
        <v>2039</v>
      </c>
      <c r="N263" s="242">
        <v>38736</v>
      </c>
      <c r="O263" s="242">
        <v>0</v>
      </c>
      <c r="P263" s="242">
        <v>40775</v>
      </c>
      <c r="Q263" s="242">
        <v>21915</v>
      </c>
      <c r="R263" s="242">
        <v>38736</v>
      </c>
      <c r="S263" s="250">
        <v>365</v>
      </c>
      <c r="T263" s="250">
        <v>645</v>
      </c>
      <c r="U263" s="242">
        <v>4519</v>
      </c>
      <c r="V263" s="242">
        <v>36256</v>
      </c>
      <c r="W263" s="11"/>
      <c r="X263" s="34"/>
    </row>
    <row r="264" spans="2:24" s="22" customFormat="1" ht="27">
      <c r="B264" s="15">
        <f t="shared" si="3"/>
        <v>241</v>
      </c>
      <c r="C264" s="228" t="s">
        <v>2901</v>
      </c>
      <c r="D264" s="230" t="s">
        <v>42</v>
      </c>
      <c r="E264" s="266">
        <v>12640</v>
      </c>
      <c r="F264" s="273" t="s">
        <v>2944</v>
      </c>
      <c r="G264" s="268">
        <v>42095</v>
      </c>
      <c r="H264" s="228" t="s">
        <v>368</v>
      </c>
      <c r="I264" s="270">
        <v>64009</v>
      </c>
      <c r="J264" s="242">
        <v>21915</v>
      </c>
      <c r="K264" s="242">
        <v>0</v>
      </c>
      <c r="L264" s="242">
        <v>21915</v>
      </c>
      <c r="M264" s="242">
        <v>632</v>
      </c>
      <c r="N264" s="242">
        <v>12008</v>
      </c>
      <c r="O264" s="242">
        <v>0</v>
      </c>
      <c r="P264" s="242">
        <v>12640</v>
      </c>
      <c r="Q264" s="242">
        <v>21915</v>
      </c>
      <c r="R264" s="242">
        <v>12008</v>
      </c>
      <c r="S264" s="250">
        <v>365</v>
      </c>
      <c r="T264" s="250">
        <v>200</v>
      </c>
      <c r="U264" s="242">
        <v>1402</v>
      </c>
      <c r="V264" s="242">
        <v>11238</v>
      </c>
      <c r="W264" s="11"/>
      <c r="X264" s="34"/>
    </row>
    <row r="265" spans="2:24" s="22" customFormat="1" ht="27">
      <c r="B265" s="15">
        <f t="shared" si="3"/>
        <v>242</v>
      </c>
      <c r="C265" s="228" t="s">
        <v>2902</v>
      </c>
      <c r="D265" s="230" t="s">
        <v>42</v>
      </c>
      <c r="E265" s="266">
        <v>42697</v>
      </c>
      <c r="F265" s="273" t="s">
        <v>2944</v>
      </c>
      <c r="G265" s="268">
        <v>42095</v>
      </c>
      <c r="H265" s="228" t="s">
        <v>368</v>
      </c>
      <c r="I265" s="270">
        <v>64009</v>
      </c>
      <c r="J265" s="242">
        <v>21915</v>
      </c>
      <c r="K265" s="242">
        <v>0</v>
      </c>
      <c r="L265" s="242">
        <v>21915</v>
      </c>
      <c r="M265" s="242">
        <v>2135</v>
      </c>
      <c r="N265" s="242">
        <v>40562</v>
      </c>
      <c r="O265" s="242">
        <v>0</v>
      </c>
      <c r="P265" s="242">
        <v>42697</v>
      </c>
      <c r="Q265" s="242">
        <v>21915</v>
      </c>
      <c r="R265" s="242">
        <v>40562</v>
      </c>
      <c r="S265" s="250">
        <v>365</v>
      </c>
      <c r="T265" s="250">
        <v>676</v>
      </c>
      <c r="U265" s="242">
        <v>4734</v>
      </c>
      <c r="V265" s="242">
        <v>37963</v>
      </c>
      <c r="W265" s="11"/>
      <c r="X265" s="34"/>
    </row>
    <row r="266" spans="2:24" s="22" customFormat="1" ht="27">
      <c r="B266" s="15">
        <f t="shared" si="3"/>
        <v>243</v>
      </c>
      <c r="C266" s="228" t="s">
        <v>2903</v>
      </c>
      <c r="D266" s="230" t="s">
        <v>42</v>
      </c>
      <c r="E266" s="266">
        <v>12815</v>
      </c>
      <c r="F266" s="273" t="s">
        <v>2944</v>
      </c>
      <c r="G266" s="268">
        <v>42095</v>
      </c>
      <c r="H266" s="228" t="s">
        <v>368</v>
      </c>
      <c r="I266" s="270">
        <v>64009</v>
      </c>
      <c r="J266" s="242">
        <v>21915</v>
      </c>
      <c r="K266" s="242">
        <v>0</v>
      </c>
      <c r="L266" s="242">
        <v>21915</v>
      </c>
      <c r="M266" s="242">
        <v>641</v>
      </c>
      <c r="N266" s="242">
        <v>12174</v>
      </c>
      <c r="O266" s="242">
        <v>0</v>
      </c>
      <c r="P266" s="242">
        <v>12815</v>
      </c>
      <c r="Q266" s="242">
        <v>21915</v>
      </c>
      <c r="R266" s="242">
        <v>12174</v>
      </c>
      <c r="S266" s="250">
        <v>365</v>
      </c>
      <c r="T266" s="250">
        <v>203</v>
      </c>
      <c r="U266" s="242">
        <v>1421</v>
      </c>
      <c r="V266" s="242">
        <v>11394</v>
      </c>
      <c r="W266" s="11"/>
      <c r="X266" s="34"/>
    </row>
    <row r="267" spans="2:24" s="22" customFormat="1" ht="27">
      <c r="B267" s="15">
        <f t="shared" si="3"/>
        <v>244</v>
      </c>
      <c r="C267" s="228" t="s">
        <v>2904</v>
      </c>
      <c r="D267" s="230" t="s">
        <v>42</v>
      </c>
      <c r="E267" s="266">
        <v>16037</v>
      </c>
      <c r="F267" s="273" t="s">
        <v>2944</v>
      </c>
      <c r="G267" s="268">
        <v>42095</v>
      </c>
      <c r="H267" s="228" t="s">
        <v>368</v>
      </c>
      <c r="I267" s="270">
        <v>64009</v>
      </c>
      <c r="J267" s="242">
        <v>21915</v>
      </c>
      <c r="K267" s="242">
        <v>0</v>
      </c>
      <c r="L267" s="242">
        <v>21915</v>
      </c>
      <c r="M267" s="242">
        <v>802</v>
      </c>
      <c r="N267" s="242">
        <v>15235</v>
      </c>
      <c r="O267" s="242">
        <v>0</v>
      </c>
      <c r="P267" s="242">
        <v>16037</v>
      </c>
      <c r="Q267" s="242">
        <v>21915</v>
      </c>
      <c r="R267" s="242">
        <v>15235</v>
      </c>
      <c r="S267" s="250">
        <v>365</v>
      </c>
      <c r="T267" s="250">
        <v>254</v>
      </c>
      <c r="U267" s="242">
        <v>1778</v>
      </c>
      <c r="V267" s="242">
        <v>14259</v>
      </c>
      <c r="W267" s="11"/>
      <c r="X267" s="34"/>
    </row>
    <row r="268" spans="2:24" s="22" customFormat="1" ht="27">
      <c r="B268" s="15">
        <f t="shared" si="3"/>
        <v>245</v>
      </c>
      <c r="C268" s="228" t="s">
        <v>2905</v>
      </c>
      <c r="D268" s="230" t="s">
        <v>42</v>
      </c>
      <c r="E268" s="266">
        <v>13430</v>
      </c>
      <c r="F268" s="273" t="s">
        <v>2944</v>
      </c>
      <c r="G268" s="268">
        <v>42095</v>
      </c>
      <c r="H268" s="228" t="s">
        <v>368</v>
      </c>
      <c r="I268" s="270">
        <v>64009</v>
      </c>
      <c r="J268" s="242">
        <v>21915</v>
      </c>
      <c r="K268" s="242">
        <v>0</v>
      </c>
      <c r="L268" s="242">
        <v>21915</v>
      </c>
      <c r="M268" s="242">
        <v>672</v>
      </c>
      <c r="N268" s="242">
        <v>12758</v>
      </c>
      <c r="O268" s="242">
        <v>0</v>
      </c>
      <c r="P268" s="242">
        <v>13430</v>
      </c>
      <c r="Q268" s="242">
        <v>21915</v>
      </c>
      <c r="R268" s="242">
        <v>12759</v>
      </c>
      <c r="S268" s="250">
        <v>365</v>
      </c>
      <c r="T268" s="250">
        <v>213</v>
      </c>
      <c r="U268" s="242">
        <v>1491</v>
      </c>
      <c r="V268" s="242">
        <v>11939</v>
      </c>
      <c r="W268" s="11"/>
      <c r="X268" s="34"/>
    </row>
    <row r="269" spans="2:24" s="22" customFormat="1" ht="27">
      <c r="B269" s="15">
        <f t="shared" si="3"/>
        <v>246</v>
      </c>
      <c r="C269" s="228" t="s">
        <v>2906</v>
      </c>
      <c r="D269" s="230" t="s">
        <v>42</v>
      </c>
      <c r="E269" s="266">
        <v>37280</v>
      </c>
      <c r="F269" s="273" t="s">
        <v>2944</v>
      </c>
      <c r="G269" s="268">
        <v>42095</v>
      </c>
      <c r="H269" s="228" t="s">
        <v>368</v>
      </c>
      <c r="I269" s="270">
        <v>64009</v>
      </c>
      <c r="J269" s="242">
        <v>21915</v>
      </c>
      <c r="K269" s="242">
        <v>0</v>
      </c>
      <c r="L269" s="242">
        <v>21915</v>
      </c>
      <c r="M269" s="242">
        <v>1864</v>
      </c>
      <c r="N269" s="242">
        <v>35416</v>
      </c>
      <c r="O269" s="242">
        <v>0</v>
      </c>
      <c r="P269" s="242">
        <v>37280</v>
      </c>
      <c r="Q269" s="242">
        <v>21915</v>
      </c>
      <c r="R269" s="242">
        <v>35416</v>
      </c>
      <c r="S269" s="250">
        <v>365</v>
      </c>
      <c r="T269" s="250">
        <v>590</v>
      </c>
      <c r="U269" s="242">
        <v>4132</v>
      </c>
      <c r="V269" s="242">
        <v>33148</v>
      </c>
      <c r="W269" s="11"/>
      <c r="X269" s="34"/>
    </row>
    <row r="270" spans="2:24" s="22" customFormat="1" ht="27">
      <c r="B270" s="15">
        <f t="shared" si="3"/>
        <v>247</v>
      </c>
      <c r="C270" s="228" t="s">
        <v>2902</v>
      </c>
      <c r="D270" s="230" t="s">
        <v>42</v>
      </c>
      <c r="E270" s="266">
        <v>32865</v>
      </c>
      <c r="F270" s="273" t="s">
        <v>2944</v>
      </c>
      <c r="G270" s="268">
        <v>42095</v>
      </c>
      <c r="H270" s="228" t="s">
        <v>368</v>
      </c>
      <c r="I270" s="270">
        <v>64009</v>
      </c>
      <c r="J270" s="242">
        <v>21915</v>
      </c>
      <c r="K270" s="242">
        <v>0</v>
      </c>
      <c r="L270" s="242">
        <v>21915</v>
      </c>
      <c r="M270" s="242">
        <v>1643</v>
      </c>
      <c r="N270" s="242">
        <v>31222</v>
      </c>
      <c r="O270" s="242">
        <v>0</v>
      </c>
      <c r="P270" s="242">
        <v>32865</v>
      </c>
      <c r="Q270" s="242">
        <v>21915</v>
      </c>
      <c r="R270" s="242">
        <v>31222</v>
      </c>
      <c r="S270" s="250">
        <v>365</v>
      </c>
      <c r="T270" s="250">
        <v>520</v>
      </c>
      <c r="U270" s="242">
        <v>3642</v>
      </c>
      <c r="V270" s="242">
        <v>29223</v>
      </c>
      <c r="W270" s="11"/>
      <c r="X270" s="34"/>
    </row>
    <row r="271" spans="2:24" s="22" customFormat="1" ht="27">
      <c r="B271" s="15">
        <f t="shared" si="3"/>
        <v>248</v>
      </c>
      <c r="C271" s="228" t="s">
        <v>2899</v>
      </c>
      <c r="D271" s="230" t="s">
        <v>42</v>
      </c>
      <c r="E271" s="266">
        <v>49854</v>
      </c>
      <c r="F271" s="273" t="s">
        <v>2944</v>
      </c>
      <c r="G271" s="268">
        <v>42095</v>
      </c>
      <c r="H271" s="228" t="s">
        <v>368</v>
      </c>
      <c r="I271" s="270">
        <v>64009</v>
      </c>
      <c r="J271" s="242">
        <v>21915</v>
      </c>
      <c r="K271" s="242">
        <v>0</v>
      </c>
      <c r="L271" s="242">
        <v>21915</v>
      </c>
      <c r="M271" s="242">
        <v>2493</v>
      </c>
      <c r="N271" s="242">
        <v>47361</v>
      </c>
      <c r="O271" s="242">
        <v>0</v>
      </c>
      <c r="P271" s="242">
        <v>49854</v>
      </c>
      <c r="Q271" s="242">
        <v>21915</v>
      </c>
      <c r="R271" s="242">
        <v>47361</v>
      </c>
      <c r="S271" s="250">
        <v>365</v>
      </c>
      <c r="T271" s="250">
        <v>789</v>
      </c>
      <c r="U271" s="242">
        <v>5527</v>
      </c>
      <c r="V271" s="242">
        <v>44327</v>
      </c>
      <c r="W271" s="11"/>
      <c r="X271" s="34"/>
    </row>
    <row r="272" spans="2:24" s="22" customFormat="1" ht="27">
      <c r="B272" s="15">
        <f t="shared" si="3"/>
        <v>249</v>
      </c>
      <c r="C272" s="228" t="s">
        <v>2907</v>
      </c>
      <c r="D272" s="230" t="s">
        <v>42</v>
      </c>
      <c r="E272" s="266">
        <v>139326</v>
      </c>
      <c r="F272" s="273" t="s">
        <v>2944</v>
      </c>
      <c r="G272" s="268">
        <v>42095</v>
      </c>
      <c r="H272" s="228" t="s">
        <v>368</v>
      </c>
      <c r="I272" s="270">
        <v>64009</v>
      </c>
      <c r="J272" s="242">
        <v>21915</v>
      </c>
      <c r="K272" s="242">
        <v>0</v>
      </c>
      <c r="L272" s="242">
        <v>21915</v>
      </c>
      <c r="M272" s="242">
        <v>6966</v>
      </c>
      <c r="N272" s="242">
        <v>132360</v>
      </c>
      <c r="O272" s="242">
        <v>0</v>
      </c>
      <c r="P272" s="242">
        <v>139326</v>
      </c>
      <c r="Q272" s="242">
        <v>21915</v>
      </c>
      <c r="R272" s="242">
        <v>132360</v>
      </c>
      <c r="S272" s="250">
        <v>365</v>
      </c>
      <c r="T272" s="250">
        <v>2204</v>
      </c>
      <c r="U272" s="242">
        <v>15442</v>
      </c>
      <c r="V272" s="242">
        <v>123884</v>
      </c>
      <c r="W272" s="11"/>
      <c r="X272" s="34"/>
    </row>
    <row r="273" spans="2:24" s="22" customFormat="1" ht="27">
      <c r="B273" s="15">
        <f t="shared" si="3"/>
        <v>250</v>
      </c>
      <c r="C273" s="228" t="s">
        <v>2907</v>
      </c>
      <c r="D273" s="230" t="s">
        <v>42</v>
      </c>
      <c r="E273" s="266">
        <v>28090</v>
      </c>
      <c r="F273" s="273" t="s">
        <v>2944</v>
      </c>
      <c r="G273" s="268">
        <v>42095</v>
      </c>
      <c r="H273" s="228" t="s">
        <v>368</v>
      </c>
      <c r="I273" s="270">
        <v>64009</v>
      </c>
      <c r="J273" s="242">
        <v>21915</v>
      </c>
      <c r="K273" s="242">
        <v>0</v>
      </c>
      <c r="L273" s="242">
        <v>21915</v>
      </c>
      <c r="M273" s="242">
        <v>1405</v>
      </c>
      <c r="N273" s="242">
        <v>26685</v>
      </c>
      <c r="O273" s="242">
        <v>0</v>
      </c>
      <c r="P273" s="242">
        <v>28090</v>
      </c>
      <c r="Q273" s="242">
        <v>21915</v>
      </c>
      <c r="R273" s="242">
        <v>26686</v>
      </c>
      <c r="S273" s="250">
        <v>365</v>
      </c>
      <c r="T273" s="250">
        <v>444</v>
      </c>
      <c r="U273" s="242">
        <v>3112</v>
      </c>
      <c r="V273" s="242">
        <v>24978</v>
      </c>
      <c r="W273" s="11"/>
      <c r="X273" s="34"/>
    </row>
    <row r="274" spans="2:24" s="22" customFormat="1" ht="27">
      <c r="B274" s="15">
        <f t="shared" si="3"/>
        <v>251</v>
      </c>
      <c r="C274" s="228" t="s">
        <v>2872</v>
      </c>
      <c r="D274" s="230" t="s">
        <v>42</v>
      </c>
      <c r="E274" s="266">
        <v>1459488</v>
      </c>
      <c r="F274" s="273" t="s">
        <v>2923</v>
      </c>
      <c r="G274" s="268">
        <v>42095</v>
      </c>
      <c r="H274" s="228" t="s">
        <v>368</v>
      </c>
      <c r="I274" s="270">
        <v>64009</v>
      </c>
      <c r="J274" s="242">
        <v>21915</v>
      </c>
      <c r="K274" s="242">
        <v>0</v>
      </c>
      <c r="L274" s="242">
        <v>21915</v>
      </c>
      <c r="M274" s="242">
        <v>72974</v>
      </c>
      <c r="N274" s="242">
        <v>1386514</v>
      </c>
      <c r="O274" s="242">
        <v>0</v>
      </c>
      <c r="P274" s="242">
        <v>1459488</v>
      </c>
      <c r="Q274" s="242">
        <v>21915</v>
      </c>
      <c r="R274" s="242">
        <v>1386514</v>
      </c>
      <c r="S274" s="250">
        <v>365</v>
      </c>
      <c r="T274" s="250">
        <v>23093</v>
      </c>
      <c r="U274" s="242">
        <v>161777</v>
      </c>
      <c r="V274" s="242">
        <v>1297711</v>
      </c>
      <c r="W274" s="11"/>
      <c r="X274" s="34"/>
    </row>
    <row r="275" spans="2:24" s="22" customFormat="1">
      <c r="B275" s="15">
        <f t="shared" si="3"/>
        <v>252</v>
      </c>
      <c r="C275" s="228" t="s">
        <v>2873</v>
      </c>
      <c r="D275" s="230" t="s">
        <v>42</v>
      </c>
      <c r="E275" s="266">
        <v>58427</v>
      </c>
      <c r="F275" s="273" t="s">
        <v>2944</v>
      </c>
      <c r="G275" s="268">
        <v>42095</v>
      </c>
      <c r="H275" s="228" t="s">
        <v>368</v>
      </c>
      <c r="I275" s="270">
        <v>64009</v>
      </c>
      <c r="J275" s="242">
        <v>21915</v>
      </c>
      <c r="K275" s="242">
        <v>0</v>
      </c>
      <c r="L275" s="242">
        <v>21915</v>
      </c>
      <c r="M275" s="242">
        <v>2921</v>
      </c>
      <c r="N275" s="242">
        <v>55506</v>
      </c>
      <c r="O275" s="242">
        <v>0</v>
      </c>
      <c r="P275" s="242">
        <v>58427</v>
      </c>
      <c r="Q275" s="242">
        <v>21915</v>
      </c>
      <c r="R275" s="242">
        <v>55506</v>
      </c>
      <c r="S275" s="250">
        <v>365</v>
      </c>
      <c r="T275" s="250">
        <v>924</v>
      </c>
      <c r="U275" s="242">
        <v>6474</v>
      </c>
      <c r="V275" s="242">
        <v>51953</v>
      </c>
      <c r="W275" s="11"/>
      <c r="X275" s="34"/>
    </row>
    <row r="276" spans="2:24" s="22" customFormat="1">
      <c r="B276" s="15">
        <f t="shared" si="3"/>
        <v>253</v>
      </c>
      <c r="C276" s="228" t="s">
        <v>2873</v>
      </c>
      <c r="D276" s="230" t="s">
        <v>42</v>
      </c>
      <c r="E276" s="266">
        <v>19805</v>
      </c>
      <c r="F276" s="273" t="s">
        <v>2946</v>
      </c>
      <c r="G276" s="268">
        <v>42095</v>
      </c>
      <c r="H276" s="228" t="s">
        <v>368</v>
      </c>
      <c r="I276" s="270">
        <v>64009</v>
      </c>
      <c r="J276" s="242">
        <v>21915</v>
      </c>
      <c r="K276" s="242">
        <v>0</v>
      </c>
      <c r="L276" s="242">
        <v>21915</v>
      </c>
      <c r="M276" s="242">
        <v>990</v>
      </c>
      <c r="N276" s="242">
        <v>18815</v>
      </c>
      <c r="O276" s="242">
        <v>0</v>
      </c>
      <c r="P276" s="242">
        <v>19805</v>
      </c>
      <c r="Q276" s="242">
        <v>21915</v>
      </c>
      <c r="R276" s="242">
        <v>18815</v>
      </c>
      <c r="S276" s="250">
        <v>365</v>
      </c>
      <c r="T276" s="250">
        <v>313</v>
      </c>
      <c r="U276" s="242">
        <v>2193</v>
      </c>
      <c r="V276" s="242">
        <v>17612</v>
      </c>
      <c r="W276" s="11"/>
      <c r="X276" s="34"/>
    </row>
    <row r="277" spans="2:24" s="22" customFormat="1">
      <c r="B277" s="15">
        <f t="shared" si="3"/>
        <v>254</v>
      </c>
      <c r="C277" s="228" t="s">
        <v>2873</v>
      </c>
      <c r="D277" s="230" t="s">
        <v>42</v>
      </c>
      <c r="E277" s="266">
        <v>214264</v>
      </c>
      <c r="F277" s="273" t="s">
        <v>2923</v>
      </c>
      <c r="G277" s="268">
        <v>42095</v>
      </c>
      <c r="H277" s="228" t="s">
        <v>368</v>
      </c>
      <c r="I277" s="270">
        <v>64009</v>
      </c>
      <c r="J277" s="242">
        <v>21915</v>
      </c>
      <c r="K277" s="242">
        <v>0</v>
      </c>
      <c r="L277" s="242">
        <v>21915</v>
      </c>
      <c r="M277" s="242">
        <v>10713</v>
      </c>
      <c r="N277" s="242">
        <v>203551</v>
      </c>
      <c r="O277" s="242">
        <v>0</v>
      </c>
      <c r="P277" s="242">
        <v>214264</v>
      </c>
      <c r="Q277" s="242">
        <v>21915</v>
      </c>
      <c r="R277" s="242">
        <v>203551</v>
      </c>
      <c r="S277" s="250">
        <v>365</v>
      </c>
      <c r="T277" s="250">
        <v>3390</v>
      </c>
      <c r="U277" s="242">
        <v>23748</v>
      </c>
      <c r="V277" s="242">
        <v>190516</v>
      </c>
      <c r="W277" s="11"/>
      <c r="X277" s="34"/>
    </row>
    <row r="278" spans="2:24" s="22" customFormat="1" ht="27">
      <c r="B278" s="15">
        <f t="shared" si="3"/>
        <v>255</v>
      </c>
      <c r="C278" s="228" t="s">
        <v>2907</v>
      </c>
      <c r="D278" s="230" t="s">
        <v>42</v>
      </c>
      <c r="E278" s="266">
        <v>28090</v>
      </c>
      <c r="F278" s="273" t="s">
        <v>2947</v>
      </c>
      <c r="G278" s="268">
        <v>42095</v>
      </c>
      <c r="H278" s="228" t="s">
        <v>368</v>
      </c>
      <c r="I278" s="270">
        <v>64009</v>
      </c>
      <c r="J278" s="242">
        <v>21915</v>
      </c>
      <c r="K278" s="242">
        <v>0</v>
      </c>
      <c r="L278" s="242">
        <v>21915</v>
      </c>
      <c r="M278" s="242">
        <v>1405</v>
      </c>
      <c r="N278" s="242">
        <v>26685</v>
      </c>
      <c r="O278" s="242">
        <v>0</v>
      </c>
      <c r="P278" s="242">
        <v>28090</v>
      </c>
      <c r="Q278" s="242">
        <v>21915</v>
      </c>
      <c r="R278" s="242">
        <v>26686</v>
      </c>
      <c r="S278" s="250">
        <v>365</v>
      </c>
      <c r="T278" s="250">
        <v>444</v>
      </c>
      <c r="U278" s="242">
        <v>3112</v>
      </c>
      <c r="V278" s="242">
        <v>24978</v>
      </c>
      <c r="W278" s="11"/>
      <c r="X278" s="34"/>
    </row>
    <row r="279" spans="2:24" s="22" customFormat="1" ht="27">
      <c r="B279" s="15">
        <f t="shared" si="3"/>
        <v>256</v>
      </c>
      <c r="C279" s="228" t="s">
        <v>2880</v>
      </c>
      <c r="D279" s="230" t="s">
        <v>42</v>
      </c>
      <c r="E279" s="266">
        <v>292964</v>
      </c>
      <c r="F279" s="273" t="s">
        <v>2923</v>
      </c>
      <c r="G279" s="268">
        <v>42095</v>
      </c>
      <c r="H279" s="228" t="s">
        <v>368</v>
      </c>
      <c r="I279" s="270">
        <v>64009</v>
      </c>
      <c r="J279" s="242">
        <v>21915</v>
      </c>
      <c r="K279" s="242">
        <v>0</v>
      </c>
      <c r="L279" s="242">
        <v>21915</v>
      </c>
      <c r="M279" s="242">
        <v>14648</v>
      </c>
      <c r="N279" s="242">
        <v>278316</v>
      </c>
      <c r="O279" s="242">
        <v>0</v>
      </c>
      <c r="P279" s="242">
        <v>292964</v>
      </c>
      <c r="Q279" s="242">
        <v>21915</v>
      </c>
      <c r="R279" s="242">
        <v>278316</v>
      </c>
      <c r="S279" s="250">
        <v>365</v>
      </c>
      <c r="T279" s="250">
        <v>4635</v>
      </c>
      <c r="U279" s="242">
        <v>32471</v>
      </c>
      <c r="V279" s="242">
        <v>260493</v>
      </c>
      <c r="W279" s="11"/>
      <c r="X279" s="34"/>
    </row>
    <row r="280" spans="2:24" s="22" customFormat="1" ht="27">
      <c r="B280" s="15">
        <f t="shared" si="3"/>
        <v>257</v>
      </c>
      <c r="C280" s="228" t="s">
        <v>2880</v>
      </c>
      <c r="D280" s="230" t="s">
        <v>42</v>
      </c>
      <c r="E280" s="266">
        <v>39221</v>
      </c>
      <c r="F280" s="273" t="s">
        <v>2945</v>
      </c>
      <c r="G280" s="268">
        <v>42095</v>
      </c>
      <c r="H280" s="228" t="s">
        <v>368</v>
      </c>
      <c r="I280" s="270">
        <v>64009</v>
      </c>
      <c r="J280" s="242">
        <v>21915</v>
      </c>
      <c r="K280" s="242">
        <v>0</v>
      </c>
      <c r="L280" s="242">
        <v>21915</v>
      </c>
      <c r="M280" s="242">
        <v>1961</v>
      </c>
      <c r="N280" s="242">
        <v>37260</v>
      </c>
      <c r="O280" s="242">
        <v>0</v>
      </c>
      <c r="P280" s="242">
        <v>39221</v>
      </c>
      <c r="Q280" s="242">
        <v>21915</v>
      </c>
      <c r="R280" s="242">
        <v>37260</v>
      </c>
      <c r="S280" s="250">
        <v>365</v>
      </c>
      <c r="T280" s="250">
        <v>621</v>
      </c>
      <c r="U280" s="242">
        <v>4349</v>
      </c>
      <c r="V280" s="242">
        <v>34872</v>
      </c>
      <c r="W280" s="11"/>
      <c r="X280" s="34"/>
    </row>
    <row r="281" spans="2:24" s="22" customFormat="1" ht="27">
      <c r="B281" s="15">
        <f t="shared" si="3"/>
        <v>258</v>
      </c>
      <c r="C281" s="228" t="s">
        <v>2880</v>
      </c>
      <c r="D281" s="230" t="s">
        <v>42</v>
      </c>
      <c r="E281" s="266">
        <v>891755</v>
      </c>
      <c r="F281" s="273" t="s">
        <v>2923</v>
      </c>
      <c r="G281" s="268">
        <v>42095</v>
      </c>
      <c r="H281" s="228" t="s">
        <v>368</v>
      </c>
      <c r="I281" s="270">
        <v>64009</v>
      </c>
      <c r="J281" s="242">
        <v>21915</v>
      </c>
      <c r="K281" s="242">
        <v>0</v>
      </c>
      <c r="L281" s="242">
        <v>21915</v>
      </c>
      <c r="M281" s="242">
        <v>44588</v>
      </c>
      <c r="N281" s="242">
        <v>847167</v>
      </c>
      <c r="O281" s="242">
        <v>0</v>
      </c>
      <c r="P281" s="242">
        <v>891755</v>
      </c>
      <c r="Q281" s="242">
        <v>21915</v>
      </c>
      <c r="R281" s="242">
        <v>847167</v>
      </c>
      <c r="S281" s="250">
        <v>365</v>
      </c>
      <c r="T281" s="250">
        <v>14110</v>
      </c>
      <c r="U281" s="242">
        <v>98846</v>
      </c>
      <c r="V281" s="242">
        <v>792909</v>
      </c>
      <c r="W281" s="11"/>
      <c r="X281" s="34"/>
    </row>
    <row r="282" spans="2:24" s="22" customFormat="1" ht="27">
      <c r="B282" s="15">
        <f t="shared" ref="B282:B308" si="4">+B281+1</f>
        <v>259</v>
      </c>
      <c r="C282" s="228" t="s">
        <v>2881</v>
      </c>
      <c r="D282" s="230" t="s">
        <v>42</v>
      </c>
      <c r="E282" s="266">
        <f>306943-240618</f>
        <v>66325</v>
      </c>
      <c r="F282" s="273"/>
      <c r="G282" s="268">
        <v>42095</v>
      </c>
      <c r="H282" s="228" t="s">
        <v>368</v>
      </c>
      <c r="I282" s="270">
        <v>64009</v>
      </c>
      <c r="J282" s="242">
        <v>21915</v>
      </c>
      <c r="K282" s="242">
        <v>0</v>
      </c>
      <c r="L282" s="242">
        <v>21915</v>
      </c>
      <c r="M282" s="242">
        <v>3316</v>
      </c>
      <c r="N282" s="242">
        <v>63009</v>
      </c>
      <c r="O282" s="242">
        <v>0</v>
      </c>
      <c r="P282" s="242">
        <v>66325</v>
      </c>
      <c r="Q282" s="242">
        <v>21915</v>
      </c>
      <c r="R282" s="242">
        <v>63009</v>
      </c>
      <c r="S282" s="250">
        <v>365</v>
      </c>
      <c r="T282" s="250">
        <v>1049</v>
      </c>
      <c r="U282" s="242">
        <v>7349</v>
      </c>
      <c r="V282" s="242">
        <v>58976</v>
      </c>
      <c r="W282" s="11"/>
      <c r="X282" s="34"/>
    </row>
    <row r="283" spans="2:24" s="22" customFormat="1" ht="27">
      <c r="B283" s="15">
        <f t="shared" si="4"/>
        <v>260</v>
      </c>
      <c r="C283" s="228" t="s">
        <v>2908</v>
      </c>
      <c r="D283" s="230" t="s">
        <v>42</v>
      </c>
      <c r="E283" s="266">
        <v>40300</v>
      </c>
      <c r="F283" s="273" t="s">
        <v>2948</v>
      </c>
      <c r="G283" s="268">
        <v>42095</v>
      </c>
      <c r="H283" s="228" t="s">
        <v>368</v>
      </c>
      <c r="I283" s="270">
        <v>64009</v>
      </c>
      <c r="J283" s="242">
        <v>21915</v>
      </c>
      <c r="K283" s="242">
        <v>0</v>
      </c>
      <c r="L283" s="242">
        <v>21915</v>
      </c>
      <c r="M283" s="242">
        <v>2015</v>
      </c>
      <c r="N283" s="242">
        <v>38285</v>
      </c>
      <c r="O283" s="242">
        <v>0</v>
      </c>
      <c r="P283" s="242">
        <v>40300</v>
      </c>
      <c r="Q283" s="242">
        <v>21915</v>
      </c>
      <c r="R283" s="242">
        <v>38285</v>
      </c>
      <c r="S283" s="250">
        <v>365</v>
      </c>
      <c r="T283" s="250">
        <v>638</v>
      </c>
      <c r="U283" s="242">
        <v>4468</v>
      </c>
      <c r="V283" s="242">
        <v>35832</v>
      </c>
      <c r="W283" s="11"/>
      <c r="X283" s="34"/>
    </row>
    <row r="284" spans="2:24" s="22" customFormat="1" ht="27">
      <c r="B284" s="15">
        <f t="shared" si="4"/>
        <v>261</v>
      </c>
      <c r="C284" s="228" t="s">
        <v>2909</v>
      </c>
      <c r="D284" s="230" t="s">
        <v>42</v>
      </c>
      <c r="E284" s="266">
        <v>122557</v>
      </c>
      <c r="F284" s="273" t="s">
        <v>2919</v>
      </c>
      <c r="G284" s="268">
        <v>42095</v>
      </c>
      <c r="H284" s="228" t="s">
        <v>368</v>
      </c>
      <c r="I284" s="270">
        <v>64009</v>
      </c>
      <c r="J284" s="242">
        <v>21915</v>
      </c>
      <c r="K284" s="242">
        <v>0</v>
      </c>
      <c r="L284" s="242">
        <v>21915</v>
      </c>
      <c r="M284" s="242">
        <v>6128</v>
      </c>
      <c r="N284" s="242">
        <v>116429</v>
      </c>
      <c r="O284" s="242">
        <v>0</v>
      </c>
      <c r="P284" s="242">
        <v>122557</v>
      </c>
      <c r="Q284" s="242">
        <v>21915</v>
      </c>
      <c r="R284" s="242">
        <v>116429</v>
      </c>
      <c r="S284" s="250">
        <v>365</v>
      </c>
      <c r="T284" s="250">
        <v>1939</v>
      </c>
      <c r="U284" s="242">
        <v>13583</v>
      </c>
      <c r="V284" s="242">
        <v>108974</v>
      </c>
      <c r="W284" s="11"/>
      <c r="X284" s="34"/>
    </row>
    <row r="285" spans="2:24" s="22" customFormat="1">
      <c r="B285" s="15">
        <f t="shared" si="4"/>
        <v>262</v>
      </c>
      <c r="C285" s="228" t="s">
        <v>2910</v>
      </c>
      <c r="D285" s="230" t="s">
        <v>42</v>
      </c>
      <c r="E285" s="266">
        <v>3857</v>
      </c>
      <c r="F285" s="273" t="s">
        <v>2948</v>
      </c>
      <c r="G285" s="268">
        <v>42095</v>
      </c>
      <c r="H285" s="228" t="s">
        <v>368</v>
      </c>
      <c r="I285" s="270">
        <v>64009</v>
      </c>
      <c r="J285" s="242">
        <v>21915</v>
      </c>
      <c r="K285" s="242">
        <v>0</v>
      </c>
      <c r="L285" s="242">
        <v>21915</v>
      </c>
      <c r="M285" s="242">
        <v>193</v>
      </c>
      <c r="N285" s="242">
        <v>3664</v>
      </c>
      <c r="O285" s="242">
        <v>0</v>
      </c>
      <c r="P285" s="242">
        <v>3857</v>
      </c>
      <c r="Q285" s="242">
        <v>21915</v>
      </c>
      <c r="R285" s="242">
        <v>3664</v>
      </c>
      <c r="S285" s="250">
        <v>365</v>
      </c>
      <c r="T285" s="250">
        <v>61</v>
      </c>
      <c r="U285" s="242">
        <v>427</v>
      </c>
      <c r="V285" s="242">
        <v>3430</v>
      </c>
      <c r="W285" s="11"/>
      <c r="X285" s="34"/>
    </row>
    <row r="286" spans="2:24" s="22" customFormat="1" ht="27">
      <c r="B286" s="15">
        <f t="shared" si="4"/>
        <v>263</v>
      </c>
      <c r="C286" s="228" t="s">
        <v>2911</v>
      </c>
      <c r="D286" s="230" t="s">
        <v>42</v>
      </c>
      <c r="E286" s="266">
        <v>9240</v>
      </c>
      <c r="F286" s="273">
        <v>218</v>
      </c>
      <c r="G286" s="268">
        <v>42095</v>
      </c>
      <c r="H286" s="228" t="s">
        <v>368</v>
      </c>
      <c r="I286" s="270">
        <v>64009</v>
      </c>
      <c r="J286" s="242">
        <v>21915</v>
      </c>
      <c r="K286" s="242">
        <v>0</v>
      </c>
      <c r="L286" s="242">
        <v>21915</v>
      </c>
      <c r="M286" s="242">
        <v>462</v>
      </c>
      <c r="N286" s="242">
        <v>8778</v>
      </c>
      <c r="O286" s="242">
        <v>0</v>
      </c>
      <c r="P286" s="242">
        <v>9240</v>
      </c>
      <c r="Q286" s="242">
        <v>21915</v>
      </c>
      <c r="R286" s="242">
        <v>8778</v>
      </c>
      <c r="S286" s="250">
        <v>365</v>
      </c>
      <c r="T286" s="250">
        <v>146</v>
      </c>
      <c r="U286" s="242">
        <v>1024</v>
      </c>
      <c r="V286" s="242">
        <v>8216</v>
      </c>
      <c r="W286" s="11"/>
      <c r="X286" s="34"/>
    </row>
    <row r="287" spans="2:24" s="22" customFormat="1">
      <c r="B287" s="15">
        <f t="shared" si="4"/>
        <v>264</v>
      </c>
      <c r="C287" s="228" t="s">
        <v>2878</v>
      </c>
      <c r="D287" s="230" t="s">
        <v>42</v>
      </c>
      <c r="E287" s="266">
        <v>83064</v>
      </c>
      <c r="F287" s="273" t="s">
        <v>3944</v>
      </c>
      <c r="G287" s="268">
        <v>42825</v>
      </c>
      <c r="H287" s="228" t="s">
        <v>368</v>
      </c>
      <c r="I287" s="270">
        <v>64739</v>
      </c>
      <c r="J287" s="242">
        <v>21915</v>
      </c>
      <c r="K287" s="242">
        <v>0</v>
      </c>
      <c r="L287" s="242">
        <v>21915</v>
      </c>
      <c r="M287" s="242">
        <v>4153</v>
      </c>
      <c r="N287" s="242">
        <v>78911</v>
      </c>
      <c r="O287" s="242">
        <v>0</v>
      </c>
      <c r="P287" s="242">
        <v>83064</v>
      </c>
      <c r="Q287" s="242">
        <v>21915</v>
      </c>
      <c r="R287" s="242">
        <v>78911</v>
      </c>
      <c r="S287" s="250">
        <v>365</v>
      </c>
      <c r="T287" s="250">
        <v>1314</v>
      </c>
      <c r="U287" s="242">
        <v>6578</v>
      </c>
      <c r="V287" s="242">
        <v>76486</v>
      </c>
      <c r="W287" s="11"/>
      <c r="X287" s="34"/>
    </row>
    <row r="288" spans="2:24" s="22" customFormat="1">
      <c r="B288" s="15">
        <f t="shared" si="4"/>
        <v>265</v>
      </c>
      <c r="C288" s="228" t="s">
        <v>2878</v>
      </c>
      <c r="D288" s="230" t="s">
        <v>42</v>
      </c>
      <c r="E288" s="266">
        <v>301945</v>
      </c>
      <c r="F288" s="273" t="s">
        <v>3945</v>
      </c>
      <c r="G288" s="268">
        <v>42825</v>
      </c>
      <c r="H288" s="228" t="s">
        <v>368</v>
      </c>
      <c r="I288" s="270">
        <v>64739</v>
      </c>
      <c r="J288" s="242">
        <v>21915</v>
      </c>
      <c r="K288" s="242">
        <v>0</v>
      </c>
      <c r="L288" s="242">
        <v>21915</v>
      </c>
      <c r="M288" s="242">
        <v>15097</v>
      </c>
      <c r="N288" s="242">
        <v>286848</v>
      </c>
      <c r="O288" s="242">
        <v>0</v>
      </c>
      <c r="P288" s="242">
        <v>301945</v>
      </c>
      <c r="Q288" s="242">
        <v>21915</v>
      </c>
      <c r="R288" s="242">
        <v>286848</v>
      </c>
      <c r="S288" s="250">
        <v>365</v>
      </c>
      <c r="T288" s="250">
        <v>4778</v>
      </c>
      <c r="U288" s="242">
        <v>23916</v>
      </c>
      <c r="V288" s="242">
        <v>278029</v>
      </c>
      <c r="W288" s="11"/>
      <c r="X288" s="34"/>
    </row>
    <row r="289" spans="2:24" s="22" customFormat="1" ht="27">
      <c r="B289" s="15">
        <f t="shared" si="4"/>
        <v>266</v>
      </c>
      <c r="C289" s="228" t="s">
        <v>2879</v>
      </c>
      <c r="D289" s="230" t="s">
        <v>42</v>
      </c>
      <c r="E289" s="266">
        <v>96871</v>
      </c>
      <c r="F289" s="273" t="s">
        <v>3947</v>
      </c>
      <c r="G289" s="268">
        <v>42825</v>
      </c>
      <c r="H289" s="228" t="s">
        <v>368</v>
      </c>
      <c r="I289" s="270">
        <v>64739</v>
      </c>
      <c r="J289" s="242">
        <v>21915</v>
      </c>
      <c r="K289" s="242">
        <v>0</v>
      </c>
      <c r="L289" s="242">
        <v>21915</v>
      </c>
      <c r="M289" s="242">
        <v>4844</v>
      </c>
      <c r="N289" s="242">
        <v>92027</v>
      </c>
      <c r="O289" s="242">
        <v>0</v>
      </c>
      <c r="P289" s="242">
        <v>96871</v>
      </c>
      <c r="Q289" s="242">
        <v>21915</v>
      </c>
      <c r="R289" s="242">
        <v>92027</v>
      </c>
      <c r="S289" s="250">
        <v>365</v>
      </c>
      <c r="T289" s="250">
        <v>1533</v>
      </c>
      <c r="U289" s="242">
        <v>7673</v>
      </c>
      <c r="V289" s="242">
        <v>89198</v>
      </c>
      <c r="W289" s="11"/>
      <c r="X289" s="34"/>
    </row>
    <row r="290" spans="2:24" s="22" customFormat="1" ht="27">
      <c r="B290" s="15">
        <f t="shared" si="4"/>
        <v>267</v>
      </c>
      <c r="C290" s="228" t="s">
        <v>2872</v>
      </c>
      <c r="D290" s="230" t="s">
        <v>42</v>
      </c>
      <c r="E290" s="266">
        <v>237146</v>
      </c>
      <c r="F290" s="273" t="s">
        <v>3948</v>
      </c>
      <c r="G290" s="268">
        <v>42825</v>
      </c>
      <c r="H290" s="228" t="s">
        <v>368</v>
      </c>
      <c r="I290" s="270">
        <v>64739</v>
      </c>
      <c r="J290" s="242">
        <v>21915</v>
      </c>
      <c r="K290" s="242">
        <v>0</v>
      </c>
      <c r="L290" s="242">
        <v>21915</v>
      </c>
      <c r="M290" s="242">
        <v>11857</v>
      </c>
      <c r="N290" s="242">
        <v>225289</v>
      </c>
      <c r="O290" s="242">
        <v>0</v>
      </c>
      <c r="P290" s="242">
        <v>237146</v>
      </c>
      <c r="Q290" s="242">
        <v>21915</v>
      </c>
      <c r="R290" s="242">
        <v>225289</v>
      </c>
      <c r="S290" s="250">
        <v>365</v>
      </c>
      <c r="T290" s="250">
        <v>3752</v>
      </c>
      <c r="U290" s="242">
        <v>18781</v>
      </c>
      <c r="V290" s="242">
        <v>218365</v>
      </c>
      <c r="W290" s="11"/>
      <c r="X290" s="34"/>
    </row>
    <row r="291" spans="2:24" s="22" customFormat="1" ht="27">
      <c r="B291" s="15">
        <f t="shared" si="4"/>
        <v>268</v>
      </c>
      <c r="C291" s="228" t="s">
        <v>2873</v>
      </c>
      <c r="D291" s="230" t="s">
        <v>42</v>
      </c>
      <c r="E291" s="266">
        <v>13964</v>
      </c>
      <c r="F291" s="273" t="s">
        <v>3949</v>
      </c>
      <c r="G291" s="268">
        <v>42825</v>
      </c>
      <c r="H291" s="228" t="s">
        <v>368</v>
      </c>
      <c r="I291" s="270">
        <v>64739</v>
      </c>
      <c r="J291" s="242">
        <v>21915</v>
      </c>
      <c r="K291" s="242">
        <v>0</v>
      </c>
      <c r="L291" s="242">
        <v>21915</v>
      </c>
      <c r="M291" s="242">
        <v>698</v>
      </c>
      <c r="N291" s="242">
        <v>13266</v>
      </c>
      <c r="O291" s="242">
        <v>0</v>
      </c>
      <c r="P291" s="242">
        <v>13964</v>
      </c>
      <c r="Q291" s="242">
        <v>21915</v>
      </c>
      <c r="R291" s="242">
        <v>13266</v>
      </c>
      <c r="S291" s="250">
        <v>365</v>
      </c>
      <c r="T291" s="250">
        <v>221</v>
      </c>
      <c r="U291" s="242">
        <v>1107</v>
      </c>
      <c r="V291" s="242">
        <v>12857</v>
      </c>
      <c r="W291" s="11"/>
      <c r="X291" s="34"/>
    </row>
    <row r="292" spans="2:24" s="22" customFormat="1" ht="27">
      <c r="B292" s="15">
        <f t="shared" si="4"/>
        <v>269</v>
      </c>
      <c r="C292" s="228" t="s">
        <v>2879</v>
      </c>
      <c r="D292" s="230" t="s">
        <v>42</v>
      </c>
      <c r="E292" s="266">
        <v>467615</v>
      </c>
      <c r="F292" s="273" t="s">
        <v>3950</v>
      </c>
      <c r="G292" s="268">
        <v>42825</v>
      </c>
      <c r="H292" s="228" t="s">
        <v>368</v>
      </c>
      <c r="I292" s="270">
        <v>64739</v>
      </c>
      <c r="J292" s="242">
        <v>21915</v>
      </c>
      <c r="K292" s="242">
        <v>0</v>
      </c>
      <c r="L292" s="242">
        <v>21915</v>
      </c>
      <c r="M292" s="242">
        <v>23381</v>
      </c>
      <c r="N292" s="242">
        <v>444234</v>
      </c>
      <c r="O292" s="242">
        <v>0</v>
      </c>
      <c r="P292" s="242">
        <v>467615</v>
      </c>
      <c r="Q292" s="242">
        <v>21915</v>
      </c>
      <c r="R292" s="242">
        <v>444234</v>
      </c>
      <c r="S292" s="250">
        <v>365</v>
      </c>
      <c r="T292" s="250">
        <v>7399</v>
      </c>
      <c r="U292" s="242">
        <v>37035</v>
      </c>
      <c r="V292" s="242">
        <v>430580</v>
      </c>
      <c r="W292" s="11"/>
      <c r="X292" s="34"/>
    </row>
    <row r="293" spans="2:24" s="22" customFormat="1" ht="27">
      <c r="B293" s="15">
        <f t="shared" si="4"/>
        <v>270</v>
      </c>
      <c r="C293" s="228" t="s">
        <v>2880</v>
      </c>
      <c r="D293" s="230" t="s">
        <v>42</v>
      </c>
      <c r="E293" s="266">
        <v>680552</v>
      </c>
      <c r="F293" s="273" t="s">
        <v>3951</v>
      </c>
      <c r="G293" s="268">
        <v>42825</v>
      </c>
      <c r="H293" s="228" t="s">
        <v>368</v>
      </c>
      <c r="I293" s="270">
        <v>64739</v>
      </c>
      <c r="J293" s="242">
        <v>21915</v>
      </c>
      <c r="K293" s="242">
        <v>0</v>
      </c>
      <c r="L293" s="242">
        <v>21915</v>
      </c>
      <c r="M293" s="242">
        <v>34028</v>
      </c>
      <c r="N293" s="242">
        <v>646524</v>
      </c>
      <c r="O293" s="242">
        <v>0</v>
      </c>
      <c r="P293" s="242">
        <v>680552</v>
      </c>
      <c r="Q293" s="242">
        <v>21915</v>
      </c>
      <c r="R293" s="242">
        <v>646524</v>
      </c>
      <c r="S293" s="250">
        <v>365</v>
      </c>
      <c r="T293" s="250">
        <v>10768</v>
      </c>
      <c r="U293" s="242">
        <v>53900</v>
      </c>
      <c r="V293" s="242">
        <v>626652</v>
      </c>
      <c r="W293" s="11"/>
      <c r="X293" s="34"/>
    </row>
    <row r="294" spans="2:24" s="22" customFormat="1">
      <c r="B294" s="15">
        <f t="shared" si="4"/>
        <v>271</v>
      </c>
      <c r="C294" s="228" t="s">
        <v>2878</v>
      </c>
      <c r="D294" s="230" t="s">
        <v>42</v>
      </c>
      <c r="E294" s="266">
        <v>286370</v>
      </c>
      <c r="F294" s="273" t="s">
        <v>3952</v>
      </c>
      <c r="G294" s="268">
        <v>42825</v>
      </c>
      <c r="H294" s="228" t="s">
        <v>368</v>
      </c>
      <c r="I294" s="270">
        <v>64739</v>
      </c>
      <c r="J294" s="242">
        <v>21915</v>
      </c>
      <c r="K294" s="242">
        <v>0</v>
      </c>
      <c r="L294" s="242">
        <v>21915</v>
      </c>
      <c r="M294" s="242">
        <v>14319</v>
      </c>
      <c r="N294" s="242">
        <v>272051</v>
      </c>
      <c r="O294" s="242">
        <v>0</v>
      </c>
      <c r="P294" s="242">
        <v>286370</v>
      </c>
      <c r="Q294" s="242">
        <v>21915</v>
      </c>
      <c r="R294" s="242">
        <v>272052</v>
      </c>
      <c r="S294" s="250">
        <v>365</v>
      </c>
      <c r="T294" s="250">
        <v>4531</v>
      </c>
      <c r="U294" s="242">
        <v>22680</v>
      </c>
      <c r="V294" s="242">
        <v>263690</v>
      </c>
      <c r="W294" s="11"/>
      <c r="X294" s="34"/>
    </row>
    <row r="295" spans="2:24" s="22" customFormat="1" ht="27">
      <c r="B295" s="15">
        <f t="shared" si="4"/>
        <v>272</v>
      </c>
      <c r="C295" s="228" t="s">
        <v>2880</v>
      </c>
      <c r="D295" s="230" t="s">
        <v>42</v>
      </c>
      <c r="E295" s="266">
        <v>720997</v>
      </c>
      <c r="F295" s="273" t="s">
        <v>3946</v>
      </c>
      <c r="G295" s="268">
        <v>42825</v>
      </c>
      <c r="H295" s="228" t="s">
        <v>368</v>
      </c>
      <c r="I295" s="270">
        <v>64739</v>
      </c>
      <c r="J295" s="242">
        <v>21915</v>
      </c>
      <c r="K295" s="242">
        <v>0</v>
      </c>
      <c r="L295" s="242">
        <v>21915</v>
      </c>
      <c r="M295" s="242">
        <v>36050</v>
      </c>
      <c r="N295" s="242">
        <v>684947</v>
      </c>
      <c r="O295" s="242">
        <v>0</v>
      </c>
      <c r="P295" s="242">
        <v>720997</v>
      </c>
      <c r="Q295" s="242">
        <v>21915</v>
      </c>
      <c r="R295" s="242">
        <v>684947</v>
      </c>
      <c r="S295" s="250">
        <v>365</v>
      </c>
      <c r="T295" s="250">
        <v>11408</v>
      </c>
      <c r="U295" s="242">
        <v>57102</v>
      </c>
      <c r="V295" s="242">
        <v>663895</v>
      </c>
      <c r="W295" s="11"/>
      <c r="X295" s="34"/>
    </row>
    <row r="296" spans="2:24" s="22" customFormat="1" ht="27">
      <c r="B296" s="15">
        <f t="shared" si="4"/>
        <v>273</v>
      </c>
      <c r="C296" s="228" t="s">
        <v>2880</v>
      </c>
      <c r="D296" s="230" t="s">
        <v>42</v>
      </c>
      <c r="E296" s="266">
        <v>118572</v>
      </c>
      <c r="F296" s="273" t="s">
        <v>3953</v>
      </c>
      <c r="G296" s="268">
        <v>42825</v>
      </c>
      <c r="H296" s="228" t="s">
        <v>368</v>
      </c>
      <c r="I296" s="270">
        <v>64739</v>
      </c>
      <c r="J296" s="242">
        <v>21915</v>
      </c>
      <c r="K296" s="242">
        <v>0</v>
      </c>
      <c r="L296" s="242">
        <v>21915</v>
      </c>
      <c r="M296" s="242">
        <v>5929</v>
      </c>
      <c r="N296" s="242">
        <v>112643</v>
      </c>
      <c r="O296" s="242">
        <v>0</v>
      </c>
      <c r="P296" s="242">
        <v>118572</v>
      </c>
      <c r="Q296" s="242">
        <v>21915</v>
      </c>
      <c r="R296" s="242">
        <v>112643</v>
      </c>
      <c r="S296" s="250">
        <v>365</v>
      </c>
      <c r="T296" s="250">
        <v>1876</v>
      </c>
      <c r="U296" s="242">
        <v>9390</v>
      </c>
      <c r="V296" s="242">
        <v>109182</v>
      </c>
      <c r="W296" s="11"/>
      <c r="X296" s="34"/>
    </row>
    <row r="297" spans="2:24" s="22" customFormat="1" ht="27">
      <c r="B297" s="15">
        <f t="shared" si="4"/>
        <v>274</v>
      </c>
      <c r="C297" s="228" t="s">
        <v>2872</v>
      </c>
      <c r="D297" s="230" t="s">
        <v>42</v>
      </c>
      <c r="E297" s="266">
        <v>80760</v>
      </c>
      <c r="F297" s="273" t="s">
        <v>3954</v>
      </c>
      <c r="G297" s="268">
        <v>42825</v>
      </c>
      <c r="H297" s="228" t="s">
        <v>368</v>
      </c>
      <c r="I297" s="270">
        <v>64739</v>
      </c>
      <c r="J297" s="242">
        <v>21915</v>
      </c>
      <c r="K297" s="242">
        <v>0</v>
      </c>
      <c r="L297" s="242">
        <v>21915</v>
      </c>
      <c r="M297" s="242">
        <v>4038</v>
      </c>
      <c r="N297" s="242">
        <v>76722</v>
      </c>
      <c r="O297" s="242">
        <v>0</v>
      </c>
      <c r="P297" s="242">
        <v>80760</v>
      </c>
      <c r="Q297" s="242">
        <v>21915</v>
      </c>
      <c r="R297" s="242">
        <v>76722</v>
      </c>
      <c r="S297" s="250">
        <v>365</v>
      </c>
      <c r="T297" s="250">
        <v>1278</v>
      </c>
      <c r="U297" s="242">
        <v>6397</v>
      </c>
      <c r="V297" s="242">
        <v>74363</v>
      </c>
      <c r="W297" s="11"/>
      <c r="X297" s="34"/>
    </row>
    <row r="298" spans="2:24" s="22" customFormat="1" ht="27">
      <c r="B298" s="15">
        <f t="shared" si="4"/>
        <v>275</v>
      </c>
      <c r="C298" s="228" t="s">
        <v>3942</v>
      </c>
      <c r="D298" s="230" t="s">
        <v>42</v>
      </c>
      <c r="E298" s="266">
        <v>50266</v>
      </c>
      <c r="F298" s="273" t="s">
        <v>941</v>
      </c>
      <c r="G298" s="268">
        <v>42825</v>
      </c>
      <c r="H298" s="228" t="s">
        <v>368</v>
      </c>
      <c r="I298" s="270">
        <v>64739</v>
      </c>
      <c r="J298" s="242">
        <v>21915</v>
      </c>
      <c r="K298" s="242">
        <v>0</v>
      </c>
      <c r="L298" s="242">
        <v>21915</v>
      </c>
      <c r="M298" s="242">
        <v>2513</v>
      </c>
      <c r="N298" s="242">
        <v>47753</v>
      </c>
      <c r="O298" s="242">
        <v>0</v>
      </c>
      <c r="P298" s="242">
        <v>50266</v>
      </c>
      <c r="Q298" s="242">
        <v>21915</v>
      </c>
      <c r="R298" s="242">
        <v>47753</v>
      </c>
      <c r="S298" s="250">
        <v>365</v>
      </c>
      <c r="T298" s="250">
        <v>795</v>
      </c>
      <c r="U298" s="242">
        <v>3980</v>
      </c>
      <c r="V298" s="242">
        <v>46286</v>
      </c>
      <c r="W298" s="11"/>
      <c r="X298" s="34"/>
    </row>
    <row r="299" spans="2:24" s="22" customFormat="1" ht="27">
      <c r="B299" s="15">
        <f t="shared" si="4"/>
        <v>276</v>
      </c>
      <c r="C299" s="228" t="s">
        <v>2871</v>
      </c>
      <c r="D299" s="230" t="s">
        <v>42</v>
      </c>
      <c r="E299" s="266">
        <v>61713</v>
      </c>
      <c r="F299" s="273" t="s">
        <v>2923</v>
      </c>
      <c r="G299" s="268">
        <v>42825</v>
      </c>
      <c r="H299" s="228" t="s">
        <v>368</v>
      </c>
      <c r="I299" s="270">
        <v>64739</v>
      </c>
      <c r="J299" s="242">
        <v>21915</v>
      </c>
      <c r="K299" s="242">
        <v>0</v>
      </c>
      <c r="L299" s="242">
        <v>21915</v>
      </c>
      <c r="M299" s="242">
        <v>3086</v>
      </c>
      <c r="N299" s="242">
        <v>58627</v>
      </c>
      <c r="O299" s="242">
        <v>0</v>
      </c>
      <c r="P299" s="242">
        <v>61713</v>
      </c>
      <c r="Q299" s="242">
        <v>21915</v>
      </c>
      <c r="R299" s="242">
        <v>58627</v>
      </c>
      <c r="S299" s="250">
        <v>365</v>
      </c>
      <c r="T299" s="250">
        <v>976</v>
      </c>
      <c r="U299" s="242">
        <v>4886</v>
      </c>
      <c r="V299" s="242">
        <v>56827</v>
      </c>
      <c r="W299" s="11"/>
      <c r="X299" s="34"/>
    </row>
    <row r="300" spans="2:24" s="22" customFormat="1" ht="27">
      <c r="B300" s="15">
        <f t="shared" si="4"/>
        <v>277</v>
      </c>
      <c r="C300" s="228" t="s">
        <v>3943</v>
      </c>
      <c r="D300" s="230" t="s">
        <v>42</v>
      </c>
      <c r="E300" s="266">
        <v>642686</v>
      </c>
      <c r="F300" s="273" t="s">
        <v>2948</v>
      </c>
      <c r="G300" s="268">
        <v>42825</v>
      </c>
      <c r="H300" s="228" t="s">
        <v>368</v>
      </c>
      <c r="I300" s="270">
        <v>64739</v>
      </c>
      <c r="J300" s="242">
        <v>21915</v>
      </c>
      <c r="K300" s="242">
        <v>0</v>
      </c>
      <c r="L300" s="242">
        <v>21915</v>
      </c>
      <c r="M300" s="242">
        <v>32134</v>
      </c>
      <c r="N300" s="242">
        <v>610552</v>
      </c>
      <c r="O300" s="242">
        <v>0</v>
      </c>
      <c r="P300" s="242">
        <v>642686</v>
      </c>
      <c r="Q300" s="242">
        <v>21915</v>
      </c>
      <c r="R300" s="242">
        <v>610552</v>
      </c>
      <c r="S300" s="250">
        <v>365</v>
      </c>
      <c r="T300" s="250">
        <v>10169</v>
      </c>
      <c r="U300" s="242">
        <v>50901</v>
      </c>
      <c r="V300" s="242">
        <v>591785</v>
      </c>
      <c r="W300" s="11"/>
      <c r="X300" s="34"/>
    </row>
    <row r="301" spans="2:24" s="22" customFormat="1" ht="27">
      <c r="B301" s="15">
        <f t="shared" si="4"/>
        <v>278</v>
      </c>
      <c r="C301" s="228" t="s">
        <v>2879</v>
      </c>
      <c r="D301" s="230" t="s">
        <v>42</v>
      </c>
      <c r="E301" s="266">
        <v>138715</v>
      </c>
      <c r="F301" s="273" t="s">
        <v>3955</v>
      </c>
      <c r="G301" s="268">
        <v>42825</v>
      </c>
      <c r="H301" s="228" t="s">
        <v>368</v>
      </c>
      <c r="I301" s="270">
        <v>64739</v>
      </c>
      <c r="J301" s="242">
        <v>21915</v>
      </c>
      <c r="K301" s="242">
        <v>0</v>
      </c>
      <c r="L301" s="242">
        <v>21915</v>
      </c>
      <c r="M301" s="242">
        <v>6936</v>
      </c>
      <c r="N301" s="242">
        <v>131779</v>
      </c>
      <c r="O301" s="242">
        <v>0</v>
      </c>
      <c r="P301" s="242">
        <v>138715</v>
      </c>
      <c r="Q301" s="242">
        <v>21915</v>
      </c>
      <c r="R301" s="242">
        <v>131779</v>
      </c>
      <c r="S301" s="250">
        <v>365</v>
      </c>
      <c r="T301" s="250">
        <v>2195</v>
      </c>
      <c r="U301" s="242">
        <v>10987</v>
      </c>
      <c r="V301" s="242">
        <v>127728</v>
      </c>
      <c r="W301" s="11"/>
      <c r="X301" s="34"/>
    </row>
    <row r="302" spans="2:24" s="22" customFormat="1">
      <c r="B302" s="15">
        <f t="shared" si="4"/>
        <v>279</v>
      </c>
      <c r="C302" s="228" t="s">
        <v>2873</v>
      </c>
      <c r="D302" s="230" t="s">
        <v>42</v>
      </c>
      <c r="E302" s="266">
        <v>178845</v>
      </c>
      <c r="F302" s="273" t="s">
        <v>42</v>
      </c>
      <c r="G302" s="268">
        <v>42825</v>
      </c>
      <c r="H302" s="228" t="s">
        <v>368</v>
      </c>
      <c r="I302" s="270">
        <v>64739</v>
      </c>
      <c r="J302" s="242">
        <v>21915</v>
      </c>
      <c r="K302" s="242">
        <v>0</v>
      </c>
      <c r="L302" s="242">
        <v>21915</v>
      </c>
      <c r="M302" s="242">
        <v>8942</v>
      </c>
      <c r="N302" s="242">
        <v>169903</v>
      </c>
      <c r="O302" s="242">
        <v>0</v>
      </c>
      <c r="P302" s="242">
        <v>178845</v>
      </c>
      <c r="Q302" s="242">
        <v>21915</v>
      </c>
      <c r="R302" s="242">
        <v>169903</v>
      </c>
      <c r="S302" s="250">
        <v>365</v>
      </c>
      <c r="T302" s="250">
        <v>2830</v>
      </c>
      <c r="U302" s="242">
        <v>14166</v>
      </c>
      <c r="V302" s="242">
        <v>164679</v>
      </c>
      <c r="W302" s="11"/>
      <c r="X302" s="34"/>
    </row>
    <row r="303" spans="2:24" s="22" customFormat="1">
      <c r="B303" s="15">
        <f t="shared" si="4"/>
        <v>280</v>
      </c>
      <c r="C303" s="228" t="s">
        <v>2873</v>
      </c>
      <c r="D303" s="230" t="s">
        <v>42</v>
      </c>
      <c r="E303" s="266">
        <v>123970</v>
      </c>
      <c r="F303" s="273" t="s">
        <v>42</v>
      </c>
      <c r="G303" s="268">
        <v>42825</v>
      </c>
      <c r="H303" s="228" t="s">
        <v>368</v>
      </c>
      <c r="I303" s="270">
        <v>64739</v>
      </c>
      <c r="J303" s="242">
        <v>21915</v>
      </c>
      <c r="K303" s="242">
        <v>0</v>
      </c>
      <c r="L303" s="242">
        <v>21915</v>
      </c>
      <c r="M303" s="242">
        <v>6199</v>
      </c>
      <c r="N303" s="242">
        <v>117771</v>
      </c>
      <c r="O303" s="242">
        <v>0</v>
      </c>
      <c r="P303" s="242">
        <v>123970</v>
      </c>
      <c r="Q303" s="242">
        <v>21915</v>
      </c>
      <c r="R303" s="242">
        <v>117772</v>
      </c>
      <c r="S303" s="250">
        <v>365</v>
      </c>
      <c r="T303" s="250">
        <v>1962</v>
      </c>
      <c r="U303" s="242">
        <v>9820</v>
      </c>
      <c r="V303" s="242">
        <v>114150</v>
      </c>
      <c r="W303" s="11"/>
      <c r="X303" s="34"/>
    </row>
    <row r="304" spans="2:24" s="22" customFormat="1">
      <c r="B304" s="15">
        <f t="shared" si="4"/>
        <v>281</v>
      </c>
      <c r="C304" s="228" t="s">
        <v>2873</v>
      </c>
      <c r="D304" s="230" t="s">
        <v>42</v>
      </c>
      <c r="E304" s="266">
        <v>350350</v>
      </c>
      <c r="F304" s="273" t="s">
        <v>42</v>
      </c>
      <c r="G304" s="268">
        <v>42825</v>
      </c>
      <c r="H304" s="228" t="s">
        <v>368</v>
      </c>
      <c r="I304" s="270">
        <v>64739</v>
      </c>
      <c r="J304" s="242">
        <v>21915</v>
      </c>
      <c r="K304" s="242">
        <v>0</v>
      </c>
      <c r="L304" s="242">
        <v>21915</v>
      </c>
      <c r="M304" s="242">
        <v>17518</v>
      </c>
      <c r="N304" s="242">
        <v>332832</v>
      </c>
      <c r="O304" s="242">
        <v>0</v>
      </c>
      <c r="P304" s="242">
        <v>350350</v>
      </c>
      <c r="Q304" s="242">
        <v>21915</v>
      </c>
      <c r="R304" s="242">
        <v>332833</v>
      </c>
      <c r="S304" s="250">
        <v>365</v>
      </c>
      <c r="T304" s="250">
        <v>5543</v>
      </c>
      <c r="U304" s="242">
        <v>27746</v>
      </c>
      <c r="V304" s="242">
        <v>322604</v>
      </c>
      <c r="W304" s="11"/>
      <c r="X304" s="34"/>
    </row>
    <row r="305" spans="2:24" s="22" customFormat="1">
      <c r="B305" s="15">
        <f t="shared" si="4"/>
        <v>282</v>
      </c>
      <c r="C305" s="228" t="s">
        <v>2873</v>
      </c>
      <c r="D305" s="230" t="s">
        <v>42</v>
      </c>
      <c r="E305" s="266">
        <v>51648</v>
      </c>
      <c r="F305" s="273" t="s">
        <v>42</v>
      </c>
      <c r="G305" s="268">
        <v>42825</v>
      </c>
      <c r="H305" s="228" t="s">
        <v>368</v>
      </c>
      <c r="I305" s="270">
        <v>64739</v>
      </c>
      <c r="J305" s="242">
        <v>21915</v>
      </c>
      <c r="K305" s="242">
        <v>0</v>
      </c>
      <c r="L305" s="242">
        <v>21915</v>
      </c>
      <c r="M305" s="242">
        <v>2582</v>
      </c>
      <c r="N305" s="242">
        <v>49066</v>
      </c>
      <c r="O305" s="242">
        <v>0</v>
      </c>
      <c r="P305" s="242">
        <v>51648</v>
      </c>
      <c r="Q305" s="242">
        <v>21915</v>
      </c>
      <c r="R305" s="242">
        <v>49066</v>
      </c>
      <c r="S305" s="250">
        <v>365</v>
      </c>
      <c r="T305" s="250">
        <v>817</v>
      </c>
      <c r="U305" s="242">
        <v>4089</v>
      </c>
      <c r="V305" s="242">
        <v>47559</v>
      </c>
      <c r="W305" s="11"/>
      <c r="X305" s="34"/>
    </row>
    <row r="306" spans="2:24" s="22" customFormat="1">
      <c r="B306" s="15">
        <f t="shared" si="4"/>
        <v>283</v>
      </c>
      <c r="C306" s="228" t="s">
        <v>2873</v>
      </c>
      <c r="D306" s="230" t="s">
        <v>42</v>
      </c>
      <c r="E306" s="266">
        <v>53900</v>
      </c>
      <c r="F306" s="273" t="s">
        <v>42</v>
      </c>
      <c r="G306" s="268">
        <v>42825</v>
      </c>
      <c r="H306" s="228" t="s">
        <v>368</v>
      </c>
      <c r="I306" s="270">
        <v>64739</v>
      </c>
      <c r="J306" s="242">
        <v>21915</v>
      </c>
      <c r="K306" s="242">
        <v>0</v>
      </c>
      <c r="L306" s="242">
        <v>21915</v>
      </c>
      <c r="M306" s="242">
        <v>2695</v>
      </c>
      <c r="N306" s="242">
        <v>51205</v>
      </c>
      <c r="O306" s="242">
        <v>0</v>
      </c>
      <c r="P306" s="242">
        <v>53900</v>
      </c>
      <c r="Q306" s="242">
        <v>21915</v>
      </c>
      <c r="R306" s="242">
        <v>51205</v>
      </c>
      <c r="S306" s="250">
        <v>365</v>
      </c>
      <c r="T306" s="250">
        <v>853</v>
      </c>
      <c r="U306" s="242">
        <v>4269</v>
      </c>
      <c r="V306" s="242">
        <v>49631</v>
      </c>
      <c r="W306" s="11"/>
      <c r="X306" s="34"/>
    </row>
    <row r="307" spans="2:24" s="22" customFormat="1">
      <c r="B307" s="15">
        <f t="shared" si="4"/>
        <v>284</v>
      </c>
      <c r="C307" s="228" t="s">
        <v>2873</v>
      </c>
      <c r="D307" s="230" t="s">
        <v>42</v>
      </c>
      <c r="E307" s="266">
        <v>26950</v>
      </c>
      <c r="F307" s="273" t="s">
        <v>42</v>
      </c>
      <c r="G307" s="268">
        <v>42825</v>
      </c>
      <c r="H307" s="228" t="s">
        <v>368</v>
      </c>
      <c r="I307" s="270">
        <v>64739</v>
      </c>
      <c r="J307" s="242">
        <v>21915</v>
      </c>
      <c r="K307" s="242">
        <v>0</v>
      </c>
      <c r="L307" s="242">
        <v>21915</v>
      </c>
      <c r="M307" s="242">
        <v>1348</v>
      </c>
      <c r="N307" s="242">
        <v>25602</v>
      </c>
      <c r="O307" s="242">
        <v>0</v>
      </c>
      <c r="P307" s="242">
        <v>26950</v>
      </c>
      <c r="Q307" s="242">
        <v>21915</v>
      </c>
      <c r="R307" s="242">
        <v>25603</v>
      </c>
      <c r="S307" s="250">
        <v>365</v>
      </c>
      <c r="T307" s="250">
        <v>426</v>
      </c>
      <c r="U307" s="242">
        <v>2133</v>
      </c>
      <c r="V307" s="242">
        <v>24817</v>
      </c>
      <c r="W307" s="11"/>
      <c r="X307" s="34"/>
    </row>
    <row r="308" spans="2:24" s="22" customFormat="1">
      <c r="B308" s="15">
        <f t="shared" si="4"/>
        <v>285</v>
      </c>
      <c r="C308" s="228" t="s">
        <v>2873</v>
      </c>
      <c r="D308" s="230" t="s">
        <v>42</v>
      </c>
      <c r="E308" s="266">
        <v>80850</v>
      </c>
      <c r="F308" s="273" t="s">
        <v>42</v>
      </c>
      <c r="G308" s="268">
        <v>42825</v>
      </c>
      <c r="H308" s="228" t="s">
        <v>368</v>
      </c>
      <c r="I308" s="270">
        <v>64739</v>
      </c>
      <c r="J308" s="242">
        <v>21915</v>
      </c>
      <c r="K308" s="242">
        <v>0</v>
      </c>
      <c r="L308" s="242">
        <v>21915</v>
      </c>
      <c r="M308" s="242">
        <v>4043</v>
      </c>
      <c r="N308" s="242">
        <v>76807</v>
      </c>
      <c r="O308" s="242">
        <v>0</v>
      </c>
      <c r="P308" s="242">
        <v>80850</v>
      </c>
      <c r="Q308" s="242">
        <v>21915</v>
      </c>
      <c r="R308" s="242">
        <v>76808</v>
      </c>
      <c r="S308" s="250">
        <v>365</v>
      </c>
      <c r="T308" s="250">
        <v>1279</v>
      </c>
      <c r="U308" s="242">
        <v>6403</v>
      </c>
      <c r="V308" s="242">
        <v>74447</v>
      </c>
      <c r="W308" s="11"/>
      <c r="X308" s="34"/>
    </row>
    <row r="309" spans="2:24" s="22" customFormat="1">
      <c r="B309" s="15"/>
      <c r="C309" s="20"/>
      <c r="D309" s="230"/>
      <c r="E309" s="266"/>
      <c r="F309" s="273"/>
      <c r="G309" s="268"/>
      <c r="H309" s="228"/>
      <c r="I309" s="270"/>
      <c r="J309" s="242"/>
      <c r="K309" s="242"/>
      <c r="L309" s="242"/>
      <c r="M309" s="242"/>
      <c r="N309" s="242"/>
      <c r="O309" s="242"/>
      <c r="P309" s="242">
        <v>0</v>
      </c>
      <c r="Q309" s="242"/>
      <c r="R309" s="242"/>
      <c r="S309" s="272"/>
      <c r="T309" s="242"/>
      <c r="U309" s="228"/>
      <c r="V309" s="228"/>
      <c r="W309" s="11"/>
      <c r="X309" s="34"/>
    </row>
    <row r="310" spans="2:24" s="22" customFormat="1">
      <c r="B310" s="15"/>
      <c r="C310" s="228"/>
      <c r="D310" s="230"/>
      <c r="E310" s="266"/>
      <c r="F310" s="273"/>
      <c r="G310" s="268"/>
      <c r="H310" s="228"/>
      <c r="I310" s="270"/>
      <c r="J310" s="242"/>
      <c r="K310" s="242"/>
      <c r="L310" s="242"/>
      <c r="M310" s="242"/>
      <c r="N310" s="242"/>
      <c r="O310" s="242"/>
      <c r="P310" s="242">
        <v>0</v>
      </c>
      <c r="Q310" s="242"/>
      <c r="R310" s="242"/>
      <c r="S310" s="272"/>
      <c r="T310" s="242"/>
      <c r="U310" s="228"/>
      <c r="V310" s="228"/>
      <c r="W310" s="11"/>
      <c r="X310" s="34"/>
    </row>
    <row r="311" spans="2:24" s="22" customFormat="1" ht="14.25">
      <c r="B311" s="6" t="s">
        <v>2780</v>
      </c>
      <c r="C311" s="228"/>
      <c r="D311" s="230"/>
      <c r="E311" s="266"/>
      <c r="F311" s="273"/>
      <c r="G311" s="268"/>
      <c r="H311" s="228"/>
      <c r="I311" s="270"/>
      <c r="J311" s="242"/>
      <c r="K311" s="242"/>
      <c r="L311" s="242"/>
      <c r="M311" s="242"/>
      <c r="N311" s="242"/>
      <c r="O311" s="242"/>
      <c r="P311" s="242">
        <v>0</v>
      </c>
      <c r="Q311" s="242"/>
      <c r="R311" s="242"/>
      <c r="S311" s="272"/>
      <c r="T311" s="242"/>
      <c r="U311" s="228"/>
      <c r="V311" s="228"/>
      <c r="W311" s="11"/>
      <c r="X311" s="34"/>
    </row>
    <row r="312" spans="2:24" s="22" customFormat="1" ht="27">
      <c r="B312" s="15">
        <v>1</v>
      </c>
      <c r="C312" s="228" t="s">
        <v>2781</v>
      </c>
      <c r="D312" s="230">
        <v>47.5</v>
      </c>
      <c r="E312" s="266">
        <v>3090601</v>
      </c>
      <c r="F312" s="273" t="s">
        <v>2782</v>
      </c>
      <c r="G312" s="268">
        <v>42005</v>
      </c>
      <c r="H312" s="228" t="s">
        <v>368</v>
      </c>
      <c r="I312" s="270">
        <v>52962</v>
      </c>
      <c r="J312" s="242">
        <v>10958</v>
      </c>
      <c r="K312" s="242">
        <v>0</v>
      </c>
      <c r="L312" s="242">
        <v>10958</v>
      </c>
      <c r="M312" s="242">
        <v>154530</v>
      </c>
      <c r="N312" s="242">
        <v>2936071</v>
      </c>
      <c r="O312" s="242">
        <v>0</v>
      </c>
      <c r="P312" s="242">
        <v>3066487</v>
      </c>
      <c r="Q312" s="242">
        <v>10868</v>
      </c>
      <c r="R312" s="242">
        <v>2911957</v>
      </c>
      <c r="S312" s="250">
        <v>365</v>
      </c>
      <c r="T312" s="250">
        <v>97798</v>
      </c>
      <c r="U312" s="242">
        <v>685122</v>
      </c>
      <c r="V312" s="242">
        <v>2381365</v>
      </c>
      <c r="W312" s="11"/>
      <c r="X312" s="34"/>
    </row>
    <row r="313" spans="2:24" s="22" customFormat="1" ht="14.25">
      <c r="B313" s="32" t="s">
        <v>2482</v>
      </c>
      <c r="C313" s="229"/>
      <c r="D313" s="230"/>
      <c r="E313" s="271"/>
      <c r="F313" s="253"/>
      <c r="G313" s="230"/>
      <c r="H313" s="228"/>
      <c r="I313" s="242"/>
      <c r="J313" s="242"/>
      <c r="K313" s="242"/>
      <c r="L313" s="242"/>
      <c r="M313" s="242"/>
      <c r="N313" s="242"/>
      <c r="O313" s="242"/>
      <c r="P313" s="242"/>
      <c r="Q313" s="242"/>
      <c r="R313" s="242"/>
      <c r="S313" s="272"/>
      <c r="T313" s="242"/>
      <c r="U313" s="228"/>
      <c r="V313" s="228"/>
      <c r="W313" s="11"/>
      <c r="X313" s="34"/>
    </row>
    <row r="314" spans="2:24" s="22" customFormat="1">
      <c r="B314" s="15">
        <v>1</v>
      </c>
      <c r="C314" s="249" t="s">
        <v>3</v>
      </c>
      <c r="D314" s="228" t="s">
        <v>42</v>
      </c>
      <c r="E314" s="266">
        <v>4760</v>
      </c>
      <c r="F314" s="230" t="s">
        <v>42</v>
      </c>
      <c r="G314" s="232">
        <v>40339</v>
      </c>
      <c r="H314" s="228" t="s">
        <v>160</v>
      </c>
      <c r="I314" s="270"/>
      <c r="J314" s="242"/>
      <c r="K314" s="242"/>
      <c r="L314" s="242"/>
      <c r="M314" s="242"/>
      <c r="N314" s="242"/>
      <c r="O314" s="242"/>
      <c r="P314" s="242">
        <v>0</v>
      </c>
      <c r="Q314" s="242"/>
      <c r="R314" s="242"/>
      <c r="S314" s="250">
        <v>0</v>
      </c>
      <c r="T314" s="250">
        <v>0</v>
      </c>
      <c r="U314" s="242">
        <v>0</v>
      </c>
      <c r="V314" s="242">
        <v>0</v>
      </c>
      <c r="W314" s="11"/>
      <c r="X314" s="34"/>
    </row>
    <row r="315" spans="2:24" s="22" customFormat="1" ht="40.5">
      <c r="B315" s="15">
        <f>+B314+1</f>
        <v>2</v>
      </c>
      <c r="C315" s="249" t="s">
        <v>1480</v>
      </c>
      <c r="D315" s="228" t="s">
        <v>42</v>
      </c>
      <c r="E315" s="266">
        <v>2261412</v>
      </c>
      <c r="F315" s="254" t="s">
        <v>1481</v>
      </c>
      <c r="G315" s="232">
        <v>40758</v>
      </c>
      <c r="H315" s="228" t="s">
        <v>368</v>
      </c>
      <c r="I315" s="270">
        <v>51715</v>
      </c>
      <c r="J315" s="242">
        <v>10958</v>
      </c>
      <c r="K315" s="242">
        <v>972</v>
      </c>
      <c r="L315" s="242">
        <v>9986</v>
      </c>
      <c r="M315" s="242">
        <v>113071</v>
      </c>
      <c r="N315" s="242">
        <v>2050246</v>
      </c>
      <c r="O315" s="242">
        <v>0</v>
      </c>
      <c r="P315" s="242">
        <v>2088378</v>
      </c>
      <c r="Q315" s="242">
        <v>9621</v>
      </c>
      <c r="R315" s="242">
        <v>1975307</v>
      </c>
      <c r="S315" s="250">
        <v>365</v>
      </c>
      <c r="T315" s="250">
        <v>74939</v>
      </c>
      <c r="U315" s="242">
        <v>524983</v>
      </c>
      <c r="V315" s="242">
        <v>1563395</v>
      </c>
      <c r="W315" s="11"/>
      <c r="X315" s="34"/>
    </row>
    <row r="316" spans="2:24" s="22" customFormat="1" ht="40.5">
      <c r="B316" s="15">
        <f>+B315+1</f>
        <v>3</v>
      </c>
      <c r="C316" s="249" t="s">
        <v>1535</v>
      </c>
      <c r="D316" s="228" t="s">
        <v>42</v>
      </c>
      <c r="E316" s="266">
        <f>567635-350443</f>
        <v>217192</v>
      </c>
      <c r="F316" s="254" t="s">
        <v>1537</v>
      </c>
      <c r="G316" s="232">
        <v>40758</v>
      </c>
      <c r="H316" s="228" t="s">
        <v>368</v>
      </c>
      <c r="I316" s="270">
        <v>51715</v>
      </c>
      <c r="J316" s="242">
        <v>10958</v>
      </c>
      <c r="K316" s="242">
        <v>972</v>
      </c>
      <c r="L316" s="242">
        <v>9986</v>
      </c>
      <c r="M316" s="242">
        <v>10860</v>
      </c>
      <c r="N316" s="242">
        <v>196911</v>
      </c>
      <c r="O316" s="242">
        <v>0</v>
      </c>
      <c r="P316" s="242">
        <v>200574</v>
      </c>
      <c r="Q316" s="242">
        <v>9621</v>
      </c>
      <c r="R316" s="242">
        <v>189714</v>
      </c>
      <c r="S316" s="250">
        <v>365</v>
      </c>
      <c r="T316" s="250">
        <v>7197</v>
      </c>
      <c r="U316" s="242">
        <v>50419</v>
      </c>
      <c r="V316" s="242">
        <v>150155</v>
      </c>
      <c r="W316" s="11"/>
      <c r="X316" s="34"/>
    </row>
    <row r="317" spans="2:24" s="22" customFormat="1" ht="40.5">
      <c r="B317" s="15">
        <f t="shared" ref="B317:B348" si="5">+B316+1</f>
        <v>4</v>
      </c>
      <c r="C317" s="249" t="s">
        <v>1536</v>
      </c>
      <c r="D317" s="228" t="s">
        <v>42</v>
      </c>
      <c r="E317" s="266">
        <v>350443</v>
      </c>
      <c r="F317" s="254" t="s">
        <v>1538</v>
      </c>
      <c r="G317" s="232">
        <v>40758</v>
      </c>
      <c r="H317" s="228" t="s">
        <v>368</v>
      </c>
      <c r="I317" s="270">
        <v>51715</v>
      </c>
      <c r="J317" s="242">
        <v>10958</v>
      </c>
      <c r="K317" s="242">
        <v>972</v>
      </c>
      <c r="L317" s="242">
        <v>9986</v>
      </c>
      <c r="M317" s="242">
        <v>17522</v>
      </c>
      <c r="N317" s="242">
        <v>317720</v>
      </c>
      <c r="O317" s="242">
        <v>0</v>
      </c>
      <c r="P317" s="242">
        <v>323629</v>
      </c>
      <c r="Q317" s="242">
        <v>9621</v>
      </c>
      <c r="R317" s="242">
        <v>306107</v>
      </c>
      <c r="S317" s="250">
        <v>365</v>
      </c>
      <c r="T317" s="250">
        <v>11613</v>
      </c>
      <c r="U317" s="242">
        <v>81355</v>
      </c>
      <c r="V317" s="242">
        <v>242274</v>
      </c>
      <c r="W317" s="11"/>
      <c r="X317" s="34"/>
    </row>
    <row r="318" spans="2:24" s="22" customFormat="1" ht="27">
      <c r="B318" s="15">
        <f t="shared" si="5"/>
        <v>5</v>
      </c>
      <c r="C318" s="249" t="s">
        <v>1482</v>
      </c>
      <c r="D318" s="228" t="s">
        <v>42</v>
      </c>
      <c r="E318" s="266">
        <v>667908</v>
      </c>
      <c r="F318" s="275" t="s">
        <v>1483</v>
      </c>
      <c r="G318" s="232">
        <v>40758</v>
      </c>
      <c r="H318" s="228" t="s">
        <v>368</v>
      </c>
      <c r="I318" s="270">
        <v>51715</v>
      </c>
      <c r="J318" s="242">
        <v>10958</v>
      </c>
      <c r="K318" s="242">
        <v>972</v>
      </c>
      <c r="L318" s="242">
        <v>9986</v>
      </c>
      <c r="M318" s="242">
        <v>33395</v>
      </c>
      <c r="N318" s="242">
        <v>605541</v>
      </c>
      <c r="O318" s="242">
        <v>0</v>
      </c>
      <c r="P318" s="242">
        <v>616803</v>
      </c>
      <c r="Q318" s="242">
        <v>9621</v>
      </c>
      <c r="R318" s="242">
        <v>583408</v>
      </c>
      <c r="S318" s="250">
        <v>365</v>
      </c>
      <c r="T318" s="250">
        <v>22133</v>
      </c>
      <c r="U318" s="242">
        <v>155053</v>
      </c>
      <c r="V318" s="242">
        <v>461750</v>
      </c>
      <c r="W318" s="11"/>
      <c r="X318" s="34"/>
    </row>
    <row r="319" spans="2:24" s="22" customFormat="1" ht="27">
      <c r="B319" s="15">
        <f t="shared" si="5"/>
        <v>6</v>
      </c>
      <c r="C319" s="249" t="s">
        <v>1484</v>
      </c>
      <c r="D319" s="228" t="s">
        <v>42</v>
      </c>
      <c r="E319" s="266">
        <v>852264</v>
      </c>
      <c r="F319" s="254" t="s">
        <v>1485</v>
      </c>
      <c r="G319" s="232">
        <v>40758</v>
      </c>
      <c r="H319" s="228" t="s">
        <v>368</v>
      </c>
      <c r="I319" s="270">
        <v>51715</v>
      </c>
      <c r="J319" s="242">
        <v>10958</v>
      </c>
      <c r="K319" s="242">
        <v>972</v>
      </c>
      <c r="L319" s="242">
        <v>9986</v>
      </c>
      <c r="M319" s="242">
        <v>42613</v>
      </c>
      <c r="N319" s="242">
        <v>772682</v>
      </c>
      <c r="O319" s="242">
        <v>0</v>
      </c>
      <c r="P319" s="242">
        <v>787053</v>
      </c>
      <c r="Q319" s="242">
        <v>9621</v>
      </c>
      <c r="R319" s="242">
        <v>744440</v>
      </c>
      <c r="S319" s="250">
        <v>365</v>
      </c>
      <c r="T319" s="250">
        <v>28242</v>
      </c>
      <c r="U319" s="242">
        <v>197850</v>
      </c>
      <c r="V319" s="242">
        <v>589203</v>
      </c>
      <c r="W319" s="11"/>
      <c r="X319" s="34"/>
    </row>
    <row r="320" spans="2:24" s="22" customFormat="1" ht="54">
      <c r="B320" s="15">
        <f t="shared" si="5"/>
        <v>7</v>
      </c>
      <c r="C320" s="249" t="s">
        <v>1532</v>
      </c>
      <c r="D320" s="228" t="s">
        <v>42</v>
      </c>
      <c r="E320" s="266">
        <f>896361-90750</f>
        <v>805611</v>
      </c>
      <c r="F320" s="254" t="s">
        <v>1533</v>
      </c>
      <c r="G320" s="232">
        <v>40758</v>
      </c>
      <c r="H320" s="228" t="s">
        <v>368</v>
      </c>
      <c r="I320" s="270">
        <v>51715</v>
      </c>
      <c r="J320" s="242">
        <v>10958</v>
      </c>
      <c r="K320" s="242">
        <v>972</v>
      </c>
      <c r="L320" s="242">
        <v>9986</v>
      </c>
      <c r="M320" s="242">
        <v>40281</v>
      </c>
      <c r="N320" s="242">
        <v>730385</v>
      </c>
      <c r="O320" s="242">
        <v>0</v>
      </c>
      <c r="P320" s="242">
        <v>743970</v>
      </c>
      <c r="Q320" s="242">
        <v>9621</v>
      </c>
      <c r="R320" s="242">
        <v>703689</v>
      </c>
      <c r="S320" s="250">
        <v>365</v>
      </c>
      <c r="T320" s="250">
        <v>26696</v>
      </c>
      <c r="U320" s="242">
        <v>187020</v>
      </c>
      <c r="V320" s="242">
        <v>556950</v>
      </c>
      <c r="W320" s="11"/>
      <c r="X320" s="34"/>
    </row>
    <row r="321" spans="2:24" s="22" customFormat="1" ht="27">
      <c r="B321" s="15">
        <f t="shared" si="5"/>
        <v>8</v>
      </c>
      <c r="C321" s="249" t="s">
        <v>1486</v>
      </c>
      <c r="D321" s="228" t="s">
        <v>42</v>
      </c>
      <c r="E321" s="266">
        <v>90750</v>
      </c>
      <c r="F321" s="254" t="s">
        <v>1534</v>
      </c>
      <c r="G321" s="232">
        <v>40758</v>
      </c>
      <c r="H321" s="228" t="s">
        <v>368</v>
      </c>
      <c r="I321" s="270">
        <v>51715</v>
      </c>
      <c r="J321" s="242">
        <v>10958</v>
      </c>
      <c r="K321" s="242">
        <v>972</v>
      </c>
      <c r="L321" s="242">
        <v>9986</v>
      </c>
      <c r="M321" s="242">
        <v>4538</v>
      </c>
      <c r="N321" s="242">
        <v>82276</v>
      </c>
      <c r="O321" s="242">
        <v>0</v>
      </c>
      <c r="P321" s="242">
        <v>83807</v>
      </c>
      <c r="Q321" s="242">
        <v>9621</v>
      </c>
      <c r="R321" s="242">
        <v>79270</v>
      </c>
      <c r="S321" s="250">
        <v>365</v>
      </c>
      <c r="T321" s="250">
        <v>3007</v>
      </c>
      <c r="U321" s="242">
        <v>21067</v>
      </c>
      <c r="V321" s="242">
        <v>62740</v>
      </c>
      <c r="W321" s="11"/>
      <c r="X321" s="34"/>
    </row>
    <row r="322" spans="2:24" s="22" customFormat="1" ht="27">
      <c r="B322" s="15">
        <f t="shared" si="5"/>
        <v>9</v>
      </c>
      <c r="C322" s="249" t="s">
        <v>1487</v>
      </c>
      <c r="D322" s="228" t="s">
        <v>42</v>
      </c>
      <c r="E322" s="266">
        <v>14123</v>
      </c>
      <c r="F322" s="254" t="s">
        <v>1488</v>
      </c>
      <c r="G322" s="232">
        <v>40758</v>
      </c>
      <c r="H322" s="228" t="s">
        <v>368</v>
      </c>
      <c r="I322" s="270">
        <v>51715</v>
      </c>
      <c r="J322" s="242">
        <v>10958</v>
      </c>
      <c r="K322" s="242">
        <v>972</v>
      </c>
      <c r="L322" s="242">
        <v>9986</v>
      </c>
      <c r="M322" s="242">
        <v>706</v>
      </c>
      <c r="N322" s="242">
        <v>12805</v>
      </c>
      <c r="O322" s="242">
        <v>0</v>
      </c>
      <c r="P322" s="242">
        <v>13043</v>
      </c>
      <c r="Q322" s="242">
        <v>9621</v>
      </c>
      <c r="R322" s="242">
        <v>12337</v>
      </c>
      <c r="S322" s="250">
        <v>365</v>
      </c>
      <c r="T322" s="250">
        <v>468</v>
      </c>
      <c r="U322" s="242">
        <v>3278</v>
      </c>
      <c r="V322" s="242">
        <v>9765</v>
      </c>
      <c r="W322" s="11"/>
      <c r="X322" s="34"/>
    </row>
    <row r="323" spans="2:24" s="22" customFormat="1" ht="40.5">
      <c r="B323" s="15">
        <f t="shared" si="5"/>
        <v>10</v>
      </c>
      <c r="C323" s="249" t="s">
        <v>1489</v>
      </c>
      <c r="D323" s="228" t="s">
        <v>42</v>
      </c>
      <c r="E323" s="266">
        <v>348005</v>
      </c>
      <c r="F323" s="254" t="s">
        <v>1490</v>
      </c>
      <c r="G323" s="232">
        <v>40758</v>
      </c>
      <c r="H323" s="228" t="s">
        <v>368</v>
      </c>
      <c r="I323" s="270">
        <v>51715</v>
      </c>
      <c r="J323" s="242">
        <v>10958</v>
      </c>
      <c r="K323" s="242">
        <v>972</v>
      </c>
      <c r="L323" s="242">
        <v>9986</v>
      </c>
      <c r="M323" s="242">
        <v>17400</v>
      </c>
      <c r="N323" s="242">
        <v>315510</v>
      </c>
      <c r="O323" s="242">
        <v>0</v>
      </c>
      <c r="P323" s="242">
        <v>321378</v>
      </c>
      <c r="Q323" s="242">
        <v>9621</v>
      </c>
      <c r="R323" s="242">
        <v>303978</v>
      </c>
      <c r="S323" s="250">
        <v>365</v>
      </c>
      <c r="T323" s="250">
        <v>11532</v>
      </c>
      <c r="U323" s="242">
        <v>80788</v>
      </c>
      <c r="V323" s="242">
        <v>240590</v>
      </c>
      <c r="W323" s="11"/>
      <c r="X323" s="34"/>
    </row>
    <row r="324" spans="2:24" s="22" customFormat="1" ht="67.5">
      <c r="B324" s="15">
        <f t="shared" si="5"/>
        <v>11</v>
      </c>
      <c r="C324" s="249" t="s">
        <v>1491</v>
      </c>
      <c r="D324" s="228" t="s">
        <v>42</v>
      </c>
      <c r="E324" s="266">
        <v>1374832</v>
      </c>
      <c r="F324" s="254" t="s">
        <v>1492</v>
      </c>
      <c r="G324" s="232">
        <v>40758</v>
      </c>
      <c r="H324" s="228" t="s">
        <v>368</v>
      </c>
      <c r="I324" s="270">
        <v>51715</v>
      </c>
      <c r="J324" s="242">
        <v>10958</v>
      </c>
      <c r="K324" s="242">
        <v>972</v>
      </c>
      <c r="L324" s="242">
        <v>9986</v>
      </c>
      <c r="M324" s="242">
        <v>68742</v>
      </c>
      <c r="N324" s="242">
        <v>1246453</v>
      </c>
      <c r="O324" s="242">
        <v>0</v>
      </c>
      <c r="P324" s="242">
        <v>1269636</v>
      </c>
      <c r="Q324" s="242">
        <v>9621</v>
      </c>
      <c r="R324" s="242">
        <v>1200894</v>
      </c>
      <c r="S324" s="250">
        <v>365</v>
      </c>
      <c r="T324" s="250">
        <v>45559</v>
      </c>
      <c r="U324" s="242">
        <v>319163</v>
      </c>
      <c r="V324" s="242">
        <v>950473</v>
      </c>
      <c r="W324" s="11"/>
      <c r="X324" s="34"/>
    </row>
    <row r="325" spans="2:24" s="22" customFormat="1" ht="27">
      <c r="B325" s="15">
        <f t="shared" si="5"/>
        <v>12</v>
      </c>
      <c r="C325" s="249" t="s">
        <v>1493</v>
      </c>
      <c r="D325" s="228" t="s">
        <v>42</v>
      </c>
      <c r="E325" s="266">
        <v>953385</v>
      </c>
      <c r="F325" s="254" t="s">
        <v>1494</v>
      </c>
      <c r="G325" s="232">
        <v>40758</v>
      </c>
      <c r="H325" s="228" t="s">
        <v>368</v>
      </c>
      <c r="I325" s="270">
        <v>51715</v>
      </c>
      <c r="J325" s="242">
        <v>10958</v>
      </c>
      <c r="K325" s="242">
        <v>972</v>
      </c>
      <c r="L325" s="242">
        <v>9986</v>
      </c>
      <c r="M325" s="242">
        <v>47669</v>
      </c>
      <c r="N325" s="242">
        <v>864361</v>
      </c>
      <c r="O325" s="242">
        <v>0</v>
      </c>
      <c r="P325" s="242">
        <v>880437</v>
      </c>
      <c r="Q325" s="242">
        <v>9621</v>
      </c>
      <c r="R325" s="242">
        <v>832768</v>
      </c>
      <c r="S325" s="250">
        <v>365</v>
      </c>
      <c r="T325" s="250">
        <v>31593</v>
      </c>
      <c r="U325" s="242">
        <v>221325</v>
      </c>
      <c r="V325" s="242">
        <v>659112</v>
      </c>
      <c r="W325" s="11"/>
      <c r="X325" s="34"/>
    </row>
    <row r="326" spans="2:24" s="22" customFormat="1" ht="40.5">
      <c r="B326" s="15">
        <f t="shared" si="5"/>
        <v>13</v>
      </c>
      <c r="C326" s="249" t="s">
        <v>1495</v>
      </c>
      <c r="D326" s="228" t="s">
        <v>42</v>
      </c>
      <c r="E326" s="266">
        <v>766080</v>
      </c>
      <c r="F326" s="254" t="s">
        <v>1496</v>
      </c>
      <c r="G326" s="232">
        <v>40758</v>
      </c>
      <c r="H326" s="228" t="s">
        <v>368</v>
      </c>
      <c r="I326" s="270">
        <v>51715</v>
      </c>
      <c r="J326" s="242">
        <v>10958</v>
      </c>
      <c r="K326" s="242">
        <v>972</v>
      </c>
      <c r="L326" s="242">
        <v>9986</v>
      </c>
      <c r="M326" s="242">
        <v>38304</v>
      </c>
      <c r="N326" s="242">
        <v>694545</v>
      </c>
      <c r="O326" s="242">
        <v>0</v>
      </c>
      <c r="P326" s="242">
        <v>707463</v>
      </c>
      <c r="Q326" s="242">
        <v>9621</v>
      </c>
      <c r="R326" s="242">
        <v>669159</v>
      </c>
      <c r="S326" s="250">
        <v>365</v>
      </c>
      <c r="T326" s="250">
        <v>25386</v>
      </c>
      <c r="U326" s="242">
        <v>177842</v>
      </c>
      <c r="V326" s="242">
        <v>529621</v>
      </c>
      <c r="W326" s="11"/>
      <c r="X326" s="34"/>
    </row>
    <row r="327" spans="2:24" s="22" customFormat="1" ht="27">
      <c r="B327" s="15">
        <f t="shared" si="5"/>
        <v>14</v>
      </c>
      <c r="C327" s="249" t="s">
        <v>1497</v>
      </c>
      <c r="D327" s="228" t="s">
        <v>1498</v>
      </c>
      <c r="E327" s="266">
        <v>1850</v>
      </c>
      <c r="F327" s="254" t="s">
        <v>1499</v>
      </c>
      <c r="G327" s="232">
        <v>40758</v>
      </c>
      <c r="H327" s="228" t="s">
        <v>368</v>
      </c>
      <c r="I327" s="270">
        <v>51715</v>
      </c>
      <c r="J327" s="242">
        <v>10958</v>
      </c>
      <c r="K327" s="242">
        <v>972</v>
      </c>
      <c r="L327" s="242">
        <v>9986</v>
      </c>
      <c r="M327" s="242">
        <v>93</v>
      </c>
      <c r="N327" s="242">
        <v>1677</v>
      </c>
      <c r="O327" s="242">
        <v>0</v>
      </c>
      <c r="P327" s="242">
        <v>1709</v>
      </c>
      <c r="Q327" s="242">
        <v>9621</v>
      </c>
      <c r="R327" s="242">
        <v>1617</v>
      </c>
      <c r="S327" s="250">
        <v>365</v>
      </c>
      <c r="T327" s="250">
        <v>61</v>
      </c>
      <c r="U327" s="242">
        <v>429</v>
      </c>
      <c r="V327" s="242">
        <v>1280</v>
      </c>
      <c r="W327" s="11"/>
      <c r="X327" s="34"/>
    </row>
    <row r="328" spans="2:24" s="22" customFormat="1" ht="67.5">
      <c r="B328" s="15">
        <f t="shared" si="5"/>
        <v>15</v>
      </c>
      <c r="C328" s="249" t="s">
        <v>1500</v>
      </c>
      <c r="D328" s="228" t="s">
        <v>314</v>
      </c>
      <c r="E328" s="266">
        <v>1108079</v>
      </c>
      <c r="F328" s="254" t="s">
        <v>1501</v>
      </c>
      <c r="G328" s="232">
        <v>40758</v>
      </c>
      <c r="H328" s="228" t="s">
        <v>368</v>
      </c>
      <c r="I328" s="270">
        <v>51715</v>
      </c>
      <c r="J328" s="242">
        <v>10958</v>
      </c>
      <c r="K328" s="242">
        <v>972</v>
      </c>
      <c r="L328" s="242">
        <v>9986</v>
      </c>
      <c r="M328" s="242">
        <v>55404</v>
      </c>
      <c r="N328" s="242">
        <v>1004609</v>
      </c>
      <c r="O328" s="242">
        <v>0</v>
      </c>
      <c r="P328" s="242">
        <v>1023293</v>
      </c>
      <c r="Q328" s="242">
        <v>9621</v>
      </c>
      <c r="R328" s="242">
        <v>967889</v>
      </c>
      <c r="S328" s="250">
        <v>365</v>
      </c>
      <c r="T328" s="250">
        <v>36720</v>
      </c>
      <c r="U328" s="242">
        <v>257240</v>
      </c>
      <c r="V328" s="242">
        <v>766053</v>
      </c>
      <c r="W328" s="11"/>
      <c r="X328" s="34"/>
    </row>
    <row r="329" spans="2:24" s="22" customFormat="1" ht="27">
      <c r="B329" s="15">
        <f t="shared" si="5"/>
        <v>16</v>
      </c>
      <c r="C329" s="249" t="s">
        <v>1502</v>
      </c>
      <c r="D329" s="228" t="s">
        <v>314</v>
      </c>
      <c r="E329" s="266">
        <v>3885</v>
      </c>
      <c r="F329" s="228" t="s">
        <v>1503</v>
      </c>
      <c r="G329" s="232">
        <v>40758</v>
      </c>
      <c r="H329" s="228" t="s">
        <v>368</v>
      </c>
      <c r="I329" s="270">
        <v>51715</v>
      </c>
      <c r="J329" s="242">
        <v>10958</v>
      </c>
      <c r="K329" s="242">
        <v>972</v>
      </c>
      <c r="L329" s="242">
        <v>9986</v>
      </c>
      <c r="M329" s="242">
        <v>194</v>
      </c>
      <c r="N329" s="242">
        <v>3523</v>
      </c>
      <c r="O329" s="242">
        <v>0</v>
      </c>
      <c r="P329" s="242">
        <v>3588</v>
      </c>
      <c r="Q329" s="242">
        <v>9621</v>
      </c>
      <c r="R329" s="242">
        <v>3394</v>
      </c>
      <c r="S329" s="250">
        <v>365</v>
      </c>
      <c r="T329" s="250">
        <v>129</v>
      </c>
      <c r="U329" s="242">
        <v>903</v>
      </c>
      <c r="V329" s="242">
        <v>2685</v>
      </c>
      <c r="W329" s="11"/>
      <c r="X329" s="34"/>
    </row>
    <row r="330" spans="2:24" s="22" customFormat="1" ht="40.5">
      <c r="B330" s="15">
        <f t="shared" si="5"/>
        <v>17</v>
      </c>
      <c r="C330" s="249" t="s">
        <v>1504</v>
      </c>
      <c r="D330" s="228" t="s">
        <v>314</v>
      </c>
      <c r="E330" s="266">
        <v>17230</v>
      </c>
      <c r="F330" s="254" t="s">
        <v>1505</v>
      </c>
      <c r="G330" s="232">
        <v>40758</v>
      </c>
      <c r="H330" s="228" t="s">
        <v>368</v>
      </c>
      <c r="I330" s="270">
        <v>51715</v>
      </c>
      <c r="J330" s="242">
        <v>10958</v>
      </c>
      <c r="K330" s="242">
        <v>972</v>
      </c>
      <c r="L330" s="242">
        <v>9986</v>
      </c>
      <c r="M330" s="242">
        <v>862</v>
      </c>
      <c r="N330" s="242">
        <v>15620</v>
      </c>
      <c r="O330" s="242">
        <v>0</v>
      </c>
      <c r="P330" s="242">
        <v>15911</v>
      </c>
      <c r="Q330" s="242">
        <v>9621</v>
      </c>
      <c r="R330" s="242">
        <v>15050</v>
      </c>
      <c r="S330" s="250">
        <v>365</v>
      </c>
      <c r="T330" s="250">
        <v>571</v>
      </c>
      <c r="U330" s="242">
        <v>4001</v>
      </c>
      <c r="V330" s="242">
        <v>11910</v>
      </c>
      <c r="W330" s="11"/>
      <c r="X330" s="34"/>
    </row>
    <row r="331" spans="2:24" s="22" customFormat="1" ht="54">
      <c r="B331" s="15">
        <f t="shared" si="5"/>
        <v>18</v>
      </c>
      <c r="C331" s="249" t="s">
        <v>1506</v>
      </c>
      <c r="D331" s="228" t="s">
        <v>1507</v>
      </c>
      <c r="E331" s="266">
        <v>600000</v>
      </c>
      <c r="F331" s="254" t="s">
        <v>1508</v>
      </c>
      <c r="G331" s="232">
        <v>40758</v>
      </c>
      <c r="H331" s="228" t="s">
        <v>368</v>
      </c>
      <c r="I331" s="270">
        <v>51715</v>
      </c>
      <c r="J331" s="242">
        <v>10958</v>
      </c>
      <c r="K331" s="242">
        <v>972</v>
      </c>
      <c r="L331" s="242">
        <v>9986</v>
      </c>
      <c r="M331" s="242">
        <v>30000</v>
      </c>
      <c r="N331" s="242">
        <v>543973</v>
      </c>
      <c r="O331" s="242">
        <v>0</v>
      </c>
      <c r="P331" s="242">
        <v>554090</v>
      </c>
      <c r="Q331" s="242">
        <v>9621</v>
      </c>
      <c r="R331" s="242">
        <v>524090</v>
      </c>
      <c r="S331" s="250">
        <v>365</v>
      </c>
      <c r="T331" s="250">
        <v>19883</v>
      </c>
      <c r="U331" s="242">
        <v>139289</v>
      </c>
      <c r="V331" s="242">
        <v>414801</v>
      </c>
      <c r="W331" s="11"/>
      <c r="X331" s="34"/>
    </row>
    <row r="332" spans="2:24" s="22" customFormat="1" ht="27">
      <c r="B332" s="15">
        <f t="shared" si="5"/>
        <v>19</v>
      </c>
      <c r="C332" s="249" t="s">
        <v>1509</v>
      </c>
      <c r="D332" s="228" t="s">
        <v>314</v>
      </c>
      <c r="E332" s="266">
        <v>37855</v>
      </c>
      <c r="F332" s="254" t="s">
        <v>1510</v>
      </c>
      <c r="G332" s="232">
        <v>40758</v>
      </c>
      <c r="H332" s="228" t="s">
        <v>368</v>
      </c>
      <c r="I332" s="270">
        <v>51715</v>
      </c>
      <c r="J332" s="242">
        <v>10958</v>
      </c>
      <c r="K332" s="242">
        <v>972</v>
      </c>
      <c r="L332" s="242">
        <v>9986</v>
      </c>
      <c r="M332" s="242">
        <v>1893</v>
      </c>
      <c r="N332" s="242">
        <v>34320</v>
      </c>
      <c r="O332" s="242">
        <v>0</v>
      </c>
      <c r="P332" s="242">
        <v>34959</v>
      </c>
      <c r="Q332" s="242">
        <v>9621</v>
      </c>
      <c r="R332" s="242">
        <v>33066</v>
      </c>
      <c r="S332" s="250">
        <v>365</v>
      </c>
      <c r="T332" s="250">
        <v>1254</v>
      </c>
      <c r="U332" s="242">
        <v>8786</v>
      </c>
      <c r="V332" s="242">
        <v>26173</v>
      </c>
      <c r="W332" s="11"/>
      <c r="X332" s="34"/>
    </row>
    <row r="333" spans="2:24" s="22" customFormat="1" ht="94.5">
      <c r="B333" s="15">
        <f t="shared" si="5"/>
        <v>20</v>
      </c>
      <c r="C333" s="249" t="s">
        <v>1511</v>
      </c>
      <c r="D333" s="228" t="s">
        <v>314</v>
      </c>
      <c r="E333" s="266">
        <v>892364</v>
      </c>
      <c r="F333" s="254" t="s">
        <v>1512</v>
      </c>
      <c r="G333" s="232">
        <v>40758</v>
      </c>
      <c r="H333" s="228" t="s">
        <v>368</v>
      </c>
      <c r="I333" s="270">
        <v>51715</v>
      </c>
      <c r="J333" s="242">
        <v>10958</v>
      </c>
      <c r="K333" s="242">
        <v>972</v>
      </c>
      <c r="L333" s="242">
        <v>9986</v>
      </c>
      <c r="M333" s="242">
        <v>44618</v>
      </c>
      <c r="N333" s="242">
        <v>809036</v>
      </c>
      <c r="O333" s="242">
        <v>0</v>
      </c>
      <c r="P333" s="242">
        <v>824083</v>
      </c>
      <c r="Q333" s="242">
        <v>9621</v>
      </c>
      <c r="R333" s="242">
        <v>779465</v>
      </c>
      <c r="S333" s="250">
        <v>365</v>
      </c>
      <c r="T333" s="250">
        <v>29571</v>
      </c>
      <c r="U333" s="242">
        <v>207159</v>
      </c>
      <c r="V333" s="242">
        <v>616924</v>
      </c>
      <c r="W333" s="11"/>
      <c r="X333" s="34"/>
    </row>
    <row r="334" spans="2:24" s="22" customFormat="1" ht="40.5">
      <c r="B334" s="15">
        <f t="shared" si="5"/>
        <v>21</v>
      </c>
      <c r="C334" s="249" t="s">
        <v>1513</v>
      </c>
      <c r="D334" s="228" t="s">
        <v>314</v>
      </c>
      <c r="E334" s="266">
        <v>440960</v>
      </c>
      <c r="F334" s="228" t="s">
        <v>1514</v>
      </c>
      <c r="G334" s="232">
        <v>40758</v>
      </c>
      <c r="H334" s="228" t="s">
        <v>368</v>
      </c>
      <c r="I334" s="270">
        <v>51715</v>
      </c>
      <c r="J334" s="242">
        <v>10958</v>
      </c>
      <c r="K334" s="242">
        <v>972</v>
      </c>
      <c r="L334" s="242">
        <v>9986</v>
      </c>
      <c r="M334" s="242">
        <v>22048</v>
      </c>
      <c r="N334" s="242">
        <v>399784</v>
      </c>
      <c r="O334" s="242">
        <v>0</v>
      </c>
      <c r="P334" s="242">
        <v>407219</v>
      </c>
      <c r="Q334" s="242">
        <v>9621</v>
      </c>
      <c r="R334" s="242">
        <v>385171</v>
      </c>
      <c r="S334" s="250">
        <v>365</v>
      </c>
      <c r="T334" s="250">
        <v>14613</v>
      </c>
      <c r="U334" s="242">
        <v>102371</v>
      </c>
      <c r="V334" s="242">
        <v>304848</v>
      </c>
      <c r="W334" s="11"/>
      <c r="X334" s="34"/>
    </row>
    <row r="335" spans="2:24" s="22" customFormat="1" ht="54">
      <c r="B335" s="15">
        <f t="shared" si="5"/>
        <v>22</v>
      </c>
      <c r="C335" s="249" t="s">
        <v>1515</v>
      </c>
      <c r="D335" s="228" t="s">
        <v>314</v>
      </c>
      <c r="E335" s="266">
        <v>1310160</v>
      </c>
      <c r="F335" s="254" t="s">
        <v>1516</v>
      </c>
      <c r="G335" s="232">
        <v>40758</v>
      </c>
      <c r="H335" s="228" t="s">
        <v>368</v>
      </c>
      <c r="I335" s="270">
        <v>51715</v>
      </c>
      <c r="J335" s="242">
        <v>10958</v>
      </c>
      <c r="K335" s="242">
        <v>972</v>
      </c>
      <c r="L335" s="242">
        <v>9986</v>
      </c>
      <c r="M335" s="242">
        <v>65508</v>
      </c>
      <c r="N335" s="242">
        <v>1187820</v>
      </c>
      <c r="O335" s="242">
        <v>0</v>
      </c>
      <c r="P335" s="242">
        <v>1209912</v>
      </c>
      <c r="Q335" s="242">
        <v>9621</v>
      </c>
      <c r="R335" s="242">
        <v>1144404</v>
      </c>
      <c r="S335" s="250">
        <v>365</v>
      </c>
      <c r="T335" s="250">
        <v>43416</v>
      </c>
      <c r="U335" s="242">
        <v>304150</v>
      </c>
      <c r="V335" s="242">
        <v>905762</v>
      </c>
      <c r="W335" s="11"/>
      <c r="X335" s="34"/>
    </row>
    <row r="336" spans="2:24" s="22" customFormat="1" ht="54">
      <c r="B336" s="15">
        <f t="shared" si="5"/>
        <v>23</v>
      </c>
      <c r="C336" s="249" t="s">
        <v>1517</v>
      </c>
      <c r="D336" s="228" t="s">
        <v>314</v>
      </c>
      <c r="E336" s="266">
        <v>588764</v>
      </c>
      <c r="F336" s="254" t="s">
        <v>1518</v>
      </c>
      <c r="G336" s="232">
        <v>40758</v>
      </c>
      <c r="H336" s="228" t="s">
        <v>368</v>
      </c>
      <c r="I336" s="270">
        <v>51715</v>
      </c>
      <c r="J336" s="242">
        <v>10958</v>
      </c>
      <c r="K336" s="242">
        <v>972</v>
      </c>
      <c r="L336" s="242">
        <v>9986</v>
      </c>
      <c r="M336" s="242">
        <v>29438</v>
      </c>
      <c r="N336" s="242">
        <v>533787</v>
      </c>
      <c r="O336" s="242">
        <v>0</v>
      </c>
      <c r="P336" s="242">
        <v>543714</v>
      </c>
      <c r="Q336" s="242">
        <v>9621</v>
      </c>
      <c r="R336" s="242">
        <v>514276</v>
      </c>
      <c r="S336" s="250">
        <v>365</v>
      </c>
      <c r="T336" s="250">
        <v>19511</v>
      </c>
      <c r="U336" s="242">
        <v>136683</v>
      </c>
      <c r="V336" s="242">
        <v>407031</v>
      </c>
      <c r="W336" s="11"/>
      <c r="X336" s="34"/>
    </row>
    <row r="337" spans="2:24" s="22" customFormat="1" ht="40.5">
      <c r="B337" s="15">
        <f t="shared" si="5"/>
        <v>24</v>
      </c>
      <c r="C337" s="249" t="s">
        <v>1519</v>
      </c>
      <c r="D337" s="228" t="s">
        <v>314</v>
      </c>
      <c r="E337" s="266">
        <v>227325</v>
      </c>
      <c r="F337" s="254" t="s">
        <v>1520</v>
      </c>
      <c r="G337" s="232">
        <v>40758</v>
      </c>
      <c r="H337" s="228" t="s">
        <v>368</v>
      </c>
      <c r="I337" s="270">
        <v>51715</v>
      </c>
      <c r="J337" s="242">
        <v>10958</v>
      </c>
      <c r="K337" s="242">
        <v>972</v>
      </c>
      <c r="L337" s="242">
        <v>9986</v>
      </c>
      <c r="M337" s="242">
        <v>11366</v>
      </c>
      <c r="N337" s="242">
        <v>206099</v>
      </c>
      <c r="O337" s="242">
        <v>0</v>
      </c>
      <c r="P337" s="242">
        <v>209932</v>
      </c>
      <c r="Q337" s="242">
        <v>9621</v>
      </c>
      <c r="R337" s="242">
        <v>198566</v>
      </c>
      <c r="S337" s="250">
        <v>365</v>
      </c>
      <c r="T337" s="250">
        <v>7533</v>
      </c>
      <c r="U337" s="242">
        <v>52773</v>
      </c>
      <c r="V337" s="242">
        <v>157159</v>
      </c>
      <c r="W337" s="11"/>
      <c r="X337" s="34"/>
    </row>
    <row r="338" spans="2:24" s="22" customFormat="1" ht="40.5">
      <c r="B338" s="15">
        <f t="shared" si="5"/>
        <v>25</v>
      </c>
      <c r="C338" s="249" t="s">
        <v>1521</v>
      </c>
      <c r="D338" s="228" t="s">
        <v>314</v>
      </c>
      <c r="E338" s="266">
        <v>1390784</v>
      </c>
      <c r="F338" s="254" t="s">
        <v>1522</v>
      </c>
      <c r="G338" s="232">
        <v>40758</v>
      </c>
      <c r="H338" s="228" t="s">
        <v>368</v>
      </c>
      <c r="I338" s="270">
        <v>51715</v>
      </c>
      <c r="J338" s="242">
        <v>10958</v>
      </c>
      <c r="K338" s="242">
        <v>972</v>
      </c>
      <c r="L338" s="242">
        <v>9986</v>
      </c>
      <c r="M338" s="242">
        <v>69539</v>
      </c>
      <c r="N338" s="242">
        <v>1260916</v>
      </c>
      <c r="O338" s="242">
        <v>0</v>
      </c>
      <c r="P338" s="242">
        <v>1284367</v>
      </c>
      <c r="Q338" s="242">
        <v>9621</v>
      </c>
      <c r="R338" s="242">
        <v>1214828</v>
      </c>
      <c r="S338" s="250">
        <v>365</v>
      </c>
      <c r="T338" s="250">
        <v>46088</v>
      </c>
      <c r="U338" s="242">
        <v>322868</v>
      </c>
      <c r="V338" s="242">
        <v>961499</v>
      </c>
      <c r="W338" s="11"/>
      <c r="X338" s="34"/>
    </row>
    <row r="339" spans="2:24" s="22" customFormat="1" ht="27">
      <c r="B339" s="15">
        <f t="shared" si="5"/>
        <v>26</v>
      </c>
      <c r="C339" s="249" t="s">
        <v>1523</v>
      </c>
      <c r="D339" s="228" t="s">
        <v>314</v>
      </c>
      <c r="E339" s="266">
        <v>4730</v>
      </c>
      <c r="F339" s="254" t="s">
        <v>42</v>
      </c>
      <c r="G339" s="232">
        <v>40758</v>
      </c>
      <c r="H339" s="228" t="s">
        <v>368</v>
      </c>
      <c r="I339" s="270">
        <v>51715</v>
      </c>
      <c r="J339" s="242">
        <v>10958</v>
      </c>
      <c r="K339" s="242">
        <v>972</v>
      </c>
      <c r="L339" s="242">
        <v>9986</v>
      </c>
      <c r="M339" s="242">
        <v>237</v>
      </c>
      <c r="N339" s="242">
        <v>4288</v>
      </c>
      <c r="O339" s="242">
        <v>0</v>
      </c>
      <c r="P339" s="242">
        <v>4368</v>
      </c>
      <c r="Q339" s="242">
        <v>9621</v>
      </c>
      <c r="R339" s="242">
        <v>4132</v>
      </c>
      <c r="S339" s="250">
        <v>365</v>
      </c>
      <c r="T339" s="250">
        <v>157</v>
      </c>
      <c r="U339" s="242">
        <v>1099</v>
      </c>
      <c r="V339" s="242">
        <v>3269</v>
      </c>
      <c r="W339" s="11"/>
      <c r="X339" s="34"/>
    </row>
    <row r="340" spans="2:24" s="22" customFormat="1" ht="40.5">
      <c r="B340" s="15">
        <f t="shared" si="5"/>
        <v>27</v>
      </c>
      <c r="C340" s="249" t="s">
        <v>1524</v>
      </c>
      <c r="D340" s="228" t="s">
        <v>314</v>
      </c>
      <c r="E340" s="266">
        <v>600000</v>
      </c>
      <c r="F340" s="254" t="s">
        <v>1525</v>
      </c>
      <c r="G340" s="232">
        <v>40758</v>
      </c>
      <c r="H340" s="228" t="s">
        <v>368</v>
      </c>
      <c r="I340" s="270">
        <v>51715</v>
      </c>
      <c r="J340" s="242">
        <v>10958</v>
      </c>
      <c r="K340" s="242">
        <v>972</v>
      </c>
      <c r="L340" s="242">
        <v>9986</v>
      </c>
      <c r="M340" s="242">
        <v>30000</v>
      </c>
      <c r="N340" s="242">
        <v>543973</v>
      </c>
      <c r="O340" s="242">
        <v>0</v>
      </c>
      <c r="P340" s="242">
        <v>554090</v>
      </c>
      <c r="Q340" s="242">
        <v>9621</v>
      </c>
      <c r="R340" s="242">
        <v>524090</v>
      </c>
      <c r="S340" s="250">
        <v>365</v>
      </c>
      <c r="T340" s="250">
        <v>19883</v>
      </c>
      <c r="U340" s="242">
        <v>139289</v>
      </c>
      <c r="V340" s="242">
        <v>414801</v>
      </c>
      <c r="W340" s="11"/>
      <c r="X340" s="34"/>
    </row>
    <row r="341" spans="2:24" s="22" customFormat="1" ht="27">
      <c r="B341" s="15">
        <f t="shared" si="5"/>
        <v>28</v>
      </c>
      <c r="C341" s="249" t="s">
        <v>1526</v>
      </c>
      <c r="D341" s="228">
        <v>20</v>
      </c>
      <c r="E341" s="266">
        <v>9135</v>
      </c>
      <c r="F341" s="254" t="s">
        <v>1527</v>
      </c>
      <c r="G341" s="232">
        <v>40758</v>
      </c>
      <c r="H341" s="228" t="s">
        <v>368</v>
      </c>
      <c r="I341" s="270">
        <v>51715</v>
      </c>
      <c r="J341" s="242">
        <v>10958</v>
      </c>
      <c r="K341" s="242">
        <v>972</v>
      </c>
      <c r="L341" s="242">
        <v>9986</v>
      </c>
      <c r="M341" s="242">
        <v>457</v>
      </c>
      <c r="N341" s="242">
        <v>8282</v>
      </c>
      <c r="O341" s="242">
        <v>0</v>
      </c>
      <c r="P341" s="242">
        <v>8436</v>
      </c>
      <c r="Q341" s="242">
        <v>9621</v>
      </c>
      <c r="R341" s="242">
        <v>7979</v>
      </c>
      <c r="S341" s="250">
        <v>365</v>
      </c>
      <c r="T341" s="250">
        <v>303</v>
      </c>
      <c r="U341" s="242">
        <v>2123</v>
      </c>
      <c r="V341" s="242">
        <v>6313</v>
      </c>
      <c r="W341" s="11"/>
      <c r="X341" s="34"/>
    </row>
    <row r="342" spans="2:24" s="22" customFormat="1" ht="27">
      <c r="B342" s="15">
        <f t="shared" si="5"/>
        <v>29</v>
      </c>
      <c r="C342" s="249" t="s">
        <v>1528</v>
      </c>
      <c r="D342" s="228" t="s">
        <v>314</v>
      </c>
      <c r="E342" s="266">
        <v>19095</v>
      </c>
      <c r="F342" s="254" t="s">
        <v>1529</v>
      </c>
      <c r="G342" s="232">
        <v>40758</v>
      </c>
      <c r="H342" s="228" t="s">
        <v>368</v>
      </c>
      <c r="I342" s="270">
        <v>51715</v>
      </c>
      <c r="J342" s="242">
        <v>10958</v>
      </c>
      <c r="K342" s="242">
        <v>972</v>
      </c>
      <c r="L342" s="242">
        <v>9986</v>
      </c>
      <c r="M342" s="242">
        <v>955</v>
      </c>
      <c r="N342" s="242">
        <v>17312</v>
      </c>
      <c r="O342" s="242">
        <v>0</v>
      </c>
      <c r="P342" s="242">
        <v>17634</v>
      </c>
      <c r="Q342" s="242">
        <v>9621</v>
      </c>
      <c r="R342" s="242">
        <v>16679</v>
      </c>
      <c r="S342" s="250">
        <v>365</v>
      </c>
      <c r="T342" s="250">
        <v>633</v>
      </c>
      <c r="U342" s="242">
        <v>4433</v>
      </c>
      <c r="V342" s="242">
        <v>13201</v>
      </c>
      <c r="W342" s="11"/>
      <c r="X342" s="34"/>
    </row>
    <row r="343" spans="2:24" s="22" customFormat="1" ht="27">
      <c r="B343" s="15">
        <f t="shared" si="5"/>
        <v>30</v>
      </c>
      <c r="C343" s="249" t="s">
        <v>1530</v>
      </c>
      <c r="D343" s="228" t="s">
        <v>314</v>
      </c>
      <c r="E343" s="266">
        <v>154990</v>
      </c>
      <c r="F343" s="254" t="s">
        <v>1531</v>
      </c>
      <c r="G343" s="232">
        <v>40758</v>
      </c>
      <c r="H343" s="228" t="s">
        <v>368</v>
      </c>
      <c r="I343" s="270">
        <v>51715</v>
      </c>
      <c r="J343" s="242">
        <v>10958</v>
      </c>
      <c r="K343" s="242">
        <v>972</v>
      </c>
      <c r="L343" s="242">
        <v>9986</v>
      </c>
      <c r="M343" s="242">
        <v>7750</v>
      </c>
      <c r="N343" s="242">
        <v>140518</v>
      </c>
      <c r="O343" s="242">
        <v>0</v>
      </c>
      <c r="P343" s="242">
        <v>143132</v>
      </c>
      <c r="Q343" s="242">
        <v>9621</v>
      </c>
      <c r="R343" s="242">
        <v>135383</v>
      </c>
      <c r="S343" s="250">
        <v>365</v>
      </c>
      <c r="T343" s="250">
        <v>5136</v>
      </c>
      <c r="U343" s="242">
        <v>35980</v>
      </c>
      <c r="V343" s="242">
        <v>107152</v>
      </c>
      <c r="W343" s="11"/>
      <c r="X343" s="34"/>
    </row>
    <row r="344" spans="2:24" s="22" customFormat="1" ht="27">
      <c r="B344" s="15">
        <f t="shared" si="5"/>
        <v>31</v>
      </c>
      <c r="C344" s="249" t="s">
        <v>3956</v>
      </c>
      <c r="D344" s="228" t="s">
        <v>314</v>
      </c>
      <c r="E344" s="266">
        <f>76820</f>
        <v>76820</v>
      </c>
      <c r="F344" s="254">
        <v>178</v>
      </c>
      <c r="G344" s="232">
        <v>42825</v>
      </c>
      <c r="H344" s="228" t="s">
        <v>368</v>
      </c>
      <c r="I344" s="270">
        <v>53781</v>
      </c>
      <c r="J344" s="242">
        <v>10957</v>
      </c>
      <c r="K344" s="242">
        <v>0</v>
      </c>
      <c r="L344" s="242">
        <v>10957</v>
      </c>
      <c r="M344" s="242">
        <v>3841</v>
      </c>
      <c r="N344" s="242">
        <v>72979</v>
      </c>
      <c r="O344" s="242">
        <v>0</v>
      </c>
      <c r="P344" s="242">
        <v>76820</v>
      </c>
      <c r="Q344" s="242">
        <v>10957</v>
      </c>
      <c r="R344" s="242">
        <v>72979</v>
      </c>
      <c r="S344" s="250">
        <v>365</v>
      </c>
      <c r="T344" s="250">
        <v>2431</v>
      </c>
      <c r="U344" s="242">
        <v>12169</v>
      </c>
      <c r="V344" s="242">
        <v>64651</v>
      </c>
      <c r="W344" s="11"/>
      <c r="X344" s="34"/>
    </row>
    <row r="345" spans="2:24" s="22" customFormat="1" ht="27">
      <c r="B345" s="15">
        <f t="shared" si="5"/>
        <v>32</v>
      </c>
      <c r="C345" s="249" t="s">
        <v>3957</v>
      </c>
      <c r="D345" s="228" t="s">
        <v>314</v>
      </c>
      <c r="E345" s="266">
        <f>107993</f>
        <v>107993</v>
      </c>
      <c r="F345" s="254" t="s">
        <v>2915</v>
      </c>
      <c r="G345" s="232">
        <v>42825</v>
      </c>
      <c r="H345" s="228" t="s">
        <v>368</v>
      </c>
      <c r="I345" s="270">
        <v>53781</v>
      </c>
      <c r="J345" s="242">
        <v>10957</v>
      </c>
      <c r="K345" s="242">
        <v>0</v>
      </c>
      <c r="L345" s="242">
        <v>10957</v>
      </c>
      <c r="M345" s="242">
        <v>5400</v>
      </c>
      <c r="N345" s="242">
        <v>102593</v>
      </c>
      <c r="O345" s="242">
        <v>0</v>
      </c>
      <c r="P345" s="242">
        <v>107993</v>
      </c>
      <c r="Q345" s="242">
        <v>10957</v>
      </c>
      <c r="R345" s="242">
        <v>102593</v>
      </c>
      <c r="S345" s="250">
        <v>365</v>
      </c>
      <c r="T345" s="250">
        <v>3418</v>
      </c>
      <c r="U345" s="242">
        <v>17108</v>
      </c>
      <c r="V345" s="242">
        <v>90885</v>
      </c>
      <c r="W345" s="11"/>
      <c r="X345" s="34"/>
    </row>
    <row r="346" spans="2:24" s="22" customFormat="1" ht="27">
      <c r="B346" s="15">
        <f t="shared" si="5"/>
        <v>33</v>
      </c>
      <c r="C346" s="249" t="s">
        <v>3958</v>
      </c>
      <c r="D346" s="228" t="s">
        <v>314</v>
      </c>
      <c r="E346" s="266">
        <f>5578</f>
        <v>5578</v>
      </c>
      <c r="F346" s="254" t="s">
        <v>2948</v>
      </c>
      <c r="G346" s="232">
        <v>42825</v>
      </c>
      <c r="H346" s="228" t="s">
        <v>368</v>
      </c>
      <c r="I346" s="270">
        <v>53781</v>
      </c>
      <c r="J346" s="242">
        <v>10957</v>
      </c>
      <c r="K346" s="242">
        <v>0</v>
      </c>
      <c r="L346" s="242">
        <v>10957</v>
      </c>
      <c r="M346" s="242">
        <v>279</v>
      </c>
      <c r="N346" s="242">
        <v>5299</v>
      </c>
      <c r="O346" s="242">
        <v>0</v>
      </c>
      <c r="P346" s="242">
        <v>5578</v>
      </c>
      <c r="Q346" s="242">
        <v>10957</v>
      </c>
      <c r="R346" s="242">
        <v>5299</v>
      </c>
      <c r="S346" s="250">
        <v>365</v>
      </c>
      <c r="T346" s="250">
        <v>177</v>
      </c>
      <c r="U346" s="242">
        <v>885</v>
      </c>
      <c r="V346" s="242">
        <v>4693</v>
      </c>
      <c r="W346" s="11"/>
      <c r="X346" s="34"/>
    </row>
    <row r="347" spans="2:24" s="22" customFormat="1" ht="27">
      <c r="B347" s="15">
        <f t="shared" si="5"/>
        <v>34</v>
      </c>
      <c r="C347" s="249" t="s">
        <v>3959</v>
      </c>
      <c r="D347" s="228" t="s">
        <v>314</v>
      </c>
      <c r="E347" s="266">
        <f>13305</f>
        <v>13305</v>
      </c>
      <c r="F347" s="275" t="s">
        <v>245</v>
      </c>
      <c r="G347" s="232">
        <v>42825</v>
      </c>
      <c r="H347" s="228" t="s">
        <v>368</v>
      </c>
      <c r="I347" s="270">
        <v>53781</v>
      </c>
      <c r="J347" s="242">
        <v>10957</v>
      </c>
      <c r="K347" s="242">
        <v>0</v>
      </c>
      <c r="L347" s="242">
        <v>10957</v>
      </c>
      <c r="M347" s="242">
        <v>665</v>
      </c>
      <c r="N347" s="242">
        <v>12640</v>
      </c>
      <c r="O347" s="242">
        <v>0</v>
      </c>
      <c r="P347" s="242">
        <v>13305</v>
      </c>
      <c r="Q347" s="242">
        <v>10957</v>
      </c>
      <c r="R347" s="242">
        <v>12640</v>
      </c>
      <c r="S347" s="250">
        <v>365</v>
      </c>
      <c r="T347" s="250">
        <v>421</v>
      </c>
      <c r="U347" s="242">
        <v>2107</v>
      </c>
      <c r="V347" s="242">
        <v>11198</v>
      </c>
      <c r="W347" s="11"/>
      <c r="X347" s="34"/>
    </row>
    <row r="348" spans="2:24" s="22" customFormat="1" ht="27">
      <c r="B348" s="15">
        <f t="shared" si="5"/>
        <v>35</v>
      </c>
      <c r="C348" s="249" t="s">
        <v>3960</v>
      </c>
      <c r="D348" s="228" t="s">
        <v>314</v>
      </c>
      <c r="E348" s="266">
        <f>250607</f>
        <v>250607</v>
      </c>
      <c r="F348" s="254" t="s">
        <v>3961</v>
      </c>
      <c r="G348" s="232">
        <v>42825</v>
      </c>
      <c r="H348" s="228" t="s">
        <v>368</v>
      </c>
      <c r="I348" s="270">
        <v>53781</v>
      </c>
      <c r="J348" s="242">
        <v>10957</v>
      </c>
      <c r="K348" s="242">
        <v>0</v>
      </c>
      <c r="L348" s="242">
        <v>10957</v>
      </c>
      <c r="M348" s="242">
        <v>12530</v>
      </c>
      <c r="N348" s="242">
        <v>238077</v>
      </c>
      <c r="O348" s="242">
        <v>0</v>
      </c>
      <c r="P348" s="242">
        <v>250607</v>
      </c>
      <c r="Q348" s="242">
        <v>10957</v>
      </c>
      <c r="R348" s="242">
        <v>238077</v>
      </c>
      <c r="S348" s="250">
        <v>365</v>
      </c>
      <c r="T348" s="250">
        <v>7931</v>
      </c>
      <c r="U348" s="242">
        <v>39699</v>
      </c>
      <c r="V348" s="242">
        <v>210908</v>
      </c>
      <c r="W348" s="11"/>
      <c r="X348" s="34"/>
    </row>
    <row r="349" spans="2:24" s="22" customFormat="1">
      <c r="B349" s="15"/>
      <c r="C349" s="249"/>
      <c r="D349" s="228"/>
      <c r="E349" s="266"/>
      <c r="F349" s="254"/>
      <c r="G349" s="232"/>
      <c r="H349" s="228"/>
      <c r="I349" s="270"/>
      <c r="J349" s="242"/>
      <c r="K349" s="242"/>
      <c r="L349" s="242"/>
      <c r="M349" s="242"/>
      <c r="N349" s="242"/>
      <c r="O349" s="242"/>
      <c r="P349" s="242"/>
      <c r="Q349" s="242"/>
      <c r="R349" s="277"/>
      <c r="S349" s="272"/>
      <c r="T349" s="242"/>
      <c r="U349" s="228"/>
      <c r="V349" s="228"/>
      <c r="W349" s="11"/>
      <c r="X349" s="34"/>
    </row>
    <row r="350" spans="2:24" s="22" customFormat="1">
      <c r="B350" s="15"/>
      <c r="C350" s="249"/>
      <c r="D350" s="228"/>
      <c r="E350" s="266"/>
      <c r="F350" s="254"/>
      <c r="G350" s="232"/>
      <c r="H350" s="228"/>
      <c r="I350" s="270"/>
      <c r="J350" s="242"/>
      <c r="K350" s="242"/>
      <c r="L350" s="242"/>
      <c r="M350" s="242"/>
      <c r="N350" s="242"/>
      <c r="O350" s="242"/>
      <c r="P350" s="242"/>
      <c r="Q350" s="242"/>
      <c r="R350" s="242"/>
      <c r="S350" s="272"/>
      <c r="T350" s="242"/>
      <c r="U350" s="228"/>
      <c r="V350" s="228"/>
      <c r="W350" s="11"/>
      <c r="X350" s="34"/>
    </row>
    <row r="351" spans="2:24" s="22" customFormat="1" ht="14.25">
      <c r="B351" s="32" t="s">
        <v>2483</v>
      </c>
      <c r="C351" s="229"/>
      <c r="D351" s="230"/>
      <c r="E351" s="271"/>
      <c r="F351" s="230"/>
      <c r="G351" s="230"/>
      <c r="H351" s="228"/>
      <c r="I351" s="242"/>
      <c r="J351" s="242"/>
      <c r="K351" s="242"/>
      <c r="L351" s="242"/>
      <c r="M351" s="242"/>
      <c r="N351" s="242"/>
      <c r="O351" s="242"/>
      <c r="P351" s="242"/>
      <c r="Q351" s="242"/>
      <c r="R351" s="242"/>
      <c r="S351" s="272"/>
      <c r="T351" s="242"/>
      <c r="U351" s="228"/>
      <c r="V351" s="228"/>
      <c r="W351" s="11"/>
      <c r="X351" s="34"/>
    </row>
    <row r="352" spans="2:24" s="22" customFormat="1" ht="41.25">
      <c r="B352" s="15">
        <v>1</v>
      </c>
      <c r="C352" s="249" t="s">
        <v>2635</v>
      </c>
      <c r="D352" s="228" t="s">
        <v>42</v>
      </c>
      <c r="E352" s="266">
        <v>2495960</v>
      </c>
      <c r="F352" s="254" t="s">
        <v>108</v>
      </c>
      <c r="G352" s="232">
        <v>40406</v>
      </c>
      <c r="H352" s="228" t="s">
        <v>368</v>
      </c>
      <c r="I352" s="270">
        <v>51363</v>
      </c>
      <c r="J352" s="242">
        <v>10958</v>
      </c>
      <c r="K352" s="242">
        <v>1324</v>
      </c>
      <c r="L352" s="242">
        <v>9634</v>
      </c>
      <c r="M352" s="242">
        <v>124798</v>
      </c>
      <c r="N352" s="242">
        <v>2223696</v>
      </c>
      <c r="O352" s="242">
        <v>0</v>
      </c>
      <c r="P352" s="242">
        <v>2264246</v>
      </c>
      <c r="Q352" s="242">
        <v>9269</v>
      </c>
      <c r="R352" s="242">
        <v>2139448</v>
      </c>
      <c r="S352" s="250">
        <v>365</v>
      </c>
      <c r="T352" s="250">
        <v>84248</v>
      </c>
      <c r="U352" s="242">
        <v>590198</v>
      </c>
      <c r="V352" s="242">
        <v>1674048</v>
      </c>
      <c r="W352" s="11"/>
      <c r="X352" s="34"/>
    </row>
    <row r="353" spans="2:24" s="22" customFormat="1" ht="27">
      <c r="B353" s="15">
        <f t="shared" ref="B353:B361" si="6">+B352+1</f>
        <v>2</v>
      </c>
      <c r="C353" s="249" t="s">
        <v>1945</v>
      </c>
      <c r="D353" s="228" t="s">
        <v>42</v>
      </c>
      <c r="E353" s="266">
        <v>82138</v>
      </c>
      <c r="F353" s="254" t="s">
        <v>1946</v>
      </c>
      <c r="G353" s="232">
        <v>41220</v>
      </c>
      <c r="H353" s="228" t="s">
        <v>368</v>
      </c>
      <c r="I353" s="270">
        <v>52176</v>
      </c>
      <c r="J353" s="242">
        <v>10957</v>
      </c>
      <c r="K353" s="242">
        <v>510</v>
      </c>
      <c r="L353" s="242">
        <v>10447</v>
      </c>
      <c r="M353" s="242">
        <v>4107</v>
      </c>
      <c r="N353" s="242">
        <v>76160</v>
      </c>
      <c r="O353" s="242">
        <v>0</v>
      </c>
      <c r="P353" s="242">
        <v>77606</v>
      </c>
      <c r="Q353" s="242">
        <v>10082</v>
      </c>
      <c r="R353" s="242">
        <v>73499</v>
      </c>
      <c r="S353" s="250">
        <v>365</v>
      </c>
      <c r="T353" s="250">
        <v>2661</v>
      </c>
      <c r="U353" s="242">
        <v>18641</v>
      </c>
      <c r="V353" s="242">
        <v>58965</v>
      </c>
      <c r="W353" s="11"/>
      <c r="X353" s="34"/>
    </row>
    <row r="354" spans="2:24" s="22" customFormat="1" ht="27">
      <c r="B354" s="15">
        <f t="shared" si="6"/>
        <v>3</v>
      </c>
      <c r="C354" s="249" t="s">
        <v>3877</v>
      </c>
      <c r="D354" s="228" t="s">
        <v>341</v>
      </c>
      <c r="E354" s="266">
        <v>179550404</v>
      </c>
      <c r="F354" s="254" t="s">
        <v>3878</v>
      </c>
      <c r="G354" s="232">
        <v>42443</v>
      </c>
      <c r="H354" s="228" t="s">
        <v>368</v>
      </c>
      <c r="I354" s="270">
        <v>53399</v>
      </c>
      <c r="J354" s="242">
        <v>10957</v>
      </c>
      <c r="K354" s="242">
        <v>0</v>
      </c>
      <c r="L354" s="242">
        <v>10957</v>
      </c>
      <c r="M354" s="242">
        <v>8977520</v>
      </c>
      <c r="N354" s="242">
        <v>170572884</v>
      </c>
      <c r="O354" s="242">
        <v>0</v>
      </c>
      <c r="P354" s="242">
        <v>179550404</v>
      </c>
      <c r="Q354" s="242">
        <v>10957</v>
      </c>
      <c r="R354" s="242">
        <v>170572884</v>
      </c>
      <c r="S354" s="250">
        <v>365</v>
      </c>
      <c r="T354" s="250">
        <v>5682130</v>
      </c>
      <c r="U354" s="242">
        <v>34388563</v>
      </c>
      <c r="V354" s="242">
        <v>145161841</v>
      </c>
      <c r="W354" s="11"/>
      <c r="X354" s="34"/>
    </row>
    <row r="355" spans="2:24" s="22" customFormat="1" ht="27">
      <c r="B355" s="15">
        <f t="shared" si="6"/>
        <v>4</v>
      </c>
      <c r="C355" s="249" t="s">
        <v>3992</v>
      </c>
      <c r="D355" s="228" t="s">
        <v>3993</v>
      </c>
      <c r="E355" s="266">
        <v>2587156</v>
      </c>
      <c r="F355" s="254" t="s">
        <v>3994</v>
      </c>
      <c r="G355" s="232">
        <v>42825</v>
      </c>
      <c r="H355" s="228" t="s">
        <v>368</v>
      </c>
      <c r="I355" s="270">
        <v>53781</v>
      </c>
      <c r="J355" s="242">
        <v>10957</v>
      </c>
      <c r="K355" s="242">
        <v>0</v>
      </c>
      <c r="L355" s="242">
        <v>10957</v>
      </c>
      <c r="M355" s="242">
        <v>129358</v>
      </c>
      <c r="N355" s="242">
        <v>2457798</v>
      </c>
      <c r="O355" s="242">
        <v>0</v>
      </c>
      <c r="P355" s="242">
        <v>2587156</v>
      </c>
      <c r="Q355" s="242">
        <v>10957</v>
      </c>
      <c r="R355" s="242">
        <v>2457798</v>
      </c>
      <c r="S355" s="250">
        <v>365</v>
      </c>
      <c r="T355" s="250">
        <v>81874</v>
      </c>
      <c r="U355" s="242">
        <v>409819</v>
      </c>
      <c r="V355" s="242">
        <v>2177337</v>
      </c>
      <c r="W355" s="11"/>
      <c r="X355" s="34"/>
    </row>
    <row r="356" spans="2:24" s="22" customFormat="1" ht="27">
      <c r="B356" s="15">
        <f t="shared" si="6"/>
        <v>5</v>
      </c>
      <c r="C356" s="249" t="s">
        <v>3995</v>
      </c>
      <c r="D356" s="228" t="s">
        <v>42</v>
      </c>
      <c r="E356" s="266">
        <v>45734021</v>
      </c>
      <c r="F356" s="254" t="s">
        <v>3996</v>
      </c>
      <c r="G356" s="232">
        <v>42825</v>
      </c>
      <c r="H356" s="228" t="s">
        <v>368</v>
      </c>
      <c r="I356" s="270">
        <v>53781</v>
      </c>
      <c r="J356" s="242">
        <v>10957</v>
      </c>
      <c r="K356" s="242">
        <v>0</v>
      </c>
      <c r="L356" s="242">
        <v>10957</v>
      </c>
      <c r="M356" s="242">
        <v>2286701</v>
      </c>
      <c r="N356" s="242">
        <v>43447320</v>
      </c>
      <c r="O356" s="242">
        <v>0</v>
      </c>
      <c r="P356" s="242">
        <v>45734021</v>
      </c>
      <c r="Q356" s="242">
        <v>10957</v>
      </c>
      <c r="R356" s="242">
        <v>43447320</v>
      </c>
      <c r="S356" s="250">
        <v>365</v>
      </c>
      <c r="T356" s="250">
        <v>1447319</v>
      </c>
      <c r="U356" s="242">
        <v>7244525</v>
      </c>
      <c r="V356" s="242">
        <v>38489496</v>
      </c>
      <c r="W356" s="11"/>
      <c r="X356" s="34"/>
    </row>
    <row r="357" spans="2:24" s="22" customFormat="1" ht="27">
      <c r="B357" s="15">
        <f t="shared" si="6"/>
        <v>6</v>
      </c>
      <c r="C357" s="249" t="s">
        <v>3997</v>
      </c>
      <c r="D357" s="228" t="s">
        <v>3998</v>
      </c>
      <c r="E357" s="266">
        <v>5049949</v>
      </c>
      <c r="F357" s="275" t="s">
        <v>3999</v>
      </c>
      <c r="G357" s="232">
        <v>42825</v>
      </c>
      <c r="H357" s="228" t="s">
        <v>368</v>
      </c>
      <c r="I357" s="270">
        <v>53781</v>
      </c>
      <c r="J357" s="242">
        <v>10957</v>
      </c>
      <c r="K357" s="242">
        <v>0</v>
      </c>
      <c r="L357" s="242">
        <v>10957</v>
      </c>
      <c r="M357" s="242">
        <v>252497</v>
      </c>
      <c r="N357" s="242">
        <v>4797452</v>
      </c>
      <c r="O357" s="242">
        <v>0</v>
      </c>
      <c r="P357" s="242">
        <v>5049949</v>
      </c>
      <c r="Q357" s="242">
        <v>10957</v>
      </c>
      <c r="R357" s="242">
        <v>4797452</v>
      </c>
      <c r="S357" s="250">
        <v>365</v>
      </c>
      <c r="T357" s="250">
        <v>159813</v>
      </c>
      <c r="U357" s="242">
        <v>799941</v>
      </c>
      <c r="V357" s="242">
        <v>4250008</v>
      </c>
      <c r="W357" s="11"/>
      <c r="X357" s="34"/>
    </row>
    <row r="358" spans="2:24" s="22" customFormat="1" ht="54">
      <c r="B358" s="15">
        <f t="shared" si="6"/>
        <v>7</v>
      </c>
      <c r="C358" s="249" t="s">
        <v>4001</v>
      </c>
      <c r="D358" s="228" t="s">
        <v>42</v>
      </c>
      <c r="E358" s="266">
        <v>2979714</v>
      </c>
      <c r="F358" s="254" t="s">
        <v>4000</v>
      </c>
      <c r="G358" s="232">
        <v>42825</v>
      </c>
      <c r="H358" s="228" t="s">
        <v>368</v>
      </c>
      <c r="I358" s="270">
        <v>53781</v>
      </c>
      <c r="J358" s="242">
        <v>10957</v>
      </c>
      <c r="K358" s="242">
        <v>0</v>
      </c>
      <c r="L358" s="242">
        <v>10957</v>
      </c>
      <c r="M358" s="242">
        <v>148986</v>
      </c>
      <c r="N358" s="242">
        <v>2830728</v>
      </c>
      <c r="O358" s="242">
        <v>0</v>
      </c>
      <c r="P358" s="242">
        <v>2979714</v>
      </c>
      <c r="Q358" s="242">
        <v>10957</v>
      </c>
      <c r="R358" s="242">
        <v>2830728</v>
      </c>
      <c r="S358" s="250">
        <v>365</v>
      </c>
      <c r="T358" s="250">
        <v>94297</v>
      </c>
      <c r="U358" s="242">
        <v>472002</v>
      </c>
      <c r="V358" s="242">
        <v>2507712</v>
      </c>
      <c r="W358" s="11"/>
      <c r="X358" s="34"/>
    </row>
    <row r="359" spans="2:24" s="22" customFormat="1" ht="54">
      <c r="B359" s="15">
        <f t="shared" si="6"/>
        <v>8</v>
      </c>
      <c r="C359" s="249" t="s">
        <v>4002</v>
      </c>
      <c r="D359" s="228" t="s">
        <v>42</v>
      </c>
      <c r="E359" s="266">
        <v>1139018</v>
      </c>
      <c r="F359" s="254" t="s">
        <v>4003</v>
      </c>
      <c r="G359" s="232">
        <v>42825</v>
      </c>
      <c r="H359" s="228" t="s">
        <v>368</v>
      </c>
      <c r="I359" s="270">
        <v>53781</v>
      </c>
      <c r="J359" s="242">
        <v>10957</v>
      </c>
      <c r="K359" s="242">
        <v>0</v>
      </c>
      <c r="L359" s="242">
        <v>10957</v>
      </c>
      <c r="M359" s="242">
        <v>56951</v>
      </c>
      <c r="N359" s="242">
        <v>1082067</v>
      </c>
      <c r="O359" s="242">
        <v>0</v>
      </c>
      <c r="P359" s="242">
        <v>1139018</v>
      </c>
      <c r="Q359" s="242">
        <v>10957</v>
      </c>
      <c r="R359" s="242">
        <v>1082067</v>
      </c>
      <c r="S359" s="250">
        <v>365</v>
      </c>
      <c r="T359" s="250">
        <v>36046</v>
      </c>
      <c r="U359" s="242">
        <v>180428</v>
      </c>
      <c r="V359" s="242">
        <v>958590</v>
      </c>
      <c r="W359" s="11"/>
      <c r="X359" s="34"/>
    </row>
    <row r="360" spans="2:24" s="22" customFormat="1" ht="27">
      <c r="B360" s="15">
        <f t="shared" si="6"/>
        <v>9</v>
      </c>
      <c r="C360" s="249" t="s">
        <v>4004</v>
      </c>
      <c r="D360" s="228" t="s">
        <v>42</v>
      </c>
      <c r="E360" s="266">
        <v>3641029</v>
      </c>
      <c r="F360" s="254" t="s">
        <v>4005</v>
      </c>
      <c r="G360" s="232">
        <v>42825</v>
      </c>
      <c r="H360" s="228" t="s">
        <v>368</v>
      </c>
      <c r="I360" s="270">
        <v>53781</v>
      </c>
      <c r="J360" s="242">
        <v>10957</v>
      </c>
      <c r="K360" s="242">
        <v>0</v>
      </c>
      <c r="L360" s="242">
        <v>10957</v>
      </c>
      <c r="M360" s="242">
        <v>182051</v>
      </c>
      <c r="N360" s="242">
        <v>3458978</v>
      </c>
      <c r="O360" s="242">
        <v>0</v>
      </c>
      <c r="P360" s="242">
        <v>3641029</v>
      </c>
      <c r="Q360" s="242">
        <v>10957</v>
      </c>
      <c r="R360" s="242">
        <v>3458978</v>
      </c>
      <c r="S360" s="250">
        <v>365</v>
      </c>
      <c r="T360" s="250">
        <v>115226</v>
      </c>
      <c r="U360" s="242">
        <v>576761</v>
      </c>
      <c r="V360" s="242">
        <v>3064268</v>
      </c>
      <c r="W360" s="11"/>
      <c r="X360" s="34"/>
    </row>
    <row r="361" spans="2:24" s="22" customFormat="1" ht="27">
      <c r="B361" s="15">
        <f t="shared" si="6"/>
        <v>10</v>
      </c>
      <c r="C361" s="249" t="s">
        <v>4006</v>
      </c>
      <c r="D361" s="228" t="s">
        <v>42</v>
      </c>
      <c r="E361" s="266">
        <v>4446201</v>
      </c>
      <c r="F361" s="228" t="s">
        <v>4007</v>
      </c>
      <c r="G361" s="232">
        <v>42825</v>
      </c>
      <c r="H361" s="228" t="s">
        <v>368</v>
      </c>
      <c r="I361" s="270">
        <v>53781</v>
      </c>
      <c r="J361" s="242">
        <v>10957</v>
      </c>
      <c r="K361" s="242">
        <v>0</v>
      </c>
      <c r="L361" s="242">
        <v>10957</v>
      </c>
      <c r="M361" s="242">
        <v>222310</v>
      </c>
      <c r="N361" s="242">
        <v>4223891</v>
      </c>
      <c r="O361" s="242">
        <v>0</v>
      </c>
      <c r="P361" s="242">
        <v>4446201</v>
      </c>
      <c r="Q361" s="242">
        <v>10957</v>
      </c>
      <c r="R361" s="242">
        <v>4223891</v>
      </c>
      <c r="S361" s="250">
        <v>365</v>
      </c>
      <c r="T361" s="250">
        <v>140706</v>
      </c>
      <c r="U361" s="242">
        <v>704301</v>
      </c>
      <c r="V361" s="242">
        <v>3741900</v>
      </c>
      <c r="W361" s="11"/>
      <c r="X361" s="34"/>
    </row>
    <row r="362" spans="2:24" s="22" customFormat="1">
      <c r="B362" s="15"/>
      <c r="C362" s="249"/>
      <c r="D362" s="228"/>
      <c r="E362" s="266"/>
      <c r="F362" s="254"/>
      <c r="G362" s="232"/>
      <c r="H362" s="228"/>
      <c r="I362" s="270"/>
      <c r="J362" s="242"/>
      <c r="K362" s="242"/>
      <c r="L362" s="242"/>
      <c r="M362" s="242"/>
      <c r="N362" s="242"/>
      <c r="O362" s="242"/>
      <c r="P362" s="242"/>
      <c r="Q362" s="242"/>
      <c r="R362" s="242"/>
      <c r="S362" s="272"/>
      <c r="T362" s="242"/>
      <c r="U362" s="228"/>
      <c r="V362" s="228"/>
      <c r="W362" s="11"/>
      <c r="X362" s="34"/>
    </row>
    <row r="363" spans="2:24" s="22" customFormat="1">
      <c r="B363" s="15"/>
      <c r="C363" s="249"/>
      <c r="D363" s="228"/>
      <c r="E363" s="266"/>
      <c r="F363" s="254"/>
      <c r="G363" s="232"/>
      <c r="H363" s="228"/>
      <c r="I363" s="270"/>
      <c r="J363" s="242"/>
      <c r="K363" s="242"/>
      <c r="L363" s="242"/>
      <c r="M363" s="242"/>
      <c r="N363" s="242"/>
      <c r="O363" s="242"/>
      <c r="P363" s="242"/>
      <c r="Q363" s="242"/>
      <c r="R363" s="242"/>
      <c r="S363" s="272"/>
      <c r="T363" s="242"/>
      <c r="U363" s="228"/>
      <c r="V363" s="228"/>
      <c r="W363" s="11"/>
      <c r="X363" s="34"/>
    </row>
    <row r="364" spans="2:24" s="22" customFormat="1" ht="14.25">
      <c r="B364" s="32" t="s">
        <v>2484</v>
      </c>
      <c r="C364" s="229"/>
      <c r="D364" s="230"/>
      <c r="E364" s="271"/>
      <c r="F364" s="230"/>
      <c r="G364" s="230"/>
      <c r="H364" s="228"/>
      <c r="I364" s="242"/>
      <c r="J364" s="242"/>
      <c r="K364" s="242"/>
      <c r="L364" s="242"/>
      <c r="M364" s="242"/>
      <c r="N364" s="242"/>
      <c r="O364" s="242"/>
      <c r="P364" s="242"/>
      <c r="Q364" s="242"/>
      <c r="R364" s="242"/>
      <c r="S364" s="272"/>
      <c r="T364" s="242"/>
      <c r="U364" s="228"/>
      <c r="V364" s="228"/>
      <c r="W364" s="11"/>
      <c r="X364" s="34"/>
    </row>
    <row r="365" spans="2:24" s="22" customFormat="1" ht="27">
      <c r="B365" s="15">
        <v>1</v>
      </c>
      <c r="C365" s="249" t="s">
        <v>1539</v>
      </c>
      <c r="D365" s="228" t="s">
        <v>314</v>
      </c>
      <c r="E365" s="266">
        <v>49698</v>
      </c>
      <c r="F365" s="254" t="s">
        <v>1540</v>
      </c>
      <c r="G365" s="232">
        <v>40634</v>
      </c>
      <c r="H365" s="228" t="s">
        <v>368</v>
      </c>
      <c r="I365" s="270">
        <v>51591</v>
      </c>
      <c r="J365" s="242">
        <v>10958</v>
      </c>
      <c r="K365" s="242">
        <v>1096</v>
      </c>
      <c r="L365" s="242">
        <v>9862</v>
      </c>
      <c r="M365" s="242">
        <v>2485</v>
      </c>
      <c r="N365" s="242">
        <v>44783</v>
      </c>
      <c r="O365" s="242">
        <v>0</v>
      </c>
      <c r="P365" s="242">
        <v>45611</v>
      </c>
      <c r="Q365" s="242">
        <v>9497</v>
      </c>
      <c r="R365" s="242">
        <v>43126</v>
      </c>
      <c r="S365" s="250">
        <v>365</v>
      </c>
      <c r="T365" s="250">
        <v>1657</v>
      </c>
      <c r="U365" s="242">
        <v>11609</v>
      </c>
      <c r="V365" s="242">
        <v>34002</v>
      </c>
      <c r="W365" s="11"/>
      <c r="X365" s="34"/>
    </row>
    <row r="366" spans="2:24" s="22" customFormat="1" ht="27">
      <c r="B366" s="15">
        <v>2</v>
      </c>
      <c r="C366" s="249" t="s">
        <v>1541</v>
      </c>
      <c r="D366" s="228" t="s">
        <v>314</v>
      </c>
      <c r="E366" s="266">
        <v>302698</v>
      </c>
      <c r="F366" s="254" t="s">
        <v>1542</v>
      </c>
      <c r="G366" s="232">
        <v>40634</v>
      </c>
      <c r="H366" s="228" t="s">
        <v>368</v>
      </c>
      <c r="I366" s="270">
        <v>51591</v>
      </c>
      <c r="J366" s="242">
        <v>10958</v>
      </c>
      <c r="K366" s="242">
        <v>1096</v>
      </c>
      <c r="L366" s="242">
        <v>9862</v>
      </c>
      <c r="M366" s="242">
        <v>15135</v>
      </c>
      <c r="N366" s="242">
        <v>272761</v>
      </c>
      <c r="O366" s="242">
        <v>0</v>
      </c>
      <c r="P366" s="242">
        <v>277801</v>
      </c>
      <c r="Q366" s="242">
        <v>9497</v>
      </c>
      <c r="R366" s="242">
        <v>262666</v>
      </c>
      <c r="S366" s="250">
        <v>365</v>
      </c>
      <c r="T366" s="250">
        <v>10095</v>
      </c>
      <c r="U366" s="242">
        <v>70721</v>
      </c>
      <c r="V366" s="242">
        <v>207080</v>
      </c>
      <c r="W366" s="11"/>
      <c r="X366" s="34"/>
    </row>
    <row r="367" spans="2:24" s="22" customFormat="1" ht="54">
      <c r="B367" s="15">
        <v>3</v>
      </c>
      <c r="C367" s="249" t="s">
        <v>1543</v>
      </c>
      <c r="D367" s="228" t="s">
        <v>314</v>
      </c>
      <c r="E367" s="266">
        <v>15480</v>
      </c>
      <c r="F367" s="254" t="s">
        <v>1544</v>
      </c>
      <c r="G367" s="232">
        <v>40634</v>
      </c>
      <c r="H367" s="228" t="s">
        <v>368</v>
      </c>
      <c r="I367" s="270">
        <v>51591</v>
      </c>
      <c r="J367" s="242">
        <v>10958</v>
      </c>
      <c r="K367" s="242">
        <v>1096</v>
      </c>
      <c r="L367" s="242">
        <v>9862</v>
      </c>
      <c r="M367" s="242">
        <v>774</v>
      </c>
      <c r="N367" s="242">
        <v>13950</v>
      </c>
      <c r="O367" s="242">
        <v>0</v>
      </c>
      <c r="P367" s="242">
        <v>14208</v>
      </c>
      <c r="Q367" s="242">
        <v>9497</v>
      </c>
      <c r="R367" s="242">
        <v>13434</v>
      </c>
      <c r="S367" s="250">
        <v>365</v>
      </c>
      <c r="T367" s="250">
        <v>516</v>
      </c>
      <c r="U367" s="242">
        <v>3616</v>
      </c>
      <c r="V367" s="242">
        <v>10592</v>
      </c>
      <c r="W367" s="11"/>
      <c r="X367" s="34"/>
    </row>
    <row r="368" spans="2:24" s="22" customFormat="1" ht="40.5">
      <c r="B368" s="15">
        <v>4</v>
      </c>
      <c r="C368" s="249" t="s">
        <v>1545</v>
      </c>
      <c r="D368" s="228" t="s">
        <v>314</v>
      </c>
      <c r="E368" s="266">
        <v>274620</v>
      </c>
      <c r="F368" s="254" t="s">
        <v>1546</v>
      </c>
      <c r="G368" s="232">
        <v>40634</v>
      </c>
      <c r="H368" s="228" t="s">
        <v>368</v>
      </c>
      <c r="I368" s="270">
        <v>51591</v>
      </c>
      <c r="J368" s="242">
        <v>10958</v>
      </c>
      <c r="K368" s="242">
        <v>1096</v>
      </c>
      <c r="L368" s="242">
        <v>9862</v>
      </c>
      <c r="M368" s="242">
        <v>13731</v>
      </c>
      <c r="N368" s="242">
        <v>247461</v>
      </c>
      <c r="O368" s="242">
        <v>0</v>
      </c>
      <c r="P368" s="242">
        <v>252033</v>
      </c>
      <c r="Q368" s="242">
        <v>9497</v>
      </c>
      <c r="R368" s="242">
        <v>238302</v>
      </c>
      <c r="S368" s="250">
        <v>365</v>
      </c>
      <c r="T368" s="250">
        <v>9159</v>
      </c>
      <c r="U368" s="242">
        <v>64163</v>
      </c>
      <c r="V368" s="242">
        <v>187870</v>
      </c>
      <c r="W368" s="11"/>
      <c r="X368" s="34"/>
    </row>
    <row r="369" spans="2:24" s="22" customFormat="1" ht="81">
      <c r="B369" s="15">
        <v>5</v>
      </c>
      <c r="C369" s="249" t="s">
        <v>1547</v>
      </c>
      <c r="D369" s="228" t="s">
        <v>314</v>
      </c>
      <c r="E369" s="266">
        <v>16674</v>
      </c>
      <c r="F369" s="254" t="s">
        <v>1548</v>
      </c>
      <c r="G369" s="232">
        <v>40634</v>
      </c>
      <c r="H369" s="228" t="s">
        <v>368</v>
      </c>
      <c r="I369" s="270">
        <v>51591</v>
      </c>
      <c r="J369" s="242">
        <v>10958</v>
      </c>
      <c r="K369" s="242">
        <v>1096</v>
      </c>
      <c r="L369" s="242">
        <v>9862</v>
      </c>
      <c r="M369" s="242">
        <v>834</v>
      </c>
      <c r="N369" s="242">
        <v>15024</v>
      </c>
      <c r="O369" s="242">
        <v>0</v>
      </c>
      <c r="P369" s="242">
        <v>15302</v>
      </c>
      <c r="Q369" s="242">
        <v>9497</v>
      </c>
      <c r="R369" s="242">
        <v>14468</v>
      </c>
      <c r="S369" s="250">
        <v>365</v>
      </c>
      <c r="T369" s="250">
        <v>556</v>
      </c>
      <c r="U369" s="242">
        <v>3896</v>
      </c>
      <c r="V369" s="242">
        <v>11406</v>
      </c>
      <c r="W369" s="11"/>
      <c r="X369" s="34"/>
    </row>
    <row r="370" spans="2:24" s="22" customFormat="1" ht="40.5">
      <c r="B370" s="15">
        <v>6</v>
      </c>
      <c r="C370" s="249" t="s">
        <v>1549</v>
      </c>
      <c r="D370" s="228" t="s">
        <v>314</v>
      </c>
      <c r="E370" s="266">
        <v>17044</v>
      </c>
      <c r="F370" s="254" t="s">
        <v>1550</v>
      </c>
      <c r="G370" s="232">
        <v>40634</v>
      </c>
      <c r="H370" s="228" t="s">
        <v>368</v>
      </c>
      <c r="I370" s="270">
        <v>51591</v>
      </c>
      <c r="J370" s="242">
        <v>10958</v>
      </c>
      <c r="K370" s="242">
        <v>1096</v>
      </c>
      <c r="L370" s="242">
        <v>9862</v>
      </c>
      <c r="M370" s="242">
        <v>852</v>
      </c>
      <c r="N370" s="242">
        <v>15358</v>
      </c>
      <c r="O370" s="242">
        <v>0</v>
      </c>
      <c r="P370" s="242">
        <v>15642</v>
      </c>
      <c r="Q370" s="242">
        <v>9497</v>
      </c>
      <c r="R370" s="242">
        <v>14790</v>
      </c>
      <c r="S370" s="250">
        <v>365</v>
      </c>
      <c r="T370" s="250">
        <v>568</v>
      </c>
      <c r="U370" s="242">
        <v>3980</v>
      </c>
      <c r="V370" s="242">
        <v>11662</v>
      </c>
      <c r="W370" s="11"/>
      <c r="X370" s="34"/>
    </row>
    <row r="371" spans="2:24" s="22" customFormat="1" ht="27">
      <c r="B371" s="15">
        <v>7</v>
      </c>
      <c r="C371" s="249" t="s">
        <v>1551</v>
      </c>
      <c r="D371" s="228" t="s">
        <v>314</v>
      </c>
      <c r="E371" s="266">
        <v>266671</v>
      </c>
      <c r="F371" s="254" t="s">
        <v>1552</v>
      </c>
      <c r="G371" s="232">
        <v>40634</v>
      </c>
      <c r="H371" s="228" t="s">
        <v>368</v>
      </c>
      <c r="I371" s="270">
        <v>51591</v>
      </c>
      <c r="J371" s="242">
        <v>10958</v>
      </c>
      <c r="K371" s="242">
        <v>1096</v>
      </c>
      <c r="L371" s="242">
        <v>9862</v>
      </c>
      <c r="M371" s="242">
        <v>13334</v>
      </c>
      <c r="N371" s="242">
        <v>240296</v>
      </c>
      <c r="O371" s="242">
        <v>0</v>
      </c>
      <c r="P371" s="242">
        <v>244736</v>
      </c>
      <c r="Q371" s="242">
        <v>9497</v>
      </c>
      <c r="R371" s="242">
        <v>231402</v>
      </c>
      <c r="S371" s="250">
        <v>365</v>
      </c>
      <c r="T371" s="250">
        <v>8894</v>
      </c>
      <c r="U371" s="242">
        <v>62306</v>
      </c>
      <c r="V371" s="242">
        <v>182430</v>
      </c>
      <c r="W371" s="11"/>
      <c r="X371" s="34"/>
    </row>
    <row r="372" spans="2:24" s="22" customFormat="1" ht="40.5">
      <c r="B372" s="15">
        <v>8</v>
      </c>
      <c r="C372" s="249" t="s">
        <v>1553</v>
      </c>
      <c r="D372" s="228" t="s">
        <v>314</v>
      </c>
      <c r="E372" s="266">
        <v>19152</v>
      </c>
      <c r="F372" s="254" t="s">
        <v>1554</v>
      </c>
      <c r="G372" s="232">
        <v>40634</v>
      </c>
      <c r="H372" s="228" t="s">
        <v>368</v>
      </c>
      <c r="I372" s="270">
        <v>51591</v>
      </c>
      <c r="J372" s="242">
        <v>10958</v>
      </c>
      <c r="K372" s="242">
        <v>1096</v>
      </c>
      <c r="L372" s="242">
        <v>9862</v>
      </c>
      <c r="M372" s="242">
        <v>958</v>
      </c>
      <c r="N372" s="242">
        <v>17258</v>
      </c>
      <c r="O372" s="242">
        <v>0</v>
      </c>
      <c r="P372" s="242">
        <v>17577</v>
      </c>
      <c r="Q372" s="242">
        <v>9497</v>
      </c>
      <c r="R372" s="242">
        <v>16619</v>
      </c>
      <c r="S372" s="250">
        <v>365</v>
      </c>
      <c r="T372" s="250">
        <v>639</v>
      </c>
      <c r="U372" s="242">
        <v>4475</v>
      </c>
      <c r="V372" s="242">
        <v>13102</v>
      </c>
      <c r="W372" s="11"/>
      <c r="X372" s="34"/>
    </row>
    <row r="373" spans="2:24" s="22" customFormat="1">
      <c r="B373" s="15"/>
      <c r="C373" s="249"/>
      <c r="D373" s="228"/>
      <c r="E373" s="266"/>
      <c r="F373" s="254"/>
      <c r="G373" s="232"/>
      <c r="H373" s="228"/>
      <c r="I373" s="270"/>
      <c r="J373" s="242"/>
      <c r="K373" s="242"/>
      <c r="L373" s="242"/>
      <c r="M373" s="242"/>
      <c r="N373" s="242"/>
      <c r="O373" s="242"/>
      <c r="P373" s="242"/>
      <c r="Q373" s="242"/>
      <c r="R373" s="242"/>
      <c r="S373" s="272"/>
      <c r="T373" s="242"/>
      <c r="U373" s="228"/>
      <c r="V373" s="228"/>
      <c r="W373" s="11"/>
      <c r="X373" s="34"/>
    </row>
    <row r="374" spans="2:24" s="22" customFormat="1">
      <c r="B374" s="15"/>
      <c r="C374" s="249"/>
      <c r="D374" s="228"/>
      <c r="E374" s="266"/>
      <c r="F374" s="254"/>
      <c r="G374" s="232"/>
      <c r="H374" s="228"/>
      <c r="I374" s="270"/>
      <c r="J374" s="242"/>
      <c r="K374" s="242"/>
      <c r="L374" s="242"/>
      <c r="M374" s="242"/>
      <c r="N374" s="242"/>
      <c r="O374" s="242"/>
      <c r="P374" s="242"/>
      <c r="Q374" s="242"/>
      <c r="R374" s="242"/>
      <c r="S374" s="272"/>
      <c r="T374" s="242"/>
      <c r="U374" s="228"/>
      <c r="V374" s="228"/>
      <c r="W374" s="11"/>
      <c r="X374" s="34"/>
    </row>
    <row r="375" spans="2:24" s="22" customFormat="1" ht="14.25">
      <c r="B375" s="32" t="s">
        <v>2485</v>
      </c>
      <c r="C375" s="229"/>
      <c r="D375" s="230"/>
      <c r="E375" s="271"/>
      <c r="F375" s="230"/>
      <c r="G375" s="230"/>
      <c r="H375" s="228"/>
      <c r="I375" s="242"/>
      <c r="J375" s="242"/>
      <c r="K375" s="242"/>
      <c r="L375" s="242"/>
      <c r="M375" s="242"/>
      <c r="N375" s="242"/>
      <c r="O375" s="242"/>
      <c r="P375" s="242"/>
      <c r="Q375" s="242"/>
      <c r="R375" s="242"/>
      <c r="S375" s="272"/>
      <c r="T375" s="242"/>
      <c r="U375" s="228"/>
      <c r="V375" s="228"/>
      <c r="W375" s="11"/>
      <c r="X375" s="34"/>
    </row>
    <row r="376" spans="2:24" s="22" customFormat="1" ht="40.5">
      <c r="B376" s="15">
        <v>1</v>
      </c>
      <c r="C376" s="249" t="s">
        <v>127</v>
      </c>
      <c r="D376" s="230" t="s">
        <v>42</v>
      </c>
      <c r="E376" s="266">
        <v>5955668</v>
      </c>
      <c r="F376" s="273" t="s">
        <v>128</v>
      </c>
      <c r="G376" s="232">
        <v>40626</v>
      </c>
      <c r="H376" s="228" t="s">
        <v>160</v>
      </c>
      <c r="I376" s="270">
        <v>62540</v>
      </c>
      <c r="J376" s="242">
        <v>21915</v>
      </c>
      <c r="K376" s="242">
        <v>1104</v>
      </c>
      <c r="L376" s="242">
        <v>20811</v>
      </c>
      <c r="M376" s="242">
        <v>297783</v>
      </c>
      <c r="N376" s="242">
        <v>5364526</v>
      </c>
      <c r="O376" s="242">
        <v>0</v>
      </c>
      <c r="P376" s="242">
        <v>5568222</v>
      </c>
      <c r="Q376" s="242">
        <v>20446</v>
      </c>
      <c r="R376" s="242">
        <v>5270439</v>
      </c>
      <c r="S376" s="250">
        <v>365</v>
      </c>
      <c r="T376" s="250">
        <v>94087</v>
      </c>
      <c r="U376" s="242">
        <v>659125</v>
      </c>
      <c r="V376" s="242">
        <v>4909097</v>
      </c>
      <c r="W376" s="11"/>
      <c r="X376" s="34"/>
    </row>
    <row r="377" spans="2:24" s="22" customFormat="1" ht="54">
      <c r="B377" s="15">
        <v>2</v>
      </c>
      <c r="C377" s="249" t="s">
        <v>32</v>
      </c>
      <c r="D377" s="230" t="s">
        <v>42</v>
      </c>
      <c r="E377" s="266">
        <v>1839770</v>
      </c>
      <c r="F377" s="273" t="s">
        <v>33</v>
      </c>
      <c r="G377" s="232">
        <v>40459</v>
      </c>
      <c r="H377" s="228" t="s">
        <v>368</v>
      </c>
      <c r="I377" s="270">
        <v>62373</v>
      </c>
      <c r="J377" s="242">
        <v>21915</v>
      </c>
      <c r="K377" s="242">
        <v>1271</v>
      </c>
      <c r="L377" s="242">
        <v>20644</v>
      </c>
      <c r="M377" s="242">
        <v>91989</v>
      </c>
      <c r="N377" s="242">
        <v>1643439</v>
      </c>
      <c r="O377" s="242">
        <v>0</v>
      </c>
      <c r="P377" s="242">
        <v>1706371</v>
      </c>
      <c r="Q377" s="242">
        <v>20279</v>
      </c>
      <c r="R377" s="242">
        <v>1614383</v>
      </c>
      <c r="S377" s="250">
        <v>365</v>
      </c>
      <c r="T377" s="250">
        <v>29057</v>
      </c>
      <c r="U377" s="242">
        <v>203559</v>
      </c>
      <c r="V377" s="242">
        <v>1502812</v>
      </c>
      <c r="W377" s="11"/>
      <c r="X377" s="34"/>
    </row>
    <row r="378" spans="2:24" s="22" customFormat="1" ht="27">
      <c r="B378" s="15">
        <v>3</v>
      </c>
      <c r="C378" s="249" t="s">
        <v>34</v>
      </c>
      <c r="D378" s="230" t="s">
        <v>42</v>
      </c>
      <c r="E378" s="266">
        <v>810277</v>
      </c>
      <c r="F378" s="273" t="s">
        <v>35</v>
      </c>
      <c r="G378" s="232">
        <v>40313</v>
      </c>
      <c r="H378" s="228" t="s">
        <v>368</v>
      </c>
      <c r="I378" s="270">
        <v>62227</v>
      </c>
      <c r="J378" s="242">
        <v>21915</v>
      </c>
      <c r="K378" s="242">
        <v>1417</v>
      </c>
      <c r="L378" s="242">
        <v>20498</v>
      </c>
      <c r="M378" s="242">
        <v>40514</v>
      </c>
      <c r="N378" s="242">
        <v>718524</v>
      </c>
      <c r="O378" s="242">
        <v>0</v>
      </c>
      <c r="P378" s="242">
        <v>746244</v>
      </c>
      <c r="Q378" s="242">
        <v>20133</v>
      </c>
      <c r="R378" s="242">
        <v>705730</v>
      </c>
      <c r="S378" s="250">
        <v>365</v>
      </c>
      <c r="T378" s="250">
        <v>12794</v>
      </c>
      <c r="U378" s="242">
        <v>89630</v>
      </c>
      <c r="V378" s="242">
        <v>656614</v>
      </c>
      <c r="W378" s="11"/>
      <c r="X378" s="34"/>
    </row>
    <row r="379" spans="2:24" s="22" customFormat="1" ht="67.5">
      <c r="B379" s="15">
        <v>4</v>
      </c>
      <c r="C379" s="249" t="s">
        <v>1363</v>
      </c>
      <c r="D379" s="230" t="s">
        <v>42</v>
      </c>
      <c r="E379" s="266">
        <v>7023924</v>
      </c>
      <c r="F379" s="273" t="s">
        <v>1364</v>
      </c>
      <c r="G379" s="232">
        <v>40634</v>
      </c>
      <c r="H379" s="228" t="s">
        <v>368</v>
      </c>
      <c r="I379" s="270">
        <v>62548</v>
      </c>
      <c r="J379" s="242">
        <v>21915</v>
      </c>
      <c r="K379" s="242">
        <v>1096</v>
      </c>
      <c r="L379" s="242">
        <v>20819</v>
      </c>
      <c r="M379" s="242">
        <v>351196</v>
      </c>
      <c r="N379" s="242">
        <v>6329258</v>
      </c>
      <c r="O379" s="242">
        <v>0</v>
      </c>
      <c r="P379" s="242">
        <v>6569489</v>
      </c>
      <c r="Q379" s="242">
        <v>20454</v>
      </c>
      <c r="R379" s="242">
        <v>6218293</v>
      </c>
      <c r="S379" s="250">
        <v>365</v>
      </c>
      <c r="T379" s="250">
        <v>110965</v>
      </c>
      <c r="U379" s="242">
        <v>777363</v>
      </c>
      <c r="V379" s="242">
        <v>5792126</v>
      </c>
      <c r="W379" s="11"/>
      <c r="X379" s="34"/>
    </row>
    <row r="380" spans="2:24" s="22" customFormat="1" ht="67.5">
      <c r="B380" s="15">
        <v>5</v>
      </c>
      <c r="C380" s="249" t="s">
        <v>1369</v>
      </c>
      <c r="D380" s="230" t="s">
        <v>42</v>
      </c>
      <c r="E380" s="266">
        <v>2352000</v>
      </c>
      <c r="F380" s="273" t="s">
        <v>1370</v>
      </c>
      <c r="G380" s="232">
        <v>40668</v>
      </c>
      <c r="H380" s="228" t="s">
        <v>368</v>
      </c>
      <c r="I380" s="270">
        <v>62582</v>
      </c>
      <c r="J380" s="242">
        <v>21915</v>
      </c>
      <c r="K380" s="242">
        <v>1062</v>
      </c>
      <c r="L380" s="242">
        <v>20853</v>
      </c>
      <c r="M380" s="242">
        <v>117600</v>
      </c>
      <c r="N380" s="242">
        <v>2122948</v>
      </c>
      <c r="O380" s="242">
        <v>0</v>
      </c>
      <c r="P380" s="242">
        <v>2203389</v>
      </c>
      <c r="Q380" s="242">
        <v>20488</v>
      </c>
      <c r="R380" s="242">
        <v>2085789</v>
      </c>
      <c r="S380" s="250">
        <v>365</v>
      </c>
      <c r="T380" s="250">
        <v>37159</v>
      </c>
      <c r="U380" s="242">
        <v>260317</v>
      </c>
      <c r="V380" s="242">
        <v>1943072</v>
      </c>
      <c r="W380" s="11"/>
      <c r="X380" s="34"/>
    </row>
    <row r="381" spans="2:24" s="22" customFormat="1" ht="27">
      <c r="B381" s="15">
        <v>6</v>
      </c>
      <c r="C381" s="249" t="s">
        <v>1567</v>
      </c>
      <c r="D381" s="230" t="s">
        <v>42</v>
      </c>
      <c r="E381" s="266">
        <v>29272</v>
      </c>
      <c r="F381" s="273" t="s">
        <v>1568</v>
      </c>
      <c r="G381" s="232">
        <v>40800</v>
      </c>
      <c r="H381" s="228" t="s">
        <v>368</v>
      </c>
      <c r="I381" s="270">
        <v>62714</v>
      </c>
      <c r="J381" s="242">
        <v>21915</v>
      </c>
      <c r="K381" s="242">
        <v>930</v>
      </c>
      <c r="L381" s="242">
        <v>20985</v>
      </c>
      <c r="M381" s="242">
        <v>1464</v>
      </c>
      <c r="N381" s="242">
        <v>26593</v>
      </c>
      <c r="O381" s="242">
        <v>0</v>
      </c>
      <c r="P381" s="242">
        <v>27594</v>
      </c>
      <c r="Q381" s="242">
        <v>20620</v>
      </c>
      <c r="R381" s="242">
        <v>26130</v>
      </c>
      <c r="S381" s="250">
        <v>365</v>
      </c>
      <c r="T381" s="250">
        <v>463</v>
      </c>
      <c r="U381" s="242">
        <v>3243</v>
      </c>
      <c r="V381" s="242">
        <v>24351</v>
      </c>
      <c r="W381" s="11"/>
      <c r="X381" s="34"/>
    </row>
    <row r="382" spans="2:24" s="22" customFormat="1" ht="40.5">
      <c r="B382" s="15">
        <v>7</v>
      </c>
      <c r="C382" s="249" t="s">
        <v>1569</v>
      </c>
      <c r="D382" s="230" t="s">
        <v>42</v>
      </c>
      <c r="E382" s="266">
        <v>7299267</v>
      </c>
      <c r="F382" s="273" t="s">
        <v>1570</v>
      </c>
      <c r="G382" s="232">
        <v>40800</v>
      </c>
      <c r="H382" s="228" t="s">
        <v>368</v>
      </c>
      <c r="I382" s="270">
        <v>62714</v>
      </c>
      <c r="J382" s="242">
        <v>21915</v>
      </c>
      <c r="K382" s="242">
        <v>930</v>
      </c>
      <c r="L382" s="242">
        <v>20985</v>
      </c>
      <c r="M382" s="242">
        <v>364963</v>
      </c>
      <c r="N382" s="242">
        <v>6631333</v>
      </c>
      <c r="O382" s="242">
        <v>0</v>
      </c>
      <c r="P382" s="242">
        <v>6880955</v>
      </c>
      <c r="Q382" s="242">
        <v>20620</v>
      </c>
      <c r="R382" s="242">
        <v>6515992</v>
      </c>
      <c r="S382" s="250">
        <v>365</v>
      </c>
      <c r="T382" s="250">
        <v>115341</v>
      </c>
      <c r="U382" s="242">
        <v>808019</v>
      </c>
      <c r="V382" s="242">
        <v>6072936</v>
      </c>
      <c r="W382" s="11"/>
      <c r="X382" s="34"/>
    </row>
    <row r="383" spans="2:24" s="22" customFormat="1" ht="27">
      <c r="B383" s="15">
        <v>8</v>
      </c>
      <c r="C383" s="249" t="s">
        <v>1571</v>
      </c>
      <c r="D383" s="230" t="s">
        <v>42</v>
      </c>
      <c r="E383" s="266">
        <v>43281</v>
      </c>
      <c r="F383" s="273" t="s">
        <v>1572</v>
      </c>
      <c r="G383" s="232">
        <v>40907</v>
      </c>
      <c r="H383" s="228" t="s">
        <v>368</v>
      </c>
      <c r="I383" s="270">
        <v>62821</v>
      </c>
      <c r="J383" s="242">
        <v>21915</v>
      </c>
      <c r="K383" s="242">
        <v>823</v>
      </c>
      <c r="L383" s="242">
        <v>21092</v>
      </c>
      <c r="M383" s="242">
        <v>2164</v>
      </c>
      <c r="N383" s="242">
        <v>39528</v>
      </c>
      <c r="O383" s="242">
        <v>0</v>
      </c>
      <c r="P383" s="242">
        <v>41008</v>
      </c>
      <c r="Q383" s="242">
        <v>20727</v>
      </c>
      <c r="R383" s="242">
        <v>38844</v>
      </c>
      <c r="S383" s="250">
        <v>365</v>
      </c>
      <c r="T383" s="250">
        <v>684</v>
      </c>
      <c r="U383" s="242">
        <v>4792</v>
      </c>
      <c r="V383" s="242">
        <v>36216</v>
      </c>
      <c r="W383" s="11"/>
      <c r="X383" s="34"/>
    </row>
    <row r="384" spans="2:24" s="22" customFormat="1" ht="27">
      <c r="B384" s="15">
        <v>9</v>
      </c>
      <c r="C384" s="249" t="s">
        <v>1573</v>
      </c>
      <c r="D384" s="230" t="s">
        <v>42</v>
      </c>
      <c r="E384" s="266">
        <v>660800</v>
      </c>
      <c r="F384" s="273" t="s">
        <v>1574</v>
      </c>
      <c r="G384" s="232">
        <v>40634</v>
      </c>
      <c r="H384" s="228" t="s">
        <v>368</v>
      </c>
      <c r="I384" s="270">
        <v>62548</v>
      </c>
      <c r="J384" s="242">
        <v>21915</v>
      </c>
      <c r="K384" s="242">
        <v>1096</v>
      </c>
      <c r="L384" s="242">
        <v>20819</v>
      </c>
      <c r="M384" s="242">
        <v>33040</v>
      </c>
      <c r="N384" s="242">
        <v>595447</v>
      </c>
      <c r="O384" s="242">
        <v>0</v>
      </c>
      <c r="P384" s="242">
        <v>618048</v>
      </c>
      <c r="Q384" s="242">
        <v>20454</v>
      </c>
      <c r="R384" s="242">
        <v>585008</v>
      </c>
      <c r="S384" s="250">
        <v>365</v>
      </c>
      <c r="T384" s="250">
        <v>10439</v>
      </c>
      <c r="U384" s="242">
        <v>73131</v>
      </c>
      <c r="V384" s="242">
        <v>544917</v>
      </c>
      <c r="W384" s="11"/>
      <c r="X384" s="34"/>
    </row>
    <row r="385" spans="2:24" s="22" customFormat="1" ht="67.5">
      <c r="B385" s="15">
        <v>10</v>
      </c>
      <c r="C385" s="249" t="s">
        <v>1575</v>
      </c>
      <c r="D385" s="230" t="s">
        <v>42</v>
      </c>
      <c r="E385" s="266">
        <v>2561000</v>
      </c>
      <c r="F385" s="273" t="s">
        <v>1617</v>
      </c>
      <c r="G385" s="232">
        <v>40678</v>
      </c>
      <c r="H385" s="228" t="s">
        <v>368</v>
      </c>
      <c r="I385" s="270">
        <v>62592</v>
      </c>
      <c r="J385" s="242">
        <v>21915</v>
      </c>
      <c r="K385" s="242">
        <v>1052</v>
      </c>
      <c r="L385" s="242">
        <v>20863</v>
      </c>
      <c r="M385" s="242">
        <v>128050</v>
      </c>
      <c r="N385" s="242">
        <v>2312736</v>
      </c>
      <c r="O385" s="242">
        <v>0</v>
      </c>
      <c r="P385" s="242">
        <v>2400324</v>
      </c>
      <c r="Q385" s="242">
        <v>20498</v>
      </c>
      <c r="R385" s="242">
        <v>2272274</v>
      </c>
      <c r="S385" s="250">
        <v>365</v>
      </c>
      <c r="T385" s="250">
        <v>40462</v>
      </c>
      <c r="U385" s="242">
        <v>283454</v>
      </c>
      <c r="V385" s="242">
        <v>2116870</v>
      </c>
      <c r="W385" s="11"/>
      <c r="X385" s="34"/>
    </row>
    <row r="386" spans="2:24" s="22" customFormat="1" ht="40.5">
      <c r="B386" s="15">
        <v>11</v>
      </c>
      <c r="C386" s="249" t="s">
        <v>1576</v>
      </c>
      <c r="D386" s="230" t="s">
        <v>42</v>
      </c>
      <c r="E386" s="266">
        <v>32460</v>
      </c>
      <c r="F386" s="273" t="s">
        <v>1577</v>
      </c>
      <c r="G386" s="232">
        <v>40644</v>
      </c>
      <c r="H386" s="228" t="s">
        <v>368</v>
      </c>
      <c r="I386" s="270">
        <v>62558</v>
      </c>
      <c r="J386" s="242">
        <v>21915</v>
      </c>
      <c r="K386" s="242">
        <v>1086</v>
      </c>
      <c r="L386" s="242">
        <v>20829</v>
      </c>
      <c r="M386" s="242">
        <v>1623</v>
      </c>
      <c r="N386" s="242">
        <v>29264</v>
      </c>
      <c r="O386" s="242">
        <v>0</v>
      </c>
      <c r="P386" s="242">
        <v>30374</v>
      </c>
      <c r="Q386" s="242">
        <v>20464</v>
      </c>
      <c r="R386" s="242">
        <v>28751</v>
      </c>
      <c r="S386" s="250">
        <v>365</v>
      </c>
      <c r="T386" s="250">
        <v>513</v>
      </c>
      <c r="U386" s="242">
        <v>3593</v>
      </c>
      <c r="V386" s="242">
        <v>26781</v>
      </c>
      <c r="W386" s="11"/>
      <c r="X386" s="34"/>
    </row>
    <row r="387" spans="2:24" s="22" customFormat="1" ht="27">
      <c r="B387" s="15">
        <v>12</v>
      </c>
      <c r="C387" s="249" t="s">
        <v>1578</v>
      </c>
      <c r="D387" s="230" t="s">
        <v>42</v>
      </c>
      <c r="E387" s="266">
        <v>120554</v>
      </c>
      <c r="F387" s="273" t="s">
        <v>1579</v>
      </c>
      <c r="G387" s="232">
        <v>40661</v>
      </c>
      <c r="H387" s="228" t="s">
        <v>368</v>
      </c>
      <c r="I387" s="270">
        <v>62575</v>
      </c>
      <c r="J387" s="242">
        <v>21915</v>
      </c>
      <c r="K387" s="242">
        <v>1069</v>
      </c>
      <c r="L387" s="242">
        <v>20846</v>
      </c>
      <c r="M387" s="242">
        <v>6028</v>
      </c>
      <c r="N387" s="242">
        <v>108776</v>
      </c>
      <c r="O387" s="242">
        <v>0</v>
      </c>
      <c r="P387" s="242">
        <v>112899</v>
      </c>
      <c r="Q387" s="242">
        <v>20481</v>
      </c>
      <c r="R387" s="242">
        <v>106871</v>
      </c>
      <c r="S387" s="250">
        <v>365</v>
      </c>
      <c r="T387" s="250">
        <v>1905</v>
      </c>
      <c r="U387" s="242">
        <v>13345</v>
      </c>
      <c r="V387" s="242">
        <v>99554</v>
      </c>
      <c r="W387" s="11"/>
      <c r="X387" s="34"/>
    </row>
    <row r="388" spans="2:24" s="22" customFormat="1" ht="40.5">
      <c r="B388" s="15">
        <v>13</v>
      </c>
      <c r="C388" s="249" t="s">
        <v>1580</v>
      </c>
      <c r="D388" s="230" t="s">
        <v>42</v>
      </c>
      <c r="E388" s="266">
        <v>2520569</v>
      </c>
      <c r="F388" s="273" t="s">
        <v>1581</v>
      </c>
      <c r="G388" s="232">
        <v>40730</v>
      </c>
      <c r="H388" s="228" t="s">
        <v>368</v>
      </c>
      <c r="I388" s="270">
        <v>62644</v>
      </c>
      <c r="J388" s="242">
        <v>21915</v>
      </c>
      <c r="K388" s="242">
        <v>1000</v>
      </c>
      <c r="L388" s="242">
        <v>20915</v>
      </c>
      <c r="M388" s="242">
        <v>126028</v>
      </c>
      <c r="N388" s="242">
        <v>2282062</v>
      </c>
      <c r="O388" s="242">
        <v>0</v>
      </c>
      <c r="P388" s="242">
        <v>2368264</v>
      </c>
      <c r="Q388" s="242">
        <v>20550</v>
      </c>
      <c r="R388" s="242">
        <v>2242236</v>
      </c>
      <c r="S388" s="250">
        <v>365</v>
      </c>
      <c r="T388" s="250">
        <v>39826</v>
      </c>
      <c r="U388" s="242">
        <v>279000</v>
      </c>
      <c r="V388" s="242">
        <v>2089264</v>
      </c>
      <c r="W388" s="11"/>
      <c r="X388" s="34"/>
    </row>
    <row r="389" spans="2:24" s="22" customFormat="1" ht="27">
      <c r="B389" s="15">
        <v>14</v>
      </c>
      <c r="C389" s="249" t="s">
        <v>1582</v>
      </c>
      <c r="D389" s="230" t="s">
        <v>42</v>
      </c>
      <c r="E389" s="266">
        <v>1456964</v>
      </c>
      <c r="F389" s="273" t="s">
        <v>1583</v>
      </c>
      <c r="G389" s="232">
        <v>40731</v>
      </c>
      <c r="H389" s="228" t="s">
        <v>368</v>
      </c>
      <c r="I389" s="270">
        <v>62645</v>
      </c>
      <c r="J389" s="242">
        <v>21915</v>
      </c>
      <c r="K389" s="242">
        <v>999</v>
      </c>
      <c r="L389" s="242">
        <v>20916</v>
      </c>
      <c r="M389" s="242">
        <v>72848</v>
      </c>
      <c r="N389" s="242">
        <v>1319163</v>
      </c>
      <c r="O389" s="242">
        <v>0</v>
      </c>
      <c r="P389" s="242">
        <v>1368991</v>
      </c>
      <c r="Q389" s="242">
        <v>20551</v>
      </c>
      <c r="R389" s="242">
        <v>1296143</v>
      </c>
      <c r="S389" s="250">
        <v>365</v>
      </c>
      <c r="T389" s="250">
        <v>23020</v>
      </c>
      <c r="U389" s="242">
        <v>161266</v>
      </c>
      <c r="V389" s="242">
        <v>1207725</v>
      </c>
      <c r="W389" s="11"/>
      <c r="X389" s="34"/>
    </row>
    <row r="390" spans="2:24" s="22" customFormat="1" ht="54">
      <c r="B390" s="15">
        <v>15</v>
      </c>
      <c r="C390" s="249" t="s">
        <v>1584</v>
      </c>
      <c r="D390" s="230" t="s">
        <v>42</v>
      </c>
      <c r="E390" s="266">
        <v>1097600</v>
      </c>
      <c r="F390" s="273" t="s">
        <v>1585</v>
      </c>
      <c r="G390" s="232">
        <v>40660</v>
      </c>
      <c r="H390" s="228" t="s">
        <v>368</v>
      </c>
      <c r="I390" s="270">
        <v>62574</v>
      </c>
      <c r="J390" s="242">
        <v>21915</v>
      </c>
      <c r="K390" s="242">
        <v>1070</v>
      </c>
      <c r="L390" s="242">
        <v>20845</v>
      </c>
      <c r="M390" s="242">
        <v>54880</v>
      </c>
      <c r="N390" s="242">
        <v>990318</v>
      </c>
      <c r="O390" s="242">
        <v>0</v>
      </c>
      <c r="P390" s="242">
        <v>1027857</v>
      </c>
      <c r="Q390" s="242">
        <v>20480</v>
      </c>
      <c r="R390" s="242">
        <v>972977</v>
      </c>
      <c r="S390" s="250">
        <v>365</v>
      </c>
      <c r="T390" s="250">
        <v>17341</v>
      </c>
      <c r="U390" s="242">
        <v>121481</v>
      </c>
      <c r="V390" s="242">
        <v>906376</v>
      </c>
      <c r="W390" s="11"/>
      <c r="X390" s="34"/>
    </row>
    <row r="391" spans="2:24" s="22" customFormat="1" ht="54">
      <c r="B391" s="15">
        <v>16</v>
      </c>
      <c r="C391" s="249" t="s">
        <v>1586</v>
      </c>
      <c r="D391" s="230" t="s">
        <v>42</v>
      </c>
      <c r="E391" s="266">
        <v>1073039</v>
      </c>
      <c r="F391" s="273" t="s">
        <v>1581</v>
      </c>
      <c r="G391" s="232">
        <v>40730</v>
      </c>
      <c r="H391" s="228" t="s">
        <v>368</v>
      </c>
      <c r="I391" s="270">
        <v>62644</v>
      </c>
      <c r="J391" s="242">
        <v>21915</v>
      </c>
      <c r="K391" s="242">
        <v>1000</v>
      </c>
      <c r="L391" s="242">
        <v>20915</v>
      </c>
      <c r="M391" s="242">
        <v>53652</v>
      </c>
      <c r="N391" s="242">
        <v>971502</v>
      </c>
      <c r="O391" s="242">
        <v>0</v>
      </c>
      <c r="P391" s="242">
        <v>1008200</v>
      </c>
      <c r="Q391" s="242">
        <v>20550</v>
      </c>
      <c r="R391" s="242">
        <v>954548</v>
      </c>
      <c r="S391" s="250">
        <v>365</v>
      </c>
      <c r="T391" s="250">
        <v>16954</v>
      </c>
      <c r="U391" s="242">
        <v>118772</v>
      </c>
      <c r="V391" s="242">
        <v>889428</v>
      </c>
      <c r="W391" s="11"/>
      <c r="X391" s="34"/>
    </row>
    <row r="392" spans="2:24" s="22" customFormat="1" ht="27">
      <c r="B392" s="15">
        <v>17</v>
      </c>
      <c r="C392" s="249" t="s">
        <v>1587</v>
      </c>
      <c r="D392" s="230" t="s">
        <v>42</v>
      </c>
      <c r="E392" s="266">
        <v>120977</v>
      </c>
      <c r="F392" s="273" t="s">
        <v>1588</v>
      </c>
      <c r="G392" s="232">
        <v>40692</v>
      </c>
      <c r="H392" s="228" t="s">
        <v>368</v>
      </c>
      <c r="I392" s="270">
        <v>62606</v>
      </c>
      <c r="J392" s="242">
        <v>21915</v>
      </c>
      <c r="K392" s="242">
        <v>1038</v>
      </c>
      <c r="L392" s="242">
        <v>20877</v>
      </c>
      <c r="M392" s="242">
        <v>6049</v>
      </c>
      <c r="N392" s="242">
        <v>109325</v>
      </c>
      <c r="O392" s="242">
        <v>0</v>
      </c>
      <c r="P392" s="242">
        <v>113463</v>
      </c>
      <c r="Q392" s="242">
        <v>20512</v>
      </c>
      <c r="R392" s="242">
        <v>107414</v>
      </c>
      <c r="S392" s="250">
        <v>365</v>
      </c>
      <c r="T392" s="250">
        <v>1911</v>
      </c>
      <c r="U392" s="242">
        <v>13389</v>
      </c>
      <c r="V392" s="242">
        <v>100074</v>
      </c>
      <c r="W392" s="11"/>
      <c r="X392" s="34"/>
    </row>
    <row r="393" spans="2:24" s="22" customFormat="1" ht="27">
      <c r="B393" s="15">
        <v>18</v>
      </c>
      <c r="C393" s="249" t="s">
        <v>1589</v>
      </c>
      <c r="D393" s="230" t="s">
        <v>42</v>
      </c>
      <c r="E393" s="266">
        <v>660800</v>
      </c>
      <c r="F393" s="273" t="s">
        <v>1588</v>
      </c>
      <c r="G393" s="232">
        <v>40692</v>
      </c>
      <c r="H393" s="228" t="s">
        <v>368</v>
      </c>
      <c r="I393" s="270">
        <v>62606</v>
      </c>
      <c r="J393" s="242">
        <v>21915</v>
      </c>
      <c r="K393" s="242">
        <v>1038</v>
      </c>
      <c r="L393" s="242">
        <v>20877</v>
      </c>
      <c r="M393" s="242">
        <v>33040</v>
      </c>
      <c r="N393" s="242">
        <v>597154</v>
      </c>
      <c r="O393" s="242">
        <v>0</v>
      </c>
      <c r="P393" s="242">
        <v>619754</v>
      </c>
      <c r="Q393" s="242">
        <v>20512</v>
      </c>
      <c r="R393" s="242">
        <v>586714</v>
      </c>
      <c r="S393" s="250">
        <v>365</v>
      </c>
      <c r="T393" s="250">
        <v>10440</v>
      </c>
      <c r="U393" s="242">
        <v>73138</v>
      </c>
      <c r="V393" s="242">
        <v>546616</v>
      </c>
      <c r="W393" s="11"/>
      <c r="X393" s="34"/>
    </row>
    <row r="394" spans="2:24" s="22" customFormat="1" ht="54">
      <c r="B394" s="15">
        <v>19</v>
      </c>
      <c r="C394" s="249" t="s">
        <v>1590</v>
      </c>
      <c r="D394" s="230" t="s">
        <v>42</v>
      </c>
      <c r="E394" s="266">
        <v>2408000</v>
      </c>
      <c r="F394" s="273" t="s">
        <v>1591</v>
      </c>
      <c r="G394" s="232">
        <v>40749</v>
      </c>
      <c r="H394" s="228" t="s">
        <v>368</v>
      </c>
      <c r="I394" s="270">
        <v>62663</v>
      </c>
      <c r="J394" s="242">
        <v>21915</v>
      </c>
      <c r="K394" s="242">
        <v>981</v>
      </c>
      <c r="L394" s="242">
        <v>20934</v>
      </c>
      <c r="M394" s="242">
        <v>120400</v>
      </c>
      <c r="N394" s="242">
        <v>2182182</v>
      </c>
      <c r="O394" s="242">
        <v>0</v>
      </c>
      <c r="P394" s="242">
        <v>2264534</v>
      </c>
      <c r="Q394" s="242">
        <v>20569</v>
      </c>
      <c r="R394" s="242">
        <v>2144134</v>
      </c>
      <c r="S394" s="250">
        <v>365</v>
      </c>
      <c r="T394" s="250">
        <v>38048</v>
      </c>
      <c r="U394" s="242">
        <v>266544</v>
      </c>
      <c r="V394" s="242">
        <v>1997990</v>
      </c>
      <c r="W394" s="11"/>
      <c r="X394" s="34"/>
    </row>
    <row r="395" spans="2:24" s="22" customFormat="1" ht="27">
      <c r="B395" s="15">
        <v>20</v>
      </c>
      <c r="C395" s="249" t="s">
        <v>1594</v>
      </c>
      <c r="D395" s="230" t="s">
        <v>42</v>
      </c>
      <c r="E395" s="266">
        <v>223523</v>
      </c>
      <c r="F395" s="273" t="s">
        <v>1595</v>
      </c>
      <c r="G395" s="232">
        <v>40755</v>
      </c>
      <c r="H395" s="228" t="s">
        <v>368</v>
      </c>
      <c r="I395" s="270">
        <v>62669</v>
      </c>
      <c r="J395" s="242">
        <v>21915</v>
      </c>
      <c r="K395" s="242">
        <v>975</v>
      </c>
      <c r="L395" s="242">
        <v>20940</v>
      </c>
      <c r="M395" s="242">
        <v>11176</v>
      </c>
      <c r="N395" s="242">
        <v>202622</v>
      </c>
      <c r="O395" s="242">
        <v>0</v>
      </c>
      <c r="P395" s="242">
        <v>210266</v>
      </c>
      <c r="Q395" s="242">
        <v>20575</v>
      </c>
      <c r="R395" s="242">
        <v>199090</v>
      </c>
      <c r="S395" s="250">
        <v>365</v>
      </c>
      <c r="T395" s="250">
        <v>3532</v>
      </c>
      <c r="U395" s="242">
        <v>24744</v>
      </c>
      <c r="V395" s="242">
        <v>185522</v>
      </c>
      <c r="W395" s="11"/>
      <c r="X395" s="34"/>
    </row>
    <row r="396" spans="2:24" s="22" customFormat="1" ht="27">
      <c r="B396" s="15">
        <v>21</v>
      </c>
      <c r="C396" s="249" t="s">
        <v>1596</v>
      </c>
      <c r="D396" s="230" t="s">
        <v>42</v>
      </c>
      <c r="E396" s="266">
        <v>265619</v>
      </c>
      <c r="F396" s="273" t="s">
        <v>1597</v>
      </c>
      <c r="G396" s="232">
        <v>40755</v>
      </c>
      <c r="H396" s="228" t="s">
        <v>368</v>
      </c>
      <c r="I396" s="270">
        <v>62669</v>
      </c>
      <c r="J396" s="242">
        <v>21915</v>
      </c>
      <c r="K396" s="242">
        <v>975</v>
      </c>
      <c r="L396" s="242">
        <v>20940</v>
      </c>
      <c r="M396" s="242">
        <v>13281</v>
      </c>
      <c r="N396" s="242">
        <v>240780</v>
      </c>
      <c r="O396" s="242">
        <v>0</v>
      </c>
      <c r="P396" s="242">
        <v>249864</v>
      </c>
      <c r="Q396" s="242">
        <v>20575</v>
      </c>
      <c r="R396" s="242">
        <v>236583</v>
      </c>
      <c r="S396" s="250">
        <v>365</v>
      </c>
      <c r="T396" s="250">
        <v>4197</v>
      </c>
      <c r="U396" s="242">
        <v>29401</v>
      </c>
      <c r="V396" s="242">
        <v>220463</v>
      </c>
      <c r="W396" s="11"/>
      <c r="X396" s="34"/>
    </row>
    <row r="397" spans="2:24" s="22" customFormat="1" ht="27">
      <c r="B397" s="15">
        <v>22</v>
      </c>
      <c r="C397" s="249" t="s">
        <v>1592</v>
      </c>
      <c r="D397" s="230" t="s">
        <v>42</v>
      </c>
      <c r="E397" s="266">
        <v>742461</v>
      </c>
      <c r="F397" s="273" t="s">
        <v>1593</v>
      </c>
      <c r="G397" s="232">
        <v>40755</v>
      </c>
      <c r="H397" s="228" t="s">
        <v>368</v>
      </c>
      <c r="I397" s="270">
        <v>62669</v>
      </c>
      <c r="J397" s="242">
        <v>21915</v>
      </c>
      <c r="K397" s="242">
        <v>975</v>
      </c>
      <c r="L397" s="242">
        <v>20940</v>
      </c>
      <c r="M397" s="242">
        <v>37123</v>
      </c>
      <c r="N397" s="242">
        <v>673033</v>
      </c>
      <c r="O397" s="242">
        <v>0</v>
      </c>
      <c r="P397" s="242">
        <v>698425</v>
      </c>
      <c r="Q397" s="242">
        <v>20575</v>
      </c>
      <c r="R397" s="242">
        <v>661302</v>
      </c>
      <c r="S397" s="250">
        <v>365</v>
      </c>
      <c r="T397" s="250">
        <v>11731</v>
      </c>
      <c r="U397" s="242">
        <v>82183</v>
      </c>
      <c r="V397" s="242">
        <v>616242</v>
      </c>
      <c r="W397" s="11"/>
      <c r="X397" s="34"/>
    </row>
    <row r="398" spans="2:24" s="22" customFormat="1">
      <c r="B398" s="15">
        <v>23</v>
      </c>
      <c r="C398" s="249" t="s">
        <v>1602</v>
      </c>
      <c r="D398" s="230" t="s">
        <v>42</v>
      </c>
      <c r="E398" s="266">
        <v>245814</v>
      </c>
      <c r="F398" s="273" t="s">
        <v>1603</v>
      </c>
      <c r="G398" s="232">
        <v>40787</v>
      </c>
      <c r="H398" s="228" t="s">
        <v>368</v>
      </c>
      <c r="I398" s="270">
        <v>62701</v>
      </c>
      <c r="J398" s="242">
        <v>21915</v>
      </c>
      <c r="K398" s="242">
        <v>943</v>
      </c>
      <c r="L398" s="242">
        <v>20972</v>
      </c>
      <c r="M398" s="242">
        <v>12291</v>
      </c>
      <c r="N398" s="242">
        <v>223177</v>
      </c>
      <c r="O398" s="242">
        <v>0</v>
      </c>
      <c r="P398" s="242">
        <v>231584</v>
      </c>
      <c r="Q398" s="242">
        <v>20607</v>
      </c>
      <c r="R398" s="242">
        <v>219293</v>
      </c>
      <c r="S398" s="250">
        <v>365</v>
      </c>
      <c r="T398" s="250">
        <v>3884</v>
      </c>
      <c r="U398" s="242">
        <v>27210</v>
      </c>
      <c r="V398" s="242">
        <v>204374</v>
      </c>
      <c r="W398" s="11"/>
      <c r="X398" s="34"/>
    </row>
    <row r="399" spans="2:24" s="22" customFormat="1" ht="27">
      <c r="B399" s="15">
        <v>24</v>
      </c>
      <c r="C399" s="249" t="s">
        <v>1604</v>
      </c>
      <c r="D399" s="230" t="s">
        <v>42</v>
      </c>
      <c r="E399" s="266">
        <v>368703</v>
      </c>
      <c r="F399" s="273" t="s">
        <v>1605</v>
      </c>
      <c r="G399" s="232">
        <v>40798</v>
      </c>
      <c r="H399" s="228" t="s">
        <v>368</v>
      </c>
      <c r="I399" s="270">
        <v>62712</v>
      </c>
      <c r="J399" s="242">
        <v>21915</v>
      </c>
      <c r="K399" s="242">
        <v>932</v>
      </c>
      <c r="L399" s="242">
        <v>20983</v>
      </c>
      <c r="M399" s="242">
        <v>18435</v>
      </c>
      <c r="N399" s="242">
        <v>334931</v>
      </c>
      <c r="O399" s="242">
        <v>0</v>
      </c>
      <c r="P399" s="242">
        <v>347540</v>
      </c>
      <c r="Q399" s="242">
        <v>20618</v>
      </c>
      <c r="R399" s="242">
        <v>329105</v>
      </c>
      <c r="S399" s="250">
        <v>365</v>
      </c>
      <c r="T399" s="250">
        <v>5826</v>
      </c>
      <c r="U399" s="242">
        <v>40814</v>
      </c>
      <c r="V399" s="242">
        <v>306726</v>
      </c>
      <c r="W399" s="11"/>
      <c r="X399" s="34"/>
    </row>
    <row r="400" spans="2:24" s="22" customFormat="1" ht="27">
      <c r="B400" s="15">
        <v>25</v>
      </c>
      <c r="C400" s="249" t="s">
        <v>1606</v>
      </c>
      <c r="D400" s="230" t="s">
        <v>42</v>
      </c>
      <c r="E400" s="266">
        <v>182325</v>
      </c>
      <c r="F400" s="273" t="s">
        <v>1607</v>
      </c>
      <c r="G400" s="232">
        <v>40806</v>
      </c>
      <c r="H400" s="228" t="s">
        <v>368</v>
      </c>
      <c r="I400" s="270">
        <v>62720</v>
      </c>
      <c r="J400" s="242">
        <v>21915</v>
      </c>
      <c r="K400" s="242">
        <v>924</v>
      </c>
      <c r="L400" s="242">
        <v>20991</v>
      </c>
      <c r="M400" s="242">
        <v>9116</v>
      </c>
      <c r="N400" s="242">
        <v>165690</v>
      </c>
      <c r="O400" s="242">
        <v>0</v>
      </c>
      <c r="P400" s="242">
        <v>171925</v>
      </c>
      <c r="Q400" s="242">
        <v>20626</v>
      </c>
      <c r="R400" s="242">
        <v>162809</v>
      </c>
      <c r="S400" s="250">
        <v>365</v>
      </c>
      <c r="T400" s="250">
        <v>2881</v>
      </c>
      <c r="U400" s="242">
        <v>20183</v>
      </c>
      <c r="V400" s="242">
        <v>151742</v>
      </c>
      <c r="W400" s="11"/>
      <c r="X400" s="34"/>
    </row>
    <row r="401" spans="2:24" s="22" customFormat="1">
      <c r="B401" s="15">
        <v>26</v>
      </c>
      <c r="C401" s="249" t="s">
        <v>1608</v>
      </c>
      <c r="D401" s="230" t="s">
        <v>42</v>
      </c>
      <c r="E401" s="266">
        <v>618394</v>
      </c>
      <c r="F401" s="273" t="s">
        <v>1609</v>
      </c>
      <c r="G401" s="232">
        <v>40840</v>
      </c>
      <c r="H401" s="228" t="s">
        <v>368</v>
      </c>
      <c r="I401" s="270">
        <v>62754</v>
      </c>
      <c r="J401" s="242">
        <v>21915</v>
      </c>
      <c r="K401" s="242">
        <v>890</v>
      </c>
      <c r="L401" s="242">
        <v>21025</v>
      </c>
      <c r="M401" s="242">
        <v>30920</v>
      </c>
      <c r="N401" s="242">
        <v>562908</v>
      </c>
      <c r="O401" s="242">
        <v>0</v>
      </c>
      <c r="P401" s="242">
        <v>584056</v>
      </c>
      <c r="Q401" s="242">
        <v>20660</v>
      </c>
      <c r="R401" s="242">
        <v>553136</v>
      </c>
      <c r="S401" s="250">
        <v>365</v>
      </c>
      <c r="T401" s="250">
        <v>9772</v>
      </c>
      <c r="U401" s="242">
        <v>68458</v>
      </c>
      <c r="V401" s="242">
        <v>515598</v>
      </c>
      <c r="W401" s="11"/>
      <c r="X401" s="34"/>
    </row>
    <row r="402" spans="2:24" s="22" customFormat="1" ht="27">
      <c r="B402" s="15">
        <v>27</v>
      </c>
      <c r="C402" s="249" t="s">
        <v>1610</v>
      </c>
      <c r="D402" s="230" t="s">
        <v>42</v>
      </c>
      <c r="E402" s="266">
        <v>181391</v>
      </c>
      <c r="F402" s="273" t="s">
        <v>1611</v>
      </c>
      <c r="G402" s="232">
        <v>40870</v>
      </c>
      <c r="H402" s="228" t="s">
        <v>368</v>
      </c>
      <c r="I402" s="270">
        <v>62784</v>
      </c>
      <c r="J402" s="242">
        <v>21915</v>
      </c>
      <c r="K402" s="242">
        <v>860</v>
      </c>
      <c r="L402" s="242">
        <v>21055</v>
      </c>
      <c r="M402" s="242">
        <v>9070</v>
      </c>
      <c r="N402" s="242">
        <v>165357</v>
      </c>
      <c r="O402" s="242">
        <v>0</v>
      </c>
      <c r="P402" s="242">
        <v>171560</v>
      </c>
      <c r="Q402" s="242">
        <v>20690</v>
      </c>
      <c r="R402" s="242">
        <v>162490</v>
      </c>
      <c r="S402" s="250">
        <v>365</v>
      </c>
      <c r="T402" s="250">
        <v>2867</v>
      </c>
      <c r="U402" s="242">
        <v>20083</v>
      </c>
      <c r="V402" s="242">
        <v>151477</v>
      </c>
      <c r="W402" s="11"/>
      <c r="X402" s="34"/>
    </row>
    <row r="403" spans="2:24" s="22" customFormat="1" ht="40.5">
      <c r="B403" s="15">
        <v>28</v>
      </c>
      <c r="C403" s="249" t="s">
        <v>1612</v>
      </c>
      <c r="D403" s="230" t="s">
        <v>42</v>
      </c>
      <c r="E403" s="266">
        <v>66240</v>
      </c>
      <c r="F403" s="273" t="s">
        <v>1613</v>
      </c>
      <c r="G403" s="232">
        <v>40871</v>
      </c>
      <c r="H403" s="228" t="s">
        <v>368</v>
      </c>
      <c r="I403" s="270">
        <v>62785</v>
      </c>
      <c r="J403" s="242">
        <v>21915</v>
      </c>
      <c r="K403" s="242">
        <v>859</v>
      </c>
      <c r="L403" s="242">
        <v>21056</v>
      </c>
      <c r="M403" s="242">
        <v>3312</v>
      </c>
      <c r="N403" s="242">
        <v>60387</v>
      </c>
      <c r="O403" s="242">
        <v>0</v>
      </c>
      <c r="P403" s="242">
        <v>62652</v>
      </c>
      <c r="Q403" s="242">
        <v>20691</v>
      </c>
      <c r="R403" s="242">
        <v>59340</v>
      </c>
      <c r="S403" s="250">
        <v>365</v>
      </c>
      <c r="T403" s="250">
        <v>1047</v>
      </c>
      <c r="U403" s="242">
        <v>7335</v>
      </c>
      <c r="V403" s="242">
        <v>55317</v>
      </c>
      <c r="W403" s="11"/>
      <c r="X403" s="34"/>
    </row>
    <row r="404" spans="2:24" s="22" customFormat="1" ht="27">
      <c r="B404" s="15">
        <v>29</v>
      </c>
      <c r="C404" s="249" t="s">
        <v>1614</v>
      </c>
      <c r="D404" s="230" t="s">
        <v>42</v>
      </c>
      <c r="E404" s="266">
        <v>25198</v>
      </c>
      <c r="F404" s="273" t="s">
        <v>1615</v>
      </c>
      <c r="G404" s="232">
        <v>40870</v>
      </c>
      <c r="H404" s="228" t="s">
        <v>368</v>
      </c>
      <c r="I404" s="270">
        <v>62784</v>
      </c>
      <c r="J404" s="242">
        <v>21915</v>
      </c>
      <c r="K404" s="242">
        <v>860</v>
      </c>
      <c r="L404" s="242">
        <v>21055</v>
      </c>
      <c r="M404" s="242">
        <v>1260</v>
      </c>
      <c r="N404" s="242">
        <v>22970</v>
      </c>
      <c r="O404" s="242">
        <v>0</v>
      </c>
      <c r="P404" s="242">
        <v>23832</v>
      </c>
      <c r="Q404" s="242">
        <v>20690</v>
      </c>
      <c r="R404" s="242">
        <v>22572</v>
      </c>
      <c r="S404" s="250">
        <v>365</v>
      </c>
      <c r="T404" s="250">
        <v>398</v>
      </c>
      <c r="U404" s="242">
        <v>2788</v>
      </c>
      <c r="V404" s="242">
        <v>21044</v>
      </c>
      <c r="W404" s="11"/>
      <c r="X404" s="34"/>
    </row>
    <row r="405" spans="2:24" s="22" customFormat="1" ht="40.5">
      <c r="B405" s="15">
        <v>30</v>
      </c>
      <c r="C405" s="249" t="s">
        <v>1608</v>
      </c>
      <c r="D405" s="230" t="s">
        <v>42</v>
      </c>
      <c r="E405" s="266">
        <v>1326584</v>
      </c>
      <c r="F405" s="273" t="s">
        <v>1712</v>
      </c>
      <c r="G405" s="232">
        <v>40910</v>
      </c>
      <c r="H405" s="228" t="s">
        <v>368</v>
      </c>
      <c r="I405" s="270">
        <v>62824</v>
      </c>
      <c r="J405" s="242">
        <v>21915</v>
      </c>
      <c r="K405" s="242">
        <v>820</v>
      </c>
      <c r="L405" s="242">
        <v>21095</v>
      </c>
      <c r="M405" s="242">
        <v>66329</v>
      </c>
      <c r="N405" s="242">
        <v>1211692</v>
      </c>
      <c r="O405" s="242">
        <v>0</v>
      </c>
      <c r="P405" s="242">
        <v>1257055</v>
      </c>
      <c r="Q405" s="242">
        <v>20730</v>
      </c>
      <c r="R405" s="242">
        <v>1190726</v>
      </c>
      <c r="S405" s="250">
        <v>365</v>
      </c>
      <c r="T405" s="250">
        <v>20966</v>
      </c>
      <c r="U405" s="242">
        <v>146876</v>
      </c>
      <c r="V405" s="242">
        <v>1110179</v>
      </c>
      <c r="W405" s="11"/>
      <c r="X405" s="34"/>
    </row>
    <row r="406" spans="2:24" s="22" customFormat="1" ht="40.5">
      <c r="B406" s="15">
        <v>31</v>
      </c>
      <c r="C406" s="249" t="s">
        <v>1719</v>
      </c>
      <c r="D406" s="230" t="s">
        <v>42</v>
      </c>
      <c r="E406" s="266">
        <v>255664</v>
      </c>
      <c r="F406" s="273" t="s">
        <v>1714</v>
      </c>
      <c r="G406" s="232">
        <v>40942</v>
      </c>
      <c r="H406" s="228" t="s">
        <v>368</v>
      </c>
      <c r="I406" s="270">
        <v>62856</v>
      </c>
      <c r="J406" s="242">
        <v>21915</v>
      </c>
      <c r="K406" s="242">
        <v>788</v>
      </c>
      <c r="L406" s="242">
        <v>21127</v>
      </c>
      <c r="M406" s="242">
        <v>12783</v>
      </c>
      <c r="N406" s="242">
        <v>233887</v>
      </c>
      <c r="O406" s="242">
        <v>0</v>
      </c>
      <c r="P406" s="242">
        <v>242629</v>
      </c>
      <c r="Q406" s="242">
        <v>20762</v>
      </c>
      <c r="R406" s="242">
        <v>229846</v>
      </c>
      <c r="S406" s="250">
        <v>365</v>
      </c>
      <c r="T406" s="250">
        <v>4041</v>
      </c>
      <c r="U406" s="242">
        <v>28309</v>
      </c>
      <c r="V406" s="242">
        <v>214320</v>
      </c>
      <c r="W406" s="11"/>
      <c r="X406" s="34"/>
    </row>
    <row r="407" spans="2:24" s="22" customFormat="1" ht="27">
      <c r="B407" s="15">
        <v>32</v>
      </c>
      <c r="C407" s="249" t="s">
        <v>1720</v>
      </c>
      <c r="D407" s="230" t="s">
        <v>42</v>
      </c>
      <c r="E407" s="266">
        <v>1296624</v>
      </c>
      <c r="F407" s="273" t="s">
        <v>1721</v>
      </c>
      <c r="G407" s="232">
        <v>40911</v>
      </c>
      <c r="H407" s="228" t="s">
        <v>368</v>
      </c>
      <c r="I407" s="270">
        <v>62825</v>
      </c>
      <c r="J407" s="242">
        <v>21915</v>
      </c>
      <c r="K407" s="242">
        <v>819</v>
      </c>
      <c r="L407" s="242">
        <v>21096</v>
      </c>
      <c r="M407" s="242">
        <v>64831</v>
      </c>
      <c r="N407" s="242">
        <v>1184384</v>
      </c>
      <c r="O407" s="242">
        <v>0</v>
      </c>
      <c r="P407" s="242">
        <v>1228723</v>
      </c>
      <c r="Q407" s="242">
        <v>20731</v>
      </c>
      <c r="R407" s="242">
        <v>1163892</v>
      </c>
      <c r="S407" s="250">
        <v>365</v>
      </c>
      <c r="T407" s="250">
        <v>20492</v>
      </c>
      <c r="U407" s="242">
        <v>143556</v>
      </c>
      <c r="V407" s="242">
        <v>1085167</v>
      </c>
      <c r="W407" s="11"/>
      <c r="X407" s="34"/>
    </row>
    <row r="408" spans="2:24" s="22" customFormat="1" ht="40.5">
      <c r="B408" s="15">
        <v>33</v>
      </c>
      <c r="C408" s="249" t="s">
        <v>1608</v>
      </c>
      <c r="D408" s="230" t="s">
        <v>42</v>
      </c>
      <c r="E408" s="266">
        <v>1359422</v>
      </c>
      <c r="F408" s="273" t="s">
        <v>1722</v>
      </c>
      <c r="G408" s="232">
        <v>40910</v>
      </c>
      <c r="H408" s="228" t="s">
        <v>368</v>
      </c>
      <c r="I408" s="270">
        <v>62824</v>
      </c>
      <c r="J408" s="242">
        <v>21915</v>
      </c>
      <c r="K408" s="242">
        <v>820</v>
      </c>
      <c r="L408" s="242">
        <v>21095</v>
      </c>
      <c r="M408" s="242">
        <v>67971</v>
      </c>
      <c r="N408" s="242">
        <v>1241684</v>
      </c>
      <c r="O408" s="242">
        <v>0</v>
      </c>
      <c r="P408" s="242">
        <v>1288171</v>
      </c>
      <c r="Q408" s="242">
        <v>20730</v>
      </c>
      <c r="R408" s="242">
        <v>1220200</v>
      </c>
      <c r="S408" s="250">
        <v>365</v>
      </c>
      <c r="T408" s="250">
        <v>21484</v>
      </c>
      <c r="U408" s="242">
        <v>150506</v>
      </c>
      <c r="V408" s="242">
        <v>1137665</v>
      </c>
      <c r="W408" s="11"/>
      <c r="X408" s="34"/>
    </row>
    <row r="409" spans="2:24" s="22" customFormat="1" ht="54">
      <c r="B409" s="15">
        <v>34</v>
      </c>
      <c r="C409" s="249" t="s">
        <v>1725</v>
      </c>
      <c r="D409" s="230" t="s">
        <v>42</v>
      </c>
      <c r="E409" s="266">
        <v>2645032</v>
      </c>
      <c r="F409" s="273" t="s">
        <v>1726</v>
      </c>
      <c r="G409" s="232">
        <v>40944</v>
      </c>
      <c r="H409" s="228" t="s">
        <v>368</v>
      </c>
      <c r="I409" s="270">
        <v>62858</v>
      </c>
      <c r="J409" s="242">
        <v>21915</v>
      </c>
      <c r="K409" s="242">
        <v>786</v>
      </c>
      <c r="L409" s="242">
        <v>21129</v>
      </c>
      <c r="M409" s="242">
        <v>132252</v>
      </c>
      <c r="N409" s="242">
        <v>2419955</v>
      </c>
      <c r="O409" s="242">
        <v>0</v>
      </c>
      <c r="P409" s="242">
        <v>2510403</v>
      </c>
      <c r="Q409" s="242">
        <v>20764</v>
      </c>
      <c r="R409" s="242">
        <v>2378151</v>
      </c>
      <c r="S409" s="250">
        <v>365</v>
      </c>
      <c r="T409" s="250">
        <v>41804</v>
      </c>
      <c r="U409" s="242">
        <v>292858</v>
      </c>
      <c r="V409" s="242">
        <v>2217545</v>
      </c>
      <c r="W409" s="11"/>
      <c r="X409" s="34"/>
    </row>
    <row r="410" spans="2:24" s="22" customFormat="1" ht="54">
      <c r="B410" s="15">
        <v>35</v>
      </c>
      <c r="C410" s="249" t="s">
        <v>1727</v>
      </c>
      <c r="D410" s="230" t="s">
        <v>42</v>
      </c>
      <c r="E410" s="266">
        <v>2661944</v>
      </c>
      <c r="F410" s="273" t="s">
        <v>1726</v>
      </c>
      <c r="G410" s="232">
        <v>40944</v>
      </c>
      <c r="H410" s="228" t="s">
        <v>368</v>
      </c>
      <c r="I410" s="270">
        <v>62858</v>
      </c>
      <c r="J410" s="242">
        <v>21915</v>
      </c>
      <c r="K410" s="242">
        <v>786</v>
      </c>
      <c r="L410" s="242">
        <v>21129</v>
      </c>
      <c r="M410" s="242">
        <v>133097</v>
      </c>
      <c r="N410" s="242">
        <v>2435428</v>
      </c>
      <c r="O410" s="242">
        <v>0</v>
      </c>
      <c r="P410" s="242">
        <v>2526453</v>
      </c>
      <c r="Q410" s="242">
        <v>20764</v>
      </c>
      <c r="R410" s="242">
        <v>2393356</v>
      </c>
      <c r="S410" s="250">
        <v>365</v>
      </c>
      <c r="T410" s="250">
        <v>42072</v>
      </c>
      <c r="U410" s="242">
        <v>294734</v>
      </c>
      <c r="V410" s="242">
        <v>2231719</v>
      </c>
      <c r="W410" s="11"/>
      <c r="X410" s="34"/>
    </row>
    <row r="411" spans="2:24" s="22" customFormat="1" ht="40.5">
      <c r="B411" s="15">
        <v>36</v>
      </c>
      <c r="C411" s="249" t="s">
        <v>1728</v>
      </c>
      <c r="D411" s="230" t="s">
        <v>42</v>
      </c>
      <c r="E411" s="266">
        <v>270000</v>
      </c>
      <c r="F411" s="273" t="s">
        <v>1729</v>
      </c>
      <c r="G411" s="232">
        <v>40923</v>
      </c>
      <c r="H411" s="228" t="s">
        <v>368</v>
      </c>
      <c r="I411" s="270">
        <v>62837</v>
      </c>
      <c r="J411" s="242">
        <v>21915</v>
      </c>
      <c r="K411" s="242">
        <v>807</v>
      </c>
      <c r="L411" s="242">
        <v>21108</v>
      </c>
      <c r="M411" s="242">
        <v>13500</v>
      </c>
      <c r="N411" s="242">
        <v>246772</v>
      </c>
      <c r="O411" s="242">
        <v>0</v>
      </c>
      <c r="P411" s="242">
        <v>256005</v>
      </c>
      <c r="Q411" s="242">
        <v>20743</v>
      </c>
      <c r="R411" s="242">
        <v>242505</v>
      </c>
      <c r="S411" s="250">
        <v>365</v>
      </c>
      <c r="T411" s="250">
        <v>4267</v>
      </c>
      <c r="U411" s="242">
        <v>29893</v>
      </c>
      <c r="V411" s="242">
        <v>226112</v>
      </c>
      <c r="W411" s="11"/>
      <c r="X411" s="34"/>
    </row>
    <row r="412" spans="2:24" s="22" customFormat="1" ht="54">
      <c r="B412" s="15">
        <v>37</v>
      </c>
      <c r="C412" s="249" t="s">
        <v>1730</v>
      </c>
      <c r="D412" s="230" t="s">
        <v>42</v>
      </c>
      <c r="E412" s="266">
        <v>140473</v>
      </c>
      <c r="F412" s="273" t="s">
        <v>1731</v>
      </c>
      <c r="G412" s="232">
        <v>40933</v>
      </c>
      <c r="H412" s="228" t="s">
        <v>119</v>
      </c>
      <c r="I412" s="270">
        <v>62847</v>
      </c>
      <c r="J412" s="242">
        <v>21915</v>
      </c>
      <c r="K412" s="242">
        <v>797</v>
      </c>
      <c r="L412" s="242">
        <v>21118</v>
      </c>
      <c r="M412" s="242">
        <v>7024</v>
      </c>
      <c r="N412" s="242">
        <v>128450</v>
      </c>
      <c r="O412" s="242">
        <v>0</v>
      </c>
      <c r="P412" s="242">
        <v>133254</v>
      </c>
      <c r="Q412" s="242">
        <v>20753</v>
      </c>
      <c r="R412" s="242">
        <v>126230</v>
      </c>
      <c r="S412" s="250">
        <v>365</v>
      </c>
      <c r="T412" s="250">
        <v>2220</v>
      </c>
      <c r="U412" s="242">
        <v>15552</v>
      </c>
      <c r="V412" s="242">
        <v>117702</v>
      </c>
      <c r="W412" s="11"/>
      <c r="X412" s="34"/>
    </row>
    <row r="413" spans="2:24" s="22" customFormat="1" ht="54">
      <c r="B413" s="15">
        <v>38</v>
      </c>
      <c r="C413" s="249" t="s">
        <v>1748</v>
      </c>
      <c r="D413" s="230" t="s">
        <v>42</v>
      </c>
      <c r="E413" s="266">
        <v>2690934</v>
      </c>
      <c r="F413" s="280" t="s">
        <v>1749</v>
      </c>
      <c r="G413" s="232">
        <v>40954</v>
      </c>
      <c r="H413" s="228" t="s">
        <v>368</v>
      </c>
      <c r="I413" s="270">
        <v>62868</v>
      </c>
      <c r="J413" s="242">
        <v>21915</v>
      </c>
      <c r="K413" s="242">
        <v>776</v>
      </c>
      <c r="L413" s="242">
        <v>21139</v>
      </c>
      <c r="M413" s="242">
        <v>134547</v>
      </c>
      <c r="N413" s="242">
        <v>2463150</v>
      </c>
      <c r="O413" s="242">
        <v>0</v>
      </c>
      <c r="P413" s="242">
        <v>2555167</v>
      </c>
      <c r="Q413" s="242">
        <v>20774</v>
      </c>
      <c r="R413" s="242">
        <v>2420620</v>
      </c>
      <c r="S413" s="250">
        <v>365</v>
      </c>
      <c r="T413" s="250">
        <v>42530</v>
      </c>
      <c r="U413" s="242">
        <v>297944</v>
      </c>
      <c r="V413" s="242">
        <v>2257223</v>
      </c>
      <c r="W413" s="11"/>
      <c r="X413" s="34"/>
    </row>
    <row r="414" spans="2:24" s="22" customFormat="1" ht="40.5">
      <c r="B414" s="15">
        <v>39</v>
      </c>
      <c r="C414" s="249" t="s">
        <v>1919</v>
      </c>
      <c r="D414" s="230" t="s">
        <v>42</v>
      </c>
      <c r="E414" s="266">
        <v>2684261</v>
      </c>
      <c r="F414" s="280" t="s">
        <v>1920</v>
      </c>
      <c r="G414" s="232">
        <v>41178</v>
      </c>
      <c r="H414" s="228" t="s">
        <v>368</v>
      </c>
      <c r="I414" s="270">
        <v>63092</v>
      </c>
      <c r="J414" s="242">
        <v>21915</v>
      </c>
      <c r="K414" s="242">
        <v>552</v>
      </c>
      <c r="L414" s="242">
        <v>21363</v>
      </c>
      <c r="M414" s="242">
        <v>134213</v>
      </c>
      <c r="N414" s="242">
        <v>2483879</v>
      </c>
      <c r="O414" s="242">
        <v>0</v>
      </c>
      <c r="P414" s="242">
        <v>2575653</v>
      </c>
      <c r="Q414" s="242">
        <v>20998</v>
      </c>
      <c r="R414" s="242">
        <v>2441440</v>
      </c>
      <c r="S414" s="250">
        <v>365</v>
      </c>
      <c r="T414" s="250">
        <v>42439</v>
      </c>
      <c r="U414" s="242">
        <v>297305</v>
      </c>
      <c r="V414" s="242">
        <v>2278348</v>
      </c>
      <c r="W414" s="11"/>
      <c r="X414" s="34"/>
    </row>
    <row r="415" spans="2:24" s="22" customFormat="1" ht="27">
      <c r="B415" s="15">
        <v>40</v>
      </c>
      <c r="C415" s="249" t="s">
        <v>1947</v>
      </c>
      <c r="D415" s="230" t="s">
        <v>42</v>
      </c>
      <c r="E415" s="266">
        <v>2438095</v>
      </c>
      <c r="F415" s="280" t="s">
        <v>1948</v>
      </c>
      <c r="G415" s="232">
        <v>41195</v>
      </c>
      <c r="H415" s="228" t="s">
        <v>368</v>
      </c>
      <c r="I415" s="270">
        <v>63109</v>
      </c>
      <c r="J415" s="242">
        <v>21915</v>
      </c>
      <c r="K415" s="242">
        <v>535</v>
      </c>
      <c r="L415" s="242">
        <v>21380</v>
      </c>
      <c r="M415" s="242">
        <v>121905</v>
      </c>
      <c r="N415" s="242">
        <v>2257940</v>
      </c>
      <c r="O415" s="242">
        <v>0</v>
      </c>
      <c r="P415" s="242">
        <v>2341297</v>
      </c>
      <c r="Q415" s="242">
        <v>21015</v>
      </c>
      <c r="R415" s="242">
        <v>2219392</v>
      </c>
      <c r="S415" s="250">
        <v>365</v>
      </c>
      <c r="T415" s="250">
        <v>38548</v>
      </c>
      <c r="U415" s="242">
        <v>270046</v>
      </c>
      <c r="V415" s="242">
        <v>2071251</v>
      </c>
      <c r="W415" s="11"/>
      <c r="X415" s="34"/>
    </row>
    <row r="416" spans="2:24" s="22" customFormat="1" ht="27">
      <c r="B416" s="15">
        <v>41</v>
      </c>
      <c r="C416" s="249" t="s">
        <v>1949</v>
      </c>
      <c r="D416" s="230" t="s">
        <v>42</v>
      </c>
      <c r="E416" s="266">
        <v>2681782</v>
      </c>
      <c r="F416" s="280" t="s">
        <v>1950</v>
      </c>
      <c r="G416" s="232">
        <v>41192</v>
      </c>
      <c r="H416" s="228" t="s">
        <v>368</v>
      </c>
      <c r="I416" s="270">
        <v>63106</v>
      </c>
      <c r="J416" s="242">
        <v>21915</v>
      </c>
      <c r="K416" s="242">
        <v>538</v>
      </c>
      <c r="L416" s="242">
        <v>21377</v>
      </c>
      <c r="M416" s="242">
        <v>134089</v>
      </c>
      <c r="N416" s="242">
        <v>2483261</v>
      </c>
      <c r="O416" s="242">
        <v>0</v>
      </c>
      <c r="P416" s="242">
        <v>2574950</v>
      </c>
      <c r="Q416" s="242">
        <v>21012</v>
      </c>
      <c r="R416" s="242">
        <v>2440861</v>
      </c>
      <c r="S416" s="250">
        <v>365</v>
      </c>
      <c r="T416" s="250">
        <v>42400</v>
      </c>
      <c r="U416" s="242">
        <v>297032</v>
      </c>
      <c r="V416" s="242">
        <v>2277918</v>
      </c>
      <c r="W416" s="11"/>
      <c r="X416" s="34"/>
    </row>
    <row r="417" spans="2:24" s="22" customFormat="1" ht="40.5">
      <c r="B417" s="15">
        <v>42</v>
      </c>
      <c r="C417" s="249" t="s">
        <v>1951</v>
      </c>
      <c r="D417" s="230" t="s">
        <v>42</v>
      </c>
      <c r="E417" s="266">
        <v>2475205</v>
      </c>
      <c r="F417" s="280" t="s">
        <v>1952</v>
      </c>
      <c r="G417" s="232">
        <v>41183</v>
      </c>
      <c r="H417" s="228" t="s">
        <v>368</v>
      </c>
      <c r="I417" s="270">
        <v>63097</v>
      </c>
      <c r="J417" s="242">
        <v>21915</v>
      </c>
      <c r="K417" s="242">
        <v>547</v>
      </c>
      <c r="L417" s="242">
        <v>21368</v>
      </c>
      <c r="M417" s="242">
        <v>123760</v>
      </c>
      <c r="N417" s="242">
        <v>2290981</v>
      </c>
      <c r="O417" s="242">
        <v>0</v>
      </c>
      <c r="P417" s="242">
        <v>2375607</v>
      </c>
      <c r="Q417" s="242">
        <v>21003</v>
      </c>
      <c r="R417" s="242">
        <v>2251847</v>
      </c>
      <c r="S417" s="250">
        <v>365</v>
      </c>
      <c r="T417" s="250">
        <v>39134</v>
      </c>
      <c r="U417" s="242">
        <v>274152</v>
      </c>
      <c r="V417" s="242">
        <v>2101455</v>
      </c>
      <c r="W417" s="11"/>
      <c r="X417" s="34"/>
    </row>
    <row r="418" spans="2:24" s="22" customFormat="1" ht="40.5">
      <c r="B418" s="15">
        <v>43</v>
      </c>
      <c r="C418" s="249" t="s">
        <v>1971</v>
      </c>
      <c r="D418" s="230" t="s">
        <v>42</v>
      </c>
      <c r="E418" s="266">
        <v>2459360</v>
      </c>
      <c r="F418" s="280" t="s">
        <v>1972</v>
      </c>
      <c r="G418" s="232">
        <v>41183</v>
      </c>
      <c r="H418" s="228" t="s">
        <v>368</v>
      </c>
      <c r="I418" s="270">
        <v>63097</v>
      </c>
      <c r="J418" s="242">
        <v>21915</v>
      </c>
      <c r="K418" s="242">
        <v>547</v>
      </c>
      <c r="L418" s="242">
        <v>21368</v>
      </c>
      <c r="M418" s="242">
        <v>122968</v>
      </c>
      <c r="N418" s="242">
        <v>2276315</v>
      </c>
      <c r="O418" s="242">
        <v>0</v>
      </c>
      <c r="P418" s="242">
        <v>2360400</v>
      </c>
      <c r="Q418" s="242">
        <v>21003</v>
      </c>
      <c r="R418" s="242">
        <v>2237432</v>
      </c>
      <c r="S418" s="250">
        <v>365</v>
      </c>
      <c r="T418" s="250">
        <v>38883</v>
      </c>
      <c r="U418" s="242">
        <v>272395</v>
      </c>
      <c r="V418" s="242">
        <v>2088005</v>
      </c>
      <c r="W418" s="11"/>
      <c r="X418" s="34"/>
    </row>
    <row r="419" spans="2:24" s="22" customFormat="1">
      <c r="B419" s="15">
        <v>44</v>
      </c>
      <c r="C419" s="249" t="s">
        <v>1953</v>
      </c>
      <c r="D419" s="230" t="s">
        <v>42</v>
      </c>
      <c r="E419" s="266">
        <v>42874</v>
      </c>
      <c r="F419" s="280" t="s">
        <v>1954</v>
      </c>
      <c r="G419" s="232">
        <v>41233</v>
      </c>
      <c r="H419" s="228" t="s">
        <v>368</v>
      </c>
      <c r="I419" s="270">
        <v>63147</v>
      </c>
      <c r="J419" s="242">
        <v>21915</v>
      </c>
      <c r="K419" s="242">
        <v>497</v>
      </c>
      <c r="L419" s="242">
        <v>21418</v>
      </c>
      <c r="M419" s="242">
        <v>2144</v>
      </c>
      <c r="N419" s="242">
        <v>39778</v>
      </c>
      <c r="O419" s="242">
        <v>0</v>
      </c>
      <c r="P419" s="242">
        <v>41244</v>
      </c>
      <c r="Q419" s="242">
        <v>21053</v>
      </c>
      <c r="R419" s="242">
        <v>39100</v>
      </c>
      <c r="S419" s="250">
        <v>365</v>
      </c>
      <c r="T419" s="250">
        <v>678</v>
      </c>
      <c r="U419" s="242">
        <v>4750</v>
      </c>
      <c r="V419" s="242">
        <v>36494</v>
      </c>
      <c r="W419" s="11"/>
      <c r="X419" s="34"/>
    </row>
    <row r="420" spans="2:24" s="22" customFormat="1" ht="27">
      <c r="B420" s="15">
        <v>45</v>
      </c>
      <c r="C420" s="249" t="s">
        <v>1955</v>
      </c>
      <c r="D420" s="230" t="s">
        <v>42</v>
      </c>
      <c r="E420" s="266">
        <v>227630</v>
      </c>
      <c r="F420" s="280" t="s">
        <v>1956</v>
      </c>
      <c r="G420" s="232">
        <v>41220</v>
      </c>
      <c r="H420" s="228" t="s">
        <v>368</v>
      </c>
      <c r="I420" s="270">
        <v>63134</v>
      </c>
      <c r="J420" s="242">
        <v>21915</v>
      </c>
      <c r="K420" s="242">
        <v>510</v>
      </c>
      <c r="L420" s="242">
        <v>21405</v>
      </c>
      <c r="M420" s="242">
        <v>11382</v>
      </c>
      <c r="N420" s="242">
        <v>211064</v>
      </c>
      <c r="O420" s="242">
        <v>0</v>
      </c>
      <c r="P420" s="242">
        <v>218847</v>
      </c>
      <c r="Q420" s="242">
        <v>21040</v>
      </c>
      <c r="R420" s="242">
        <v>207466</v>
      </c>
      <c r="S420" s="250">
        <v>365</v>
      </c>
      <c r="T420" s="250">
        <v>3599</v>
      </c>
      <c r="U420" s="242">
        <v>25213</v>
      </c>
      <c r="V420" s="242">
        <v>193634</v>
      </c>
      <c r="W420" s="11"/>
      <c r="X420" s="34"/>
    </row>
    <row r="421" spans="2:24" s="22" customFormat="1" ht="27">
      <c r="B421" s="15">
        <v>46</v>
      </c>
      <c r="C421" s="249" t="s">
        <v>1957</v>
      </c>
      <c r="D421" s="230" t="s">
        <v>42</v>
      </c>
      <c r="E421" s="266">
        <v>165636</v>
      </c>
      <c r="F421" s="280" t="s">
        <v>1958</v>
      </c>
      <c r="G421" s="232">
        <v>41244</v>
      </c>
      <c r="H421" s="228" t="s">
        <v>368</v>
      </c>
      <c r="I421" s="270">
        <v>63158</v>
      </c>
      <c r="J421" s="242">
        <v>21915</v>
      </c>
      <c r="K421" s="242">
        <v>486</v>
      </c>
      <c r="L421" s="242">
        <v>21429</v>
      </c>
      <c r="M421" s="242">
        <v>8282</v>
      </c>
      <c r="N421" s="242">
        <v>153759</v>
      </c>
      <c r="O421" s="242">
        <v>0</v>
      </c>
      <c r="P421" s="242">
        <v>159422</v>
      </c>
      <c r="Q421" s="242">
        <v>21064</v>
      </c>
      <c r="R421" s="242">
        <v>151140</v>
      </c>
      <c r="S421" s="250">
        <v>365</v>
      </c>
      <c r="T421" s="250">
        <v>2619</v>
      </c>
      <c r="U421" s="242">
        <v>18347</v>
      </c>
      <c r="V421" s="242">
        <v>141075</v>
      </c>
      <c r="W421" s="11"/>
      <c r="X421" s="34"/>
    </row>
    <row r="422" spans="2:24" s="22" customFormat="1" ht="67.5">
      <c r="B422" s="15">
        <v>47</v>
      </c>
      <c r="C422" s="249" t="s">
        <v>1959</v>
      </c>
      <c r="D422" s="230" t="s">
        <v>42</v>
      </c>
      <c r="E422" s="266">
        <v>242001</v>
      </c>
      <c r="F422" s="280" t="s">
        <v>1960</v>
      </c>
      <c r="G422" s="232">
        <v>41183</v>
      </c>
      <c r="H422" s="228" t="s">
        <v>368</v>
      </c>
      <c r="I422" s="270">
        <v>63097</v>
      </c>
      <c r="J422" s="242">
        <v>21915</v>
      </c>
      <c r="K422" s="242">
        <v>547</v>
      </c>
      <c r="L422" s="242">
        <v>21368</v>
      </c>
      <c r="M422" s="242">
        <v>12100</v>
      </c>
      <c r="N422" s="242">
        <v>223989</v>
      </c>
      <c r="O422" s="242">
        <v>0</v>
      </c>
      <c r="P422" s="242">
        <v>232263</v>
      </c>
      <c r="Q422" s="242">
        <v>21003</v>
      </c>
      <c r="R422" s="242">
        <v>220163</v>
      </c>
      <c r="S422" s="250">
        <v>365</v>
      </c>
      <c r="T422" s="250">
        <v>3826</v>
      </c>
      <c r="U422" s="242">
        <v>26804</v>
      </c>
      <c r="V422" s="242">
        <v>205459</v>
      </c>
      <c r="W422" s="11"/>
      <c r="X422" s="34"/>
    </row>
    <row r="423" spans="2:24" s="22" customFormat="1" ht="54">
      <c r="B423" s="15">
        <v>48</v>
      </c>
      <c r="C423" s="249" t="s">
        <v>1991</v>
      </c>
      <c r="D423" s="230" t="s">
        <v>42</v>
      </c>
      <c r="E423" s="266">
        <v>263308</v>
      </c>
      <c r="F423" s="280" t="s">
        <v>1992</v>
      </c>
      <c r="G423" s="232">
        <v>41183</v>
      </c>
      <c r="H423" s="228" t="s">
        <v>119</v>
      </c>
      <c r="I423" s="270">
        <v>63097</v>
      </c>
      <c r="J423" s="242">
        <v>21915</v>
      </c>
      <c r="K423" s="242">
        <v>547</v>
      </c>
      <c r="L423" s="242">
        <v>21368</v>
      </c>
      <c r="M423" s="242">
        <v>13165</v>
      </c>
      <c r="N423" s="242">
        <v>243711</v>
      </c>
      <c r="O423" s="242">
        <v>0</v>
      </c>
      <c r="P423" s="242">
        <v>252713</v>
      </c>
      <c r="Q423" s="242">
        <v>21003</v>
      </c>
      <c r="R423" s="242">
        <v>239548</v>
      </c>
      <c r="S423" s="250">
        <v>365</v>
      </c>
      <c r="T423" s="250">
        <v>4163</v>
      </c>
      <c r="U423" s="242">
        <v>29163</v>
      </c>
      <c r="V423" s="242">
        <v>223550</v>
      </c>
      <c r="W423" s="11"/>
      <c r="X423" s="34"/>
    </row>
    <row r="424" spans="2:24" s="22" customFormat="1" ht="27">
      <c r="B424" s="15">
        <v>49</v>
      </c>
      <c r="C424" s="249" t="s">
        <v>1993</v>
      </c>
      <c r="D424" s="230" t="s">
        <v>42</v>
      </c>
      <c r="E424" s="266">
        <v>211712</v>
      </c>
      <c r="F424" s="280" t="s">
        <v>1994</v>
      </c>
      <c r="G424" s="232">
        <v>41183</v>
      </c>
      <c r="H424" s="228" t="s">
        <v>119</v>
      </c>
      <c r="I424" s="270">
        <v>63097</v>
      </c>
      <c r="J424" s="242">
        <v>21915</v>
      </c>
      <c r="K424" s="242">
        <v>547</v>
      </c>
      <c r="L424" s="242">
        <v>21368</v>
      </c>
      <c r="M424" s="242">
        <v>10586</v>
      </c>
      <c r="N424" s="242">
        <v>195954</v>
      </c>
      <c r="O424" s="242">
        <v>0</v>
      </c>
      <c r="P424" s="242">
        <v>203193</v>
      </c>
      <c r="Q424" s="242">
        <v>21003</v>
      </c>
      <c r="R424" s="242">
        <v>192607</v>
      </c>
      <c r="S424" s="250">
        <v>365</v>
      </c>
      <c r="T424" s="250">
        <v>3347</v>
      </c>
      <c r="U424" s="242">
        <v>23447</v>
      </c>
      <c r="V424" s="242">
        <v>179746</v>
      </c>
      <c r="W424" s="11"/>
      <c r="X424" s="34"/>
    </row>
    <row r="425" spans="2:24" s="22" customFormat="1" ht="27">
      <c r="B425" s="15">
        <v>50</v>
      </c>
      <c r="C425" s="249" t="s">
        <v>1999</v>
      </c>
      <c r="D425" s="230" t="s">
        <v>42</v>
      </c>
      <c r="E425" s="266">
        <v>665653</v>
      </c>
      <c r="F425" s="280" t="s">
        <v>2000</v>
      </c>
      <c r="G425" s="232">
        <v>41183</v>
      </c>
      <c r="H425" s="228" t="s">
        <v>368</v>
      </c>
      <c r="I425" s="270">
        <v>63097</v>
      </c>
      <c r="J425" s="242">
        <v>21915</v>
      </c>
      <c r="K425" s="242">
        <v>547</v>
      </c>
      <c r="L425" s="242">
        <v>21368</v>
      </c>
      <c r="M425" s="242">
        <v>33283</v>
      </c>
      <c r="N425" s="242">
        <v>616110</v>
      </c>
      <c r="O425" s="242">
        <v>0</v>
      </c>
      <c r="P425" s="242">
        <v>638869</v>
      </c>
      <c r="Q425" s="242">
        <v>21003</v>
      </c>
      <c r="R425" s="242">
        <v>605586</v>
      </c>
      <c r="S425" s="250">
        <v>365</v>
      </c>
      <c r="T425" s="250">
        <v>10524</v>
      </c>
      <c r="U425" s="242">
        <v>73726</v>
      </c>
      <c r="V425" s="242">
        <v>565143</v>
      </c>
      <c r="W425" s="11"/>
      <c r="X425" s="34"/>
    </row>
    <row r="426" spans="2:24" s="22" customFormat="1" ht="40.5">
      <c r="B426" s="15">
        <v>51</v>
      </c>
      <c r="C426" s="228" t="s">
        <v>1569</v>
      </c>
      <c r="D426" s="228" t="s">
        <v>42</v>
      </c>
      <c r="E426" s="250">
        <v>333308</v>
      </c>
      <c r="F426" s="273" t="s">
        <v>2195</v>
      </c>
      <c r="G426" s="233">
        <v>41365</v>
      </c>
      <c r="H426" s="228" t="s">
        <v>368</v>
      </c>
      <c r="I426" s="270">
        <v>63279</v>
      </c>
      <c r="J426" s="242">
        <v>21915</v>
      </c>
      <c r="K426" s="242">
        <v>365</v>
      </c>
      <c r="L426" s="242">
        <v>21550</v>
      </c>
      <c r="M426" s="242">
        <v>16665</v>
      </c>
      <c r="N426" s="242">
        <v>311210</v>
      </c>
      <c r="O426" s="242">
        <v>0</v>
      </c>
      <c r="P426" s="242">
        <v>322604</v>
      </c>
      <c r="Q426" s="242">
        <v>21185</v>
      </c>
      <c r="R426" s="242">
        <v>305939</v>
      </c>
      <c r="S426" s="250">
        <v>365</v>
      </c>
      <c r="T426" s="250">
        <v>5271</v>
      </c>
      <c r="U426" s="242">
        <v>36927</v>
      </c>
      <c r="V426" s="242">
        <v>285677</v>
      </c>
      <c r="W426" s="11"/>
      <c r="X426" s="34"/>
    </row>
    <row r="427" spans="2:24" s="22" customFormat="1" ht="27">
      <c r="B427" s="15">
        <v>52</v>
      </c>
      <c r="C427" s="228" t="s">
        <v>2466</v>
      </c>
      <c r="D427" s="228" t="s">
        <v>42</v>
      </c>
      <c r="E427" s="250">
        <v>15101</v>
      </c>
      <c r="F427" s="281" t="s">
        <v>2348</v>
      </c>
      <c r="G427" s="233">
        <v>41713</v>
      </c>
      <c r="H427" s="228" t="s">
        <v>368</v>
      </c>
      <c r="I427" s="270">
        <v>63627</v>
      </c>
      <c r="J427" s="242">
        <v>21915</v>
      </c>
      <c r="K427" s="242">
        <v>17</v>
      </c>
      <c r="L427" s="242">
        <v>21898</v>
      </c>
      <c r="M427" s="242">
        <v>755</v>
      </c>
      <c r="N427" s="242">
        <v>14335</v>
      </c>
      <c r="O427" s="242">
        <v>0</v>
      </c>
      <c r="P427" s="242">
        <v>14851</v>
      </c>
      <c r="Q427" s="242">
        <v>21533</v>
      </c>
      <c r="R427" s="242">
        <v>14096</v>
      </c>
      <c r="S427" s="250">
        <v>365</v>
      </c>
      <c r="T427" s="250">
        <v>239</v>
      </c>
      <c r="U427" s="242">
        <v>1675</v>
      </c>
      <c r="V427" s="242">
        <v>13176</v>
      </c>
      <c r="W427" s="11"/>
      <c r="X427" s="34"/>
    </row>
    <row r="428" spans="2:24" s="22" customFormat="1" ht="27">
      <c r="B428" s="15">
        <v>53</v>
      </c>
      <c r="C428" s="228" t="s">
        <v>2467</v>
      </c>
      <c r="D428" s="228" t="s">
        <v>42</v>
      </c>
      <c r="E428" s="250">
        <v>20989</v>
      </c>
      <c r="F428" s="281" t="s">
        <v>2349</v>
      </c>
      <c r="G428" s="233">
        <v>41713</v>
      </c>
      <c r="H428" s="228" t="s">
        <v>368</v>
      </c>
      <c r="I428" s="270">
        <v>63627</v>
      </c>
      <c r="J428" s="242">
        <v>21915</v>
      </c>
      <c r="K428" s="242">
        <v>17</v>
      </c>
      <c r="L428" s="242">
        <v>21898</v>
      </c>
      <c r="M428" s="242">
        <v>1049</v>
      </c>
      <c r="N428" s="242">
        <v>19924</v>
      </c>
      <c r="O428" s="242">
        <v>0</v>
      </c>
      <c r="P428" s="242">
        <v>20641</v>
      </c>
      <c r="Q428" s="242">
        <v>21533</v>
      </c>
      <c r="R428" s="242">
        <v>19592</v>
      </c>
      <c r="S428" s="250">
        <v>365</v>
      </c>
      <c r="T428" s="250">
        <v>332</v>
      </c>
      <c r="U428" s="242">
        <v>2326</v>
      </c>
      <c r="V428" s="242">
        <v>18315</v>
      </c>
      <c r="W428" s="11"/>
      <c r="X428" s="34"/>
    </row>
    <row r="429" spans="2:24" s="22" customFormat="1" ht="14.25">
      <c r="B429" s="32" t="s">
        <v>2498</v>
      </c>
      <c r="C429" s="229"/>
      <c r="D429" s="230"/>
      <c r="E429" s="271"/>
      <c r="F429" s="230"/>
      <c r="G429" s="230"/>
      <c r="H429" s="228"/>
      <c r="I429" s="242"/>
      <c r="J429" s="242"/>
      <c r="K429" s="242"/>
      <c r="L429" s="242"/>
      <c r="M429" s="242"/>
      <c r="N429" s="242"/>
      <c r="O429" s="242"/>
      <c r="P429" s="242"/>
      <c r="Q429" s="242"/>
      <c r="R429" s="242"/>
      <c r="S429" s="272"/>
      <c r="T429" s="242"/>
      <c r="U429" s="228"/>
      <c r="V429" s="228"/>
      <c r="W429" s="11"/>
      <c r="X429" s="34"/>
    </row>
    <row r="430" spans="2:24" s="22" customFormat="1" ht="27">
      <c r="B430" s="15">
        <v>1</v>
      </c>
      <c r="C430" s="245" t="s">
        <v>202</v>
      </c>
      <c r="D430" s="234" t="s">
        <v>314</v>
      </c>
      <c r="E430" s="282">
        <v>682350</v>
      </c>
      <c r="F430" s="234" t="s">
        <v>42</v>
      </c>
      <c r="G430" s="233">
        <v>40040</v>
      </c>
      <c r="H430" s="249" t="s">
        <v>4366</v>
      </c>
      <c r="I430" s="270">
        <v>41135</v>
      </c>
      <c r="J430" s="242">
        <v>1096</v>
      </c>
      <c r="K430" s="242">
        <v>1690</v>
      </c>
      <c r="L430" s="242">
        <v>-594</v>
      </c>
      <c r="M430" s="242">
        <v>34118</v>
      </c>
      <c r="N430" s="242">
        <v>0</v>
      </c>
      <c r="O430" s="242">
        <v>630884</v>
      </c>
      <c r="P430" s="242">
        <v>0</v>
      </c>
      <c r="Q430" s="242"/>
      <c r="R430" s="242">
        <v>-34118</v>
      </c>
      <c r="S430" s="250">
        <v>0</v>
      </c>
      <c r="T430" s="250">
        <v>0</v>
      </c>
      <c r="U430" s="242">
        <v>0</v>
      </c>
      <c r="V430" s="242">
        <v>0</v>
      </c>
    </row>
    <row r="431" spans="2:24" s="22" customFormat="1" ht="27">
      <c r="B431" s="15">
        <f t="shared" ref="B431" si="7">+B430+1</f>
        <v>2</v>
      </c>
      <c r="C431" s="245" t="s">
        <v>202</v>
      </c>
      <c r="D431" s="234" t="s">
        <v>314</v>
      </c>
      <c r="E431" s="282">
        <v>1159953</v>
      </c>
      <c r="F431" s="234" t="s">
        <v>42</v>
      </c>
      <c r="G431" s="233">
        <v>40040</v>
      </c>
      <c r="H431" s="249" t="s">
        <v>4366</v>
      </c>
      <c r="I431" s="270">
        <v>41135</v>
      </c>
      <c r="J431" s="242">
        <v>1096</v>
      </c>
      <c r="K431" s="242">
        <v>1690</v>
      </c>
      <c r="L431" s="242">
        <v>-594</v>
      </c>
      <c r="M431" s="242">
        <v>57998</v>
      </c>
      <c r="N431" s="242">
        <v>0</v>
      </c>
      <c r="O431" s="242">
        <v>1072463</v>
      </c>
      <c r="P431" s="242">
        <v>0</v>
      </c>
      <c r="Q431" s="242"/>
      <c r="R431" s="242">
        <v>-57998</v>
      </c>
      <c r="S431" s="250">
        <v>0</v>
      </c>
      <c r="T431" s="250">
        <v>0</v>
      </c>
      <c r="U431" s="242">
        <v>0</v>
      </c>
      <c r="V431" s="242">
        <v>0</v>
      </c>
    </row>
    <row r="432" spans="2:24" s="22" customFormat="1" ht="14.25">
      <c r="B432" s="6" t="s">
        <v>2499</v>
      </c>
      <c r="C432" s="229"/>
      <c r="D432" s="230"/>
      <c r="E432" s="271"/>
      <c r="F432" s="230"/>
      <c r="G432" s="230"/>
      <c r="H432" s="228"/>
      <c r="I432" s="242"/>
      <c r="J432" s="242"/>
      <c r="K432" s="242"/>
      <c r="L432" s="242"/>
      <c r="M432" s="242"/>
      <c r="N432" s="242"/>
      <c r="O432" s="242"/>
      <c r="P432" s="242">
        <v>0</v>
      </c>
      <c r="Q432" s="242"/>
      <c r="R432" s="242"/>
      <c r="S432" s="272"/>
      <c r="T432" s="242"/>
      <c r="U432" s="228"/>
      <c r="V432" s="228"/>
      <c r="W432" s="11"/>
      <c r="X432" s="34"/>
    </row>
    <row r="433" spans="2:24" s="22" customFormat="1" ht="27">
      <c r="B433" s="15">
        <v>1</v>
      </c>
      <c r="C433" s="245" t="s">
        <v>1373</v>
      </c>
      <c r="D433" s="230" t="s">
        <v>887</v>
      </c>
      <c r="E433" s="266">
        <v>152254</v>
      </c>
      <c r="F433" s="254" t="s">
        <v>1374</v>
      </c>
      <c r="G433" s="233">
        <v>40756</v>
      </c>
      <c r="H433" s="239" t="s">
        <v>368</v>
      </c>
      <c r="I433" s="270">
        <v>51713</v>
      </c>
      <c r="J433" s="242">
        <v>10958</v>
      </c>
      <c r="K433" s="242">
        <v>974</v>
      </c>
      <c r="L433" s="242">
        <v>9984</v>
      </c>
      <c r="M433" s="242">
        <v>7613</v>
      </c>
      <c r="N433" s="242">
        <v>138023</v>
      </c>
      <c r="O433" s="242">
        <v>0</v>
      </c>
      <c r="P433" s="242">
        <v>140590</v>
      </c>
      <c r="Q433" s="242">
        <v>9619</v>
      </c>
      <c r="R433" s="242">
        <v>132977</v>
      </c>
      <c r="S433" s="250">
        <v>365</v>
      </c>
      <c r="T433" s="250">
        <v>5046</v>
      </c>
      <c r="U433" s="242">
        <v>35350</v>
      </c>
      <c r="V433" s="242">
        <v>105240</v>
      </c>
      <c r="W433" s="11"/>
      <c r="X433" s="34"/>
    </row>
    <row r="434" spans="2:24" s="22" customFormat="1" ht="27">
      <c r="B434" s="15">
        <f>+B433+1</f>
        <v>2</v>
      </c>
      <c r="C434" s="245" t="s">
        <v>1961</v>
      </c>
      <c r="D434" s="230" t="s">
        <v>42</v>
      </c>
      <c r="E434" s="266">
        <v>926527</v>
      </c>
      <c r="F434" s="230" t="s">
        <v>1962</v>
      </c>
      <c r="G434" s="233">
        <v>41201</v>
      </c>
      <c r="H434" s="239" t="s">
        <v>282</v>
      </c>
      <c r="I434" s="270">
        <v>52157</v>
      </c>
      <c r="J434" s="242">
        <v>10957</v>
      </c>
      <c r="K434" s="242">
        <v>529</v>
      </c>
      <c r="L434" s="242">
        <v>10428</v>
      </c>
      <c r="M434" s="242">
        <v>46326</v>
      </c>
      <c r="N434" s="242">
        <v>858313</v>
      </c>
      <c r="O434" s="242">
        <v>0</v>
      </c>
      <c r="P434" s="242">
        <v>874596</v>
      </c>
      <c r="Q434" s="242">
        <v>10063</v>
      </c>
      <c r="R434" s="242">
        <v>828270</v>
      </c>
      <c r="S434" s="250">
        <v>365</v>
      </c>
      <c r="T434" s="250">
        <v>30043</v>
      </c>
      <c r="U434" s="242">
        <v>210465</v>
      </c>
      <c r="V434" s="242">
        <v>664131</v>
      </c>
      <c r="W434" s="11"/>
      <c r="X434" s="34"/>
    </row>
    <row r="435" spans="2:24" s="22" customFormat="1" ht="27">
      <c r="B435" s="15">
        <f>+B434+1</f>
        <v>3</v>
      </c>
      <c r="C435" s="245" t="s">
        <v>2050</v>
      </c>
      <c r="D435" s="230" t="s">
        <v>42</v>
      </c>
      <c r="E435" s="266">
        <v>29772</v>
      </c>
      <c r="F435" s="230" t="s">
        <v>2051</v>
      </c>
      <c r="G435" s="233">
        <v>41290</v>
      </c>
      <c r="H435" s="239" t="s">
        <v>368</v>
      </c>
      <c r="I435" s="270">
        <v>52246</v>
      </c>
      <c r="J435" s="242">
        <v>10957</v>
      </c>
      <c r="K435" s="242">
        <v>440</v>
      </c>
      <c r="L435" s="242">
        <v>10517</v>
      </c>
      <c r="M435" s="242">
        <v>1489</v>
      </c>
      <c r="N435" s="242">
        <v>27698</v>
      </c>
      <c r="O435" s="242">
        <v>0</v>
      </c>
      <c r="P435" s="242">
        <v>28226</v>
      </c>
      <c r="Q435" s="242">
        <v>10152</v>
      </c>
      <c r="R435" s="242">
        <v>26737</v>
      </c>
      <c r="S435" s="250">
        <v>365</v>
      </c>
      <c r="T435" s="250">
        <v>961</v>
      </c>
      <c r="U435" s="242">
        <v>6733</v>
      </c>
      <c r="V435" s="242">
        <v>21493</v>
      </c>
      <c r="W435" s="11"/>
      <c r="X435" s="34"/>
    </row>
    <row r="436" spans="2:24" s="22" customFormat="1" ht="54">
      <c r="B436" s="15">
        <f>+B435+1</f>
        <v>4</v>
      </c>
      <c r="C436" s="245" t="s">
        <v>4222</v>
      </c>
      <c r="D436" s="230" t="s">
        <v>42</v>
      </c>
      <c r="E436" s="266">
        <v>1080000</v>
      </c>
      <c r="F436" s="230" t="s">
        <v>2912</v>
      </c>
      <c r="G436" s="233">
        <v>42826</v>
      </c>
      <c r="H436" s="239" t="s">
        <v>368</v>
      </c>
      <c r="I436" s="270">
        <v>53782</v>
      </c>
      <c r="J436" s="242">
        <v>10957</v>
      </c>
      <c r="K436" s="242"/>
      <c r="L436" s="242">
        <v>10957</v>
      </c>
      <c r="M436" s="242">
        <v>54000</v>
      </c>
      <c r="N436" s="242">
        <v>1026000</v>
      </c>
      <c r="O436" s="242"/>
      <c r="P436" s="242">
        <v>1080000</v>
      </c>
      <c r="Q436" s="242">
        <v>10957</v>
      </c>
      <c r="R436" s="242">
        <v>1026000</v>
      </c>
      <c r="S436" s="250">
        <v>365</v>
      </c>
      <c r="T436" s="250">
        <v>34178</v>
      </c>
      <c r="U436" s="242">
        <v>170984</v>
      </c>
      <c r="V436" s="242">
        <v>909016</v>
      </c>
      <c r="W436" s="11"/>
      <c r="X436" s="34"/>
    </row>
    <row r="437" spans="2:24" s="22" customFormat="1" ht="27">
      <c r="B437" s="15">
        <f>+B436+1</f>
        <v>5</v>
      </c>
      <c r="C437" s="245" t="s">
        <v>4223</v>
      </c>
      <c r="D437" s="230" t="s">
        <v>42</v>
      </c>
      <c r="E437" s="266">
        <v>1188000</v>
      </c>
      <c r="F437" s="230" t="s">
        <v>2913</v>
      </c>
      <c r="G437" s="233">
        <v>42826</v>
      </c>
      <c r="H437" s="239" t="s">
        <v>368</v>
      </c>
      <c r="I437" s="270">
        <v>53782</v>
      </c>
      <c r="J437" s="242">
        <v>10957</v>
      </c>
      <c r="K437" s="242"/>
      <c r="L437" s="242">
        <v>10957</v>
      </c>
      <c r="M437" s="242">
        <v>59400</v>
      </c>
      <c r="N437" s="242">
        <v>1128600</v>
      </c>
      <c r="O437" s="242"/>
      <c r="P437" s="242">
        <v>1188000</v>
      </c>
      <c r="Q437" s="242">
        <v>10957</v>
      </c>
      <c r="R437" s="242">
        <v>1128600</v>
      </c>
      <c r="S437" s="250">
        <v>365</v>
      </c>
      <c r="T437" s="250">
        <v>37596</v>
      </c>
      <c r="U437" s="242">
        <v>188083</v>
      </c>
      <c r="V437" s="242">
        <v>999917</v>
      </c>
      <c r="W437" s="11"/>
      <c r="X437" s="34"/>
    </row>
    <row r="438" spans="2:24" s="22" customFormat="1">
      <c r="B438" s="15"/>
      <c r="C438" s="245"/>
      <c r="D438" s="230"/>
      <c r="E438" s="266"/>
      <c r="F438" s="230"/>
      <c r="G438" s="233"/>
      <c r="H438" s="239"/>
      <c r="I438" s="270"/>
      <c r="J438" s="242"/>
      <c r="K438" s="242"/>
      <c r="L438" s="242"/>
      <c r="M438" s="242"/>
      <c r="N438" s="242"/>
      <c r="O438" s="242"/>
      <c r="P438" s="242"/>
      <c r="Q438" s="242"/>
      <c r="R438" s="242"/>
      <c r="S438" s="272"/>
      <c r="T438" s="242"/>
      <c r="U438" s="228"/>
      <c r="V438" s="228"/>
      <c r="W438" s="11"/>
      <c r="X438" s="34"/>
    </row>
    <row r="439" spans="2:24" s="22" customFormat="1" ht="14.25">
      <c r="B439" s="32" t="s">
        <v>2486</v>
      </c>
      <c r="C439" s="229"/>
      <c r="D439" s="230"/>
      <c r="E439" s="271"/>
      <c r="F439" s="253"/>
      <c r="G439" s="230"/>
      <c r="H439" s="228"/>
      <c r="I439" s="242"/>
      <c r="J439" s="242"/>
      <c r="K439" s="242"/>
      <c r="L439" s="242"/>
      <c r="M439" s="242"/>
      <c r="N439" s="242"/>
      <c r="O439" s="242"/>
      <c r="P439" s="242"/>
      <c r="Q439" s="242"/>
      <c r="R439" s="242"/>
      <c r="S439" s="272"/>
      <c r="T439" s="242"/>
      <c r="U439" s="228"/>
      <c r="V439" s="228"/>
      <c r="W439" s="11"/>
      <c r="X439" s="34"/>
    </row>
    <row r="440" spans="2:24" s="22" customFormat="1" ht="27.75">
      <c r="B440" s="15">
        <v>1</v>
      </c>
      <c r="C440" s="249" t="s">
        <v>2636</v>
      </c>
      <c r="D440" s="230">
        <v>1</v>
      </c>
      <c r="E440" s="266">
        <v>82359</v>
      </c>
      <c r="F440" s="251">
        <v>1</v>
      </c>
      <c r="G440" s="233">
        <v>40262</v>
      </c>
      <c r="H440" s="249" t="s">
        <v>160</v>
      </c>
      <c r="I440" s="270">
        <v>42087</v>
      </c>
      <c r="J440" s="242">
        <v>1826</v>
      </c>
      <c r="K440" s="242">
        <v>1468</v>
      </c>
      <c r="L440" s="242">
        <v>358</v>
      </c>
      <c r="M440" s="242">
        <v>4118</v>
      </c>
      <c r="N440" s="242">
        <v>72847</v>
      </c>
      <c r="O440" s="242">
        <v>0</v>
      </c>
      <c r="P440" s="242">
        <v>2694</v>
      </c>
      <c r="Q440" s="242">
        <v>-7</v>
      </c>
      <c r="R440" s="242">
        <v>-1424</v>
      </c>
      <c r="S440" s="250">
        <v>0</v>
      </c>
      <c r="T440" s="250">
        <v>0</v>
      </c>
      <c r="U440" s="242">
        <v>2694</v>
      </c>
      <c r="V440" s="242">
        <v>0</v>
      </c>
    </row>
    <row r="441" spans="2:24" s="22" customFormat="1">
      <c r="B441" s="15">
        <v>2</v>
      </c>
      <c r="C441" s="249" t="s">
        <v>4</v>
      </c>
      <c r="D441" s="230">
        <v>3</v>
      </c>
      <c r="E441" s="266">
        <v>130682</v>
      </c>
      <c r="F441" s="230" t="s">
        <v>431</v>
      </c>
      <c r="G441" s="233">
        <v>40340</v>
      </c>
      <c r="H441" s="228" t="s">
        <v>368</v>
      </c>
      <c r="I441" s="270">
        <v>42165</v>
      </c>
      <c r="J441" s="242">
        <v>1826</v>
      </c>
      <c r="K441" s="242">
        <v>1390</v>
      </c>
      <c r="L441" s="242">
        <v>436</v>
      </c>
      <c r="M441" s="242">
        <v>6534</v>
      </c>
      <c r="N441" s="242">
        <v>116042</v>
      </c>
      <c r="O441" s="242">
        <v>0</v>
      </c>
      <c r="P441" s="242">
        <v>25431</v>
      </c>
      <c r="Q441" s="242">
        <v>71</v>
      </c>
      <c r="R441" s="242">
        <v>18897</v>
      </c>
      <c r="S441" s="250">
        <v>0</v>
      </c>
      <c r="T441" s="250">
        <v>0</v>
      </c>
      <c r="U441" s="242">
        <v>25431</v>
      </c>
      <c r="V441" s="242">
        <v>0</v>
      </c>
    </row>
    <row r="442" spans="2:24" s="22" customFormat="1" ht="94.5">
      <c r="B442" s="15">
        <v>3</v>
      </c>
      <c r="C442" s="249" t="s">
        <v>1093</v>
      </c>
      <c r="D442" s="230" t="s">
        <v>314</v>
      </c>
      <c r="E442" s="266">
        <v>86650</v>
      </c>
      <c r="F442" s="254" t="s">
        <v>1094</v>
      </c>
      <c r="G442" s="233">
        <v>40400</v>
      </c>
      <c r="H442" s="228" t="s">
        <v>368</v>
      </c>
      <c r="I442" s="270">
        <v>42225</v>
      </c>
      <c r="J442" s="242">
        <v>1826</v>
      </c>
      <c r="K442" s="242">
        <v>1330</v>
      </c>
      <c r="L442" s="242">
        <v>496</v>
      </c>
      <c r="M442" s="242">
        <v>4333</v>
      </c>
      <c r="N442" s="242">
        <v>77176</v>
      </c>
      <c r="O442" s="242">
        <v>0</v>
      </c>
      <c r="P442" s="242">
        <v>24716</v>
      </c>
      <c r="Q442" s="242">
        <v>131</v>
      </c>
      <c r="R442" s="242">
        <v>20384</v>
      </c>
      <c r="S442" s="250">
        <v>0</v>
      </c>
      <c r="T442" s="250">
        <v>0</v>
      </c>
      <c r="U442" s="242">
        <v>24716</v>
      </c>
      <c r="V442" s="242">
        <v>0</v>
      </c>
    </row>
    <row r="443" spans="2:24" s="22" customFormat="1" ht="94.5">
      <c r="B443" s="15">
        <v>4</v>
      </c>
      <c r="C443" s="249" t="s">
        <v>1095</v>
      </c>
      <c r="D443" s="230" t="s">
        <v>314</v>
      </c>
      <c r="E443" s="266">
        <v>100190</v>
      </c>
      <c r="F443" s="254" t="s">
        <v>1096</v>
      </c>
      <c r="G443" s="233">
        <v>40595</v>
      </c>
      <c r="H443" s="228" t="s">
        <v>368</v>
      </c>
      <c r="I443" s="270">
        <v>42420</v>
      </c>
      <c r="J443" s="242">
        <v>1826</v>
      </c>
      <c r="K443" s="242">
        <v>1135</v>
      </c>
      <c r="L443" s="242">
        <v>691</v>
      </c>
      <c r="M443" s="242">
        <v>5010</v>
      </c>
      <c r="N443" s="242">
        <v>90107</v>
      </c>
      <c r="O443" s="242">
        <v>0</v>
      </c>
      <c r="P443" s="242">
        <v>47521</v>
      </c>
      <c r="Q443" s="242">
        <v>326</v>
      </c>
      <c r="R443" s="242">
        <v>42512</v>
      </c>
      <c r="S443" s="250">
        <v>0</v>
      </c>
      <c r="T443" s="250">
        <v>0</v>
      </c>
      <c r="U443" s="242">
        <v>47521</v>
      </c>
      <c r="V443" s="242">
        <v>0</v>
      </c>
    </row>
    <row r="444" spans="2:24" s="22" customFormat="1" ht="81">
      <c r="B444" s="15">
        <v>5</v>
      </c>
      <c r="C444" s="249" t="s">
        <v>1097</v>
      </c>
      <c r="D444" s="230" t="s">
        <v>314</v>
      </c>
      <c r="E444" s="266">
        <v>67800</v>
      </c>
      <c r="F444" s="254" t="s">
        <v>1098</v>
      </c>
      <c r="G444" s="233">
        <v>40622</v>
      </c>
      <c r="H444" s="228" t="s">
        <v>368</v>
      </c>
      <c r="I444" s="270">
        <v>42448</v>
      </c>
      <c r="J444" s="242">
        <v>1827</v>
      </c>
      <c r="K444" s="242">
        <v>1108</v>
      </c>
      <c r="L444" s="242">
        <v>719</v>
      </c>
      <c r="M444" s="242">
        <v>3390</v>
      </c>
      <c r="N444" s="242">
        <v>61059</v>
      </c>
      <c r="O444" s="242">
        <v>0</v>
      </c>
      <c r="P444" s="242">
        <v>33452</v>
      </c>
      <c r="Q444" s="242">
        <v>354</v>
      </c>
      <c r="R444" s="242">
        <v>30062</v>
      </c>
      <c r="S444" s="250">
        <v>0</v>
      </c>
      <c r="T444" s="250">
        <v>0</v>
      </c>
      <c r="U444" s="242">
        <v>33452</v>
      </c>
      <c r="V444" s="242">
        <v>0</v>
      </c>
    </row>
    <row r="445" spans="2:24" s="22" customFormat="1" ht="81">
      <c r="B445" s="15">
        <v>6</v>
      </c>
      <c r="C445" s="249" t="s">
        <v>663</v>
      </c>
      <c r="D445" s="230" t="s">
        <v>314</v>
      </c>
      <c r="E445" s="266">
        <v>129750</v>
      </c>
      <c r="F445" s="254" t="s">
        <v>664</v>
      </c>
      <c r="G445" s="233">
        <v>40369</v>
      </c>
      <c r="H445" s="228" t="s">
        <v>368</v>
      </c>
      <c r="I445" s="270">
        <v>42194</v>
      </c>
      <c r="J445" s="242">
        <v>1826</v>
      </c>
      <c r="K445" s="242">
        <v>1361</v>
      </c>
      <c r="L445" s="242">
        <v>465</v>
      </c>
      <c r="M445" s="242">
        <v>6488</v>
      </c>
      <c r="N445" s="242">
        <v>115382</v>
      </c>
      <c r="O445" s="242">
        <v>0</v>
      </c>
      <c r="P445" s="242">
        <v>31301</v>
      </c>
      <c r="Q445" s="242">
        <v>100</v>
      </c>
      <c r="R445" s="242">
        <v>24814</v>
      </c>
      <c r="S445" s="250">
        <v>0</v>
      </c>
      <c r="T445" s="250">
        <v>0</v>
      </c>
      <c r="U445" s="242">
        <v>31301</v>
      </c>
      <c r="V445" s="242">
        <v>0</v>
      </c>
    </row>
    <row r="446" spans="2:24" s="22" customFormat="1" ht="27">
      <c r="B446" s="15">
        <v>1</v>
      </c>
      <c r="C446" s="249" t="s">
        <v>1203</v>
      </c>
      <c r="D446" s="230">
        <v>4</v>
      </c>
      <c r="E446" s="266">
        <v>103568</v>
      </c>
      <c r="F446" s="254" t="s">
        <v>1204</v>
      </c>
      <c r="G446" s="233">
        <v>40661</v>
      </c>
      <c r="H446" s="228" t="s">
        <v>368</v>
      </c>
      <c r="I446" s="270">
        <v>42487</v>
      </c>
      <c r="J446" s="242">
        <v>1827</v>
      </c>
      <c r="K446" s="242">
        <v>1069</v>
      </c>
      <c r="L446" s="242">
        <v>758</v>
      </c>
      <c r="M446" s="242">
        <v>5178</v>
      </c>
      <c r="N446" s="242">
        <v>93450</v>
      </c>
      <c r="O446" s="242">
        <v>0</v>
      </c>
      <c r="P446" s="242">
        <v>53629</v>
      </c>
      <c r="Q446" s="242">
        <v>393</v>
      </c>
      <c r="R446" s="242">
        <v>48451</v>
      </c>
      <c r="S446" s="250">
        <v>0</v>
      </c>
      <c r="T446" s="250">
        <v>0</v>
      </c>
      <c r="U446" s="242">
        <v>53629</v>
      </c>
      <c r="V446" s="242">
        <v>0</v>
      </c>
    </row>
    <row r="447" spans="2:24" s="22" customFormat="1" ht="27">
      <c r="B447" s="15">
        <v>2</v>
      </c>
      <c r="C447" s="249" t="s">
        <v>1377</v>
      </c>
      <c r="D447" s="230" t="s">
        <v>1378</v>
      </c>
      <c r="E447" s="266">
        <v>6984</v>
      </c>
      <c r="F447" s="254" t="s">
        <v>1379</v>
      </c>
      <c r="G447" s="233">
        <v>40712</v>
      </c>
      <c r="H447" s="228" t="s">
        <v>368</v>
      </c>
      <c r="I447" s="270">
        <v>42538</v>
      </c>
      <c r="J447" s="242">
        <v>1827</v>
      </c>
      <c r="K447" s="242">
        <v>1018</v>
      </c>
      <c r="L447" s="242">
        <v>809</v>
      </c>
      <c r="M447" s="242">
        <v>349</v>
      </c>
      <c r="N447" s="242">
        <v>6317</v>
      </c>
      <c r="O447" s="242">
        <v>0</v>
      </c>
      <c r="P447" s="242">
        <v>3816</v>
      </c>
      <c r="Q447" s="242">
        <v>444</v>
      </c>
      <c r="R447" s="242">
        <v>3467</v>
      </c>
      <c r="S447" s="250">
        <v>0</v>
      </c>
      <c r="T447" s="250">
        <v>0</v>
      </c>
      <c r="U447" s="242">
        <v>3816</v>
      </c>
      <c r="V447" s="242">
        <v>0</v>
      </c>
    </row>
    <row r="448" spans="2:24" s="22" customFormat="1" ht="27">
      <c r="B448" s="15">
        <v>3</v>
      </c>
      <c r="C448" s="249" t="s">
        <v>1380</v>
      </c>
      <c r="D448" s="230">
        <v>3</v>
      </c>
      <c r="E448" s="266">
        <v>670000</v>
      </c>
      <c r="F448" s="254" t="s">
        <v>1381</v>
      </c>
      <c r="G448" s="233">
        <v>40712</v>
      </c>
      <c r="H448" s="228" t="s">
        <v>368</v>
      </c>
      <c r="I448" s="270">
        <v>42538</v>
      </c>
      <c r="J448" s="242">
        <v>1827</v>
      </c>
      <c r="K448" s="242">
        <v>1018</v>
      </c>
      <c r="L448" s="242">
        <v>809</v>
      </c>
      <c r="M448" s="242">
        <v>33500</v>
      </c>
      <c r="N448" s="242">
        <v>606064</v>
      </c>
      <c r="O448" s="242">
        <v>0</v>
      </c>
      <c r="P448" s="242">
        <v>366124</v>
      </c>
      <c r="Q448" s="242">
        <v>444</v>
      </c>
      <c r="R448" s="242">
        <v>332624</v>
      </c>
      <c r="S448" s="250">
        <v>0</v>
      </c>
      <c r="T448" s="250">
        <v>0</v>
      </c>
      <c r="U448" s="242">
        <v>366124</v>
      </c>
      <c r="V448" s="242">
        <v>0</v>
      </c>
    </row>
    <row r="449" spans="2:24" s="22" customFormat="1" ht="27">
      <c r="B449" s="15">
        <v>4</v>
      </c>
      <c r="C449" s="249" t="s">
        <v>1382</v>
      </c>
      <c r="D449" s="230" t="s">
        <v>887</v>
      </c>
      <c r="E449" s="266">
        <v>102045</v>
      </c>
      <c r="F449" s="254" t="s">
        <v>1383</v>
      </c>
      <c r="G449" s="233">
        <v>40712</v>
      </c>
      <c r="H449" s="228" t="s">
        <v>368</v>
      </c>
      <c r="I449" s="270">
        <v>42538</v>
      </c>
      <c r="J449" s="242">
        <v>1827</v>
      </c>
      <c r="K449" s="242">
        <v>1018</v>
      </c>
      <c r="L449" s="242">
        <v>809</v>
      </c>
      <c r="M449" s="242">
        <v>5102</v>
      </c>
      <c r="N449" s="242">
        <v>92308</v>
      </c>
      <c r="O449" s="242">
        <v>0</v>
      </c>
      <c r="P449" s="242">
        <v>55763</v>
      </c>
      <c r="Q449" s="242">
        <v>444</v>
      </c>
      <c r="R449" s="242">
        <v>50661</v>
      </c>
      <c r="S449" s="250">
        <v>0</v>
      </c>
      <c r="T449" s="250">
        <v>0</v>
      </c>
      <c r="U449" s="242">
        <v>55763</v>
      </c>
      <c r="V449" s="242">
        <v>0</v>
      </c>
    </row>
    <row r="450" spans="2:24" s="22" customFormat="1">
      <c r="B450" s="15">
        <v>5</v>
      </c>
      <c r="C450" s="249" t="s">
        <v>1715</v>
      </c>
      <c r="D450" s="230" t="s">
        <v>1716</v>
      </c>
      <c r="E450" s="266">
        <v>50546</v>
      </c>
      <c r="F450" s="254" t="s">
        <v>1717</v>
      </c>
      <c r="G450" s="233">
        <v>40909</v>
      </c>
      <c r="H450" s="228" t="s">
        <v>368</v>
      </c>
      <c r="I450" s="270">
        <v>42735</v>
      </c>
      <c r="J450" s="242">
        <v>1827</v>
      </c>
      <c r="K450" s="242">
        <v>821</v>
      </c>
      <c r="L450" s="242">
        <v>1006</v>
      </c>
      <c r="M450" s="242">
        <v>2527</v>
      </c>
      <c r="N450" s="242">
        <v>46166</v>
      </c>
      <c r="O450" s="242">
        <v>0</v>
      </c>
      <c r="P450" s="242">
        <v>31943</v>
      </c>
      <c r="Q450" s="242">
        <v>641</v>
      </c>
      <c r="R450" s="242">
        <v>29416</v>
      </c>
      <c r="S450" s="250">
        <v>0</v>
      </c>
      <c r="T450" s="250">
        <v>0</v>
      </c>
      <c r="U450" s="242">
        <v>31943</v>
      </c>
      <c r="V450" s="242">
        <v>0</v>
      </c>
    </row>
    <row r="451" spans="2:24" s="22" customFormat="1" ht="54">
      <c r="B451" s="15">
        <v>6</v>
      </c>
      <c r="C451" s="249" t="s">
        <v>1750</v>
      </c>
      <c r="D451" s="230">
        <v>1</v>
      </c>
      <c r="E451" s="266">
        <v>34275</v>
      </c>
      <c r="F451" s="254" t="s">
        <v>1751</v>
      </c>
      <c r="G451" s="233">
        <v>40910</v>
      </c>
      <c r="H451" s="228" t="s">
        <v>368</v>
      </c>
      <c r="I451" s="270">
        <v>42736</v>
      </c>
      <c r="J451" s="242">
        <v>1827</v>
      </c>
      <c r="K451" s="242">
        <v>820</v>
      </c>
      <c r="L451" s="242">
        <v>1007</v>
      </c>
      <c r="M451" s="242">
        <v>1714</v>
      </c>
      <c r="N451" s="242">
        <v>31306</v>
      </c>
      <c r="O451" s="242">
        <v>0</v>
      </c>
      <c r="P451" s="242">
        <v>21673</v>
      </c>
      <c r="Q451" s="242">
        <v>642</v>
      </c>
      <c r="R451" s="242">
        <v>19959</v>
      </c>
      <c r="S451" s="250">
        <v>0</v>
      </c>
      <c r="T451" s="250">
        <v>0</v>
      </c>
      <c r="U451" s="242">
        <v>21673</v>
      </c>
      <c r="V451" s="242">
        <v>0</v>
      </c>
    </row>
    <row r="452" spans="2:24" s="22" customFormat="1" ht="14.25">
      <c r="B452" s="32" t="s">
        <v>2487</v>
      </c>
      <c r="C452" s="229"/>
      <c r="D452" s="230"/>
      <c r="E452" s="271"/>
      <c r="F452" s="230"/>
      <c r="G452" s="230"/>
      <c r="H452" s="228"/>
      <c r="I452" s="242"/>
      <c r="J452" s="242"/>
      <c r="K452" s="242"/>
      <c r="L452" s="242"/>
      <c r="M452" s="242"/>
      <c r="N452" s="242"/>
      <c r="O452" s="242"/>
      <c r="P452" s="242"/>
      <c r="Q452" s="242"/>
      <c r="R452" s="242"/>
      <c r="S452" s="250">
        <v>0</v>
      </c>
      <c r="T452" s="250">
        <v>0</v>
      </c>
      <c r="U452" s="242">
        <v>0</v>
      </c>
      <c r="V452" s="242">
        <v>0</v>
      </c>
      <c r="W452" s="11"/>
      <c r="X452" s="34"/>
    </row>
    <row r="453" spans="2:24" s="22" customFormat="1" ht="27">
      <c r="B453" s="15">
        <v>1</v>
      </c>
      <c r="C453" s="249" t="s">
        <v>901</v>
      </c>
      <c r="D453" s="230">
        <v>1</v>
      </c>
      <c r="E453" s="266">
        <v>16793</v>
      </c>
      <c r="F453" s="254" t="s">
        <v>902</v>
      </c>
      <c r="G453" s="233">
        <v>40408</v>
      </c>
      <c r="H453" s="228" t="s">
        <v>368</v>
      </c>
      <c r="I453" s="270">
        <v>51365</v>
      </c>
      <c r="J453" s="242">
        <v>10958</v>
      </c>
      <c r="K453" s="242">
        <v>1322</v>
      </c>
      <c r="L453" s="242">
        <v>9636</v>
      </c>
      <c r="M453" s="242">
        <v>840</v>
      </c>
      <c r="N453" s="242">
        <v>14962</v>
      </c>
      <c r="O453" s="242">
        <v>0</v>
      </c>
      <c r="P453" s="242">
        <v>15235</v>
      </c>
      <c r="Q453" s="242">
        <v>9271</v>
      </c>
      <c r="R453" s="242">
        <v>14395</v>
      </c>
      <c r="S453" s="250">
        <v>365</v>
      </c>
      <c r="T453" s="250">
        <v>567</v>
      </c>
      <c r="U453" s="242">
        <v>3971</v>
      </c>
      <c r="V453" s="242">
        <v>11264</v>
      </c>
      <c r="W453" s="11"/>
      <c r="X453" s="34"/>
    </row>
    <row r="454" spans="2:24" s="22" customFormat="1" ht="27">
      <c r="B454" s="15">
        <v>2</v>
      </c>
      <c r="C454" s="249" t="s">
        <v>903</v>
      </c>
      <c r="D454" s="230">
        <v>1</v>
      </c>
      <c r="E454" s="266">
        <v>6351</v>
      </c>
      <c r="F454" s="254" t="s">
        <v>904</v>
      </c>
      <c r="G454" s="233">
        <v>40400</v>
      </c>
      <c r="H454" s="228" t="s">
        <v>368</v>
      </c>
      <c r="I454" s="270">
        <v>51357</v>
      </c>
      <c r="J454" s="242">
        <v>10958</v>
      </c>
      <c r="K454" s="242">
        <v>1330</v>
      </c>
      <c r="L454" s="242">
        <v>9628</v>
      </c>
      <c r="M454" s="242">
        <v>318</v>
      </c>
      <c r="N454" s="242">
        <v>5655</v>
      </c>
      <c r="O454" s="242">
        <v>0</v>
      </c>
      <c r="P454" s="242">
        <v>5759</v>
      </c>
      <c r="Q454" s="242">
        <v>9263</v>
      </c>
      <c r="R454" s="242">
        <v>5441</v>
      </c>
      <c r="S454" s="250">
        <v>365</v>
      </c>
      <c r="T454" s="250">
        <v>214</v>
      </c>
      <c r="U454" s="242">
        <v>1500</v>
      </c>
      <c r="V454" s="242">
        <v>4259</v>
      </c>
      <c r="W454" s="11"/>
      <c r="X454" s="34"/>
    </row>
    <row r="455" spans="2:24" s="22" customFormat="1" ht="40.5">
      <c r="B455" s="15">
        <v>7</v>
      </c>
      <c r="C455" s="228" t="s">
        <v>4344</v>
      </c>
      <c r="D455" s="230" t="s">
        <v>42</v>
      </c>
      <c r="E455" s="266">
        <v>426315</v>
      </c>
      <c r="F455" s="230" t="s">
        <v>4345</v>
      </c>
      <c r="G455" s="233">
        <v>43555</v>
      </c>
      <c r="H455" s="228" t="s">
        <v>4352</v>
      </c>
      <c r="I455" s="270">
        <v>54512</v>
      </c>
      <c r="J455" s="242">
        <v>10958</v>
      </c>
      <c r="K455" s="242">
        <v>-1825</v>
      </c>
      <c r="L455" s="242">
        <v>12783</v>
      </c>
      <c r="M455" s="242">
        <v>21316</v>
      </c>
      <c r="N455" s="242">
        <v>404999</v>
      </c>
      <c r="O455" s="242">
        <v>0</v>
      </c>
      <c r="P455" s="242">
        <v>426315</v>
      </c>
      <c r="Q455" s="242">
        <v>12783</v>
      </c>
      <c r="R455" s="242">
        <v>404999</v>
      </c>
      <c r="S455" s="250">
        <v>365</v>
      </c>
      <c r="T455" s="250">
        <v>11564</v>
      </c>
      <c r="U455" s="242">
        <v>34756</v>
      </c>
      <c r="V455" s="242">
        <v>391559</v>
      </c>
      <c r="W455" s="11"/>
      <c r="X455" s="34"/>
    </row>
    <row r="456" spans="2:24" s="22" customFormat="1" ht="54">
      <c r="B456" s="15">
        <v>8</v>
      </c>
      <c r="C456" s="228" t="s">
        <v>4346</v>
      </c>
      <c r="D456" s="230" t="s">
        <v>42</v>
      </c>
      <c r="E456" s="266">
        <v>105316</v>
      </c>
      <c r="F456" s="230" t="s">
        <v>4347</v>
      </c>
      <c r="G456" s="233">
        <v>43555</v>
      </c>
      <c r="H456" s="228" t="s">
        <v>4352</v>
      </c>
      <c r="I456" s="270">
        <v>54512</v>
      </c>
      <c r="J456" s="242">
        <v>10958</v>
      </c>
      <c r="K456" s="242">
        <v>-1825</v>
      </c>
      <c r="L456" s="242">
        <v>12783</v>
      </c>
      <c r="M456" s="242">
        <v>5266</v>
      </c>
      <c r="N456" s="242">
        <v>100050</v>
      </c>
      <c r="O456" s="242">
        <v>0</v>
      </c>
      <c r="P456" s="242">
        <v>105316</v>
      </c>
      <c r="Q456" s="242">
        <v>12783</v>
      </c>
      <c r="R456" s="242">
        <v>100050</v>
      </c>
      <c r="S456" s="250">
        <v>365</v>
      </c>
      <c r="T456" s="250">
        <v>2857</v>
      </c>
      <c r="U456" s="242">
        <v>8587</v>
      </c>
      <c r="V456" s="242">
        <v>96729</v>
      </c>
      <c r="W456" s="11"/>
      <c r="X456" s="34"/>
    </row>
    <row r="457" spans="2:24" s="22" customFormat="1" ht="54">
      <c r="B457" s="15">
        <v>9</v>
      </c>
      <c r="C457" s="228" t="s">
        <v>4348</v>
      </c>
      <c r="D457" s="230" t="s">
        <v>42</v>
      </c>
      <c r="E457" s="266">
        <v>578361</v>
      </c>
      <c r="F457" s="230" t="s">
        <v>4349</v>
      </c>
      <c r="G457" s="233">
        <v>43555</v>
      </c>
      <c r="H457" s="228" t="s">
        <v>4352</v>
      </c>
      <c r="I457" s="270">
        <v>54512</v>
      </c>
      <c r="J457" s="242">
        <v>10958</v>
      </c>
      <c r="K457" s="242">
        <v>-1825</v>
      </c>
      <c r="L457" s="242">
        <v>12783</v>
      </c>
      <c r="M457" s="242">
        <v>28918</v>
      </c>
      <c r="N457" s="242">
        <v>549443</v>
      </c>
      <c r="O457" s="242">
        <v>0</v>
      </c>
      <c r="P457" s="242">
        <v>578361</v>
      </c>
      <c r="Q457" s="242">
        <v>12783</v>
      </c>
      <c r="R457" s="242">
        <v>549443</v>
      </c>
      <c r="S457" s="250">
        <v>365</v>
      </c>
      <c r="T457" s="250">
        <v>15689</v>
      </c>
      <c r="U457" s="242">
        <v>47153</v>
      </c>
      <c r="V457" s="242">
        <v>531208</v>
      </c>
      <c r="W457" s="11"/>
      <c r="X457" s="34"/>
    </row>
    <row r="458" spans="2:24" s="22" customFormat="1" ht="54">
      <c r="B458" s="15">
        <v>10</v>
      </c>
      <c r="C458" s="228" t="s">
        <v>4350</v>
      </c>
      <c r="D458" s="230" t="s">
        <v>42</v>
      </c>
      <c r="E458" s="266">
        <v>68590</v>
      </c>
      <c r="F458" s="230" t="s">
        <v>4351</v>
      </c>
      <c r="G458" s="233">
        <v>43555</v>
      </c>
      <c r="H458" s="228" t="s">
        <v>4352</v>
      </c>
      <c r="I458" s="270">
        <v>54512</v>
      </c>
      <c r="J458" s="242">
        <v>10958</v>
      </c>
      <c r="K458" s="242">
        <v>-1825</v>
      </c>
      <c r="L458" s="242">
        <v>12783</v>
      </c>
      <c r="M458" s="242">
        <v>3430</v>
      </c>
      <c r="N458" s="242">
        <v>65160</v>
      </c>
      <c r="O458" s="242">
        <v>0</v>
      </c>
      <c r="P458" s="242">
        <v>68590</v>
      </c>
      <c r="Q458" s="242">
        <v>12783</v>
      </c>
      <c r="R458" s="242">
        <v>65161</v>
      </c>
      <c r="S458" s="250">
        <v>365</v>
      </c>
      <c r="T458" s="250">
        <v>1861</v>
      </c>
      <c r="U458" s="242">
        <v>5593</v>
      </c>
      <c r="V458" s="242">
        <v>62997</v>
      </c>
      <c r="W458" s="11"/>
      <c r="X458" s="34"/>
    </row>
    <row r="459" spans="2:24" s="22" customFormat="1">
      <c r="B459" s="15"/>
      <c r="C459" s="228"/>
      <c r="D459" s="230"/>
      <c r="E459" s="266"/>
      <c r="F459" s="230"/>
      <c r="G459" s="233"/>
      <c r="H459" s="228"/>
      <c r="I459" s="270"/>
      <c r="J459" s="242"/>
      <c r="K459" s="242"/>
      <c r="L459" s="242"/>
      <c r="M459" s="242"/>
      <c r="N459" s="242"/>
      <c r="O459" s="242"/>
      <c r="P459" s="242"/>
      <c r="Q459" s="242"/>
      <c r="R459" s="242"/>
      <c r="S459" s="272"/>
      <c r="T459" s="242"/>
      <c r="U459" s="228"/>
      <c r="V459" s="228"/>
      <c r="W459" s="11"/>
      <c r="X459" s="34"/>
    </row>
    <row r="460" spans="2:24" s="22" customFormat="1" ht="14.25">
      <c r="B460" s="32" t="s">
        <v>2488</v>
      </c>
      <c r="C460" s="229"/>
      <c r="D460" s="230"/>
      <c r="E460" s="271"/>
      <c r="F460" s="230"/>
      <c r="G460" s="230"/>
      <c r="H460" s="228"/>
      <c r="I460" s="242"/>
      <c r="J460" s="242"/>
      <c r="K460" s="242"/>
      <c r="L460" s="242"/>
      <c r="M460" s="242"/>
      <c r="N460" s="242"/>
      <c r="O460" s="242"/>
      <c r="P460" s="242">
        <v>0</v>
      </c>
      <c r="Q460" s="242"/>
      <c r="R460" s="242"/>
      <c r="S460" s="272"/>
      <c r="T460" s="242"/>
      <c r="U460" s="228"/>
      <c r="V460" s="228"/>
      <c r="W460" s="11"/>
      <c r="X460" s="34"/>
    </row>
    <row r="461" spans="2:24" s="22" customFormat="1" ht="54">
      <c r="B461" s="15">
        <v>1</v>
      </c>
      <c r="C461" s="249" t="s">
        <v>1375</v>
      </c>
      <c r="D461" s="230" t="s">
        <v>887</v>
      </c>
      <c r="E461" s="266">
        <v>28366</v>
      </c>
      <c r="F461" s="254" t="s">
        <v>1376</v>
      </c>
      <c r="G461" s="233">
        <v>40634</v>
      </c>
      <c r="H461" s="228" t="s">
        <v>368</v>
      </c>
      <c r="I461" s="270">
        <v>41729</v>
      </c>
      <c r="J461" s="242">
        <v>1096</v>
      </c>
      <c r="K461" s="242">
        <v>1096</v>
      </c>
      <c r="L461" s="242">
        <v>0</v>
      </c>
      <c r="M461" s="242">
        <v>1418</v>
      </c>
      <c r="N461" s="242">
        <v>0</v>
      </c>
      <c r="O461" s="242">
        <v>26980</v>
      </c>
      <c r="P461" s="242">
        <v>0</v>
      </c>
      <c r="Q461" s="242">
        <v>0</v>
      </c>
      <c r="R461" s="242">
        <v>-1418</v>
      </c>
      <c r="S461" s="250">
        <v>0</v>
      </c>
      <c r="T461" s="250">
        <v>0</v>
      </c>
      <c r="U461" s="242">
        <v>0</v>
      </c>
      <c r="V461" s="242">
        <v>0</v>
      </c>
    </row>
    <row r="462" spans="2:24" s="22" customFormat="1" ht="54">
      <c r="B462" s="15">
        <f>+B461+1</f>
        <v>2</v>
      </c>
      <c r="C462" s="249" t="s">
        <v>3982</v>
      </c>
      <c r="D462" s="230" t="s">
        <v>887</v>
      </c>
      <c r="E462" s="266">
        <v>164277</v>
      </c>
      <c r="F462" s="254" t="s">
        <v>2394</v>
      </c>
      <c r="G462" s="233">
        <v>42825</v>
      </c>
      <c r="H462" s="228" t="s">
        <v>368</v>
      </c>
      <c r="I462" s="270">
        <v>43920</v>
      </c>
      <c r="J462" s="242">
        <v>1096</v>
      </c>
      <c r="K462" s="242">
        <v>0</v>
      </c>
      <c r="L462" s="242">
        <v>1096</v>
      </c>
      <c r="M462" s="242">
        <v>8214</v>
      </c>
      <c r="N462" s="242">
        <v>156063</v>
      </c>
      <c r="O462" s="242">
        <v>0</v>
      </c>
      <c r="P462" s="242">
        <v>164277</v>
      </c>
      <c r="Q462" s="242">
        <v>1096</v>
      </c>
      <c r="R462" s="242">
        <v>156063</v>
      </c>
      <c r="S462" s="250">
        <v>0</v>
      </c>
      <c r="T462" s="250">
        <v>0</v>
      </c>
      <c r="U462" s="242">
        <v>164277</v>
      </c>
      <c r="V462" s="242">
        <v>0</v>
      </c>
    </row>
    <row r="463" spans="2:24" s="22" customFormat="1" ht="27">
      <c r="B463" s="15">
        <f>+B462+1</f>
        <v>3</v>
      </c>
      <c r="C463" s="249" t="s">
        <v>3983</v>
      </c>
      <c r="D463" s="230" t="s">
        <v>887</v>
      </c>
      <c r="E463" s="266">
        <v>40286</v>
      </c>
      <c r="F463" s="254" t="s">
        <v>3985</v>
      </c>
      <c r="G463" s="233">
        <v>42825</v>
      </c>
      <c r="H463" s="228" t="s">
        <v>368</v>
      </c>
      <c r="I463" s="270">
        <v>43920</v>
      </c>
      <c r="J463" s="242">
        <v>1096</v>
      </c>
      <c r="K463" s="242">
        <v>0</v>
      </c>
      <c r="L463" s="242">
        <v>1096</v>
      </c>
      <c r="M463" s="242">
        <v>2014</v>
      </c>
      <c r="N463" s="242">
        <v>38272</v>
      </c>
      <c r="O463" s="242">
        <v>0</v>
      </c>
      <c r="P463" s="242">
        <v>40286</v>
      </c>
      <c r="Q463" s="242">
        <v>1096</v>
      </c>
      <c r="R463" s="242">
        <v>38272</v>
      </c>
      <c r="S463" s="250">
        <v>0</v>
      </c>
      <c r="T463" s="250">
        <v>0</v>
      </c>
      <c r="U463" s="242">
        <v>40286</v>
      </c>
      <c r="V463" s="242">
        <v>0</v>
      </c>
    </row>
    <row r="464" spans="2:24" s="22" customFormat="1" ht="27">
      <c r="B464" s="15">
        <f>+B463+1</f>
        <v>4</v>
      </c>
      <c r="C464" s="249" t="s">
        <v>3984</v>
      </c>
      <c r="D464" s="230" t="s">
        <v>887</v>
      </c>
      <c r="E464" s="266">
        <v>43296</v>
      </c>
      <c r="F464" s="254" t="s">
        <v>3986</v>
      </c>
      <c r="G464" s="233">
        <v>42825</v>
      </c>
      <c r="H464" s="228" t="s">
        <v>368</v>
      </c>
      <c r="I464" s="270">
        <v>43920</v>
      </c>
      <c r="J464" s="242">
        <v>1096</v>
      </c>
      <c r="K464" s="242">
        <v>0</v>
      </c>
      <c r="L464" s="242">
        <v>1096</v>
      </c>
      <c r="M464" s="242">
        <v>2165</v>
      </c>
      <c r="N464" s="242">
        <v>41131</v>
      </c>
      <c r="O464" s="242">
        <v>0</v>
      </c>
      <c r="P464" s="242">
        <v>43296</v>
      </c>
      <c r="Q464" s="242">
        <v>1096</v>
      </c>
      <c r="R464" s="242">
        <v>41131</v>
      </c>
      <c r="S464" s="250">
        <v>0</v>
      </c>
      <c r="T464" s="250">
        <v>0</v>
      </c>
      <c r="U464" s="242">
        <v>43296</v>
      </c>
      <c r="V464" s="242">
        <v>0</v>
      </c>
    </row>
    <row r="465" spans="2:24" s="22" customFormat="1">
      <c r="B465" s="15"/>
      <c r="C465" s="249"/>
      <c r="D465" s="230"/>
      <c r="E465" s="266"/>
      <c r="F465" s="254"/>
      <c r="G465" s="233"/>
      <c r="H465" s="228"/>
      <c r="I465" s="270"/>
      <c r="J465" s="242"/>
      <c r="K465" s="242"/>
      <c r="L465" s="242"/>
      <c r="M465" s="242"/>
      <c r="N465" s="242"/>
      <c r="O465" s="242"/>
      <c r="P465" s="242">
        <v>0</v>
      </c>
      <c r="Q465" s="242"/>
      <c r="R465" s="242"/>
      <c r="S465" s="272"/>
      <c r="T465" s="242"/>
      <c r="U465" s="228"/>
      <c r="V465" s="228"/>
      <c r="W465" s="11"/>
      <c r="X465" s="34"/>
    </row>
    <row r="466" spans="2:24" s="22" customFormat="1" ht="14.25">
      <c r="B466" s="32" t="s">
        <v>2489</v>
      </c>
      <c r="C466" s="229"/>
      <c r="D466" s="230"/>
      <c r="E466" s="271"/>
      <c r="F466" s="253"/>
      <c r="G466" s="230"/>
      <c r="H466" s="228"/>
      <c r="I466" s="242"/>
      <c r="J466" s="242"/>
      <c r="K466" s="242"/>
      <c r="L466" s="242"/>
      <c r="M466" s="242"/>
      <c r="N466" s="242"/>
      <c r="O466" s="242"/>
      <c r="P466" s="242">
        <v>0</v>
      </c>
      <c r="Q466" s="242"/>
      <c r="R466" s="242"/>
      <c r="S466" s="272"/>
      <c r="T466" s="242"/>
      <c r="U466" s="228"/>
      <c r="V466" s="228"/>
      <c r="W466" s="11"/>
      <c r="X466" s="34"/>
    </row>
    <row r="467" spans="2:24" s="22" customFormat="1">
      <c r="B467" s="15">
        <v>1</v>
      </c>
      <c r="C467" s="249" t="s">
        <v>446</v>
      </c>
      <c r="D467" s="230">
        <v>1</v>
      </c>
      <c r="E467" s="266">
        <v>40558</v>
      </c>
      <c r="F467" s="230" t="s">
        <v>941</v>
      </c>
      <c r="G467" s="232">
        <v>40320</v>
      </c>
      <c r="H467" s="228" t="s">
        <v>160</v>
      </c>
      <c r="I467" s="270">
        <v>62234</v>
      </c>
      <c r="J467" s="242">
        <v>21915</v>
      </c>
      <c r="K467" s="242">
        <v>1410</v>
      </c>
      <c r="L467" s="242">
        <v>20505</v>
      </c>
      <c r="M467" s="242">
        <v>2028</v>
      </c>
      <c r="N467" s="242">
        <v>35978</v>
      </c>
      <c r="O467" s="242">
        <v>0</v>
      </c>
      <c r="P467" s="242">
        <v>37366</v>
      </c>
      <c r="Q467" s="242">
        <v>20140</v>
      </c>
      <c r="R467" s="242">
        <v>35338</v>
      </c>
      <c r="S467" s="250">
        <v>365</v>
      </c>
      <c r="T467" s="250">
        <v>640</v>
      </c>
      <c r="U467" s="242">
        <v>4484</v>
      </c>
      <c r="V467" s="242">
        <v>32882</v>
      </c>
      <c r="W467" s="11"/>
      <c r="X467" s="34"/>
    </row>
    <row r="468" spans="2:24" s="22" customFormat="1">
      <c r="B468" s="15">
        <v>2</v>
      </c>
      <c r="C468" s="249" t="s">
        <v>447</v>
      </c>
      <c r="D468" s="230">
        <v>1</v>
      </c>
      <c r="E468" s="266">
        <v>29725</v>
      </c>
      <c r="F468" s="230" t="s">
        <v>941</v>
      </c>
      <c r="G468" s="232">
        <v>40320</v>
      </c>
      <c r="H468" s="228" t="s">
        <v>160</v>
      </c>
      <c r="I468" s="270">
        <v>62234</v>
      </c>
      <c r="J468" s="242">
        <v>21915</v>
      </c>
      <c r="K468" s="242">
        <v>1410</v>
      </c>
      <c r="L468" s="242">
        <v>20505</v>
      </c>
      <c r="M468" s="242">
        <v>1486</v>
      </c>
      <c r="N468" s="242">
        <v>26367</v>
      </c>
      <c r="O468" s="242">
        <v>0</v>
      </c>
      <c r="P468" s="242">
        <v>27384</v>
      </c>
      <c r="Q468" s="242">
        <v>20140</v>
      </c>
      <c r="R468" s="242">
        <v>25898</v>
      </c>
      <c r="S468" s="250">
        <v>365</v>
      </c>
      <c r="T468" s="250">
        <v>469</v>
      </c>
      <c r="U468" s="242">
        <v>3287</v>
      </c>
      <c r="V468" s="242">
        <v>24097</v>
      </c>
      <c r="W468" s="11"/>
      <c r="X468" s="34"/>
    </row>
    <row r="469" spans="2:24" s="22" customFormat="1">
      <c r="B469" s="15">
        <v>3</v>
      </c>
      <c r="C469" s="228" t="s">
        <v>30</v>
      </c>
      <c r="D469" s="230"/>
      <c r="E469" s="266">
        <v>1612128</v>
      </c>
      <c r="F469" s="230" t="s">
        <v>42</v>
      </c>
      <c r="G469" s="232">
        <v>40312</v>
      </c>
      <c r="H469" s="228" t="s">
        <v>160</v>
      </c>
      <c r="I469" s="270">
        <v>62226</v>
      </c>
      <c r="J469" s="242">
        <v>21915</v>
      </c>
      <c r="K469" s="242">
        <v>1418</v>
      </c>
      <c r="L469" s="242">
        <v>20497</v>
      </c>
      <c r="M469" s="242">
        <v>80606</v>
      </c>
      <c r="N469" s="242">
        <v>1429506</v>
      </c>
      <c r="O469" s="242">
        <v>0</v>
      </c>
      <c r="P469" s="242">
        <v>1484656</v>
      </c>
      <c r="Q469" s="242">
        <v>20132</v>
      </c>
      <c r="R469" s="242">
        <v>1404050</v>
      </c>
      <c r="S469" s="250">
        <v>365</v>
      </c>
      <c r="T469" s="250">
        <v>25456</v>
      </c>
      <c r="U469" s="242">
        <v>178332</v>
      </c>
      <c r="V469" s="242">
        <v>1306324</v>
      </c>
      <c r="W469" s="11"/>
      <c r="X469" s="34"/>
    </row>
    <row r="470" spans="2:24" s="22" customFormat="1" ht="94.5">
      <c r="B470" s="15">
        <v>4</v>
      </c>
      <c r="C470" s="249" t="s">
        <v>109</v>
      </c>
      <c r="D470" s="249" t="s">
        <v>110</v>
      </c>
      <c r="E470" s="266">
        <v>251650</v>
      </c>
      <c r="F470" s="249" t="s">
        <v>111</v>
      </c>
      <c r="G470" s="232">
        <v>40599</v>
      </c>
      <c r="H470" s="228" t="s">
        <v>368</v>
      </c>
      <c r="I470" s="270">
        <v>62513</v>
      </c>
      <c r="J470" s="242">
        <v>21915</v>
      </c>
      <c r="K470" s="242">
        <v>1131</v>
      </c>
      <c r="L470" s="242">
        <v>20784</v>
      </c>
      <c r="M470" s="242">
        <v>12583</v>
      </c>
      <c r="N470" s="242">
        <v>226368</v>
      </c>
      <c r="O470" s="242">
        <v>0</v>
      </c>
      <c r="P470" s="242">
        <v>234976</v>
      </c>
      <c r="Q470" s="242">
        <v>20419</v>
      </c>
      <c r="R470" s="242">
        <v>222394</v>
      </c>
      <c r="S470" s="250">
        <v>365</v>
      </c>
      <c r="T470" s="250">
        <v>3975</v>
      </c>
      <c r="U470" s="242">
        <v>27847</v>
      </c>
      <c r="V470" s="242">
        <v>207129</v>
      </c>
      <c r="W470" s="11"/>
      <c r="X470" s="34"/>
    </row>
    <row r="471" spans="2:24" s="22" customFormat="1" ht="27">
      <c r="B471" s="15">
        <v>5</v>
      </c>
      <c r="C471" s="249" t="s">
        <v>1361</v>
      </c>
      <c r="D471" s="249" t="s">
        <v>887</v>
      </c>
      <c r="E471" s="266">
        <v>606952</v>
      </c>
      <c r="F471" s="249" t="s">
        <v>1362</v>
      </c>
      <c r="G471" s="232">
        <v>40634</v>
      </c>
      <c r="H471" s="228" t="s">
        <v>368</v>
      </c>
      <c r="I471" s="270">
        <v>62548</v>
      </c>
      <c r="J471" s="242">
        <v>21915</v>
      </c>
      <c r="K471" s="242">
        <v>1096</v>
      </c>
      <c r="L471" s="242">
        <v>20819</v>
      </c>
      <c r="M471" s="242">
        <v>30348</v>
      </c>
      <c r="N471" s="242">
        <v>546925</v>
      </c>
      <c r="O471" s="242">
        <v>0</v>
      </c>
      <c r="P471" s="242">
        <v>567684</v>
      </c>
      <c r="Q471" s="242">
        <v>20454</v>
      </c>
      <c r="R471" s="242">
        <v>537336</v>
      </c>
      <c r="S471" s="250">
        <v>365</v>
      </c>
      <c r="T471" s="250">
        <v>9589</v>
      </c>
      <c r="U471" s="242">
        <v>67175</v>
      </c>
      <c r="V471" s="242">
        <v>500509</v>
      </c>
      <c r="W471" s="11"/>
      <c r="X471" s="34"/>
    </row>
    <row r="472" spans="2:24" s="22" customFormat="1" ht="54">
      <c r="B472" s="15">
        <v>6</v>
      </c>
      <c r="C472" s="249" t="s">
        <v>1366</v>
      </c>
      <c r="D472" s="249" t="s">
        <v>887</v>
      </c>
      <c r="E472" s="266">
        <v>2275679</v>
      </c>
      <c r="F472" s="249" t="s">
        <v>1365</v>
      </c>
      <c r="G472" s="232">
        <v>40634</v>
      </c>
      <c r="H472" s="228" t="s">
        <v>368</v>
      </c>
      <c r="I472" s="270">
        <v>62548</v>
      </c>
      <c r="J472" s="242">
        <v>21915</v>
      </c>
      <c r="K472" s="242">
        <v>1096</v>
      </c>
      <c r="L472" s="242">
        <v>20819</v>
      </c>
      <c r="M472" s="242">
        <v>113784</v>
      </c>
      <c r="N472" s="242">
        <v>2050613</v>
      </c>
      <c r="O472" s="242">
        <v>0</v>
      </c>
      <c r="P472" s="242">
        <v>2128446</v>
      </c>
      <c r="Q472" s="242">
        <v>20454</v>
      </c>
      <c r="R472" s="242">
        <v>2014662</v>
      </c>
      <c r="S472" s="250">
        <v>365</v>
      </c>
      <c r="T472" s="250">
        <v>35951</v>
      </c>
      <c r="U472" s="242">
        <v>251855</v>
      </c>
      <c r="V472" s="242">
        <v>1876591</v>
      </c>
      <c r="W472" s="11"/>
      <c r="X472" s="34"/>
    </row>
    <row r="473" spans="2:24" s="22" customFormat="1" ht="54">
      <c r="B473" s="15">
        <v>7</v>
      </c>
      <c r="C473" s="249" t="s">
        <v>1384</v>
      </c>
      <c r="D473" s="249" t="s">
        <v>887</v>
      </c>
      <c r="E473" s="266">
        <v>2880515</v>
      </c>
      <c r="F473" s="249" t="s">
        <v>1385</v>
      </c>
      <c r="G473" s="232">
        <v>40634</v>
      </c>
      <c r="H473" s="228" t="s">
        <v>368</v>
      </c>
      <c r="I473" s="270">
        <v>62548</v>
      </c>
      <c r="J473" s="242">
        <v>21915</v>
      </c>
      <c r="K473" s="242">
        <v>1096</v>
      </c>
      <c r="L473" s="242">
        <v>20819</v>
      </c>
      <c r="M473" s="242">
        <v>144026</v>
      </c>
      <c r="N473" s="242">
        <v>2595633</v>
      </c>
      <c r="O473" s="242">
        <v>0</v>
      </c>
      <c r="P473" s="242">
        <v>2694152</v>
      </c>
      <c r="Q473" s="242">
        <v>20454</v>
      </c>
      <c r="R473" s="242">
        <v>2550126</v>
      </c>
      <c r="S473" s="250">
        <v>365</v>
      </c>
      <c r="T473" s="250">
        <v>45507</v>
      </c>
      <c r="U473" s="242">
        <v>318797</v>
      </c>
      <c r="V473" s="242">
        <v>2375355</v>
      </c>
      <c r="W473" s="11"/>
      <c r="X473" s="34"/>
    </row>
    <row r="474" spans="2:24" s="22" customFormat="1">
      <c r="B474" s="15">
        <v>8</v>
      </c>
      <c r="C474" s="249" t="s">
        <v>1388</v>
      </c>
      <c r="D474" s="249" t="s">
        <v>887</v>
      </c>
      <c r="E474" s="266">
        <v>213667</v>
      </c>
      <c r="F474" s="249" t="s">
        <v>1389</v>
      </c>
      <c r="G474" s="232">
        <v>40634</v>
      </c>
      <c r="H474" s="228" t="s">
        <v>368</v>
      </c>
      <c r="I474" s="270">
        <v>62548</v>
      </c>
      <c r="J474" s="242">
        <v>21915</v>
      </c>
      <c r="K474" s="242">
        <v>1096</v>
      </c>
      <c r="L474" s="242">
        <v>20819</v>
      </c>
      <c r="M474" s="242">
        <v>10683</v>
      </c>
      <c r="N474" s="242">
        <v>192535</v>
      </c>
      <c r="O474" s="242">
        <v>0</v>
      </c>
      <c r="P474" s="242">
        <v>199842</v>
      </c>
      <c r="Q474" s="242">
        <v>20454</v>
      </c>
      <c r="R474" s="242">
        <v>189159</v>
      </c>
      <c r="S474" s="250">
        <v>365</v>
      </c>
      <c r="T474" s="250">
        <v>3376</v>
      </c>
      <c r="U474" s="242">
        <v>23650</v>
      </c>
      <c r="V474" s="242">
        <v>176192</v>
      </c>
      <c r="W474" s="11"/>
      <c r="X474" s="34"/>
    </row>
    <row r="475" spans="2:24" s="22" customFormat="1" ht="54">
      <c r="B475" s="15">
        <v>9</v>
      </c>
      <c r="C475" s="228" t="s">
        <v>2059</v>
      </c>
      <c r="D475" s="230" t="s">
        <v>314</v>
      </c>
      <c r="E475" s="250">
        <v>2202040</v>
      </c>
      <c r="F475" s="230" t="s">
        <v>2060</v>
      </c>
      <c r="G475" s="232">
        <v>41330</v>
      </c>
      <c r="H475" s="228" t="s">
        <v>368</v>
      </c>
      <c r="I475" s="270">
        <v>63244</v>
      </c>
      <c r="J475" s="242">
        <v>21915</v>
      </c>
      <c r="K475" s="242">
        <v>400</v>
      </c>
      <c r="L475" s="242">
        <v>21515</v>
      </c>
      <c r="M475" s="242">
        <v>110102</v>
      </c>
      <c r="N475" s="242">
        <v>2052603</v>
      </c>
      <c r="O475" s="242">
        <v>0</v>
      </c>
      <c r="P475" s="242">
        <v>2127883</v>
      </c>
      <c r="Q475" s="242">
        <v>21150</v>
      </c>
      <c r="R475" s="242">
        <v>2017781</v>
      </c>
      <c r="S475" s="250">
        <v>365</v>
      </c>
      <c r="T475" s="250">
        <v>34822</v>
      </c>
      <c r="U475" s="242">
        <v>243946</v>
      </c>
      <c r="V475" s="242">
        <v>1883937</v>
      </c>
      <c r="W475" s="11"/>
      <c r="X475" s="34"/>
    </row>
    <row r="476" spans="2:24" s="22" customFormat="1" ht="40.5">
      <c r="B476" s="15">
        <v>10</v>
      </c>
      <c r="C476" s="228" t="s">
        <v>2191</v>
      </c>
      <c r="D476" s="249">
        <v>1</v>
      </c>
      <c r="E476" s="250">
        <v>9450</v>
      </c>
      <c r="F476" s="249" t="s">
        <v>2192</v>
      </c>
      <c r="G476" s="233">
        <v>41369</v>
      </c>
      <c r="H476" s="228" t="s">
        <v>368</v>
      </c>
      <c r="I476" s="270">
        <v>63283</v>
      </c>
      <c r="J476" s="242">
        <v>21915</v>
      </c>
      <c r="K476" s="242">
        <v>361</v>
      </c>
      <c r="L476" s="242">
        <v>21554</v>
      </c>
      <c r="M476" s="242">
        <v>473</v>
      </c>
      <c r="N476" s="242">
        <v>8825</v>
      </c>
      <c r="O476" s="242">
        <v>0</v>
      </c>
      <c r="P476" s="242">
        <v>9149</v>
      </c>
      <c r="Q476" s="242">
        <v>21189</v>
      </c>
      <c r="R476" s="242">
        <v>8677</v>
      </c>
      <c r="S476" s="250">
        <v>365</v>
      </c>
      <c r="T476" s="250">
        <v>149</v>
      </c>
      <c r="U476" s="242">
        <v>1045</v>
      </c>
      <c r="V476" s="242">
        <v>8104</v>
      </c>
      <c r="W476" s="11"/>
      <c r="X476" s="34"/>
    </row>
    <row r="477" spans="2:24" s="22" customFormat="1" ht="40.5">
      <c r="B477" s="15">
        <v>11</v>
      </c>
      <c r="C477" s="228" t="s">
        <v>2194</v>
      </c>
      <c r="D477" s="249">
        <v>1</v>
      </c>
      <c r="E477" s="250">
        <v>4725</v>
      </c>
      <c r="F477" s="249" t="s">
        <v>2193</v>
      </c>
      <c r="G477" s="233">
        <v>41369</v>
      </c>
      <c r="H477" s="228" t="s">
        <v>368</v>
      </c>
      <c r="I477" s="270">
        <v>63283</v>
      </c>
      <c r="J477" s="242">
        <v>21915</v>
      </c>
      <c r="K477" s="242">
        <v>361</v>
      </c>
      <c r="L477" s="242">
        <v>21554</v>
      </c>
      <c r="M477" s="242">
        <v>236</v>
      </c>
      <c r="N477" s="242">
        <v>4413</v>
      </c>
      <c r="O477" s="242">
        <v>0</v>
      </c>
      <c r="P477" s="242">
        <v>4574</v>
      </c>
      <c r="Q477" s="242">
        <v>21189</v>
      </c>
      <c r="R477" s="242">
        <v>4338</v>
      </c>
      <c r="S477" s="250">
        <v>365</v>
      </c>
      <c r="T477" s="250">
        <v>75</v>
      </c>
      <c r="U477" s="242">
        <v>525</v>
      </c>
      <c r="V477" s="242">
        <v>4049</v>
      </c>
      <c r="W477" s="11"/>
      <c r="X477" s="34"/>
    </row>
    <row r="478" spans="2:24" s="22" customFormat="1" ht="27">
      <c r="B478" s="15">
        <v>12</v>
      </c>
      <c r="C478" s="228" t="s">
        <v>2559</v>
      </c>
      <c r="D478" s="249">
        <v>2</v>
      </c>
      <c r="E478" s="250">
        <v>36080</v>
      </c>
      <c r="F478" s="249" t="s">
        <v>2558</v>
      </c>
      <c r="G478" s="233">
        <v>41863</v>
      </c>
      <c r="H478" s="228" t="s">
        <v>368</v>
      </c>
      <c r="I478" s="270">
        <v>63777</v>
      </c>
      <c r="J478" s="242">
        <v>21915</v>
      </c>
      <c r="K478" s="242">
        <v>0</v>
      </c>
      <c r="L478" s="242">
        <v>21915</v>
      </c>
      <c r="M478" s="242">
        <v>1804</v>
      </c>
      <c r="N478" s="242">
        <v>34276</v>
      </c>
      <c r="O478" s="242">
        <v>0</v>
      </c>
      <c r="P478" s="242">
        <v>35717</v>
      </c>
      <c r="Q478" s="242">
        <v>21683</v>
      </c>
      <c r="R478" s="242">
        <v>33913</v>
      </c>
      <c r="S478" s="250">
        <v>365</v>
      </c>
      <c r="T478" s="250">
        <v>571</v>
      </c>
      <c r="U478" s="242">
        <v>3999</v>
      </c>
      <c r="V478" s="242">
        <v>31718</v>
      </c>
      <c r="W478" s="11"/>
      <c r="X478" s="34"/>
    </row>
    <row r="479" spans="2:24" s="22" customFormat="1" ht="14.25">
      <c r="B479" s="32" t="s">
        <v>2490</v>
      </c>
      <c r="C479" s="229"/>
      <c r="D479" s="230"/>
      <c r="E479" s="271"/>
      <c r="F479" s="230"/>
      <c r="G479" s="230"/>
      <c r="H479" s="228"/>
      <c r="I479" s="242"/>
      <c r="J479" s="242"/>
      <c r="K479" s="242"/>
      <c r="L479" s="242"/>
      <c r="M479" s="242"/>
      <c r="N479" s="242"/>
      <c r="O479" s="242"/>
      <c r="P479" s="242"/>
      <c r="Q479" s="242"/>
      <c r="R479" s="242"/>
      <c r="S479" s="272"/>
      <c r="T479" s="242"/>
      <c r="U479" s="228"/>
      <c r="V479" s="228"/>
      <c r="W479" s="11"/>
      <c r="X479" s="34"/>
    </row>
    <row r="480" spans="2:24" s="22" customFormat="1" ht="27">
      <c r="B480" s="15">
        <v>1</v>
      </c>
      <c r="C480" s="249" t="s">
        <v>106</v>
      </c>
      <c r="D480" s="230" t="s">
        <v>42</v>
      </c>
      <c r="E480" s="266">
        <v>170889</v>
      </c>
      <c r="F480" s="254" t="s">
        <v>107</v>
      </c>
      <c r="G480" s="232">
        <v>40476</v>
      </c>
      <c r="H480" s="228" t="s">
        <v>368</v>
      </c>
      <c r="I480" s="270">
        <v>62390</v>
      </c>
      <c r="J480" s="242">
        <v>21915</v>
      </c>
      <c r="K480" s="242">
        <v>1254</v>
      </c>
      <c r="L480" s="242">
        <v>20661</v>
      </c>
      <c r="M480" s="242">
        <v>8544</v>
      </c>
      <c r="N480" s="242">
        <v>152784</v>
      </c>
      <c r="O480" s="242">
        <v>0</v>
      </c>
      <c r="P480" s="242">
        <v>158629</v>
      </c>
      <c r="Q480" s="242">
        <v>20296</v>
      </c>
      <c r="R480" s="242">
        <v>150085</v>
      </c>
      <c r="S480" s="250">
        <v>365</v>
      </c>
      <c r="T480" s="250">
        <v>2699</v>
      </c>
      <c r="U480" s="242">
        <v>18907</v>
      </c>
      <c r="V480" s="242">
        <v>139722</v>
      </c>
      <c r="W480" s="11"/>
      <c r="X480" s="34"/>
    </row>
    <row r="481" spans="2:24" s="22" customFormat="1" ht="27">
      <c r="B481" s="15">
        <v>2</v>
      </c>
      <c r="C481" s="228" t="s">
        <v>1967</v>
      </c>
      <c r="D481" s="230" t="s">
        <v>42</v>
      </c>
      <c r="E481" s="250">
        <v>1640230</v>
      </c>
      <c r="F481" s="254" t="s">
        <v>1968</v>
      </c>
      <c r="G481" s="233">
        <v>41183</v>
      </c>
      <c r="H481" s="228" t="s">
        <v>368</v>
      </c>
      <c r="I481" s="270">
        <v>63097</v>
      </c>
      <c r="J481" s="242">
        <v>21915</v>
      </c>
      <c r="K481" s="242">
        <v>547</v>
      </c>
      <c r="L481" s="242">
        <v>21368</v>
      </c>
      <c r="M481" s="242">
        <v>82012</v>
      </c>
      <c r="N481" s="242">
        <v>1518151</v>
      </c>
      <c r="O481" s="242">
        <v>0</v>
      </c>
      <c r="P481" s="242">
        <v>1574231</v>
      </c>
      <c r="Q481" s="242">
        <v>21003</v>
      </c>
      <c r="R481" s="242">
        <v>1492220</v>
      </c>
      <c r="S481" s="250">
        <v>365</v>
      </c>
      <c r="T481" s="250">
        <v>25933</v>
      </c>
      <c r="U481" s="242">
        <v>181673</v>
      </c>
      <c r="V481" s="242">
        <v>1392558</v>
      </c>
      <c r="W481" s="11"/>
      <c r="X481" s="34"/>
    </row>
    <row r="482" spans="2:24" s="22" customFormat="1" ht="27">
      <c r="B482" s="15">
        <v>3</v>
      </c>
      <c r="C482" s="228" t="s">
        <v>1969</v>
      </c>
      <c r="D482" s="230" t="s">
        <v>42</v>
      </c>
      <c r="E482" s="250">
        <v>163992</v>
      </c>
      <c r="F482" s="254" t="s">
        <v>1970</v>
      </c>
      <c r="G482" s="233">
        <v>41183</v>
      </c>
      <c r="H482" s="228" t="s">
        <v>368</v>
      </c>
      <c r="I482" s="270">
        <v>63097</v>
      </c>
      <c r="J482" s="242">
        <v>21915</v>
      </c>
      <c r="K482" s="242">
        <v>547</v>
      </c>
      <c r="L482" s="242">
        <v>21368</v>
      </c>
      <c r="M482" s="242">
        <v>8200</v>
      </c>
      <c r="N482" s="242">
        <v>151786</v>
      </c>
      <c r="O482" s="242">
        <v>0</v>
      </c>
      <c r="P482" s="242">
        <v>157393</v>
      </c>
      <c r="Q482" s="242">
        <v>21003</v>
      </c>
      <c r="R482" s="242">
        <v>149193</v>
      </c>
      <c r="S482" s="250">
        <v>365</v>
      </c>
      <c r="T482" s="250">
        <v>2593</v>
      </c>
      <c r="U482" s="242">
        <v>18165</v>
      </c>
      <c r="V482" s="242">
        <v>139228</v>
      </c>
      <c r="W482" s="11"/>
      <c r="X482" s="34"/>
    </row>
    <row r="483" spans="2:24" s="22" customFormat="1" ht="14.25">
      <c r="B483" s="32" t="s">
        <v>2491</v>
      </c>
      <c r="C483" s="229"/>
      <c r="D483" s="230"/>
      <c r="E483" s="271"/>
      <c r="F483" s="230"/>
      <c r="G483" s="230"/>
      <c r="H483" s="228"/>
      <c r="I483" s="242"/>
      <c r="J483" s="242"/>
      <c r="K483" s="242"/>
      <c r="L483" s="242"/>
      <c r="M483" s="242"/>
      <c r="N483" s="242"/>
      <c r="O483" s="242"/>
      <c r="P483" s="242"/>
      <c r="Q483" s="242"/>
      <c r="R483" s="242"/>
      <c r="S483" s="272"/>
      <c r="T483" s="242"/>
      <c r="U483" s="228"/>
      <c r="V483" s="228"/>
      <c r="W483" s="11"/>
      <c r="X483" s="34"/>
    </row>
    <row r="484" spans="2:24" s="22" customFormat="1" ht="27">
      <c r="B484" s="15">
        <v>1</v>
      </c>
      <c r="C484" s="249" t="s">
        <v>886</v>
      </c>
      <c r="D484" s="254" t="s">
        <v>314</v>
      </c>
      <c r="E484" s="266">
        <v>11141</v>
      </c>
      <c r="F484" s="230" t="s">
        <v>689</v>
      </c>
      <c r="G484" s="232">
        <v>40394</v>
      </c>
      <c r="H484" s="228" t="s">
        <v>160</v>
      </c>
      <c r="I484" s="242"/>
      <c r="J484" s="242"/>
      <c r="K484" s="242"/>
      <c r="L484" s="242"/>
      <c r="M484" s="242"/>
      <c r="N484" s="242"/>
      <c r="O484" s="242"/>
      <c r="P484" s="242">
        <v>0</v>
      </c>
      <c r="Q484" s="242">
        <v>0</v>
      </c>
      <c r="R484" s="242"/>
      <c r="S484" s="250">
        <v>0</v>
      </c>
      <c r="T484" s="250">
        <v>0</v>
      </c>
      <c r="U484" s="242">
        <v>0</v>
      </c>
      <c r="V484" s="242">
        <v>0</v>
      </c>
      <c r="W484" s="11"/>
      <c r="X484" s="34"/>
    </row>
    <row r="485" spans="2:24" s="22" customFormat="1" ht="40.5">
      <c r="B485" s="15">
        <f t="shared" ref="B485:B498" si="8">+B484+1</f>
        <v>2</v>
      </c>
      <c r="C485" s="249" t="s">
        <v>112</v>
      </c>
      <c r="D485" s="254" t="s">
        <v>113</v>
      </c>
      <c r="E485" s="266">
        <v>1428000</v>
      </c>
      <c r="F485" s="284" t="s">
        <v>114</v>
      </c>
      <c r="G485" s="232">
        <v>40627</v>
      </c>
      <c r="H485" s="228" t="s">
        <v>160</v>
      </c>
      <c r="I485" s="242"/>
      <c r="J485" s="242"/>
      <c r="K485" s="242"/>
      <c r="L485" s="242"/>
      <c r="M485" s="242"/>
      <c r="N485" s="242"/>
      <c r="O485" s="242"/>
      <c r="P485" s="242">
        <v>0</v>
      </c>
      <c r="Q485" s="242">
        <v>0</v>
      </c>
      <c r="R485" s="242"/>
      <c r="S485" s="250">
        <v>0</v>
      </c>
      <c r="T485" s="250">
        <v>0</v>
      </c>
      <c r="U485" s="242">
        <v>0</v>
      </c>
      <c r="V485" s="242">
        <v>0</v>
      </c>
      <c r="W485" s="11"/>
      <c r="X485" s="34"/>
    </row>
    <row r="486" spans="2:24" s="22" customFormat="1">
      <c r="B486" s="15">
        <f t="shared" si="8"/>
        <v>3</v>
      </c>
      <c r="C486" s="228" t="s">
        <v>2052</v>
      </c>
      <c r="D486" s="254" t="s">
        <v>314</v>
      </c>
      <c r="E486" s="250">
        <v>400039</v>
      </c>
      <c r="F486" s="284" t="s">
        <v>2053</v>
      </c>
      <c r="G486" s="233">
        <v>41275</v>
      </c>
      <c r="H486" s="228" t="s">
        <v>368</v>
      </c>
      <c r="I486" s="242"/>
      <c r="J486" s="242"/>
      <c r="K486" s="242"/>
      <c r="L486" s="242"/>
      <c r="M486" s="242"/>
      <c r="N486" s="242"/>
      <c r="O486" s="242"/>
      <c r="P486" s="242">
        <v>0</v>
      </c>
      <c r="Q486" s="242">
        <v>0</v>
      </c>
      <c r="R486" s="242"/>
      <c r="S486" s="250">
        <v>0</v>
      </c>
      <c r="T486" s="250">
        <v>0</v>
      </c>
      <c r="U486" s="242">
        <v>0</v>
      </c>
      <c r="V486" s="242">
        <v>0</v>
      </c>
      <c r="W486" s="11"/>
      <c r="X486" s="34"/>
    </row>
    <row r="487" spans="2:24" s="22" customFormat="1">
      <c r="B487" s="15">
        <f t="shared" si="8"/>
        <v>4</v>
      </c>
      <c r="C487" s="228" t="s">
        <v>2376</v>
      </c>
      <c r="D487" s="254" t="s">
        <v>314</v>
      </c>
      <c r="E487" s="250">
        <v>11914</v>
      </c>
      <c r="F487" s="284" t="s">
        <v>2377</v>
      </c>
      <c r="G487" s="233">
        <v>41640</v>
      </c>
      <c r="H487" s="228" t="s">
        <v>368</v>
      </c>
      <c r="I487" s="270">
        <v>52596</v>
      </c>
      <c r="J487" s="242">
        <v>10957</v>
      </c>
      <c r="K487" s="242">
        <v>90</v>
      </c>
      <c r="L487" s="242">
        <v>10867</v>
      </c>
      <c r="M487" s="242">
        <v>596</v>
      </c>
      <c r="N487" s="242">
        <v>11270</v>
      </c>
      <c r="O487" s="242">
        <v>0</v>
      </c>
      <c r="P487" s="242">
        <v>11487</v>
      </c>
      <c r="Q487" s="242">
        <v>10502</v>
      </c>
      <c r="R487" s="242">
        <v>10891</v>
      </c>
      <c r="S487" s="250">
        <v>365</v>
      </c>
      <c r="T487" s="250">
        <v>379</v>
      </c>
      <c r="U487" s="242">
        <v>2655</v>
      </c>
      <c r="V487" s="242">
        <v>8832</v>
      </c>
      <c r="W487" s="11"/>
      <c r="X487" s="34"/>
    </row>
    <row r="488" spans="2:24" s="22" customFormat="1">
      <c r="B488" s="15">
        <f t="shared" si="8"/>
        <v>5</v>
      </c>
      <c r="C488" s="228" t="s">
        <v>2378</v>
      </c>
      <c r="D488" s="254" t="s">
        <v>314</v>
      </c>
      <c r="E488" s="250">
        <v>9036</v>
      </c>
      <c r="F488" s="284" t="s">
        <v>2379</v>
      </c>
      <c r="G488" s="233">
        <v>41640</v>
      </c>
      <c r="H488" s="228" t="s">
        <v>368</v>
      </c>
      <c r="I488" s="270">
        <v>52596</v>
      </c>
      <c r="J488" s="242">
        <v>10957</v>
      </c>
      <c r="K488" s="242">
        <v>90</v>
      </c>
      <c r="L488" s="242">
        <v>10867</v>
      </c>
      <c r="M488" s="242">
        <v>452</v>
      </c>
      <c r="N488" s="242">
        <v>8548</v>
      </c>
      <c r="O488" s="242">
        <v>0</v>
      </c>
      <c r="P488" s="242">
        <v>8713</v>
      </c>
      <c r="Q488" s="242">
        <v>10502</v>
      </c>
      <c r="R488" s="242">
        <v>8261</v>
      </c>
      <c r="S488" s="250">
        <v>365</v>
      </c>
      <c r="T488" s="250">
        <v>287</v>
      </c>
      <c r="U488" s="242">
        <v>2011</v>
      </c>
      <c r="V488" s="242">
        <v>6702</v>
      </c>
      <c r="W488" s="11"/>
      <c r="X488" s="34"/>
    </row>
    <row r="489" spans="2:24" s="22" customFormat="1">
      <c r="B489" s="15">
        <f t="shared" si="8"/>
        <v>6</v>
      </c>
      <c r="C489" s="228" t="s">
        <v>2378</v>
      </c>
      <c r="D489" s="254" t="s">
        <v>314</v>
      </c>
      <c r="E489" s="250">
        <v>17492</v>
      </c>
      <c r="F489" s="284" t="s">
        <v>2377</v>
      </c>
      <c r="G489" s="233">
        <v>41640</v>
      </c>
      <c r="H489" s="228" t="s">
        <v>368</v>
      </c>
      <c r="I489" s="270">
        <v>52596</v>
      </c>
      <c r="J489" s="242">
        <v>10957</v>
      </c>
      <c r="K489" s="242">
        <v>90</v>
      </c>
      <c r="L489" s="242">
        <v>10867</v>
      </c>
      <c r="M489" s="242">
        <v>875</v>
      </c>
      <c r="N489" s="242">
        <v>16547</v>
      </c>
      <c r="O489" s="242">
        <v>0</v>
      </c>
      <c r="P489" s="242">
        <v>16866</v>
      </c>
      <c r="Q489" s="242">
        <v>10502</v>
      </c>
      <c r="R489" s="242">
        <v>15991</v>
      </c>
      <c r="S489" s="250">
        <v>365</v>
      </c>
      <c r="T489" s="250">
        <v>556</v>
      </c>
      <c r="U489" s="242">
        <v>3894</v>
      </c>
      <c r="V489" s="242">
        <v>12972</v>
      </c>
      <c r="W489" s="11"/>
      <c r="X489" s="34"/>
    </row>
    <row r="490" spans="2:24" s="22" customFormat="1">
      <c r="B490" s="15">
        <f t="shared" si="8"/>
        <v>7</v>
      </c>
      <c r="C490" s="228" t="s">
        <v>2380</v>
      </c>
      <c r="D490" s="254" t="s">
        <v>314</v>
      </c>
      <c r="E490" s="250">
        <v>24043</v>
      </c>
      <c r="F490" s="284" t="s">
        <v>2381</v>
      </c>
      <c r="G490" s="233">
        <v>41640</v>
      </c>
      <c r="H490" s="228" t="s">
        <v>368</v>
      </c>
      <c r="I490" s="270">
        <v>52596</v>
      </c>
      <c r="J490" s="242">
        <v>10957</v>
      </c>
      <c r="K490" s="242">
        <v>90</v>
      </c>
      <c r="L490" s="242">
        <v>10867</v>
      </c>
      <c r="M490" s="242">
        <v>1202</v>
      </c>
      <c r="N490" s="242">
        <v>22744</v>
      </c>
      <c r="O490" s="242">
        <v>0</v>
      </c>
      <c r="P490" s="242">
        <v>23182</v>
      </c>
      <c r="Q490" s="242">
        <v>10502</v>
      </c>
      <c r="R490" s="242">
        <v>21980</v>
      </c>
      <c r="S490" s="250">
        <v>365</v>
      </c>
      <c r="T490" s="250">
        <v>764</v>
      </c>
      <c r="U490" s="242">
        <v>5352</v>
      </c>
      <c r="V490" s="242">
        <v>17830</v>
      </c>
      <c r="W490" s="11"/>
      <c r="X490" s="34"/>
    </row>
    <row r="491" spans="2:24" s="22" customFormat="1" ht="27">
      <c r="B491" s="15">
        <f t="shared" si="8"/>
        <v>8</v>
      </c>
      <c r="C491" s="228" t="s">
        <v>2382</v>
      </c>
      <c r="D491" s="254" t="s">
        <v>314</v>
      </c>
      <c r="E491" s="250">
        <v>202190</v>
      </c>
      <c r="F491" s="284" t="s">
        <v>2383</v>
      </c>
      <c r="G491" s="233">
        <v>41640</v>
      </c>
      <c r="H491" s="228" t="s">
        <v>368</v>
      </c>
      <c r="I491" s="270">
        <v>52596</v>
      </c>
      <c r="J491" s="242">
        <v>10957</v>
      </c>
      <c r="K491" s="242">
        <v>90</v>
      </c>
      <c r="L491" s="242">
        <v>10867</v>
      </c>
      <c r="M491" s="242">
        <v>10110</v>
      </c>
      <c r="N491" s="242">
        <v>191267</v>
      </c>
      <c r="O491" s="242">
        <v>0</v>
      </c>
      <c r="P491" s="242">
        <v>194953</v>
      </c>
      <c r="Q491" s="242">
        <v>10502</v>
      </c>
      <c r="R491" s="242">
        <v>184844</v>
      </c>
      <c r="S491" s="250">
        <v>365</v>
      </c>
      <c r="T491" s="250">
        <v>6424</v>
      </c>
      <c r="U491" s="242">
        <v>45004</v>
      </c>
      <c r="V491" s="242">
        <v>149949</v>
      </c>
      <c r="W491" s="11"/>
      <c r="X491" s="34"/>
    </row>
    <row r="492" spans="2:24" s="22" customFormat="1" ht="54">
      <c r="B492" s="15">
        <f t="shared" si="8"/>
        <v>9</v>
      </c>
      <c r="C492" s="228" t="s">
        <v>2384</v>
      </c>
      <c r="D492" s="254" t="s">
        <v>314</v>
      </c>
      <c r="E492" s="250">
        <v>21270</v>
      </c>
      <c r="F492" s="284" t="s">
        <v>2386</v>
      </c>
      <c r="G492" s="233">
        <v>41664</v>
      </c>
      <c r="H492" s="228" t="s">
        <v>368</v>
      </c>
      <c r="I492" s="270">
        <v>52620</v>
      </c>
      <c r="J492" s="242">
        <v>10957</v>
      </c>
      <c r="K492" s="242">
        <v>66</v>
      </c>
      <c r="L492" s="242">
        <v>10891</v>
      </c>
      <c r="M492" s="242">
        <v>1064</v>
      </c>
      <c r="N492" s="242">
        <v>20143</v>
      </c>
      <c r="O492" s="242">
        <v>0</v>
      </c>
      <c r="P492" s="242">
        <v>20532</v>
      </c>
      <c r="Q492" s="242">
        <v>10526</v>
      </c>
      <c r="R492" s="242">
        <v>19469</v>
      </c>
      <c r="S492" s="250">
        <v>365</v>
      </c>
      <c r="T492" s="250">
        <v>675</v>
      </c>
      <c r="U492" s="242">
        <v>4729</v>
      </c>
      <c r="V492" s="242">
        <v>15803</v>
      </c>
      <c r="W492" s="11"/>
      <c r="X492" s="34"/>
    </row>
    <row r="493" spans="2:24" s="22" customFormat="1" ht="27">
      <c r="B493" s="15">
        <f t="shared" si="8"/>
        <v>10</v>
      </c>
      <c r="C493" s="228" t="s">
        <v>2385</v>
      </c>
      <c r="D493" s="254" t="s">
        <v>314</v>
      </c>
      <c r="E493" s="250">
        <v>4607</v>
      </c>
      <c r="F493" s="284" t="s">
        <v>2386</v>
      </c>
      <c r="G493" s="233">
        <v>41664</v>
      </c>
      <c r="H493" s="228" t="s">
        <v>368</v>
      </c>
      <c r="I493" s="270">
        <v>52620</v>
      </c>
      <c r="J493" s="242">
        <v>10957</v>
      </c>
      <c r="K493" s="242">
        <v>66</v>
      </c>
      <c r="L493" s="242">
        <v>10891</v>
      </c>
      <c r="M493" s="242">
        <v>230</v>
      </c>
      <c r="N493" s="242">
        <v>4363</v>
      </c>
      <c r="O493" s="242">
        <v>0</v>
      </c>
      <c r="P493" s="242">
        <v>4447</v>
      </c>
      <c r="Q493" s="242">
        <v>10526</v>
      </c>
      <c r="R493" s="242">
        <v>4217</v>
      </c>
      <c r="S493" s="250">
        <v>365</v>
      </c>
      <c r="T493" s="250">
        <v>146</v>
      </c>
      <c r="U493" s="242">
        <v>1024</v>
      </c>
      <c r="V493" s="242">
        <v>3423</v>
      </c>
      <c r="W493" s="11"/>
      <c r="X493" s="34"/>
    </row>
    <row r="494" spans="2:24" s="22" customFormat="1" ht="27">
      <c r="B494" s="15">
        <f t="shared" si="8"/>
        <v>11</v>
      </c>
      <c r="C494" s="228" t="s">
        <v>2387</v>
      </c>
      <c r="D494" s="254" t="s">
        <v>314</v>
      </c>
      <c r="E494" s="250">
        <v>1081730</v>
      </c>
      <c r="F494" s="284">
        <v>160</v>
      </c>
      <c r="G494" s="233">
        <v>41640</v>
      </c>
      <c r="H494" s="228" t="s">
        <v>368</v>
      </c>
      <c r="I494" s="270">
        <v>52596</v>
      </c>
      <c r="J494" s="242">
        <v>10957</v>
      </c>
      <c r="K494" s="242">
        <v>90</v>
      </c>
      <c r="L494" s="242">
        <v>10867</v>
      </c>
      <c r="M494" s="242">
        <v>54087</v>
      </c>
      <c r="N494" s="242">
        <v>1023295</v>
      </c>
      <c r="O494" s="242">
        <v>0</v>
      </c>
      <c r="P494" s="242">
        <v>1043012</v>
      </c>
      <c r="Q494" s="242">
        <v>10502</v>
      </c>
      <c r="R494" s="242">
        <v>988926</v>
      </c>
      <c r="S494" s="250">
        <v>365</v>
      </c>
      <c r="T494" s="250">
        <v>34370</v>
      </c>
      <c r="U494" s="242">
        <v>240780</v>
      </c>
      <c r="V494" s="242">
        <v>802232</v>
      </c>
      <c r="W494" s="11"/>
      <c r="X494" s="34"/>
    </row>
    <row r="495" spans="2:24" s="22" customFormat="1" ht="27">
      <c r="B495" s="15">
        <f t="shared" si="8"/>
        <v>12</v>
      </c>
      <c r="C495" s="228" t="s">
        <v>2388</v>
      </c>
      <c r="D495" s="254" t="s">
        <v>314</v>
      </c>
      <c r="E495" s="250">
        <v>236312</v>
      </c>
      <c r="F495" s="284" t="s">
        <v>2390</v>
      </c>
      <c r="G495" s="233">
        <v>41645</v>
      </c>
      <c r="H495" s="228" t="s">
        <v>368</v>
      </c>
      <c r="I495" s="270">
        <v>52601</v>
      </c>
      <c r="J495" s="242">
        <v>10957</v>
      </c>
      <c r="K495" s="242">
        <v>85</v>
      </c>
      <c r="L495" s="242">
        <v>10872</v>
      </c>
      <c r="M495" s="242">
        <v>11816</v>
      </c>
      <c r="N495" s="242">
        <v>223599</v>
      </c>
      <c r="O495" s="242">
        <v>0</v>
      </c>
      <c r="P495" s="242">
        <v>227908</v>
      </c>
      <c r="Q495" s="242">
        <v>10507</v>
      </c>
      <c r="R495" s="242">
        <v>216092</v>
      </c>
      <c r="S495" s="250">
        <v>365</v>
      </c>
      <c r="T495" s="250">
        <v>7507</v>
      </c>
      <c r="U495" s="242">
        <v>52589</v>
      </c>
      <c r="V495" s="242">
        <v>175319</v>
      </c>
      <c r="W495" s="11"/>
      <c r="X495" s="34"/>
    </row>
    <row r="496" spans="2:24" s="22" customFormat="1" ht="40.5">
      <c r="B496" s="15">
        <f t="shared" si="8"/>
        <v>13</v>
      </c>
      <c r="C496" s="228" t="s">
        <v>2389</v>
      </c>
      <c r="D496" s="254" t="s">
        <v>314</v>
      </c>
      <c r="E496" s="250">
        <v>13204</v>
      </c>
      <c r="F496" s="284" t="s">
        <v>2391</v>
      </c>
      <c r="G496" s="233">
        <v>41645</v>
      </c>
      <c r="H496" s="228" t="s">
        <v>368</v>
      </c>
      <c r="I496" s="270">
        <v>52601</v>
      </c>
      <c r="J496" s="242">
        <v>10957</v>
      </c>
      <c r="K496" s="242">
        <v>85</v>
      </c>
      <c r="L496" s="242">
        <v>10872</v>
      </c>
      <c r="M496" s="242">
        <v>660</v>
      </c>
      <c r="N496" s="242">
        <v>12494</v>
      </c>
      <c r="O496" s="242">
        <v>0</v>
      </c>
      <c r="P496" s="242">
        <v>12735</v>
      </c>
      <c r="Q496" s="242">
        <v>10507</v>
      </c>
      <c r="R496" s="242">
        <v>12075</v>
      </c>
      <c r="S496" s="250">
        <v>365</v>
      </c>
      <c r="T496" s="250">
        <v>419</v>
      </c>
      <c r="U496" s="242">
        <v>2937</v>
      </c>
      <c r="V496" s="242">
        <v>9798</v>
      </c>
      <c r="W496" s="11"/>
      <c r="X496" s="34"/>
    </row>
    <row r="497" spans="2:24" s="22" customFormat="1" ht="54">
      <c r="B497" s="15">
        <f t="shared" si="8"/>
        <v>14</v>
      </c>
      <c r="C497" s="228" t="s">
        <v>3987</v>
      </c>
      <c r="D497" s="254" t="s">
        <v>314</v>
      </c>
      <c r="E497" s="250">
        <v>640781</v>
      </c>
      <c r="F497" s="284" t="s">
        <v>2923</v>
      </c>
      <c r="G497" s="233">
        <v>42825</v>
      </c>
      <c r="H497" s="228" t="s">
        <v>368</v>
      </c>
      <c r="I497" s="270">
        <v>53781</v>
      </c>
      <c r="J497" s="242">
        <v>10957</v>
      </c>
      <c r="K497" s="242">
        <v>0</v>
      </c>
      <c r="L497" s="242">
        <v>10957</v>
      </c>
      <c r="M497" s="242">
        <v>32039</v>
      </c>
      <c r="N497" s="242">
        <v>608742</v>
      </c>
      <c r="O497" s="242">
        <v>0</v>
      </c>
      <c r="P497" s="242">
        <v>640781</v>
      </c>
      <c r="Q497" s="242">
        <v>10957</v>
      </c>
      <c r="R497" s="242">
        <v>608742</v>
      </c>
      <c r="S497" s="250">
        <v>365</v>
      </c>
      <c r="T497" s="250">
        <v>20278</v>
      </c>
      <c r="U497" s="242">
        <v>101502</v>
      </c>
      <c r="V497" s="242">
        <v>539279</v>
      </c>
      <c r="W497" s="11"/>
      <c r="X497" s="34"/>
    </row>
    <row r="498" spans="2:24" s="22" customFormat="1" ht="27">
      <c r="B498" s="15">
        <f t="shared" si="8"/>
        <v>15</v>
      </c>
      <c r="C498" s="228" t="s">
        <v>3988</v>
      </c>
      <c r="D498" s="254" t="s">
        <v>314</v>
      </c>
      <c r="E498" s="250">
        <v>28931</v>
      </c>
      <c r="F498" s="284" t="s">
        <v>2924</v>
      </c>
      <c r="G498" s="233">
        <v>42825</v>
      </c>
      <c r="H498" s="228" t="s">
        <v>368</v>
      </c>
      <c r="I498" s="270">
        <v>53781</v>
      </c>
      <c r="J498" s="242">
        <v>10957</v>
      </c>
      <c r="K498" s="242">
        <v>0</v>
      </c>
      <c r="L498" s="242">
        <v>10957</v>
      </c>
      <c r="M498" s="242">
        <v>1447</v>
      </c>
      <c r="N498" s="242">
        <v>27484</v>
      </c>
      <c r="O498" s="242">
        <v>0</v>
      </c>
      <c r="P498" s="242">
        <v>28931</v>
      </c>
      <c r="Q498" s="242">
        <v>10957</v>
      </c>
      <c r="R498" s="242">
        <v>27484</v>
      </c>
      <c r="S498" s="250">
        <v>365</v>
      </c>
      <c r="T498" s="250">
        <v>916</v>
      </c>
      <c r="U498" s="242">
        <v>4585</v>
      </c>
      <c r="V498" s="242">
        <v>24346</v>
      </c>
      <c r="W498" s="11"/>
      <c r="X498" s="34"/>
    </row>
    <row r="499" spans="2:24" s="22" customFormat="1">
      <c r="B499" s="15"/>
      <c r="C499" s="228"/>
      <c r="D499" s="254"/>
      <c r="E499" s="250"/>
      <c r="F499" s="284"/>
      <c r="G499" s="233"/>
      <c r="H499" s="228"/>
      <c r="I499" s="270"/>
      <c r="J499" s="242"/>
      <c r="K499" s="242"/>
      <c r="L499" s="242"/>
      <c r="M499" s="242"/>
      <c r="N499" s="242"/>
      <c r="O499" s="242"/>
      <c r="P499" s="242">
        <v>0</v>
      </c>
      <c r="Q499" s="242"/>
      <c r="R499" s="242"/>
      <c r="S499" s="272"/>
      <c r="T499" s="242"/>
      <c r="U499" s="228"/>
      <c r="V499" s="228"/>
      <c r="W499" s="11"/>
      <c r="X499" s="34"/>
    </row>
    <row r="500" spans="2:24" s="22" customFormat="1">
      <c r="B500" s="15"/>
      <c r="C500" s="228"/>
      <c r="D500" s="254"/>
      <c r="E500" s="250"/>
      <c r="F500" s="284"/>
      <c r="G500" s="233"/>
      <c r="H500" s="228"/>
      <c r="I500" s="270"/>
      <c r="J500" s="242"/>
      <c r="K500" s="242"/>
      <c r="L500" s="242"/>
      <c r="M500" s="242"/>
      <c r="N500" s="242"/>
      <c r="O500" s="242"/>
      <c r="P500" s="242">
        <v>0</v>
      </c>
      <c r="Q500" s="242"/>
      <c r="R500" s="242"/>
      <c r="S500" s="272"/>
      <c r="T500" s="242"/>
      <c r="U500" s="228"/>
      <c r="V500" s="228"/>
      <c r="W500" s="11"/>
      <c r="X500" s="34"/>
    </row>
    <row r="501" spans="2:24" s="22" customFormat="1" ht="14.25">
      <c r="B501" s="32" t="s">
        <v>2492</v>
      </c>
      <c r="C501" s="229"/>
      <c r="D501" s="230"/>
      <c r="E501" s="271"/>
      <c r="F501" s="230"/>
      <c r="G501" s="230"/>
      <c r="H501" s="228"/>
      <c r="I501" s="242"/>
      <c r="J501" s="242"/>
      <c r="K501" s="242"/>
      <c r="L501" s="242"/>
      <c r="M501" s="242"/>
      <c r="N501" s="242"/>
      <c r="O501" s="242"/>
      <c r="P501" s="242"/>
      <c r="Q501" s="242"/>
      <c r="R501" s="242"/>
      <c r="S501" s="272"/>
      <c r="T501" s="242"/>
      <c r="U501" s="228"/>
      <c r="V501" s="228"/>
      <c r="W501" s="11"/>
      <c r="X501" s="34"/>
    </row>
    <row r="502" spans="2:24" s="22" customFormat="1" ht="67.5">
      <c r="B502" s="15">
        <v>1</v>
      </c>
      <c r="C502" s="249" t="s">
        <v>228</v>
      </c>
      <c r="D502" s="230"/>
      <c r="E502" s="266">
        <v>38959</v>
      </c>
      <c r="F502" s="230" t="s">
        <v>229</v>
      </c>
      <c r="G502" s="232">
        <v>40417</v>
      </c>
      <c r="H502" s="228" t="s">
        <v>160</v>
      </c>
      <c r="I502" s="270">
        <v>51374</v>
      </c>
      <c r="J502" s="242">
        <v>10958</v>
      </c>
      <c r="K502" s="242">
        <v>1313</v>
      </c>
      <c r="L502" s="242">
        <v>9645</v>
      </c>
      <c r="M502" s="242">
        <v>1948</v>
      </c>
      <c r="N502" s="242">
        <v>34728</v>
      </c>
      <c r="O502" s="242">
        <v>0</v>
      </c>
      <c r="P502" s="242">
        <v>35362</v>
      </c>
      <c r="Q502" s="242">
        <v>9280</v>
      </c>
      <c r="R502" s="242">
        <v>33414</v>
      </c>
      <c r="S502" s="250">
        <v>365</v>
      </c>
      <c r="T502" s="250">
        <v>1314</v>
      </c>
      <c r="U502" s="242">
        <v>9206</v>
      </c>
      <c r="V502" s="242">
        <v>26156</v>
      </c>
      <c r="W502" s="11"/>
      <c r="X502" s="34"/>
    </row>
    <row r="503" spans="2:24" s="22" customFormat="1" ht="27">
      <c r="B503" s="15">
        <v>2</v>
      </c>
      <c r="C503" s="249" t="s">
        <v>593</v>
      </c>
      <c r="D503" s="230" t="s">
        <v>42</v>
      </c>
      <c r="E503" s="266">
        <v>621362</v>
      </c>
      <c r="F503" s="230" t="s">
        <v>31</v>
      </c>
      <c r="G503" s="232">
        <v>40502</v>
      </c>
      <c r="H503" s="228" t="s">
        <v>368</v>
      </c>
      <c r="I503" s="270">
        <v>51459</v>
      </c>
      <c r="J503" s="242">
        <v>10958</v>
      </c>
      <c r="K503" s="242">
        <v>1228</v>
      </c>
      <c r="L503" s="242">
        <v>9730</v>
      </c>
      <c r="M503" s="242">
        <v>31068</v>
      </c>
      <c r="N503" s="242">
        <v>556247</v>
      </c>
      <c r="O503" s="242">
        <v>0</v>
      </c>
      <c r="P503" s="242">
        <v>566449</v>
      </c>
      <c r="Q503" s="242">
        <v>9365</v>
      </c>
      <c r="R503" s="242">
        <v>535381</v>
      </c>
      <c r="S503" s="250">
        <v>365</v>
      </c>
      <c r="T503" s="250">
        <v>20866</v>
      </c>
      <c r="U503" s="242">
        <v>146178</v>
      </c>
      <c r="V503" s="242">
        <v>420271</v>
      </c>
      <c r="W503" s="11"/>
      <c r="X503" s="34"/>
    </row>
    <row r="504" spans="2:24" s="22" customFormat="1" ht="40.5">
      <c r="B504" s="15">
        <v>3</v>
      </c>
      <c r="C504" s="249" t="s">
        <v>695</v>
      </c>
      <c r="D504" s="230" t="s">
        <v>42</v>
      </c>
      <c r="E504" s="266">
        <f>860176+737294+614411</f>
        <v>2211881</v>
      </c>
      <c r="F504" s="249" t="s">
        <v>154</v>
      </c>
      <c r="G504" s="232">
        <v>40502</v>
      </c>
      <c r="H504" s="228" t="s">
        <v>368</v>
      </c>
      <c r="I504" s="270">
        <v>51459</v>
      </c>
      <c r="J504" s="242">
        <v>10958</v>
      </c>
      <c r="K504" s="242">
        <v>1228</v>
      </c>
      <c r="L504" s="242">
        <v>9730</v>
      </c>
      <c r="M504" s="242">
        <v>110594</v>
      </c>
      <c r="N504" s="242">
        <v>1980086</v>
      </c>
      <c r="O504" s="242">
        <v>0</v>
      </c>
      <c r="P504" s="242">
        <v>2016401</v>
      </c>
      <c r="Q504" s="242">
        <v>9365</v>
      </c>
      <c r="R504" s="242">
        <v>1905807</v>
      </c>
      <c r="S504" s="250">
        <v>365</v>
      </c>
      <c r="T504" s="250">
        <v>74279</v>
      </c>
      <c r="U504" s="242">
        <v>520359</v>
      </c>
      <c r="V504" s="242">
        <v>1496042</v>
      </c>
      <c r="W504" s="11"/>
      <c r="X504" s="34"/>
    </row>
    <row r="505" spans="2:24" s="22" customFormat="1">
      <c r="B505" s="15">
        <v>4</v>
      </c>
      <c r="C505" s="249" t="s">
        <v>694</v>
      </c>
      <c r="D505" s="230" t="s">
        <v>42</v>
      </c>
      <c r="E505" s="266">
        <v>381836</v>
      </c>
      <c r="F505" s="249" t="s">
        <v>591</v>
      </c>
      <c r="G505" s="232">
        <v>40502</v>
      </c>
      <c r="H505" s="228" t="s">
        <v>368</v>
      </c>
      <c r="I505" s="270">
        <v>51459</v>
      </c>
      <c r="J505" s="242">
        <v>10958</v>
      </c>
      <c r="K505" s="242">
        <v>1228</v>
      </c>
      <c r="L505" s="242">
        <v>9730</v>
      </c>
      <c r="M505" s="242">
        <v>19092</v>
      </c>
      <c r="N505" s="242">
        <v>341821</v>
      </c>
      <c r="O505" s="242">
        <v>0</v>
      </c>
      <c r="P505" s="242">
        <v>348090</v>
      </c>
      <c r="Q505" s="242">
        <v>9365</v>
      </c>
      <c r="R505" s="242">
        <v>328998</v>
      </c>
      <c r="S505" s="250">
        <v>365</v>
      </c>
      <c r="T505" s="250">
        <v>12823</v>
      </c>
      <c r="U505" s="242">
        <v>89831</v>
      </c>
      <c r="V505" s="242">
        <v>258259</v>
      </c>
      <c r="W505" s="11"/>
      <c r="X505" s="34"/>
    </row>
    <row r="506" spans="2:24" s="22" customFormat="1" ht="27">
      <c r="B506" s="15">
        <v>5</v>
      </c>
      <c r="C506" s="249" t="s">
        <v>1009</v>
      </c>
      <c r="D506" s="230" t="s">
        <v>42</v>
      </c>
      <c r="E506" s="266">
        <v>220231</v>
      </c>
      <c r="F506" s="249" t="s">
        <v>592</v>
      </c>
      <c r="G506" s="232">
        <v>40502</v>
      </c>
      <c r="H506" s="228" t="s">
        <v>368</v>
      </c>
      <c r="I506" s="270">
        <v>51459</v>
      </c>
      <c r="J506" s="242">
        <v>10958</v>
      </c>
      <c r="K506" s="242">
        <v>1228</v>
      </c>
      <c r="L506" s="242">
        <v>9730</v>
      </c>
      <c r="M506" s="242">
        <v>11012</v>
      </c>
      <c r="N506" s="242">
        <v>197151</v>
      </c>
      <c r="O506" s="242">
        <v>0</v>
      </c>
      <c r="P506" s="242">
        <v>200767</v>
      </c>
      <c r="Q506" s="242">
        <v>9365</v>
      </c>
      <c r="R506" s="242">
        <v>189755</v>
      </c>
      <c r="S506" s="250">
        <v>365</v>
      </c>
      <c r="T506" s="250">
        <v>7396</v>
      </c>
      <c r="U506" s="242">
        <v>51812</v>
      </c>
      <c r="V506" s="242">
        <v>148955</v>
      </c>
      <c r="W506" s="11"/>
      <c r="X506" s="34"/>
    </row>
    <row r="507" spans="2:24" s="22" customFormat="1" ht="40.5">
      <c r="B507" s="15">
        <v>6</v>
      </c>
      <c r="C507" s="249" t="s">
        <v>132</v>
      </c>
      <c r="D507" s="230" t="s">
        <v>42</v>
      </c>
      <c r="E507" s="266">
        <v>527403</v>
      </c>
      <c r="F507" s="249" t="s">
        <v>133</v>
      </c>
      <c r="G507" s="232">
        <v>40532</v>
      </c>
      <c r="H507" s="228" t="s">
        <v>368</v>
      </c>
      <c r="I507" s="270">
        <v>51489</v>
      </c>
      <c r="J507" s="242">
        <v>10958</v>
      </c>
      <c r="K507" s="242">
        <v>1198</v>
      </c>
      <c r="L507" s="242">
        <v>9760</v>
      </c>
      <c r="M507" s="242">
        <v>26370</v>
      </c>
      <c r="N507" s="242">
        <v>472840</v>
      </c>
      <c r="O507" s="242">
        <v>0</v>
      </c>
      <c r="P507" s="242">
        <v>481527</v>
      </c>
      <c r="Q507" s="242">
        <v>9395</v>
      </c>
      <c r="R507" s="242">
        <v>455157</v>
      </c>
      <c r="S507" s="250">
        <v>365</v>
      </c>
      <c r="T507" s="250">
        <v>17683</v>
      </c>
      <c r="U507" s="242">
        <v>123879</v>
      </c>
      <c r="V507" s="242">
        <v>357648</v>
      </c>
      <c r="W507" s="11"/>
      <c r="X507" s="34"/>
    </row>
    <row r="508" spans="2:24" s="22" customFormat="1" ht="40.5">
      <c r="B508" s="15">
        <v>1</v>
      </c>
      <c r="C508" s="249" t="s">
        <v>1279</v>
      </c>
      <c r="D508" s="228" t="s">
        <v>314</v>
      </c>
      <c r="E508" s="242">
        <v>930601</v>
      </c>
      <c r="F508" s="249" t="s">
        <v>1280</v>
      </c>
      <c r="G508" s="232">
        <v>40634</v>
      </c>
      <c r="H508" s="228" t="s">
        <v>119</v>
      </c>
      <c r="I508" s="270">
        <v>51591</v>
      </c>
      <c r="J508" s="242">
        <v>10958</v>
      </c>
      <c r="K508" s="242">
        <v>1096</v>
      </c>
      <c r="L508" s="242">
        <v>9862</v>
      </c>
      <c r="M508" s="242">
        <v>46530</v>
      </c>
      <c r="N508" s="242">
        <v>838564</v>
      </c>
      <c r="O508" s="242">
        <v>0</v>
      </c>
      <c r="P508" s="242">
        <v>854058</v>
      </c>
      <c r="Q508" s="242">
        <v>9497</v>
      </c>
      <c r="R508" s="242">
        <v>807528</v>
      </c>
      <c r="S508" s="250">
        <v>365</v>
      </c>
      <c r="T508" s="250">
        <v>31036</v>
      </c>
      <c r="U508" s="242">
        <v>217422</v>
      </c>
      <c r="V508" s="242">
        <v>636636</v>
      </c>
      <c r="W508" s="11"/>
      <c r="X508" s="34"/>
    </row>
    <row r="509" spans="2:24" s="22" customFormat="1" ht="40.5">
      <c r="B509" s="15">
        <v>2</v>
      </c>
      <c r="C509" s="249" t="s">
        <v>1281</v>
      </c>
      <c r="D509" s="228" t="s">
        <v>314</v>
      </c>
      <c r="E509" s="242">
        <v>396000</v>
      </c>
      <c r="F509" s="249" t="s">
        <v>1282</v>
      </c>
      <c r="G509" s="232">
        <v>40634</v>
      </c>
      <c r="H509" s="228" t="s">
        <v>119</v>
      </c>
      <c r="I509" s="270">
        <v>51591</v>
      </c>
      <c r="J509" s="242">
        <v>10958</v>
      </c>
      <c r="K509" s="242">
        <v>1096</v>
      </c>
      <c r="L509" s="242">
        <v>9862</v>
      </c>
      <c r="M509" s="242">
        <v>19800</v>
      </c>
      <c r="N509" s="242">
        <v>356835</v>
      </c>
      <c r="O509" s="242">
        <v>0</v>
      </c>
      <c r="P509" s="242">
        <v>363428</v>
      </c>
      <c r="Q509" s="242">
        <v>9497</v>
      </c>
      <c r="R509" s="242">
        <v>343628</v>
      </c>
      <c r="S509" s="250">
        <v>365</v>
      </c>
      <c r="T509" s="250">
        <v>13207</v>
      </c>
      <c r="U509" s="242">
        <v>92521</v>
      </c>
      <c r="V509" s="242">
        <v>270907</v>
      </c>
      <c r="W509" s="11"/>
      <c r="X509" s="34"/>
    </row>
    <row r="510" spans="2:24" s="22" customFormat="1" ht="40.5">
      <c r="B510" s="15">
        <v>3</v>
      </c>
      <c r="C510" s="249" t="s">
        <v>1283</v>
      </c>
      <c r="D510" s="228" t="s">
        <v>314</v>
      </c>
      <c r="E510" s="242">
        <v>1087208</v>
      </c>
      <c r="F510" s="249" t="s">
        <v>1284</v>
      </c>
      <c r="G510" s="232">
        <v>40634</v>
      </c>
      <c r="H510" s="228" t="s">
        <v>119</v>
      </c>
      <c r="I510" s="270">
        <v>51591</v>
      </c>
      <c r="J510" s="242">
        <v>10958</v>
      </c>
      <c r="K510" s="242">
        <v>1096</v>
      </c>
      <c r="L510" s="242">
        <v>9862</v>
      </c>
      <c r="M510" s="242">
        <v>54360</v>
      </c>
      <c r="N510" s="242">
        <v>979685</v>
      </c>
      <c r="O510" s="242">
        <v>0</v>
      </c>
      <c r="P510" s="242">
        <v>997786</v>
      </c>
      <c r="Q510" s="242">
        <v>9497</v>
      </c>
      <c r="R510" s="242">
        <v>943426</v>
      </c>
      <c r="S510" s="250">
        <v>365</v>
      </c>
      <c r="T510" s="250">
        <v>36259</v>
      </c>
      <c r="U510" s="242">
        <v>254011</v>
      </c>
      <c r="V510" s="242">
        <v>743775</v>
      </c>
      <c r="W510" s="11"/>
      <c r="X510" s="34"/>
    </row>
    <row r="511" spans="2:24" s="22" customFormat="1" ht="40.5">
      <c r="B511" s="15">
        <v>4</v>
      </c>
      <c r="C511" s="249" t="s">
        <v>1283</v>
      </c>
      <c r="D511" s="228" t="s">
        <v>314</v>
      </c>
      <c r="E511" s="242">
        <v>1061293</v>
      </c>
      <c r="F511" s="249" t="s">
        <v>1285</v>
      </c>
      <c r="G511" s="232">
        <v>40634</v>
      </c>
      <c r="H511" s="228" t="s">
        <v>119</v>
      </c>
      <c r="I511" s="270">
        <v>51591</v>
      </c>
      <c r="J511" s="242">
        <v>10958</v>
      </c>
      <c r="K511" s="242">
        <v>1096</v>
      </c>
      <c r="L511" s="242">
        <v>9862</v>
      </c>
      <c r="M511" s="242">
        <v>53065</v>
      </c>
      <c r="N511" s="242">
        <v>956331</v>
      </c>
      <c r="O511" s="242">
        <v>0</v>
      </c>
      <c r="P511" s="242">
        <v>974001</v>
      </c>
      <c r="Q511" s="242">
        <v>9497</v>
      </c>
      <c r="R511" s="242">
        <v>920936</v>
      </c>
      <c r="S511" s="250">
        <v>365</v>
      </c>
      <c r="T511" s="250">
        <v>35395</v>
      </c>
      <c r="U511" s="242">
        <v>247957</v>
      </c>
      <c r="V511" s="242">
        <v>726044</v>
      </c>
      <c r="W511" s="11"/>
      <c r="X511" s="34"/>
    </row>
    <row r="512" spans="2:24" s="22" customFormat="1" ht="40.5">
      <c r="B512" s="15">
        <v>5</v>
      </c>
      <c r="C512" s="228" t="s">
        <v>1886</v>
      </c>
      <c r="D512" s="228" t="s">
        <v>314</v>
      </c>
      <c r="E512" s="242">
        <v>245765</v>
      </c>
      <c r="F512" s="285" t="s">
        <v>1887</v>
      </c>
      <c r="G512" s="233">
        <v>40924</v>
      </c>
      <c r="H512" s="228" t="s">
        <v>368</v>
      </c>
      <c r="I512" s="270">
        <v>51881</v>
      </c>
      <c r="J512" s="242">
        <v>10958</v>
      </c>
      <c r="K512" s="242">
        <v>806</v>
      </c>
      <c r="L512" s="242">
        <v>10152</v>
      </c>
      <c r="M512" s="242">
        <v>12288</v>
      </c>
      <c r="N512" s="242">
        <v>224633</v>
      </c>
      <c r="O512" s="242">
        <v>0</v>
      </c>
      <c r="P512" s="242">
        <v>228845</v>
      </c>
      <c r="Q512" s="242">
        <v>9787</v>
      </c>
      <c r="R512" s="242">
        <v>216557</v>
      </c>
      <c r="S512" s="250">
        <v>365</v>
      </c>
      <c r="T512" s="250">
        <v>8076</v>
      </c>
      <c r="U512" s="242">
        <v>56576</v>
      </c>
      <c r="V512" s="242">
        <v>172269</v>
      </c>
      <c r="W512" s="11"/>
      <c r="X512" s="34"/>
    </row>
    <row r="513" spans="2:24" s="22" customFormat="1" ht="54">
      <c r="B513" s="15">
        <v>6</v>
      </c>
      <c r="C513" s="228" t="s">
        <v>1963</v>
      </c>
      <c r="D513" s="228" t="s">
        <v>314</v>
      </c>
      <c r="E513" s="242">
        <v>1700801</v>
      </c>
      <c r="F513" s="249" t="s">
        <v>1964</v>
      </c>
      <c r="G513" s="233">
        <v>41183</v>
      </c>
      <c r="H513" s="228" t="s">
        <v>368</v>
      </c>
      <c r="I513" s="270">
        <v>52139</v>
      </c>
      <c r="J513" s="242">
        <v>10957</v>
      </c>
      <c r="K513" s="242">
        <v>547</v>
      </c>
      <c r="L513" s="242">
        <v>10410</v>
      </c>
      <c r="M513" s="242">
        <v>85040</v>
      </c>
      <c r="N513" s="242">
        <v>1574214</v>
      </c>
      <c r="O513" s="242">
        <v>0</v>
      </c>
      <c r="P513" s="242">
        <v>1604058</v>
      </c>
      <c r="Q513" s="242">
        <v>10045</v>
      </c>
      <c r="R513" s="242">
        <v>1519018</v>
      </c>
      <c r="S513" s="250">
        <v>365</v>
      </c>
      <c r="T513" s="250">
        <v>55196</v>
      </c>
      <c r="U513" s="242">
        <v>386674</v>
      </c>
      <c r="V513" s="242">
        <v>1217384</v>
      </c>
      <c r="W513" s="11"/>
      <c r="X513" s="34"/>
    </row>
    <row r="514" spans="2:24" s="22" customFormat="1" ht="14.25">
      <c r="B514" s="32" t="s">
        <v>2493</v>
      </c>
      <c r="C514" s="274"/>
      <c r="D514" s="230"/>
      <c r="E514" s="271"/>
      <c r="F514" s="230"/>
      <c r="G514" s="232"/>
      <c r="H514" s="228"/>
      <c r="I514" s="242"/>
      <c r="J514" s="242"/>
      <c r="K514" s="242"/>
      <c r="L514" s="242"/>
      <c r="M514" s="242"/>
      <c r="N514" s="242"/>
      <c r="O514" s="242"/>
      <c r="P514" s="242"/>
      <c r="Q514" s="242"/>
      <c r="R514" s="242"/>
      <c r="S514" s="272"/>
      <c r="T514" s="242"/>
      <c r="U514" s="228"/>
      <c r="V514" s="228"/>
      <c r="W514" s="11"/>
      <c r="X514" s="34"/>
    </row>
    <row r="515" spans="2:24" s="22" customFormat="1" ht="54">
      <c r="B515" s="15">
        <v>1</v>
      </c>
      <c r="C515" s="249" t="s">
        <v>129</v>
      </c>
      <c r="D515" s="249" t="s">
        <v>130</v>
      </c>
      <c r="E515" s="266">
        <v>404634</v>
      </c>
      <c r="F515" s="249" t="s">
        <v>131</v>
      </c>
      <c r="G515" s="232">
        <v>40558</v>
      </c>
      <c r="H515" s="228" t="s">
        <v>368</v>
      </c>
      <c r="I515" s="270">
        <v>44210</v>
      </c>
      <c r="J515" s="242">
        <v>3653</v>
      </c>
      <c r="K515" s="242">
        <v>1172</v>
      </c>
      <c r="L515" s="242">
        <v>2481</v>
      </c>
      <c r="M515" s="242">
        <v>20232</v>
      </c>
      <c r="N515" s="242">
        <v>363241</v>
      </c>
      <c r="O515" s="242">
        <v>0</v>
      </c>
      <c r="P515" s="242">
        <v>330034</v>
      </c>
      <c r="Q515" s="242">
        <v>2116</v>
      </c>
      <c r="R515" s="242">
        <v>309802</v>
      </c>
      <c r="S515" s="250">
        <v>0</v>
      </c>
      <c r="T515" s="250">
        <v>0</v>
      </c>
      <c r="U515" s="242">
        <v>330034</v>
      </c>
      <c r="V515" s="242">
        <v>0</v>
      </c>
      <c r="W515" s="11"/>
    </row>
    <row r="516" spans="2:24" s="22" customFormat="1" ht="54">
      <c r="B516" s="15">
        <f>+B515+1</f>
        <v>2</v>
      </c>
      <c r="C516" s="249" t="s">
        <v>1734</v>
      </c>
      <c r="D516" s="249" t="s">
        <v>887</v>
      </c>
      <c r="E516" s="266">
        <v>1679182</v>
      </c>
      <c r="F516" s="254" t="s">
        <v>1735</v>
      </c>
      <c r="G516" s="232">
        <v>40910</v>
      </c>
      <c r="H516" s="228" t="s">
        <v>368</v>
      </c>
      <c r="I516" s="270">
        <v>44562</v>
      </c>
      <c r="J516" s="242">
        <v>3653</v>
      </c>
      <c r="K516" s="242">
        <v>820</v>
      </c>
      <c r="L516" s="242">
        <v>2833</v>
      </c>
      <c r="M516" s="242">
        <v>83959</v>
      </c>
      <c r="N516" s="242">
        <v>1533751</v>
      </c>
      <c r="O516" s="242">
        <v>0</v>
      </c>
      <c r="P516" s="242">
        <v>1420104</v>
      </c>
      <c r="Q516" s="242">
        <v>2468</v>
      </c>
      <c r="R516" s="242">
        <v>1336145</v>
      </c>
      <c r="S516" s="250">
        <v>276</v>
      </c>
      <c r="T516" s="250">
        <v>233380</v>
      </c>
      <c r="U516" s="242">
        <v>1420104</v>
      </c>
      <c r="V516" s="242">
        <v>0</v>
      </c>
      <c r="W516" s="11"/>
    </row>
    <row r="517" spans="2:24" s="22" customFormat="1" ht="40.5">
      <c r="B517" s="15">
        <f>+B516+1</f>
        <v>3</v>
      </c>
      <c r="C517" s="249" t="s">
        <v>1738</v>
      </c>
      <c r="D517" s="249" t="s">
        <v>887</v>
      </c>
      <c r="E517" s="266">
        <v>16279</v>
      </c>
      <c r="F517" s="254" t="s">
        <v>1739</v>
      </c>
      <c r="G517" s="232">
        <v>40910</v>
      </c>
      <c r="H517" s="228" t="s">
        <v>368</v>
      </c>
      <c r="I517" s="270">
        <v>44562</v>
      </c>
      <c r="J517" s="242">
        <v>3653</v>
      </c>
      <c r="K517" s="242">
        <v>820</v>
      </c>
      <c r="L517" s="242">
        <v>2833</v>
      </c>
      <c r="M517" s="242">
        <v>814</v>
      </c>
      <c r="N517" s="242">
        <v>14870</v>
      </c>
      <c r="O517" s="242">
        <v>0</v>
      </c>
      <c r="P517" s="242">
        <v>13768</v>
      </c>
      <c r="Q517" s="242">
        <v>2468</v>
      </c>
      <c r="R517" s="242">
        <v>12954</v>
      </c>
      <c r="S517" s="250">
        <v>276</v>
      </c>
      <c r="T517" s="250">
        <v>2262</v>
      </c>
      <c r="U517" s="242">
        <v>13768</v>
      </c>
      <c r="V517" s="242">
        <v>0</v>
      </c>
      <c r="W517" s="11"/>
    </row>
    <row r="518" spans="2:24" s="22" customFormat="1" ht="27">
      <c r="B518" s="15">
        <f t="shared" ref="B518:B559" si="9">+B517+1</f>
        <v>4</v>
      </c>
      <c r="C518" s="249" t="s">
        <v>1740</v>
      </c>
      <c r="D518" s="249" t="s">
        <v>887</v>
      </c>
      <c r="E518" s="266">
        <v>536437</v>
      </c>
      <c r="F518" s="254" t="s">
        <v>1741</v>
      </c>
      <c r="G518" s="232">
        <v>40928</v>
      </c>
      <c r="H518" s="228" t="s">
        <v>368</v>
      </c>
      <c r="I518" s="270">
        <v>44580</v>
      </c>
      <c r="J518" s="242">
        <v>3653</v>
      </c>
      <c r="K518" s="242">
        <v>802</v>
      </c>
      <c r="L518" s="242">
        <v>2851</v>
      </c>
      <c r="M518" s="242">
        <v>26822</v>
      </c>
      <c r="N518" s="242">
        <v>490407</v>
      </c>
      <c r="O518" s="242">
        <v>0</v>
      </c>
      <c r="P518" s="242">
        <v>454445</v>
      </c>
      <c r="Q518" s="242">
        <v>2486</v>
      </c>
      <c r="R518" s="242">
        <v>427623</v>
      </c>
      <c r="S518" s="250">
        <v>294</v>
      </c>
      <c r="T518" s="250">
        <v>77391</v>
      </c>
      <c r="U518" s="242">
        <v>454445</v>
      </c>
      <c r="V518" s="242">
        <v>0</v>
      </c>
      <c r="W518" s="11"/>
    </row>
    <row r="519" spans="2:24" s="22" customFormat="1" ht="27">
      <c r="B519" s="15">
        <f t="shared" si="9"/>
        <v>5</v>
      </c>
      <c r="C519" s="249" t="s">
        <v>1744</v>
      </c>
      <c r="D519" s="249" t="s">
        <v>887</v>
      </c>
      <c r="E519" s="266">
        <v>546213</v>
      </c>
      <c r="F519" s="254" t="s">
        <v>1745</v>
      </c>
      <c r="G519" s="232">
        <v>40918</v>
      </c>
      <c r="H519" s="228" t="s">
        <v>368</v>
      </c>
      <c r="I519" s="270">
        <v>44570</v>
      </c>
      <c r="J519" s="242">
        <v>3653</v>
      </c>
      <c r="K519" s="242">
        <v>812</v>
      </c>
      <c r="L519" s="242">
        <v>2841</v>
      </c>
      <c r="M519" s="242">
        <v>27311</v>
      </c>
      <c r="N519" s="242">
        <v>499101</v>
      </c>
      <c r="O519" s="242">
        <v>0</v>
      </c>
      <c r="P519" s="242">
        <v>462290</v>
      </c>
      <c r="Q519" s="242">
        <v>2476</v>
      </c>
      <c r="R519" s="242">
        <v>434979</v>
      </c>
      <c r="S519" s="250">
        <v>284</v>
      </c>
      <c r="T519" s="250">
        <v>77202</v>
      </c>
      <c r="U519" s="242">
        <v>462290</v>
      </c>
      <c r="V519" s="242">
        <v>0</v>
      </c>
      <c r="W519" s="11"/>
    </row>
    <row r="520" spans="2:24" s="22" customFormat="1" ht="27">
      <c r="B520" s="15">
        <f t="shared" si="9"/>
        <v>6</v>
      </c>
      <c r="C520" s="249" t="s">
        <v>1783</v>
      </c>
      <c r="D520" s="249" t="s">
        <v>887</v>
      </c>
      <c r="E520" s="266">
        <v>1518087</v>
      </c>
      <c r="F520" s="254" t="s">
        <v>1784</v>
      </c>
      <c r="G520" s="232">
        <v>40982</v>
      </c>
      <c r="H520" s="228" t="s">
        <v>1785</v>
      </c>
      <c r="I520" s="270">
        <v>44633</v>
      </c>
      <c r="J520" s="242">
        <v>3652</v>
      </c>
      <c r="K520" s="242">
        <v>748</v>
      </c>
      <c r="L520" s="242">
        <v>2904</v>
      </c>
      <c r="M520" s="242">
        <v>75904</v>
      </c>
      <c r="N520" s="242">
        <v>1391476</v>
      </c>
      <c r="O520" s="242">
        <v>0</v>
      </c>
      <c r="P520" s="242">
        <v>1292487</v>
      </c>
      <c r="Q520" s="242">
        <v>2539</v>
      </c>
      <c r="R520" s="242">
        <v>1216583</v>
      </c>
      <c r="S520" s="250">
        <v>347</v>
      </c>
      <c r="T520" s="250">
        <v>242171</v>
      </c>
      <c r="U520" s="242">
        <v>1292487</v>
      </c>
      <c r="V520" s="242">
        <v>0</v>
      </c>
      <c r="W520" s="11"/>
    </row>
    <row r="521" spans="2:24" s="22" customFormat="1" ht="27">
      <c r="B521" s="15">
        <f t="shared" si="9"/>
        <v>7</v>
      </c>
      <c r="C521" s="249" t="s">
        <v>1786</v>
      </c>
      <c r="D521" s="249" t="s">
        <v>887</v>
      </c>
      <c r="E521" s="266">
        <v>991224</v>
      </c>
      <c r="F521" s="254" t="s">
        <v>1787</v>
      </c>
      <c r="G521" s="232">
        <v>40930</v>
      </c>
      <c r="H521" s="228" t="s">
        <v>368</v>
      </c>
      <c r="I521" s="270">
        <v>44582</v>
      </c>
      <c r="J521" s="242">
        <v>3653</v>
      </c>
      <c r="K521" s="242">
        <v>800</v>
      </c>
      <c r="L521" s="242">
        <v>2853</v>
      </c>
      <c r="M521" s="242">
        <v>49561</v>
      </c>
      <c r="N521" s="242">
        <v>906259</v>
      </c>
      <c r="O521" s="242">
        <v>0</v>
      </c>
      <c r="P521" s="242">
        <v>839877</v>
      </c>
      <c r="Q521" s="242">
        <v>2488</v>
      </c>
      <c r="R521" s="242">
        <v>790316</v>
      </c>
      <c r="S521" s="250">
        <v>296</v>
      </c>
      <c r="T521" s="250">
        <v>143585</v>
      </c>
      <c r="U521" s="242">
        <v>839877</v>
      </c>
      <c r="V521" s="242">
        <v>0</v>
      </c>
      <c r="W521" s="11"/>
    </row>
    <row r="522" spans="2:24" s="22" customFormat="1" ht="27">
      <c r="B522" s="15">
        <f t="shared" si="9"/>
        <v>8</v>
      </c>
      <c r="C522" s="249" t="s">
        <v>1788</v>
      </c>
      <c r="D522" s="249" t="s">
        <v>887</v>
      </c>
      <c r="E522" s="266">
        <v>555912</v>
      </c>
      <c r="F522" s="254" t="s">
        <v>42</v>
      </c>
      <c r="G522" s="232">
        <v>40922</v>
      </c>
      <c r="H522" s="228" t="s">
        <v>368</v>
      </c>
      <c r="I522" s="270">
        <v>44574</v>
      </c>
      <c r="J522" s="242">
        <v>3653</v>
      </c>
      <c r="K522" s="242">
        <v>808</v>
      </c>
      <c r="L522" s="242">
        <v>2845</v>
      </c>
      <c r="M522" s="242">
        <v>27796</v>
      </c>
      <c r="N522" s="242">
        <v>508063</v>
      </c>
      <c r="O522" s="242">
        <v>0</v>
      </c>
      <c r="P522" s="242">
        <v>470677</v>
      </c>
      <c r="Q522" s="242">
        <v>2480</v>
      </c>
      <c r="R522" s="242">
        <v>442881</v>
      </c>
      <c r="S522" s="250">
        <v>288</v>
      </c>
      <c r="T522" s="250">
        <v>79227</v>
      </c>
      <c r="U522" s="242">
        <v>470677</v>
      </c>
      <c r="V522" s="242">
        <v>0</v>
      </c>
      <c r="W522" s="11"/>
    </row>
    <row r="523" spans="2:24" s="22" customFormat="1" ht="40.5">
      <c r="B523" s="15">
        <f t="shared" si="9"/>
        <v>9</v>
      </c>
      <c r="C523" s="228" t="s">
        <v>1844</v>
      </c>
      <c r="D523" s="249" t="s">
        <v>1843</v>
      </c>
      <c r="E523" s="250">
        <f>355200+1288123</f>
        <v>1643323</v>
      </c>
      <c r="F523" s="254" t="s">
        <v>1845</v>
      </c>
      <c r="G523" s="233">
        <v>41037</v>
      </c>
      <c r="H523" s="228" t="s">
        <v>368</v>
      </c>
      <c r="I523" s="270">
        <v>44688</v>
      </c>
      <c r="J523" s="242">
        <v>3652</v>
      </c>
      <c r="K523" s="242">
        <v>693</v>
      </c>
      <c r="L523" s="242">
        <v>2959</v>
      </c>
      <c r="M523" s="242">
        <v>82166</v>
      </c>
      <c r="N523" s="242">
        <v>1510300</v>
      </c>
      <c r="O523" s="242">
        <v>0</v>
      </c>
      <c r="P523" s="242">
        <v>1406167</v>
      </c>
      <c r="Q523" s="242">
        <v>2594</v>
      </c>
      <c r="R523" s="242">
        <v>1324001</v>
      </c>
      <c r="S523" s="250">
        <v>365</v>
      </c>
      <c r="T523" s="250">
        <v>186299</v>
      </c>
      <c r="U523" s="242">
        <v>1305115</v>
      </c>
      <c r="V523" s="242">
        <v>101052</v>
      </c>
      <c r="W523" s="11"/>
      <c r="X523" s="34"/>
    </row>
    <row r="524" spans="2:24" s="22" customFormat="1" ht="40.5">
      <c r="B524" s="15">
        <f t="shared" si="9"/>
        <v>10</v>
      </c>
      <c r="C524" s="228" t="s">
        <v>1842</v>
      </c>
      <c r="D524" s="249" t="s">
        <v>1843</v>
      </c>
      <c r="E524" s="250">
        <f>843200+932800</f>
        <v>1776000</v>
      </c>
      <c r="F524" s="254" t="s">
        <v>1846</v>
      </c>
      <c r="G524" s="233">
        <v>41037</v>
      </c>
      <c r="H524" s="228" t="s">
        <v>368</v>
      </c>
      <c r="I524" s="270">
        <v>44688</v>
      </c>
      <c r="J524" s="242">
        <v>3652</v>
      </c>
      <c r="K524" s="242">
        <v>693</v>
      </c>
      <c r="L524" s="242">
        <v>2959</v>
      </c>
      <c r="M524" s="242">
        <v>88800</v>
      </c>
      <c r="N524" s="242">
        <v>1632237</v>
      </c>
      <c r="O524" s="242">
        <v>0</v>
      </c>
      <c r="P524" s="242">
        <v>1519697</v>
      </c>
      <c r="Q524" s="242">
        <v>2594</v>
      </c>
      <c r="R524" s="242">
        <v>1430897</v>
      </c>
      <c r="S524" s="250">
        <v>365</v>
      </c>
      <c r="T524" s="250">
        <v>201341</v>
      </c>
      <c r="U524" s="242">
        <v>1410489</v>
      </c>
      <c r="V524" s="242">
        <v>109208</v>
      </c>
      <c r="W524" s="11"/>
      <c r="X524" s="34"/>
    </row>
    <row r="525" spans="2:24" s="22" customFormat="1" ht="40.5">
      <c r="B525" s="15">
        <f t="shared" si="9"/>
        <v>11</v>
      </c>
      <c r="C525" s="228" t="s">
        <v>1848</v>
      </c>
      <c r="D525" s="249" t="s">
        <v>1843</v>
      </c>
      <c r="E525" s="250">
        <v>1759360</v>
      </c>
      <c r="F525" s="254" t="s">
        <v>1849</v>
      </c>
      <c r="G525" s="233">
        <v>41009</v>
      </c>
      <c r="H525" s="228" t="s">
        <v>368</v>
      </c>
      <c r="I525" s="270">
        <v>44660</v>
      </c>
      <c r="J525" s="242">
        <v>3652</v>
      </c>
      <c r="K525" s="242">
        <v>721</v>
      </c>
      <c r="L525" s="242">
        <v>2931</v>
      </c>
      <c r="M525" s="242">
        <v>87968</v>
      </c>
      <c r="N525" s="242">
        <v>1614744</v>
      </c>
      <c r="O525" s="242">
        <v>0</v>
      </c>
      <c r="P525" s="242">
        <v>1501627</v>
      </c>
      <c r="Q525" s="242">
        <v>2566</v>
      </c>
      <c r="R525" s="242">
        <v>1413659</v>
      </c>
      <c r="S525" s="250">
        <v>365</v>
      </c>
      <c r="T525" s="250">
        <v>201086</v>
      </c>
      <c r="U525" s="242">
        <v>1408702</v>
      </c>
      <c r="V525" s="242">
        <v>92925</v>
      </c>
      <c r="W525" s="11"/>
      <c r="X525" s="34"/>
    </row>
    <row r="526" spans="2:24" s="22" customFormat="1" ht="40.5">
      <c r="B526" s="15">
        <f t="shared" si="9"/>
        <v>12</v>
      </c>
      <c r="C526" s="228" t="s">
        <v>1965</v>
      </c>
      <c r="D526" s="230" t="s">
        <v>42</v>
      </c>
      <c r="E526" s="250">
        <v>1223767</v>
      </c>
      <c r="F526" s="254" t="s">
        <v>1966</v>
      </c>
      <c r="G526" s="233">
        <v>41183</v>
      </c>
      <c r="H526" s="228" t="s">
        <v>368</v>
      </c>
      <c r="I526" s="270">
        <v>44834</v>
      </c>
      <c r="J526" s="242">
        <v>3652</v>
      </c>
      <c r="K526" s="242">
        <v>547</v>
      </c>
      <c r="L526" s="242">
        <v>3105</v>
      </c>
      <c r="M526" s="242">
        <v>61188</v>
      </c>
      <c r="N526" s="242">
        <v>1132686</v>
      </c>
      <c r="O526" s="242">
        <v>0</v>
      </c>
      <c r="P526" s="242">
        <v>1060724</v>
      </c>
      <c r="Q526" s="242">
        <v>2740</v>
      </c>
      <c r="R526" s="242">
        <v>999536</v>
      </c>
      <c r="S526" s="250">
        <v>365</v>
      </c>
      <c r="T526" s="250">
        <v>133150</v>
      </c>
      <c r="U526" s="242">
        <v>932780</v>
      </c>
      <c r="V526" s="242">
        <v>127944</v>
      </c>
      <c r="W526" s="11"/>
      <c r="X526" s="34"/>
    </row>
    <row r="527" spans="2:24" s="22" customFormat="1" ht="27">
      <c r="B527" s="15">
        <f t="shared" si="9"/>
        <v>13</v>
      </c>
      <c r="C527" s="228" t="s">
        <v>2980</v>
      </c>
      <c r="D527" s="230" t="s">
        <v>42</v>
      </c>
      <c r="E527" s="250">
        <v>4229689</v>
      </c>
      <c r="F527" s="254" t="s">
        <v>2981</v>
      </c>
      <c r="G527" s="233">
        <v>42095</v>
      </c>
      <c r="H527" s="228" t="s">
        <v>368</v>
      </c>
      <c r="I527" s="270">
        <v>45747</v>
      </c>
      <c r="J527" s="242">
        <v>3653</v>
      </c>
      <c r="K527" s="242">
        <v>0</v>
      </c>
      <c r="L527" s="242">
        <v>3653</v>
      </c>
      <c r="M527" s="242">
        <v>211484</v>
      </c>
      <c r="N527" s="242">
        <v>4018205</v>
      </c>
      <c r="O527" s="242">
        <v>0</v>
      </c>
      <c r="P527" s="242">
        <v>4229689</v>
      </c>
      <c r="Q527" s="242">
        <v>3653</v>
      </c>
      <c r="R527" s="242">
        <v>4018205</v>
      </c>
      <c r="S527" s="250">
        <v>365</v>
      </c>
      <c r="T527" s="250">
        <v>401491</v>
      </c>
      <c r="U527" s="242">
        <v>2812635</v>
      </c>
      <c r="V527" s="242">
        <v>1417054</v>
      </c>
      <c r="W527" s="11"/>
      <c r="X527" s="34"/>
    </row>
    <row r="528" spans="2:24" s="22" customFormat="1" ht="27">
      <c r="B528" s="15">
        <f t="shared" si="9"/>
        <v>14</v>
      </c>
      <c r="C528" s="228" t="s">
        <v>2980</v>
      </c>
      <c r="D528" s="230" t="s">
        <v>42</v>
      </c>
      <c r="E528" s="250">
        <v>5079054</v>
      </c>
      <c r="F528" s="254" t="s">
        <v>2981</v>
      </c>
      <c r="G528" s="233">
        <v>42095</v>
      </c>
      <c r="H528" s="228" t="s">
        <v>368</v>
      </c>
      <c r="I528" s="270">
        <v>45747</v>
      </c>
      <c r="J528" s="242">
        <v>3653</v>
      </c>
      <c r="K528" s="242">
        <v>0</v>
      </c>
      <c r="L528" s="242">
        <v>3653</v>
      </c>
      <c r="M528" s="242">
        <v>253953</v>
      </c>
      <c r="N528" s="242">
        <v>4825101</v>
      </c>
      <c r="O528" s="242">
        <v>0</v>
      </c>
      <c r="P528" s="242">
        <v>5079054</v>
      </c>
      <c r="Q528" s="242">
        <v>3653</v>
      </c>
      <c r="R528" s="242">
        <v>4825101</v>
      </c>
      <c r="S528" s="250">
        <v>365</v>
      </c>
      <c r="T528" s="250">
        <v>482114</v>
      </c>
      <c r="U528" s="242">
        <v>3377440</v>
      </c>
      <c r="V528" s="242">
        <v>1701614</v>
      </c>
      <c r="W528" s="11"/>
      <c r="X528" s="34"/>
    </row>
    <row r="529" spans="2:24" s="22" customFormat="1" ht="27">
      <c r="B529" s="15">
        <f t="shared" si="9"/>
        <v>15</v>
      </c>
      <c r="C529" s="228" t="s">
        <v>2980</v>
      </c>
      <c r="D529" s="230" t="s">
        <v>42</v>
      </c>
      <c r="E529" s="250">
        <v>4958046</v>
      </c>
      <c r="F529" s="254" t="s">
        <v>2981</v>
      </c>
      <c r="G529" s="233">
        <v>42095</v>
      </c>
      <c r="H529" s="228" t="s">
        <v>368</v>
      </c>
      <c r="I529" s="270">
        <v>45747</v>
      </c>
      <c r="J529" s="242">
        <v>3653</v>
      </c>
      <c r="K529" s="242">
        <v>0</v>
      </c>
      <c r="L529" s="242">
        <v>3653</v>
      </c>
      <c r="M529" s="242">
        <v>247902</v>
      </c>
      <c r="N529" s="242">
        <v>4710144</v>
      </c>
      <c r="O529" s="242">
        <v>0</v>
      </c>
      <c r="P529" s="242">
        <v>4958046</v>
      </c>
      <c r="Q529" s="242">
        <v>3653</v>
      </c>
      <c r="R529" s="242">
        <v>4710144</v>
      </c>
      <c r="S529" s="250">
        <v>365</v>
      </c>
      <c r="T529" s="250">
        <v>470628</v>
      </c>
      <c r="U529" s="242">
        <v>3296974</v>
      </c>
      <c r="V529" s="242">
        <v>1661072</v>
      </c>
      <c r="W529" s="11"/>
      <c r="X529" s="34"/>
    </row>
    <row r="530" spans="2:24" s="22" customFormat="1" ht="27">
      <c r="B530" s="15">
        <f t="shared" si="9"/>
        <v>16</v>
      </c>
      <c r="C530" s="228" t="s">
        <v>2980</v>
      </c>
      <c r="D530" s="230" t="s">
        <v>42</v>
      </c>
      <c r="E530" s="250">
        <v>4231819</v>
      </c>
      <c r="F530" s="254" t="s">
        <v>2982</v>
      </c>
      <c r="G530" s="233">
        <v>42095</v>
      </c>
      <c r="H530" s="228" t="s">
        <v>368</v>
      </c>
      <c r="I530" s="270">
        <v>45747</v>
      </c>
      <c r="J530" s="242">
        <v>3653</v>
      </c>
      <c r="K530" s="242">
        <v>0</v>
      </c>
      <c r="L530" s="242">
        <v>3653</v>
      </c>
      <c r="M530" s="242">
        <v>211591</v>
      </c>
      <c r="N530" s="242">
        <v>4020228</v>
      </c>
      <c r="O530" s="242">
        <v>0</v>
      </c>
      <c r="P530" s="242">
        <v>4231819</v>
      </c>
      <c r="Q530" s="242">
        <v>3653</v>
      </c>
      <c r="R530" s="242">
        <v>4020228</v>
      </c>
      <c r="S530" s="250">
        <v>365</v>
      </c>
      <c r="T530" s="250">
        <v>401693</v>
      </c>
      <c r="U530" s="242">
        <v>2814051</v>
      </c>
      <c r="V530" s="242">
        <v>1417768</v>
      </c>
      <c r="W530" s="11"/>
      <c r="X530" s="34"/>
    </row>
    <row r="531" spans="2:24" s="22" customFormat="1" ht="27">
      <c r="B531" s="15">
        <f t="shared" si="9"/>
        <v>17</v>
      </c>
      <c r="C531" s="228" t="s">
        <v>2980</v>
      </c>
      <c r="D531" s="230" t="s">
        <v>42</v>
      </c>
      <c r="E531" s="250">
        <v>2224813</v>
      </c>
      <c r="F531" s="254" t="s">
        <v>2982</v>
      </c>
      <c r="G531" s="233">
        <v>42095</v>
      </c>
      <c r="H531" s="228" t="s">
        <v>368</v>
      </c>
      <c r="I531" s="270">
        <v>45747</v>
      </c>
      <c r="J531" s="242">
        <v>3653</v>
      </c>
      <c r="K531" s="242">
        <v>0</v>
      </c>
      <c r="L531" s="242">
        <v>3653</v>
      </c>
      <c r="M531" s="242">
        <v>111241</v>
      </c>
      <c r="N531" s="242">
        <v>2113572</v>
      </c>
      <c r="O531" s="242">
        <v>0</v>
      </c>
      <c r="P531" s="242">
        <v>2224813</v>
      </c>
      <c r="Q531" s="242">
        <v>3653</v>
      </c>
      <c r="R531" s="242">
        <v>2113572</v>
      </c>
      <c r="S531" s="250">
        <v>365</v>
      </c>
      <c r="T531" s="250">
        <v>211184</v>
      </c>
      <c r="U531" s="242">
        <v>1479444</v>
      </c>
      <c r="V531" s="242">
        <v>745369</v>
      </c>
      <c r="W531" s="11"/>
      <c r="X531" s="34"/>
    </row>
    <row r="532" spans="2:24" s="22" customFormat="1">
      <c r="B532" s="15">
        <f t="shared" si="9"/>
        <v>18</v>
      </c>
      <c r="C532" s="228" t="s">
        <v>2980</v>
      </c>
      <c r="D532" s="230" t="s">
        <v>42</v>
      </c>
      <c r="E532" s="250">
        <v>5501785</v>
      </c>
      <c r="F532" s="254" t="s">
        <v>2983</v>
      </c>
      <c r="G532" s="233">
        <v>42095</v>
      </c>
      <c r="H532" s="228" t="s">
        <v>368</v>
      </c>
      <c r="I532" s="270">
        <v>45747</v>
      </c>
      <c r="J532" s="242">
        <v>3653</v>
      </c>
      <c r="K532" s="242">
        <v>0</v>
      </c>
      <c r="L532" s="242">
        <v>3653</v>
      </c>
      <c r="M532" s="242">
        <v>275089</v>
      </c>
      <c r="N532" s="242">
        <v>5226696</v>
      </c>
      <c r="O532" s="242">
        <v>0</v>
      </c>
      <c r="P532" s="242">
        <v>5501785</v>
      </c>
      <c r="Q532" s="242">
        <v>3653</v>
      </c>
      <c r="R532" s="242">
        <v>5226696</v>
      </c>
      <c r="S532" s="250">
        <v>365</v>
      </c>
      <c r="T532" s="250">
        <v>522240</v>
      </c>
      <c r="U532" s="242">
        <v>3658542</v>
      </c>
      <c r="V532" s="242">
        <v>1843243</v>
      </c>
      <c r="W532" s="11"/>
      <c r="X532" s="34"/>
    </row>
    <row r="533" spans="2:24" s="22" customFormat="1">
      <c r="B533" s="15">
        <f t="shared" si="9"/>
        <v>19</v>
      </c>
      <c r="C533" s="228" t="s">
        <v>2980</v>
      </c>
      <c r="D533" s="230" t="s">
        <v>42</v>
      </c>
      <c r="E533" s="250">
        <v>15973572</v>
      </c>
      <c r="F533" s="254" t="s">
        <v>2983</v>
      </c>
      <c r="G533" s="233">
        <v>42095</v>
      </c>
      <c r="H533" s="228" t="s">
        <v>368</v>
      </c>
      <c r="I533" s="270">
        <v>45747</v>
      </c>
      <c r="J533" s="242">
        <v>3653</v>
      </c>
      <c r="K533" s="242">
        <v>0</v>
      </c>
      <c r="L533" s="242">
        <v>3653</v>
      </c>
      <c r="M533" s="242">
        <v>798679</v>
      </c>
      <c r="N533" s="242">
        <v>15174893</v>
      </c>
      <c r="O533" s="242">
        <v>0</v>
      </c>
      <c r="P533" s="242">
        <v>15973572</v>
      </c>
      <c r="Q533" s="242">
        <v>3653</v>
      </c>
      <c r="R533" s="242">
        <v>15174893</v>
      </c>
      <c r="S533" s="250">
        <v>365</v>
      </c>
      <c r="T533" s="250">
        <v>1516243</v>
      </c>
      <c r="U533" s="242">
        <v>10622009</v>
      </c>
      <c r="V533" s="242">
        <v>5351563</v>
      </c>
      <c r="W533" s="11"/>
      <c r="X533" s="34"/>
    </row>
    <row r="534" spans="2:24" s="22" customFormat="1">
      <c r="B534" s="15">
        <f t="shared" si="9"/>
        <v>20</v>
      </c>
      <c r="C534" s="228" t="s">
        <v>2980</v>
      </c>
      <c r="D534" s="230" t="s">
        <v>42</v>
      </c>
      <c r="E534" s="250">
        <v>2752319</v>
      </c>
      <c r="F534" s="254" t="s">
        <v>2983</v>
      </c>
      <c r="G534" s="233">
        <v>42095</v>
      </c>
      <c r="H534" s="228" t="s">
        <v>368</v>
      </c>
      <c r="I534" s="270">
        <v>45747</v>
      </c>
      <c r="J534" s="242">
        <v>3653</v>
      </c>
      <c r="K534" s="242">
        <v>0</v>
      </c>
      <c r="L534" s="242">
        <v>3653</v>
      </c>
      <c r="M534" s="242">
        <v>137616</v>
      </c>
      <c r="N534" s="242">
        <v>2614703</v>
      </c>
      <c r="O534" s="242">
        <v>0</v>
      </c>
      <c r="P534" s="242">
        <v>2752319</v>
      </c>
      <c r="Q534" s="242">
        <v>3653</v>
      </c>
      <c r="R534" s="242">
        <v>2614703</v>
      </c>
      <c r="S534" s="250">
        <v>365</v>
      </c>
      <c r="T534" s="250">
        <v>261256</v>
      </c>
      <c r="U534" s="242">
        <v>1830222</v>
      </c>
      <c r="V534" s="242">
        <v>922097</v>
      </c>
      <c r="W534" s="11"/>
      <c r="X534" s="34"/>
    </row>
    <row r="535" spans="2:24" s="22" customFormat="1">
      <c r="B535" s="15">
        <f t="shared" si="9"/>
        <v>21</v>
      </c>
      <c r="C535" s="228" t="s">
        <v>2980</v>
      </c>
      <c r="D535" s="230" t="s">
        <v>42</v>
      </c>
      <c r="E535" s="250">
        <v>2601448</v>
      </c>
      <c r="F535" s="254" t="s">
        <v>2983</v>
      </c>
      <c r="G535" s="233">
        <v>42095</v>
      </c>
      <c r="H535" s="228" t="s">
        <v>368</v>
      </c>
      <c r="I535" s="270">
        <v>45747</v>
      </c>
      <c r="J535" s="242">
        <v>3653</v>
      </c>
      <c r="K535" s="242">
        <v>0</v>
      </c>
      <c r="L535" s="242">
        <v>3653</v>
      </c>
      <c r="M535" s="242">
        <v>130072</v>
      </c>
      <c r="N535" s="242">
        <v>2471376</v>
      </c>
      <c r="O535" s="242">
        <v>0</v>
      </c>
      <c r="P535" s="242">
        <v>2601448</v>
      </c>
      <c r="Q535" s="242">
        <v>3653</v>
      </c>
      <c r="R535" s="242">
        <v>2471376</v>
      </c>
      <c r="S535" s="250">
        <v>365</v>
      </c>
      <c r="T535" s="250">
        <v>246935</v>
      </c>
      <c r="U535" s="242">
        <v>1729897</v>
      </c>
      <c r="V535" s="242">
        <v>871551</v>
      </c>
      <c r="W535" s="11"/>
      <c r="X535" s="34"/>
    </row>
    <row r="536" spans="2:24" s="22" customFormat="1">
      <c r="B536" s="15">
        <f t="shared" si="9"/>
        <v>22</v>
      </c>
      <c r="C536" s="228" t="s">
        <v>2980</v>
      </c>
      <c r="D536" s="230" t="s">
        <v>42</v>
      </c>
      <c r="E536" s="250">
        <v>2674786</v>
      </c>
      <c r="F536" s="254" t="s">
        <v>2983</v>
      </c>
      <c r="G536" s="233">
        <v>42095</v>
      </c>
      <c r="H536" s="228" t="s">
        <v>368</v>
      </c>
      <c r="I536" s="270">
        <v>45747</v>
      </c>
      <c r="J536" s="242">
        <v>3653</v>
      </c>
      <c r="K536" s="242">
        <v>0</v>
      </c>
      <c r="L536" s="242">
        <v>3653</v>
      </c>
      <c r="M536" s="242">
        <v>133739</v>
      </c>
      <c r="N536" s="242">
        <v>2541047</v>
      </c>
      <c r="O536" s="242">
        <v>0</v>
      </c>
      <c r="P536" s="242">
        <v>2674786</v>
      </c>
      <c r="Q536" s="242">
        <v>3653</v>
      </c>
      <c r="R536" s="242">
        <v>2541047</v>
      </c>
      <c r="S536" s="250">
        <v>365</v>
      </c>
      <c r="T536" s="250">
        <v>253896</v>
      </c>
      <c r="U536" s="242">
        <v>1778664</v>
      </c>
      <c r="V536" s="242">
        <v>896122</v>
      </c>
      <c r="W536" s="11"/>
      <c r="X536" s="34"/>
    </row>
    <row r="537" spans="2:24" s="22" customFormat="1">
      <c r="B537" s="15">
        <f t="shared" si="9"/>
        <v>23</v>
      </c>
      <c r="C537" s="228" t="s">
        <v>2980</v>
      </c>
      <c r="D537" s="230" t="s">
        <v>42</v>
      </c>
      <c r="E537" s="250">
        <v>3082592</v>
      </c>
      <c r="F537" s="254" t="s">
        <v>2983</v>
      </c>
      <c r="G537" s="233">
        <v>42095</v>
      </c>
      <c r="H537" s="228" t="s">
        <v>368</v>
      </c>
      <c r="I537" s="270">
        <v>45747</v>
      </c>
      <c r="J537" s="242">
        <v>3653</v>
      </c>
      <c r="K537" s="242">
        <v>0</v>
      </c>
      <c r="L537" s="242">
        <v>3653</v>
      </c>
      <c r="M537" s="242">
        <v>154130</v>
      </c>
      <c r="N537" s="242">
        <v>2928462</v>
      </c>
      <c r="O537" s="242">
        <v>0</v>
      </c>
      <c r="P537" s="242">
        <v>3082592</v>
      </c>
      <c r="Q537" s="242">
        <v>3653</v>
      </c>
      <c r="R537" s="242">
        <v>2928462</v>
      </c>
      <c r="S537" s="250">
        <v>365</v>
      </c>
      <c r="T537" s="250">
        <v>292606</v>
      </c>
      <c r="U537" s="242">
        <v>2049844</v>
      </c>
      <c r="V537" s="242">
        <v>1032748</v>
      </c>
      <c r="W537" s="11"/>
      <c r="X537" s="34"/>
    </row>
    <row r="538" spans="2:24" s="22" customFormat="1" ht="40.5">
      <c r="B538" s="15">
        <f t="shared" si="9"/>
        <v>24</v>
      </c>
      <c r="C538" s="228" t="s">
        <v>3962</v>
      </c>
      <c r="D538" s="230">
        <v>114270</v>
      </c>
      <c r="E538" s="250">
        <v>3339892</v>
      </c>
      <c r="F538" s="254" t="s">
        <v>3963</v>
      </c>
      <c r="G538" s="233">
        <v>42825</v>
      </c>
      <c r="H538" s="228" t="s">
        <v>368</v>
      </c>
      <c r="I538" s="270">
        <v>46476</v>
      </c>
      <c r="J538" s="242">
        <v>3652</v>
      </c>
      <c r="K538" s="242">
        <v>0</v>
      </c>
      <c r="L538" s="242">
        <v>3652</v>
      </c>
      <c r="M538" s="242">
        <v>166995</v>
      </c>
      <c r="N538" s="242">
        <v>3172897</v>
      </c>
      <c r="O538" s="242">
        <v>0</v>
      </c>
      <c r="P538" s="242">
        <v>3339892</v>
      </c>
      <c r="Q538" s="242">
        <v>3652</v>
      </c>
      <c r="R538" s="242">
        <v>3172897</v>
      </c>
      <c r="S538" s="250">
        <v>365</v>
      </c>
      <c r="T538" s="250">
        <v>317116</v>
      </c>
      <c r="U538" s="242">
        <v>1587318</v>
      </c>
      <c r="V538" s="242">
        <v>1752574</v>
      </c>
      <c r="W538" s="11"/>
      <c r="X538" s="34"/>
    </row>
    <row r="539" spans="2:24" s="22" customFormat="1" ht="40.5">
      <c r="B539" s="15">
        <f t="shared" si="9"/>
        <v>25</v>
      </c>
      <c r="C539" s="228" t="s">
        <v>3964</v>
      </c>
      <c r="D539" s="230" t="s">
        <v>42</v>
      </c>
      <c r="E539" s="250">
        <v>1687200</v>
      </c>
      <c r="F539" s="254" t="s">
        <v>3965</v>
      </c>
      <c r="G539" s="233">
        <v>42825</v>
      </c>
      <c r="H539" s="228" t="s">
        <v>368</v>
      </c>
      <c r="I539" s="270">
        <v>46476</v>
      </c>
      <c r="J539" s="242">
        <v>3652</v>
      </c>
      <c r="K539" s="242">
        <v>0</v>
      </c>
      <c r="L539" s="242">
        <v>3652</v>
      </c>
      <c r="M539" s="242">
        <v>84360</v>
      </c>
      <c r="N539" s="242">
        <v>1602840</v>
      </c>
      <c r="O539" s="242">
        <v>0</v>
      </c>
      <c r="P539" s="242">
        <v>1687200</v>
      </c>
      <c r="Q539" s="242">
        <v>3652</v>
      </c>
      <c r="R539" s="242">
        <v>1602840</v>
      </c>
      <c r="S539" s="250">
        <v>365</v>
      </c>
      <c r="T539" s="250">
        <v>160196</v>
      </c>
      <c r="U539" s="242">
        <v>801858</v>
      </c>
      <c r="V539" s="242">
        <v>885342</v>
      </c>
      <c r="W539" s="11"/>
      <c r="X539" s="34"/>
    </row>
    <row r="540" spans="2:24" s="22" customFormat="1" ht="27">
      <c r="B540" s="15">
        <f t="shared" si="9"/>
        <v>26</v>
      </c>
      <c r="C540" s="228" t="s">
        <v>3966</v>
      </c>
      <c r="D540" s="230" t="s">
        <v>42</v>
      </c>
      <c r="E540" s="250">
        <v>941867</v>
      </c>
      <c r="F540" s="254" t="s">
        <v>3967</v>
      </c>
      <c r="G540" s="233">
        <v>42825</v>
      </c>
      <c r="H540" s="228" t="s">
        <v>368</v>
      </c>
      <c r="I540" s="270">
        <v>46476</v>
      </c>
      <c r="J540" s="242">
        <v>3652</v>
      </c>
      <c r="K540" s="242">
        <v>0</v>
      </c>
      <c r="L540" s="242">
        <v>3652</v>
      </c>
      <c r="M540" s="242">
        <v>47093</v>
      </c>
      <c r="N540" s="242">
        <v>894774</v>
      </c>
      <c r="O540" s="242">
        <v>0</v>
      </c>
      <c r="P540" s="242">
        <v>941867</v>
      </c>
      <c r="Q540" s="242">
        <v>3652</v>
      </c>
      <c r="R540" s="242">
        <v>894774</v>
      </c>
      <c r="S540" s="250">
        <v>365</v>
      </c>
      <c r="T540" s="250">
        <v>89428</v>
      </c>
      <c r="U540" s="242">
        <v>447630</v>
      </c>
      <c r="V540" s="242">
        <v>494237</v>
      </c>
      <c r="W540" s="11"/>
      <c r="X540" s="34"/>
    </row>
    <row r="541" spans="2:24" s="22" customFormat="1" ht="27">
      <c r="B541" s="15">
        <f t="shared" si="9"/>
        <v>27</v>
      </c>
      <c r="C541" s="228" t="s">
        <v>3968</v>
      </c>
      <c r="D541" s="230" t="s">
        <v>42</v>
      </c>
      <c r="E541" s="250">
        <v>999845</v>
      </c>
      <c r="F541" s="275" t="s">
        <v>2934</v>
      </c>
      <c r="G541" s="233">
        <v>42825</v>
      </c>
      <c r="H541" s="228" t="s">
        <v>368</v>
      </c>
      <c r="I541" s="270">
        <v>46476</v>
      </c>
      <c r="J541" s="242">
        <v>3652</v>
      </c>
      <c r="K541" s="242">
        <v>0</v>
      </c>
      <c r="L541" s="242">
        <v>3652</v>
      </c>
      <c r="M541" s="242">
        <v>49992</v>
      </c>
      <c r="N541" s="242">
        <v>949853</v>
      </c>
      <c r="O541" s="242">
        <v>0</v>
      </c>
      <c r="P541" s="242">
        <v>999845</v>
      </c>
      <c r="Q541" s="242">
        <v>3652</v>
      </c>
      <c r="R541" s="242">
        <v>949853</v>
      </c>
      <c r="S541" s="250">
        <v>365</v>
      </c>
      <c r="T541" s="250">
        <v>94933</v>
      </c>
      <c r="U541" s="242">
        <v>475185</v>
      </c>
      <c r="V541" s="242">
        <v>524660</v>
      </c>
      <c r="W541" s="11"/>
      <c r="X541" s="34"/>
    </row>
    <row r="542" spans="2:24" s="22" customFormat="1" ht="27">
      <c r="B542" s="15">
        <f t="shared" si="9"/>
        <v>28</v>
      </c>
      <c r="C542" s="228" t="s">
        <v>3969</v>
      </c>
      <c r="D542" s="230" t="s">
        <v>42</v>
      </c>
      <c r="E542" s="250">
        <v>603200</v>
      </c>
      <c r="F542" s="254" t="s">
        <v>2051</v>
      </c>
      <c r="G542" s="233">
        <v>42825</v>
      </c>
      <c r="H542" s="228" t="s">
        <v>368</v>
      </c>
      <c r="I542" s="270">
        <v>46476</v>
      </c>
      <c r="J542" s="242">
        <v>3652</v>
      </c>
      <c r="K542" s="242">
        <v>0</v>
      </c>
      <c r="L542" s="242">
        <v>3652</v>
      </c>
      <c r="M542" s="242">
        <v>30160</v>
      </c>
      <c r="N542" s="242">
        <v>573040</v>
      </c>
      <c r="O542" s="242">
        <v>0</v>
      </c>
      <c r="P542" s="242">
        <v>603200</v>
      </c>
      <c r="Q542" s="242">
        <v>3652</v>
      </c>
      <c r="R542" s="242">
        <v>573040</v>
      </c>
      <c r="S542" s="250">
        <v>365</v>
      </c>
      <c r="T542" s="250">
        <v>57273</v>
      </c>
      <c r="U542" s="242">
        <v>286679</v>
      </c>
      <c r="V542" s="242">
        <v>316521</v>
      </c>
      <c r="W542" s="11"/>
      <c r="X542" s="34"/>
    </row>
    <row r="543" spans="2:24" s="22" customFormat="1" ht="40.5">
      <c r="B543" s="15">
        <f t="shared" si="9"/>
        <v>29</v>
      </c>
      <c r="C543" s="228" t="s">
        <v>3970</v>
      </c>
      <c r="D543" s="230" t="s">
        <v>42</v>
      </c>
      <c r="E543" s="250">
        <v>78857</v>
      </c>
      <c r="F543" s="254">
        <v>12</v>
      </c>
      <c r="G543" s="233">
        <v>42825</v>
      </c>
      <c r="H543" s="228" t="s">
        <v>368</v>
      </c>
      <c r="I543" s="270">
        <v>46476</v>
      </c>
      <c r="J543" s="242">
        <v>3652</v>
      </c>
      <c r="K543" s="242">
        <v>0</v>
      </c>
      <c r="L543" s="242">
        <v>3652</v>
      </c>
      <c r="M543" s="242">
        <v>3943</v>
      </c>
      <c r="N543" s="242">
        <v>74914</v>
      </c>
      <c r="O543" s="242">
        <v>0</v>
      </c>
      <c r="P543" s="242">
        <v>78857</v>
      </c>
      <c r="Q543" s="242">
        <v>3652</v>
      </c>
      <c r="R543" s="242">
        <v>74914</v>
      </c>
      <c r="S543" s="250">
        <v>365</v>
      </c>
      <c r="T543" s="250">
        <v>7487</v>
      </c>
      <c r="U543" s="242">
        <v>37477</v>
      </c>
      <c r="V543" s="242">
        <v>41380</v>
      </c>
      <c r="W543" s="11"/>
      <c r="X543" s="34"/>
    </row>
    <row r="544" spans="2:24" s="22" customFormat="1" ht="27">
      <c r="B544" s="15">
        <f t="shared" si="9"/>
        <v>30</v>
      </c>
      <c r="C544" s="228" t="s">
        <v>3971</v>
      </c>
      <c r="D544" s="230" t="s">
        <v>42</v>
      </c>
      <c r="E544" s="250">
        <v>141480</v>
      </c>
      <c r="F544" s="254">
        <v>77</v>
      </c>
      <c r="G544" s="233">
        <v>42825</v>
      </c>
      <c r="H544" s="228" t="s">
        <v>368</v>
      </c>
      <c r="I544" s="270">
        <v>46476</v>
      </c>
      <c r="J544" s="242">
        <v>3652</v>
      </c>
      <c r="K544" s="242">
        <v>0</v>
      </c>
      <c r="L544" s="242">
        <v>3652</v>
      </c>
      <c r="M544" s="242">
        <v>7074</v>
      </c>
      <c r="N544" s="242">
        <v>134406</v>
      </c>
      <c r="O544" s="242">
        <v>0</v>
      </c>
      <c r="P544" s="242">
        <v>141480</v>
      </c>
      <c r="Q544" s="242">
        <v>3652</v>
      </c>
      <c r="R544" s="242">
        <v>134406</v>
      </c>
      <c r="S544" s="250">
        <v>365</v>
      </c>
      <c r="T544" s="250">
        <v>13433</v>
      </c>
      <c r="U544" s="242">
        <v>67239</v>
      </c>
      <c r="V544" s="242">
        <v>74241</v>
      </c>
      <c r="W544" s="11"/>
      <c r="X544" s="34"/>
    </row>
    <row r="545" spans="2:24" s="22" customFormat="1" ht="27">
      <c r="B545" s="15">
        <f t="shared" si="9"/>
        <v>31</v>
      </c>
      <c r="C545" s="228" t="s">
        <v>3972</v>
      </c>
      <c r="D545" s="230" t="s">
        <v>42</v>
      </c>
      <c r="E545" s="250">
        <v>423759</v>
      </c>
      <c r="F545" s="254" t="s">
        <v>2944</v>
      </c>
      <c r="G545" s="233">
        <v>42825</v>
      </c>
      <c r="H545" s="228" t="s">
        <v>368</v>
      </c>
      <c r="I545" s="270">
        <v>46476</v>
      </c>
      <c r="J545" s="242">
        <v>3652</v>
      </c>
      <c r="K545" s="242">
        <v>0</v>
      </c>
      <c r="L545" s="242">
        <v>3652</v>
      </c>
      <c r="M545" s="242">
        <v>21188</v>
      </c>
      <c r="N545" s="242">
        <v>402571</v>
      </c>
      <c r="O545" s="242">
        <v>0</v>
      </c>
      <c r="P545" s="242">
        <v>423759</v>
      </c>
      <c r="Q545" s="242">
        <v>3652</v>
      </c>
      <c r="R545" s="242">
        <v>402571</v>
      </c>
      <c r="S545" s="250">
        <v>365</v>
      </c>
      <c r="T545" s="250">
        <v>40235</v>
      </c>
      <c r="U545" s="242">
        <v>201395</v>
      </c>
      <c r="V545" s="242">
        <v>222364</v>
      </c>
      <c r="W545" s="11"/>
      <c r="X545" s="34"/>
    </row>
    <row r="546" spans="2:24" s="22" customFormat="1" ht="27">
      <c r="B546" s="15">
        <f t="shared" si="9"/>
        <v>32</v>
      </c>
      <c r="C546" s="228" t="s">
        <v>2980</v>
      </c>
      <c r="D546" s="230" t="s">
        <v>42</v>
      </c>
      <c r="E546" s="250">
        <v>1610703</v>
      </c>
      <c r="F546" s="254" t="s">
        <v>3973</v>
      </c>
      <c r="G546" s="233">
        <v>42825</v>
      </c>
      <c r="H546" s="228" t="s">
        <v>368</v>
      </c>
      <c r="I546" s="270">
        <v>46476</v>
      </c>
      <c r="J546" s="242">
        <v>3652</v>
      </c>
      <c r="K546" s="242">
        <v>0</v>
      </c>
      <c r="L546" s="242">
        <v>3652</v>
      </c>
      <c r="M546" s="242">
        <v>80535</v>
      </c>
      <c r="N546" s="242">
        <v>1530168</v>
      </c>
      <c r="O546" s="242">
        <v>0</v>
      </c>
      <c r="P546" s="242">
        <v>1610703</v>
      </c>
      <c r="Q546" s="242">
        <v>3652</v>
      </c>
      <c r="R546" s="242">
        <v>1530168</v>
      </c>
      <c r="S546" s="250">
        <v>365</v>
      </c>
      <c r="T546" s="250">
        <v>152933</v>
      </c>
      <c r="U546" s="242">
        <v>765503</v>
      </c>
      <c r="V546" s="242">
        <v>845200</v>
      </c>
      <c r="W546" s="11"/>
      <c r="X546" s="34"/>
    </row>
    <row r="547" spans="2:24" s="22" customFormat="1" ht="27">
      <c r="B547" s="15">
        <f t="shared" si="9"/>
        <v>33</v>
      </c>
      <c r="C547" s="228" t="s">
        <v>3974</v>
      </c>
      <c r="D547" s="230" t="s">
        <v>42</v>
      </c>
      <c r="E547" s="250">
        <v>3618469</v>
      </c>
      <c r="F547" s="254" t="s">
        <v>2386</v>
      </c>
      <c r="G547" s="233">
        <v>42825</v>
      </c>
      <c r="H547" s="228" t="s">
        <v>368</v>
      </c>
      <c r="I547" s="270">
        <v>46476</v>
      </c>
      <c r="J547" s="242">
        <v>3652</v>
      </c>
      <c r="K547" s="242">
        <v>0</v>
      </c>
      <c r="L547" s="242">
        <v>3652</v>
      </c>
      <c r="M547" s="242">
        <v>180923</v>
      </c>
      <c r="N547" s="242">
        <v>3437546</v>
      </c>
      <c r="O547" s="242">
        <v>0</v>
      </c>
      <c r="P547" s="242">
        <v>3618469</v>
      </c>
      <c r="Q547" s="242">
        <v>3652</v>
      </c>
      <c r="R547" s="242">
        <v>3437546</v>
      </c>
      <c r="S547" s="250">
        <v>365</v>
      </c>
      <c r="T547" s="250">
        <v>343566</v>
      </c>
      <c r="U547" s="242">
        <v>1719713</v>
      </c>
      <c r="V547" s="242">
        <v>1898756</v>
      </c>
      <c r="W547" s="11"/>
      <c r="X547" s="34"/>
    </row>
    <row r="548" spans="2:24" s="22" customFormat="1" ht="27">
      <c r="B548" s="15">
        <f t="shared" si="9"/>
        <v>34</v>
      </c>
      <c r="C548" s="228" t="s">
        <v>3974</v>
      </c>
      <c r="D548" s="230" t="s">
        <v>42</v>
      </c>
      <c r="E548" s="250">
        <v>3505392</v>
      </c>
      <c r="F548" s="254" t="s">
        <v>2386</v>
      </c>
      <c r="G548" s="233">
        <v>42825</v>
      </c>
      <c r="H548" s="228" t="s">
        <v>368</v>
      </c>
      <c r="I548" s="270">
        <v>46476</v>
      </c>
      <c r="J548" s="242">
        <v>3652</v>
      </c>
      <c r="K548" s="242">
        <v>0</v>
      </c>
      <c r="L548" s="242">
        <v>3652</v>
      </c>
      <c r="M548" s="242">
        <v>175270</v>
      </c>
      <c r="N548" s="242">
        <v>3330122</v>
      </c>
      <c r="O548" s="242">
        <v>0</v>
      </c>
      <c r="P548" s="242">
        <v>3505392</v>
      </c>
      <c r="Q548" s="242">
        <v>3652</v>
      </c>
      <c r="R548" s="242">
        <v>3330122</v>
      </c>
      <c r="S548" s="250">
        <v>365</v>
      </c>
      <c r="T548" s="250">
        <v>332830</v>
      </c>
      <c r="U548" s="242">
        <v>1665974</v>
      </c>
      <c r="V548" s="242">
        <v>1839418</v>
      </c>
      <c r="W548" s="11"/>
      <c r="X548" s="34"/>
    </row>
    <row r="549" spans="2:24" s="22" customFormat="1">
      <c r="B549" s="15">
        <f t="shared" si="9"/>
        <v>35</v>
      </c>
      <c r="C549" s="228" t="s">
        <v>3975</v>
      </c>
      <c r="D549" s="230" t="s">
        <v>42</v>
      </c>
      <c r="E549" s="250">
        <v>4280712</v>
      </c>
      <c r="F549" s="254" t="s">
        <v>2983</v>
      </c>
      <c r="G549" s="233">
        <v>42825</v>
      </c>
      <c r="H549" s="228" t="s">
        <v>368</v>
      </c>
      <c r="I549" s="270">
        <v>46476</v>
      </c>
      <c r="J549" s="242">
        <v>3652</v>
      </c>
      <c r="K549" s="242">
        <v>0</v>
      </c>
      <c r="L549" s="242">
        <v>3652</v>
      </c>
      <c r="M549" s="242">
        <v>214036</v>
      </c>
      <c r="N549" s="242">
        <v>4066676</v>
      </c>
      <c r="O549" s="242">
        <v>0</v>
      </c>
      <c r="P549" s="242">
        <v>4280712</v>
      </c>
      <c r="Q549" s="242">
        <v>3652</v>
      </c>
      <c r="R549" s="242">
        <v>4066676</v>
      </c>
      <c r="S549" s="250">
        <v>365</v>
      </c>
      <c r="T549" s="250">
        <v>406445</v>
      </c>
      <c r="U549" s="242">
        <v>2034452</v>
      </c>
      <c r="V549" s="242">
        <v>2246260</v>
      </c>
      <c r="W549" s="11"/>
      <c r="X549" s="34"/>
    </row>
    <row r="550" spans="2:24" s="22" customFormat="1">
      <c r="B550" s="15">
        <f t="shared" si="9"/>
        <v>36</v>
      </c>
      <c r="C550" s="228" t="s">
        <v>3976</v>
      </c>
      <c r="D550" s="230" t="s">
        <v>42</v>
      </c>
      <c r="E550" s="250">
        <v>1611925</v>
      </c>
      <c r="F550" s="254" t="s">
        <v>2051</v>
      </c>
      <c r="G550" s="233">
        <v>42825</v>
      </c>
      <c r="H550" s="228" t="s">
        <v>368</v>
      </c>
      <c r="I550" s="270">
        <v>46476</v>
      </c>
      <c r="J550" s="242">
        <v>3652</v>
      </c>
      <c r="K550" s="242">
        <v>0</v>
      </c>
      <c r="L550" s="242">
        <v>3652</v>
      </c>
      <c r="M550" s="242">
        <v>80596</v>
      </c>
      <c r="N550" s="242">
        <v>1531329</v>
      </c>
      <c r="O550" s="242">
        <v>0</v>
      </c>
      <c r="P550" s="242">
        <v>1611925</v>
      </c>
      <c r="Q550" s="242">
        <v>3652</v>
      </c>
      <c r="R550" s="242">
        <v>1531329</v>
      </c>
      <c r="S550" s="250">
        <v>365</v>
      </c>
      <c r="T550" s="250">
        <v>153049</v>
      </c>
      <c r="U550" s="242">
        <v>766083</v>
      </c>
      <c r="V550" s="242">
        <v>845842</v>
      </c>
      <c r="W550" s="11"/>
      <c r="X550" s="34"/>
    </row>
    <row r="551" spans="2:24" s="22" customFormat="1">
      <c r="B551" s="15">
        <f t="shared" si="9"/>
        <v>37</v>
      </c>
      <c r="C551" s="228" t="s">
        <v>3977</v>
      </c>
      <c r="D551" s="230" t="s">
        <v>42</v>
      </c>
      <c r="E551" s="250">
        <v>127872</v>
      </c>
      <c r="F551" s="254" t="s">
        <v>2948</v>
      </c>
      <c r="G551" s="233">
        <v>42825</v>
      </c>
      <c r="H551" s="228" t="s">
        <v>368</v>
      </c>
      <c r="I551" s="270">
        <v>46476</v>
      </c>
      <c r="J551" s="242">
        <v>3652</v>
      </c>
      <c r="K551" s="242">
        <v>0</v>
      </c>
      <c r="L551" s="242">
        <v>3652</v>
      </c>
      <c r="M551" s="242">
        <v>6394</v>
      </c>
      <c r="N551" s="242">
        <v>121478</v>
      </c>
      <c r="O551" s="242">
        <v>0</v>
      </c>
      <c r="P551" s="242">
        <v>127872</v>
      </c>
      <c r="Q551" s="242">
        <v>3652</v>
      </c>
      <c r="R551" s="242">
        <v>121478</v>
      </c>
      <c r="S551" s="250">
        <v>365</v>
      </c>
      <c r="T551" s="250">
        <v>12141</v>
      </c>
      <c r="U551" s="242">
        <v>60771</v>
      </c>
      <c r="V551" s="242">
        <v>67101</v>
      </c>
      <c r="W551" s="11"/>
      <c r="X551" s="34"/>
    </row>
    <row r="552" spans="2:24" s="22" customFormat="1" ht="27">
      <c r="B552" s="15">
        <f t="shared" si="9"/>
        <v>38</v>
      </c>
      <c r="C552" s="228" t="s">
        <v>3978</v>
      </c>
      <c r="D552" s="230" t="s">
        <v>42</v>
      </c>
      <c r="E552" s="250">
        <v>90672</v>
      </c>
      <c r="F552" s="275" t="s">
        <v>2394</v>
      </c>
      <c r="G552" s="233">
        <v>42825</v>
      </c>
      <c r="H552" s="228" t="s">
        <v>368</v>
      </c>
      <c r="I552" s="270">
        <v>46476</v>
      </c>
      <c r="J552" s="242">
        <v>3652</v>
      </c>
      <c r="K552" s="242">
        <v>0</v>
      </c>
      <c r="L552" s="242">
        <v>3652</v>
      </c>
      <c r="M552" s="242">
        <v>4534</v>
      </c>
      <c r="N552" s="242">
        <v>86138</v>
      </c>
      <c r="O552" s="242">
        <v>0</v>
      </c>
      <c r="P552" s="242">
        <v>90672</v>
      </c>
      <c r="Q552" s="242">
        <v>3652</v>
      </c>
      <c r="R552" s="242">
        <v>86138</v>
      </c>
      <c r="S552" s="250">
        <v>365</v>
      </c>
      <c r="T552" s="250">
        <v>8609</v>
      </c>
      <c r="U552" s="242">
        <v>43093</v>
      </c>
      <c r="V552" s="242">
        <v>47579</v>
      </c>
      <c r="W552" s="11"/>
      <c r="X552" s="34"/>
    </row>
    <row r="553" spans="2:24" s="22" customFormat="1">
      <c r="B553" s="15">
        <f t="shared" si="9"/>
        <v>39</v>
      </c>
      <c r="C553" s="228" t="s">
        <v>3979</v>
      </c>
      <c r="D553" s="230" t="s">
        <v>42</v>
      </c>
      <c r="E553" s="250">
        <v>1668242</v>
      </c>
      <c r="F553" s="254" t="s">
        <v>2983</v>
      </c>
      <c r="G553" s="233">
        <v>42825</v>
      </c>
      <c r="H553" s="228" t="s">
        <v>368</v>
      </c>
      <c r="I553" s="270">
        <v>46476</v>
      </c>
      <c r="J553" s="242">
        <v>3652</v>
      </c>
      <c r="K553" s="242">
        <v>0</v>
      </c>
      <c r="L553" s="242">
        <v>3652</v>
      </c>
      <c r="M553" s="242">
        <v>83412</v>
      </c>
      <c r="N553" s="242">
        <v>1584830</v>
      </c>
      <c r="O553" s="242">
        <v>0</v>
      </c>
      <c r="P553" s="242">
        <v>1668242</v>
      </c>
      <c r="Q553" s="242">
        <v>3652</v>
      </c>
      <c r="R553" s="242">
        <v>1584830</v>
      </c>
      <c r="S553" s="250">
        <v>365</v>
      </c>
      <c r="T553" s="250">
        <v>158396</v>
      </c>
      <c r="U553" s="242">
        <v>792848</v>
      </c>
      <c r="V553" s="242">
        <v>875394</v>
      </c>
      <c r="W553" s="11"/>
      <c r="X553" s="34"/>
    </row>
    <row r="554" spans="2:24" s="22" customFormat="1">
      <c r="B554" s="15">
        <f t="shared" si="9"/>
        <v>40</v>
      </c>
      <c r="C554" s="228" t="s">
        <v>3979</v>
      </c>
      <c r="D554" s="230" t="s">
        <v>42</v>
      </c>
      <c r="E554" s="250">
        <v>1923321</v>
      </c>
      <c r="F554" s="254" t="s">
        <v>2983</v>
      </c>
      <c r="G554" s="233">
        <v>42825</v>
      </c>
      <c r="H554" s="228" t="s">
        <v>368</v>
      </c>
      <c r="I554" s="270">
        <v>46476</v>
      </c>
      <c r="J554" s="242">
        <v>3652</v>
      </c>
      <c r="K554" s="242">
        <v>0</v>
      </c>
      <c r="L554" s="242">
        <v>3652</v>
      </c>
      <c r="M554" s="242">
        <v>96166</v>
      </c>
      <c r="N554" s="242">
        <v>1827155</v>
      </c>
      <c r="O554" s="242">
        <v>0</v>
      </c>
      <c r="P554" s="242">
        <v>1923321</v>
      </c>
      <c r="Q554" s="242">
        <v>3652</v>
      </c>
      <c r="R554" s="242">
        <v>1827155</v>
      </c>
      <c r="S554" s="250">
        <v>365</v>
      </c>
      <c r="T554" s="250">
        <v>182615</v>
      </c>
      <c r="U554" s="242">
        <v>914076</v>
      </c>
      <c r="V554" s="242">
        <v>1009245</v>
      </c>
      <c r="W554" s="11"/>
      <c r="X554" s="34"/>
    </row>
    <row r="555" spans="2:24" s="22" customFormat="1">
      <c r="B555" s="15">
        <f t="shared" si="9"/>
        <v>41</v>
      </c>
      <c r="C555" s="228" t="s">
        <v>3980</v>
      </c>
      <c r="D555" s="230" t="s">
        <v>42</v>
      </c>
      <c r="E555" s="250">
        <v>141462</v>
      </c>
      <c r="F555" s="254" t="s">
        <v>2386</v>
      </c>
      <c r="G555" s="233">
        <v>42825</v>
      </c>
      <c r="H555" s="228" t="s">
        <v>368</v>
      </c>
      <c r="I555" s="270">
        <v>46476</v>
      </c>
      <c r="J555" s="242">
        <v>3652</v>
      </c>
      <c r="K555" s="242">
        <v>0</v>
      </c>
      <c r="L555" s="242">
        <v>3652</v>
      </c>
      <c r="M555" s="242">
        <v>7073</v>
      </c>
      <c r="N555" s="242">
        <v>134389</v>
      </c>
      <c r="O555" s="242">
        <v>0</v>
      </c>
      <c r="P555" s="242">
        <v>141462</v>
      </c>
      <c r="Q555" s="242">
        <v>3652</v>
      </c>
      <c r="R555" s="242">
        <v>134389</v>
      </c>
      <c r="S555" s="250">
        <v>365</v>
      </c>
      <c r="T555" s="250">
        <v>13432</v>
      </c>
      <c r="U555" s="242">
        <v>67233</v>
      </c>
      <c r="V555" s="242">
        <v>74229</v>
      </c>
      <c r="W555" s="11"/>
      <c r="X555" s="34"/>
    </row>
    <row r="556" spans="2:24" s="22" customFormat="1">
      <c r="B556" s="15">
        <f t="shared" si="9"/>
        <v>42</v>
      </c>
      <c r="C556" s="228" t="s">
        <v>3981</v>
      </c>
      <c r="D556" s="230" t="s">
        <v>42</v>
      </c>
      <c r="E556" s="250">
        <v>1576407</v>
      </c>
      <c r="F556" s="254" t="s">
        <v>2386</v>
      </c>
      <c r="G556" s="233">
        <v>42825</v>
      </c>
      <c r="H556" s="228" t="s">
        <v>368</v>
      </c>
      <c r="I556" s="270">
        <v>46476</v>
      </c>
      <c r="J556" s="242">
        <v>3652</v>
      </c>
      <c r="K556" s="242">
        <v>0</v>
      </c>
      <c r="L556" s="242">
        <v>3652</v>
      </c>
      <c r="M556" s="242">
        <v>78820</v>
      </c>
      <c r="N556" s="242">
        <v>1497587</v>
      </c>
      <c r="O556" s="242">
        <v>0</v>
      </c>
      <c r="P556" s="242">
        <v>1576407</v>
      </c>
      <c r="Q556" s="242">
        <v>3652</v>
      </c>
      <c r="R556" s="242">
        <v>1497587</v>
      </c>
      <c r="S556" s="250">
        <v>365</v>
      </c>
      <c r="T556" s="250">
        <v>149677</v>
      </c>
      <c r="U556" s="242">
        <v>749205</v>
      </c>
      <c r="V556" s="242">
        <v>827202</v>
      </c>
      <c r="W556" s="11"/>
      <c r="X556" s="34"/>
    </row>
    <row r="557" spans="2:24" s="22" customFormat="1">
      <c r="B557" s="15">
        <f t="shared" si="9"/>
        <v>43</v>
      </c>
      <c r="C557" s="228" t="s">
        <v>3981</v>
      </c>
      <c r="D557" s="230" t="s">
        <v>42</v>
      </c>
      <c r="E557" s="250">
        <v>2284296</v>
      </c>
      <c r="F557" s="254" t="s">
        <v>2386</v>
      </c>
      <c r="G557" s="233">
        <v>42825</v>
      </c>
      <c r="H557" s="228" t="s">
        <v>368</v>
      </c>
      <c r="I557" s="270">
        <v>46476</v>
      </c>
      <c r="J557" s="242">
        <v>3652</v>
      </c>
      <c r="K557" s="242">
        <v>0</v>
      </c>
      <c r="L557" s="242">
        <v>3652</v>
      </c>
      <c r="M557" s="242">
        <v>114215</v>
      </c>
      <c r="N557" s="242">
        <v>2170081</v>
      </c>
      <c r="O557" s="242">
        <v>0</v>
      </c>
      <c r="P557" s="242">
        <v>2284296</v>
      </c>
      <c r="Q557" s="242">
        <v>3652</v>
      </c>
      <c r="R557" s="242">
        <v>2170081</v>
      </c>
      <c r="S557" s="250">
        <v>365</v>
      </c>
      <c r="T557" s="250">
        <v>216889</v>
      </c>
      <c r="U557" s="242">
        <v>1085633</v>
      </c>
      <c r="V557" s="242">
        <v>1198663</v>
      </c>
      <c r="W557" s="11"/>
      <c r="X557" s="34"/>
    </row>
    <row r="558" spans="2:24" s="22" customFormat="1">
      <c r="B558" s="15">
        <f t="shared" si="9"/>
        <v>44</v>
      </c>
      <c r="C558" s="228" t="s">
        <v>3981</v>
      </c>
      <c r="D558" s="230" t="s">
        <v>42</v>
      </c>
      <c r="E558" s="250">
        <v>2696435</v>
      </c>
      <c r="F558" s="254" t="s">
        <v>2983</v>
      </c>
      <c r="G558" s="233">
        <v>42825</v>
      </c>
      <c r="H558" s="228" t="s">
        <v>368</v>
      </c>
      <c r="I558" s="270">
        <v>46476</v>
      </c>
      <c r="J558" s="242">
        <v>3652</v>
      </c>
      <c r="K558" s="242">
        <v>0</v>
      </c>
      <c r="L558" s="242">
        <v>3652</v>
      </c>
      <c r="M558" s="242">
        <v>134822</v>
      </c>
      <c r="N558" s="242">
        <v>2561613</v>
      </c>
      <c r="O558" s="242">
        <v>0</v>
      </c>
      <c r="P558" s="242">
        <v>2696435</v>
      </c>
      <c r="Q558" s="242">
        <v>3652</v>
      </c>
      <c r="R558" s="242">
        <v>2561613</v>
      </c>
      <c r="S558" s="250">
        <v>365</v>
      </c>
      <c r="T558" s="250">
        <v>256021</v>
      </c>
      <c r="U558" s="242">
        <v>1281507</v>
      </c>
      <c r="V558" s="242">
        <v>1414928</v>
      </c>
      <c r="W558" s="11"/>
      <c r="X558" s="34"/>
    </row>
    <row r="559" spans="2:24" s="22" customFormat="1">
      <c r="B559" s="15">
        <f t="shared" si="9"/>
        <v>45</v>
      </c>
      <c r="C559" s="228" t="s">
        <v>3981</v>
      </c>
      <c r="D559" s="230" t="s">
        <v>42</v>
      </c>
      <c r="E559" s="250">
        <v>3017586</v>
      </c>
      <c r="F559" s="254" t="s">
        <v>2983</v>
      </c>
      <c r="G559" s="233">
        <v>42825</v>
      </c>
      <c r="H559" s="228" t="s">
        <v>368</v>
      </c>
      <c r="I559" s="270">
        <v>46476</v>
      </c>
      <c r="J559" s="242">
        <v>3652</v>
      </c>
      <c r="K559" s="242">
        <v>0</v>
      </c>
      <c r="L559" s="242">
        <v>3652</v>
      </c>
      <c r="M559" s="242">
        <v>150879</v>
      </c>
      <c r="N559" s="242">
        <v>2866707</v>
      </c>
      <c r="O559" s="242">
        <v>0</v>
      </c>
      <c r="P559" s="242">
        <v>3017586</v>
      </c>
      <c r="Q559" s="242">
        <v>3652</v>
      </c>
      <c r="R559" s="242">
        <v>2866707</v>
      </c>
      <c r="S559" s="250">
        <v>365</v>
      </c>
      <c r="T559" s="250">
        <v>286514</v>
      </c>
      <c r="U559" s="242">
        <v>1434140</v>
      </c>
      <c r="V559" s="242">
        <v>1583446</v>
      </c>
      <c r="W559" s="11"/>
      <c r="X559" s="34"/>
    </row>
    <row r="560" spans="2:24" s="22" customFormat="1">
      <c r="B560" s="15"/>
      <c r="C560" s="228"/>
      <c r="D560" s="232"/>
      <c r="E560" s="250"/>
      <c r="F560" s="254"/>
      <c r="G560" s="233"/>
      <c r="H560" s="228"/>
      <c r="I560" s="270"/>
      <c r="J560" s="242"/>
      <c r="K560" s="242"/>
      <c r="L560" s="242"/>
      <c r="M560" s="242"/>
      <c r="N560" s="242"/>
      <c r="O560" s="242"/>
      <c r="P560" s="242">
        <v>0</v>
      </c>
      <c r="Q560" s="242"/>
      <c r="R560" s="242"/>
      <c r="S560" s="272"/>
      <c r="T560" s="242"/>
      <c r="U560" s="228"/>
      <c r="V560" s="228"/>
      <c r="W560" s="11"/>
      <c r="X560" s="34"/>
    </row>
    <row r="561" spans="2:24" s="22" customFormat="1">
      <c r="B561" s="15"/>
      <c r="C561" s="228"/>
      <c r="D561" s="249"/>
      <c r="E561" s="250"/>
      <c r="F561" s="254"/>
      <c r="G561" s="233"/>
      <c r="H561" s="228"/>
      <c r="I561" s="270"/>
      <c r="J561" s="242"/>
      <c r="K561" s="242"/>
      <c r="L561" s="242"/>
      <c r="M561" s="242"/>
      <c r="N561" s="242"/>
      <c r="O561" s="242"/>
      <c r="P561" s="242">
        <v>0</v>
      </c>
      <c r="Q561" s="242"/>
      <c r="R561" s="242"/>
      <c r="S561" s="272"/>
      <c r="T561" s="242"/>
      <c r="U561" s="228"/>
      <c r="V561" s="228"/>
      <c r="W561" s="11"/>
      <c r="X561" s="34"/>
    </row>
    <row r="562" spans="2:24" s="22" customFormat="1" ht="14.25">
      <c r="B562" s="32" t="s">
        <v>2494</v>
      </c>
      <c r="C562" s="274"/>
      <c r="D562" s="230"/>
      <c r="E562" s="271"/>
      <c r="F562" s="230"/>
      <c r="G562" s="232"/>
      <c r="H562" s="228"/>
      <c r="I562" s="242"/>
      <c r="J562" s="242"/>
      <c r="K562" s="242"/>
      <c r="L562" s="242"/>
      <c r="M562" s="242"/>
      <c r="N562" s="242"/>
      <c r="O562" s="242"/>
      <c r="P562" s="242"/>
      <c r="Q562" s="242"/>
      <c r="R562" s="242"/>
      <c r="S562" s="272"/>
      <c r="T562" s="242"/>
      <c r="U562" s="228"/>
      <c r="V562" s="228"/>
      <c r="W562" s="11"/>
      <c r="X562" s="34"/>
    </row>
    <row r="563" spans="2:24" s="22" customFormat="1" ht="27">
      <c r="B563" s="15">
        <v>1</v>
      </c>
      <c r="C563" s="249" t="s">
        <v>36</v>
      </c>
      <c r="D563" s="230" t="s">
        <v>42</v>
      </c>
      <c r="E563" s="266">
        <v>128434</v>
      </c>
      <c r="F563" s="230" t="s">
        <v>37</v>
      </c>
      <c r="G563" s="232">
        <v>40512</v>
      </c>
      <c r="H563" s="228" t="s">
        <v>368</v>
      </c>
      <c r="I563" s="270">
        <v>51469</v>
      </c>
      <c r="J563" s="242">
        <v>10958</v>
      </c>
      <c r="K563" s="242">
        <v>1218</v>
      </c>
      <c r="L563" s="242">
        <v>9740</v>
      </c>
      <c r="M563" s="242">
        <v>6422</v>
      </c>
      <c r="N563" s="242">
        <v>115033</v>
      </c>
      <c r="O563" s="242">
        <v>0</v>
      </c>
      <c r="P563" s="242">
        <v>117144</v>
      </c>
      <c r="Q563" s="242">
        <v>9375</v>
      </c>
      <c r="R563" s="242">
        <v>110722</v>
      </c>
      <c r="S563" s="250">
        <v>365</v>
      </c>
      <c r="T563" s="250">
        <v>4311</v>
      </c>
      <c r="U563" s="242">
        <v>30201</v>
      </c>
      <c r="V563" s="242">
        <v>86943</v>
      </c>
      <c r="W563" s="11"/>
      <c r="X563" s="34"/>
    </row>
    <row r="564" spans="2:24" s="22" customFormat="1" ht="40.5">
      <c r="B564" s="15">
        <v>2</v>
      </c>
      <c r="C564" s="249" t="s">
        <v>1367</v>
      </c>
      <c r="D564" s="249" t="s">
        <v>887</v>
      </c>
      <c r="E564" s="266">
        <v>646581</v>
      </c>
      <c r="F564" s="285" t="s">
        <v>1368</v>
      </c>
      <c r="G564" s="232">
        <v>40678</v>
      </c>
      <c r="H564" s="228" t="s">
        <v>368</v>
      </c>
      <c r="I564" s="270">
        <v>51635</v>
      </c>
      <c r="J564" s="242">
        <v>10958</v>
      </c>
      <c r="K564" s="242">
        <v>1052</v>
      </c>
      <c r="L564" s="242">
        <v>9906</v>
      </c>
      <c r="M564" s="242">
        <v>32329</v>
      </c>
      <c r="N564" s="242">
        <v>583902</v>
      </c>
      <c r="O564" s="242">
        <v>0</v>
      </c>
      <c r="P564" s="242">
        <v>594716</v>
      </c>
      <c r="Q564" s="242">
        <v>9541</v>
      </c>
      <c r="R564" s="242">
        <v>562387</v>
      </c>
      <c r="S564" s="250">
        <v>365</v>
      </c>
      <c r="T564" s="250">
        <v>21515</v>
      </c>
      <c r="U564" s="242">
        <v>150723</v>
      </c>
      <c r="V564" s="242">
        <v>443993</v>
      </c>
      <c r="W564" s="11"/>
      <c r="X564" s="34"/>
    </row>
    <row r="565" spans="2:24" s="22" customFormat="1" ht="121.5">
      <c r="B565" s="15">
        <v>3</v>
      </c>
      <c r="C565" s="249" t="s">
        <v>1371</v>
      </c>
      <c r="D565" s="249" t="s">
        <v>887</v>
      </c>
      <c r="E565" s="266">
        <v>3907200</v>
      </c>
      <c r="F565" s="285" t="s">
        <v>1372</v>
      </c>
      <c r="G565" s="232">
        <v>40676</v>
      </c>
      <c r="H565" s="228" t="s">
        <v>368</v>
      </c>
      <c r="I565" s="270">
        <v>51633</v>
      </c>
      <c r="J565" s="242">
        <v>10958</v>
      </c>
      <c r="K565" s="242">
        <v>1054</v>
      </c>
      <c r="L565" s="242">
        <v>9904</v>
      </c>
      <c r="M565" s="242">
        <v>195360</v>
      </c>
      <c r="N565" s="242">
        <v>3528087</v>
      </c>
      <c r="O565" s="242">
        <v>0</v>
      </c>
      <c r="P565" s="242">
        <v>3593424</v>
      </c>
      <c r="Q565" s="242">
        <v>9539</v>
      </c>
      <c r="R565" s="242">
        <v>3398064</v>
      </c>
      <c r="S565" s="250">
        <v>365</v>
      </c>
      <c r="T565" s="250">
        <v>130023</v>
      </c>
      <c r="U565" s="242">
        <v>910875</v>
      </c>
      <c r="V565" s="242">
        <v>2682549</v>
      </c>
      <c r="W565" s="11"/>
      <c r="X565" s="34"/>
    </row>
    <row r="566" spans="2:24" s="22" customFormat="1" ht="27">
      <c r="B566" s="15">
        <v>4</v>
      </c>
      <c r="C566" s="249" t="s">
        <v>1386</v>
      </c>
      <c r="D566" s="249" t="s">
        <v>887</v>
      </c>
      <c r="E566" s="266">
        <v>994651</v>
      </c>
      <c r="F566" s="249" t="s">
        <v>1387</v>
      </c>
      <c r="G566" s="232">
        <v>40634</v>
      </c>
      <c r="H566" s="228" t="s">
        <v>368</v>
      </c>
      <c r="I566" s="270">
        <v>51591</v>
      </c>
      <c r="J566" s="242">
        <v>10958</v>
      </c>
      <c r="K566" s="242">
        <v>1096</v>
      </c>
      <c r="L566" s="242">
        <v>9862</v>
      </c>
      <c r="M566" s="242">
        <v>49733</v>
      </c>
      <c r="N566" s="242">
        <v>896279</v>
      </c>
      <c r="O566" s="242">
        <v>0</v>
      </c>
      <c r="P566" s="242">
        <v>912840</v>
      </c>
      <c r="Q566" s="242">
        <v>9497</v>
      </c>
      <c r="R566" s="242">
        <v>863107</v>
      </c>
      <c r="S566" s="250">
        <v>365</v>
      </c>
      <c r="T566" s="250">
        <v>33172</v>
      </c>
      <c r="U566" s="242">
        <v>232386</v>
      </c>
      <c r="V566" s="242">
        <v>680454</v>
      </c>
      <c r="W566" s="11"/>
      <c r="X566" s="34"/>
    </row>
    <row r="567" spans="2:24" s="22" customFormat="1">
      <c r="B567" s="15"/>
      <c r="C567" s="249"/>
      <c r="D567" s="249"/>
      <c r="E567" s="266"/>
      <c r="F567" s="249"/>
      <c r="G567" s="232"/>
      <c r="H567" s="228"/>
      <c r="I567" s="270"/>
      <c r="J567" s="242"/>
      <c r="K567" s="242"/>
      <c r="L567" s="242"/>
      <c r="M567" s="242"/>
      <c r="N567" s="242"/>
      <c r="O567" s="242"/>
      <c r="P567" s="242"/>
      <c r="Q567" s="242"/>
      <c r="R567" s="242"/>
      <c r="S567" s="272"/>
      <c r="T567" s="242"/>
      <c r="U567" s="228"/>
      <c r="V567" s="228"/>
      <c r="W567" s="11"/>
      <c r="X567" s="34"/>
    </row>
    <row r="568" spans="2:24" s="22" customFormat="1" ht="14.25">
      <c r="B568" s="6" t="s">
        <v>3813</v>
      </c>
      <c r="C568" s="249"/>
      <c r="D568" s="249"/>
      <c r="E568" s="266"/>
      <c r="F568" s="249"/>
      <c r="G568" s="232"/>
      <c r="H568" s="228"/>
      <c r="I568" s="270"/>
      <c r="J568" s="242"/>
      <c r="K568" s="242"/>
      <c r="L568" s="242"/>
      <c r="M568" s="242"/>
      <c r="N568" s="242"/>
      <c r="O568" s="242"/>
      <c r="P568" s="242"/>
      <c r="Q568" s="242"/>
      <c r="R568" s="242"/>
      <c r="S568" s="272"/>
      <c r="T568" s="242"/>
      <c r="U568" s="228"/>
      <c r="V568" s="228"/>
      <c r="W568" s="11"/>
      <c r="X568" s="34"/>
    </row>
    <row r="569" spans="2:24" s="22" customFormat="1">
      <c r="B569" s="15">
        <v>1</v>
      </c>
      <c r="C569" s="249" t="s">
        <v>3989</v>
      </c>
      <c r="D569" s="249" t="s">
        <v>887</v>
      </c>
      <c r="E569" s="266">
        <v>36901376</v>
      </c>
      <c r="F569" s="249" t="s">
        <v>42</v>
      </c>
      <c r="G569" s="232">
        <v>42825</v>
      </c>
      <c r="H569" s="228" t="s">
        <v>368</v>
      </c>
      <c r="I569" s="270">
        <v>51955</v>
      </c>
      <c r="J569" s="242">
        <v>9131</v>
      </c>
      <c r="K569" s="242">
        <v>0</v>
      </c>
      <c r="L569" s="242">
        <v>9131</v>
      </c>
      <c r="M569" s="242">
        <v>1845069</v>
      </c>
      <c r="N569" s="242">
        <v>35056307</v>
      </c>
      <c r="O569" s="242">
        <v>0</v>
      </c>
      <c r="P569" s="242">
        <v>36901376</v>
      </c>
      <c r="Q569" s="242">
        <v>9131</v>
      </c>
      <c r="R569" s="242">
        <v>35056307</v>
      </c>
      <c r="S569" s="250">
        <v>365</v>
      </c>
      <c r="T569" s="250">
        <v>1401331</v>
      </c>
      <c r="U569" s="242">
        <v>7014333</v>
      </c>
      <c r="V569" s="242">
        <v>29887043</v>
      </c>
      <c r="W569" s="11"/>
      <c r="X569" s="34"/>
    </row>
    <row r="570" spans="2:24" s="22" customFormat="1">
      <c r="B570" s="15"/>
      <c r="C570" s="249"/>
      <c r="D570" s="249"/>
      <c r="E570" s="266"/>
      <c r="F570" s="249"/>
      <c r="G570" s="232"/>
      <c r="H570" s="228"/>
      <c r="I570" s="270"/>
      <c r="J570" s="242"/>
      <c r="K570" s="242"/>
      <c r="L570" s="242"/>
      <c r="M570" s="242"/>
      <c r="N570" s="242"/>
      <c r="O570" s="242"/>
      <c r="P570" s="242"/>
      <c r="Q570" s="242"/>
      <c r="R570" s="242"/>
      <c r="S570" s="272"/>
      <c r="T570" s="242"/>
      <c r="U570" s="228"/>
      <c r="V570" s="228"/>
      <c r="W570" s="11"/>
      <c r="X570" s="34"/>
    </row>
    <row r="571" spans="2:24" s="22" customFormat="1">
      <c r="B571" s="15"/>
      <c r="C571" s="249"/>
      <c r="D571" s="249"/>
      <c r="E571" s="266"/>
      <c r="F571" s="249"/>
      <c r="G571" s="232"/>
      <c r="H571" s="228"/>
      <c r="I571" s="270"/>
      <c r="J571" s="242"/>
      <c r="K571" s="242"/>
      <c r="L571" s="242"/>
      <c r="M571" s="242"/>
      <c r="N571" s="242"/>
      <c r="O571" s="242"/>
      <c r="P571" s="242"/>
      <c r="Q571" s="242"/>
      <c r="R571" s="242"/>
      <c r="S571" s="272"/>
      <c r="T571" s="242"/>
      <c r="U571" s="228"/>
      <c r="V571" s="228"/>
      <c r="W571" s="11"/>
      <c r="X571" s="34"/>
    </row>
    <row r="572" spans="2:24" s="22" customFormat="1" ht="14.25">
      <c r="B572" s="32" t="s">
        <v>1616</v>
      </c>
      <c r="C572" s="274"/>
      <c r="D572" s="230"/>
      <c r="E572" s="271"/>
      <c r="F572" s="230"/>
      <c r="G572" s="232"/>
      <c r="H572" s="228"/>
      <c r="I572" s="242"/>
      <c r="J572" s="242"/>
      <c r="K572" s="242"/>
      <c r="L572" s="242"/>
      <c r="M572" s="242"/>
      <c r="N572" s="242"/>
      <c r="O572" s="242"/>
      <c r="P572" s="242"/>
      <c r="Q572" s="242"/>
      <c r="R572" s="242"/>
      <c r="S572" s="272"/>
      <c r="T572" s="242"/>
      <c r="U572" s="228"/>
      <c r="V572" s="228"/>
      <c r="W572" s="11"/>
      <c r="X572" s="34"/>
    </row>
    <row r="573" spans="2:24" s="22" customFormat="1" ht="40.5">
      <c r="B573" s="15">
        <v>1</v>
      </c>
      <c r="C573" s="249" t="s">
        <v>1598</v>
      </c>
      <c r="D573" s="249" t="s">
        <v>42</v>
      </c>
      <c r="E573" s="266">
        <v>200000</v>
      </c>
      <c r="F573" s="276" t="s">
        <v>1599</v>
      </c>
      <c r="G573" s="232">
        <v>40340</v>
      </c>
      <c r="H573" s="228" t="s">
        <v>368</v>
      </c>
      <c r="I573" s="242"/>
      <c r="J573" s="242"/>
      <c r="K573" s="242"/>
      <c r="L573" s="242"/>
      <c r="M573" s="242"/>
      <c r="N573" s="242"/>
      <c r="O573" s="242"/>
      <c r="P573" s="242">
        <v>0</v>
      </c>
      <c r="Q573" s="242"/>
      <c r="R573" s="242"/>
      <c r="S573" s="250">
        <v>0</v>
      </c>
      <c r="T573" s="250">
        <v>0</v>
      </c>
      <c r="U573" s="242">
        <v>0</v>
      </c>
      <c r="V573" s="242">
        <v>0</v>
      </c>
      <c r="W573" s="11"/>
      <c r="X573" s="34"/>
    </row>
    <row r="574" spans="2:24" s="22" customFormat="1" ht="14.25">
      <c r="B574" s="6" t="s">
        <v>2495</v>
      </c>
      <c r="C574" s="249"/>
      <c r="D574" s="249"/>
      <c r="E574" s="266"/>
      <c r="F574" s="249"/>
      <c r="G574" s="232"/>
      <c r="H574" s="228"/>
      <c r="I574" s="242"/>
      <c r="J574" s="242"/>
      <c r="K574" s="242"/>
      <c r="L574" s="242"/>
      <c r="M574" s="242"/>
      <c r="N574" s="242"/>
      <c r="O574" s="242"/>
      <c r="P574" s="242"/>
      <c r="Q574" s="242"/>
      <c r="R574" s="242"/>
      <c r="S574" s="272"/>
      <c r="T574" s="242"/>
      <c r="U574" s="228"/>
      <c r="V574" s="228"/>
      <c r="W574" s="11"/>
      <c r="X574" s="34"/>
    </row>
    <row r="575" spans="2:24" s="22" customFormat="1" ht="27">
      <c r="B575" s="15">
        <v>1</v>
      </c>
      <c r="C575" s="249" t="s">
        <v>1600</v>
      </c>
      <c r="D575" s="249" t="s">
        <v>42</v>
      </c>
      <c r="E575" s="266">
        <v>32037</v>
      </c>
      <c r="F575" s="276" t="s">
        <v>1601</v>
      </c>
      <c r="G575" s="232">
        <v>40634</v>
      </c>
      <c r="H575" s="228" t="s">
        <v>368</v>
      </c>
      <c r="I575" s="270">
        <v>51591</v>
      </c>
      <c r="J575" s="242">
        <v>10958</v>
      </c>
      <c r="K575" s="242">
        <v>1096</v>
      </c>
      <c r="L575" s="242">
        <v>9862</v>
      </c>
      <c r="M575" s="242">
        <v>1602</v>
      </c>
      <c r="N575" s="242">
        <v>28869</v>
      </c>
      <c r="O575" s="242">
        <v>0</v>
      </c>
      <c r="P575" s="242">
        <v>29403</v>
      </c>
      <c r="Q575" s="242">
        <v>9497</v>
      </c>
      <c r="R575" s="242">
        <v>27801</v>
      </c>
      <c r="S575" s="250">
        <v>365</v>
      </c>
      <c r="T575" s="250">
        <v>1068</v>
      </c>
      <c r="U575" s="242">
        <v>7482</v>
      </c>
      <c r="V575" s="242">
        <v>21921</v>
      </c>
      <c r="W575" s="11"/>
      <c r="X575" s="34"/>
    </row>
    <row r="576" spans="2:24" s="22" customFormat="1" ht="14.25">
      <c r="B576" s="44" t="s">
        <v>2496</v>
      </c>
      <c r="C576" s="244"/>
      <c r="D576" s="234"/>
      <c r="E576" s="286"/>
      <c r="F576" s="234"/>
      <c r="G576" s="234"/>
      <c r="H576" s="239"/>
      <c r="I576" s="242"/>
      <c r="J576" s="242"/>
      <c r="K576" s="242"/>
      <c r="L576" s="242"/>
      <c r="M576" s="242"/>
      <c r="N576" s="242"/>
      <c r="O576" s="242"/>
      <c r="P576" s="242"/>
      <c r="Q576" s="242"/>
      <c r="R576" s="242"/>
      <c r="S576" s="272"/>
      <c r="T576" s="242"/>
      <c r="U576" s="228"/>
      <c r="V576" s="228"/>
      <c r="W576" s="11"/>
      <c r="X576" s="34"/>
    </row>
    <row r="577" spans="2:24" s="22" customFormat="1" ht="27">
      <c r="B577" s="18">
        <v>1</v>
      </c>
      <c r="C577" s="288" t="s">
        <v>1713</v>
      </c>
      <c r="D577" s="249" t="s">
        <v>42</v>
      </c>
      <c r="E577" s="289">
        <v>105336</v>
      </c>
      <c r="F577" s="287" t="s">
        <v>1714</v>
      </c>
      <c r="G577" s="232">
        <v>40942</v>
      </c>
      <c r="H577" s="288" t="s">
        <v>119</v>
      </c>
      <c r="I577" s="270">
        <v>51899</v>
      </c>
      <c r="J577" s="242">
        <v>10958</v>
      </c>
      <c r="K577" s="242">
        <v>788</v>
      </c>
      <c r="L577" s="242">
        <v>10170</v>
      </c>
      <c r="M577" s="242">
        <v>5267</v>
      </c>
      <c r="N577" s="242">
        <v>96363</v>
      </c>
      <c r="O577" s="242">
        <v>0</v>
      </c>
      <c r="P577" s="242">
        <v>98172</v>
      </c>
      <c r="Q577" s="242">
        <v>9805</v>
      </c>
      <c r="R577" s="242">
        <v>92905</v>
      </c>
      <c r="S577" s="250">
        <v>365</v>
      </c>
      <c r="T577" s="250">
        <v>3458</v>
      </c>
      <c r="U577" s="242">
        <v>24226</v>
      </c>
      <c r="V577" s="242">
        <v>73946</v>
      </c>
      <c r="W577" s="11"/>
      <c r="X577" s="34"/>
    </row>
    <row r="578" spans="2:24" s="22" customFormat="1" ht="40.5">
      <c r="B578" s="18">
        <v>2</v>
      </c>
      <c r="C578" s="288" t="s">
        <v>1718</v>
      </c>
      <c r="D578" s="249" t="s">
        <v>42</v>
      </c>
      <c r="E578" s="289">
        <v>131602</v>
      </c>
      <c r="F578" s="287" t="s">
        <v>1714</v>
      </c>
      <c r="G578" s="232">
        <v>40942</v>
      </c>
      <c r="H578" s="288" t="s">
        <v>368</v>
      </c>
      <c r="I578" s="270">
        <v>51899</v>
      </c>
      <c r="J578" s="242">
        <v>10958</v>
      </c>
      <c r="K578" s="242">
        <v>788</v>
      </c>
      <c r="L578" s="242">
        <v>10170</v>
      </c>
      <c r="M578" s="242">
        <v>6580</v>
      </c>
      <c r="N578" s="242">
        <v>120392</v>
      </c>
      <c r="O578" s="242">
        <v>0</v>
      </c>
      <c r="P578" s="242">
        <v>122651</v>
      </c>
      <c r="Q578" s="242">
        <v>9805</v>
      </c>
      <c r="R578" s="242">
        <v>116071</v>
      </c>
      <c r="S578" s="250">
        <v>365</v>
      </c>
      <c r="T578" s="250">
        <v>4321</v>
      </c>
      <c r="U578" s="242">
        <v>30271</v>
      </c>
      <c r="V578" s="242">
        <v>92380</v>
      </c>
      <c r="W578" s="11"/>
      <c r="X578" s="34"/>
    </row>
    <row r="579" spans="2:24" s="22" customFormat="1" ht="14.25">
      <c r="B579" s="73" t="s">
        <v>2497</v>
      </c>
      <c r="C579" s="290"/>
      <c r="D579" s="287"/>
      <c r="E579" s="291"/>
      <c r="F579" s="287"/>
      <c r="G579" s="287"/>
      <c r="H579" s="288"/>
      <c r="I579" s="242"/>
      <c r="J579" s="242"/>
      <c r="K579" s="242"/>
      <c r="L579" s="242"/>
      <c r="M579" s="242"/>
      <c r="N579" s="242"/>
      <c r="O579" s="242"/>
      <c r="P579" s="242"/>
      <c r="Q579" s="242"/>
      <c r="R579" s="242"/>
      <c r="S579" s="272"/>
      <c r="T579" s="242"/>
      <c r="U579" s="228"/>
      <c r="V579" s="228"/>
      <c r="W579" s="11"/>
      <c r="X579" s="34"/>
    </row>
    <row r="580" spans="2:24" s="22" customFormat="1" ht="27">
      <c r="B580" s="18">
        <v>1</v>
      </c>
      <c r="C580" s="288" t="s">
        <v>2064</v>
      </c>
      <c r="D580" s="249" t="s">
        <v>42</v>
      </c>
      <c r="E580" s="292">
        <v>810484</v>
      </c>
      <c r="F580" s="287" t="s">
        <v>2065</v>
      </c>
      <c r="G580" s="233">
        <v>41275</v>
      </c>
      <c r="H580" s="288" t="s">
        <v>368</v>
      </c>
      <c r="I580" s="270">
        <v>52231</v>
      </c>
      <c r="J580" s="242">
        <v>10957</v>
      </c>
      <c r="K580" s="242">
        <v>455</v>
      </c>
      <c r="L580" s="242">
        <v>10502</v>
      </c>
      <c r="M580" s="242">
        <v>40524</v>
      </c>
      <c r="N580" s="242">
        <v>753492</v>
      </c>
      <c r="O580" s="242">
        <v>0</v>
      </c>
      <c r="P580" s="242">
        <v>767828</v>
      </c>
      <c r="Q580" s="242">
        <v>10137</v>
      </c>
      <c r="R580" s="242">
        <v>727304</v>
      </c>
      <c r="S580" s="250">
        <v>365</v>
      </c>
      <c r="T580" s="250">
        <v>26188</v>
      </c>
      <c r="U580" s="242">
        <v>183460</v>
      </c>
      <c r="V580" s="242">
        <v>584368</v>
      </c>
      <c r="W580" s="11"/>
      <c r="X580" s="34"/>
    </row>
    <row r="581" spans="2:24" s="22" customFormat="1" ht="27">
      <c r="B581" s="18">
        <v>2</v>
      </c>
      <c r="C581" s="288" t="s">
        <v>2066</v>
      </c>
      <c r="D581" s="249" t="s">
        <v>42</v>
      </c>
      <c r="E581" s="292">
        <v>2209652</v>
      </c>
      <c r="F581" s="287" t="s">
        <v>2067</v>
      </c>
      <c r="G581" s="233">
        <v>41275</v>
      </c>
      <c r="H581" s="288" t="s">
        <v>368</v>
      </c>
      <c r="I581" s="270">
        <v>52231</v>
      </c>
      <c r="J581" s="242">
        <v>10957</v>
      </c>
      <c r="K581" s="242">
        <v>455</v>
      </c>
      <c r="L581" s="242">
        <v>10502</v>
      </c>
      <c r="M581" s="242">
        <v>110483</v>
      </c>
      <c r="N581" s="242">
        <v>2054271</v>
      </c>
      <c r="O581" s="242">
        <v>0</v>
      </c>
      <c r="P581" s="242">
        <v>2093357</v>
      </c>
      <c r="Q581" s="242">
        <v>10137</v>
      </c>
      <c r="R581" s="242">
        <v>1982874</v>
      </c>
      <c r="S581" s="250">
        <v>365</v>
      </c>
      <c r="T581" s="250">
        <v>71397</v>
      </c>
      <c r="U581" s="242">
        <v>500169</v>
      </c>
      <c r="V581" s="242">
        <v>1593188</v>
      </c>
      <c r="W581" s="11"/>
      <c r="X581" s="34"/>
    </row>
    <row r="582" spans="2:24" s="22" customFormat="1" ht="14.25">
      <c r="B582" s="59"/>
      <c r="C582" s="73"/>
      <c r="D582" s="18"/>
      <c r="E582" s="74"/>
      <c r="F582" s="18"/>
      <c r="G582" s="18"/>
      <c r="H582" s="59"/>
      <c r="I582" s="182"/>
      <c r="J582" s="182"/>
      <c r="K582" s="182"/>
      <c r="L582" s="182"/>
      <c r="M582" s="182"/>
      <c r="N582" s="182"/>
      <c r="O582" s="182"/>
      <c r="P582" s="182"/>
      <c r="Q582" s="182"/>
      <c r="R582" s="182"/>
      <c r="S582" s="24"/>
      <c r="T582" s="93"/>
      <c r="U582" s="93"/>
      <c r="V582" s="93"/>
      <c r="W582" s="11"/>
    </row>
    <row r="583" spans="2:24" ht="15" thickBot="1">
      <c r="B583" s="168"/>
      <c r="C583" s="222" t="s">
        <v>629</v>
      </c>
      <c r="D583" s="223"/>
      <c r="E583" s="264">
        <f>SUM(E6:E582)</f>
        <v>700649480</v>
      </c>
      <c r="F583" s="224"/>
      <c r="G583" s="223"/>
      <c r="H583" s="221"/>
      <c r="I583" s="202"/>
      <c r="J583" s="202"/>
      <c r="K583" s="202"/>
      <c r="L583" s="202"/>
      <c r="M583" s="202">
        <f>SUM(M7:M582)</f>
        <v>34929987</v>
      </c>
      <c r="N583" s="202">
        <f>SUM(N7:N582)</f>
        <v>656003170</v>
      </c>
      <c r="O583" s="202">
        <f>SUM(O7:O582)</f>
        <v>1730327</v>
      </c>
      <c r="P583" s="204">
        <f>SUM(P8:P582)-41871*0</f>
        <v>685286823</v>
      </c>
      <c r="Q583" s="204"/>
      <c r="R583" s="204">
        <f>SUM(R6:R582)</f>
        <v>639287470</v>
      </c>
      <c r="S583" s="265"/>
      <c r="T583" s="204">
        <f>SUM(T6:T582)</f>
        <v>26290249</v>
      </c>
      <c r="U583" s="204">
        <f>SUM(U6:U582)</f>
        <v>161372749</v>
      </c>
      <c r="V583" s="204">
        <f>SUM(V6:V582)</f>
        <v>523914074</v>
      </c>
      <c r="W583" s="11"/>
    </row>
    <row r="584" spans="2:24" ht="15" thickTop="1">
      <c r="C584" s="60"/>
      <c r="E584" s="4">
        <f>688997480+11652000-E583</f>
        <v>0</v>
      </c>
      <c r="F584" s="61"/>
      <c r="G584" s="9"/>
      <c r="I584" s="4"/>
      <c r="J584" s="4"/>
      <c r="K584" s="4"/>
      <c r="L584" s="4"/>
      <c r="M584" s="4"/>
      <c r="N584" s="4"/>
      <c r="O584" s="4"/>
      <c r="P584" s="56">
        <f>673634823+11652000-P583</f>
        <v>0</v>
      </c>
      <c r="Q584" s="56"/>
      <c r="R584" s="56"/>
      <c r="T584" s="4">
        <f>25184218+1106031-T583</f>
        <v>0</v>
      </c>
      <c r="U584" s="4">
        <f>157109227+4263522-U583</f>
        <v>0</v>
      </c>
      <c r="V584" s="4">
        <f>516525596+7388478-V583</f>
        <v>0</v>
      </c>
      <c r="W584" s="11"/>
    </row>
    <row r="585" spans="2:24" ht="14.25">
      <c r="C585" s="60"/>
      <c r="E585" s="56"/>
      <c r="F585" s="61"/>
      <c r="G585" s="9"/>
      <c r="I585" s="4"/>
      <c r="J585" s="4"/>
      <c r="K585" s="4"/>
      <c r="L585" s="4"/>
      <c r="M585" s="4"/>
      <c r="N585" s="4"/>
      <c r="O585" s="4"/>
      <c r="P585" s="56"/>
      <c r="Q585" s="56"/>
      <c r="R585" s="56"/>
      <c r="T585" s="16"/>
      <c r="W585" s="11"/>
    </row>
    <row r="586" spans="2:24" ht="14.25">
      <c r="E586" s="56">
        <f>E583+'Plant Buildings'!E29</f>
        <v>921502626</v>
      </c>
      <c r="W586" s="11"/>
    </row>
    <row r="587" spans="2:24">
      <c r="W587" s="11"/>
    </row>
    <row r="588" spans="2:24">
      <c r="W588" s="11"/>
    </row>
    <row r="589" spans="2:24">
      <c r="W589" s="11"/>
    </row>
    <row r="590" spans="2:24">
      <c r="W590" s="11"/>
    </row>
    <row r="591" spans="2:24">
      <c r="W591" s="11"/>
    </row>
    <row r="592" spans="2:24">
      <c r="W592" s="11"/>
    </row>
    <row r="593" spans="23:23">
      <c r="W593" s="11"/>
    </row>
    <row r="594" spans="23:23">
      <c r="W594" s="11"/>
    </row>
    <row r="595" spans="23:23">
      <c r="W595" s="11"/>
    </row>
    <row r="596" spans="23:23">
      <c r="W596" s="11"/>
    </row>
    <row r="597" spans="23:23">
      <c r="W597" s="11"/>
    </row>
    <row r="598" spans="23:23">
      <c r="W598" s="11"/>
    </row>
    <row r="599" spans="23:23">
      <c r="W599" s="11"/>
    </row>
    <row r="600" spans="23:23">
      <c r="W600" s="11"/>
    </row>
    <row r="601" spans="23:23">
      <c r="W601" s="11"/>
    </row>
    <row r="602" spans="23:23">
      <c r="W602" s="11"/>
    </row>
    <row r="603" spans="23:23">
      <c r="W603" s="11"/>
    </row>
    <row r="604" spans="23:23">
      <c r="W604" s="11"/>
    </row>
    <row r="605" spans="23:23">
      <c r="W605" s="11"/>
    </row>
    <row r="606" spans="23:23">
      <c r="W606" s="11"/>
    </row>
    <row r="607" spans="23:23">
      <c r="W607" s="11"/>
    </row>
    <row r="608" spans="23:23">
      <c r="W608" s="11"/>
    </row>
    <row r="609" spans="23:23">
      <c r="W609" s="11"/>
    </row>
    <row r="610" spans="23:23">
      <c r="W610" s="11"/>
    </row>
    <row r="611" spans="23:23">
      <c r="W611" s="11"/>
    </row>
    <row r="612" spans="23:23">
      <c r="W612" s="11"/>
    </row>
    <row r="613" spans="23:23">
      <c r="W613" s="11"/>
    </row>
    <row r="614" spans="23:23">
      <c r="W614" s="11"/>
    </row>
    <row r="615" spans="23:23">
      <c r="W615" s="11"/>
    </row>
    <row r="616" spans="23:23">
      <c r="W616" s="11"/>
    </row>
    <row r="617" spans="23:23">
      <c r="W617" s="11"/>
    </row>
    <row r="618" spans="23:23">
      <c r="W618" s="11"/>
    </row>
    <row r="619" spans="23:23">
      <c r="W619" s="11"/>
    </row>
    <row r="620" spans="23:23">
      <c r="W620" s="11"/>
    </row>
    <row r="621" spans="23:23">
      <c r="W621" s="11"/>
    </row>
    <row r="622" spans="23:23">
      <c r="W622" s="11"/>
    </row>
    <row r="623" spans="23:23">
      <c r="W623" s="11"/>
    </row>
    <row r="624" spans="23:23">
      <c r="W624" s="11"/>
    </row>
    <row r="625" spans="23:23">
      <c r="W625" s="11"/>
    </row>
    <row r="626" spans="23:23">
      <c r="W626" s="11"/>
    </row>
    <row r="627" spans="23:23">
      <c r="W627" s="11"/>
    </row>
    <row r="628" spans="23:23">
      <c r="W628" s="11"/>
    </row>
    <row r="629" spans="23:23">
      <c r="W629" s="11"/>
    </row>
    <row r="630" spans="23:23">
      <c r="W630" s="11"/>
    </row>
    <row r="631" spans="23:23">
      <c r="W631" s="11"/>
    </row>
    <row r="632" spans="23:23">
      <c r="W632" s="11"/>
    </row>
    <row r="633" spans="23:23">
      <c r="W633" s="11"/>
    </row>
    <row r="634" spans="23:23">
      <c r="W634" s="11"/>
    </row>
    <row r="635" spans="23:23">
      <c r="W635" s="11"/>
    </row>
    <row r="636" spans="23:23">
      <c r="W636" s="11"/>
    </row>
    <row r="637" spans="23:23">
      <c r="W637" s="11"/>
    </row>
    <row r="638" spans="23:23">
      <c r="W638" s="11"/>
    </row>
    <row r="639" spans="23:23">
      <c r="W639" s="11"/>
    </row>
    <row r="640" spans="23:23">
      <c r="W640" s="11"/>
    </row>
    <row r="641" spans="23:23">
      <c r="W641" s="11"/>
    </row>
    <row r="642" spans="23:23">
      <c r="W642" s="11"/>
    </row>
    <row r="643" spans="23:23">
      <c r="W643" s="11"/>
    </row>
    <row r="644" spans="23:23">
      <c r="W644" s="11"/>
    </row>
    <row r="645" spans="23:23">
      <c r="W645" s="11"/>
    </row>
    <row r="646" spans="23:23">
      <c r="W646" s="11"/>
    </row>
    <row r="647" spans="23:23">
      <c r="W647" s="11"/>
    </row>
    <row r="648" spans="23:23">
      <c r="W648" s="11"/>
    </row>
    <row r="649" spans="23:23">
      <c r="W649" s="11"/>
    </row>
    <row r="650" spans="23:23">
      <c r="W650" s="11"/>
    </row>
    <row r="651" spans="23:23">
      <c r="W651" s="11"/>
    </row>
    <row r="652" spans="23:23">
      <c r="W652" s="11"/>
    </row>
    <row r="653" spans="23:23">
      <c r="W653" s="11"/>
    </row>
    <row r="654" spans="23:23">
      <c r="W654" s="11"/>
    </row>
    <row r="655" spans="23:23">
      <c r="W655" s="11"/>
    </row>
    <row r="656" spans="23:23">
      <c r="W656" s="11"/>
    </row>
    <row r="657" spans="23:23">
      <c r="W657" s="11"/>
    </row>
    <row r="658" spans="23:23">
      <c r="W658" s="11"/>
    </row>
    <row r="659" spans="23:23">
      <c r="W659" s="11"/>
    </row>
    <row r="660" spans="23:23">
      <c r="W660" s="11"/>
    </row>
    <row r="661" spans="23:23">
      <c r="W661" s="11"/>
    </row>
    <row r="662" spans="23:23">
      <c r="W662" s="11"/>
    </row>
    <row r="663" spans="23:23">
      <c r="W663" s="11"/>
    </row>
    <row r="664" spans="23:23">
      <c r="W664" s="11"/>
    </row>
    <row r="665" spans="23:23">
      <c r="W665" s="11"/>
    </row>
    <row r="666" spans="23:23">
      <c r="W666" s="11"/>
    </row>
    <row r="667" spans="23:23">
      <c r="W667" s="11"/>
    </row>
    <row r="668" spans="23:23">
      <c r="W668" s="11"/>
    </row>
    <row r="669" spans="23:23">
      <c r="W669" s="11"/>
    </row>
    <row r="670" spans="23:23">
      <c r="W670" s="11"/>
    </row>
    <row r="671" spans="23:23">
      <c r="W671" s="11"/>
    </row>
    <row r="672" spans="23:23">
      <c r="W672" s="11"/>
    </row>
    <row r="673" spans="23:23">
      <c r="W673" s="11"/>
    </row>
    <row r="674" spans="23:23">
      <c r="W674" s="11"/>
    </row>
    <row r="675" spans="23:23">
      <c r="W675" s="11"/>
    </row>
    <row r="676" spans="23:23">
      <c r="W676" s="11"/>
    </row>
    <row r="677" spans="23:23">
      <c r="W677" s="11"/>
    </row>
    <row r="678" spans="23:23">
      <c r="W678" s="11"/>
    </row>
    <row r="679" spans="23:23">
      <c r="W679" s="11"/>
    </row>
    <row r="680" spans="23:23">
      <c r="W680" s="11"/>
    </row>
    <row r="681" spans="23:23">
      <c r="W681" s="11"/>
    </row>
    <row r="682" spans="23:23">
      <c r="W682" s="11"/>
    </row>
    <row r="683" spans="23:23">
      <c r="W683" s="11"/>
    </row>
    <row r="684" spans="23:23">
      <c r="W684" s="11"/>
    </row>
    <row r="685" spans="23:23">
      <c r="W685" s="11"/>
    </row>
    <row r="686" spans="23:23">
      <c r="W686" s="11"/>
    </row>
    <row r="687" spans="23:23">
      <c r="W687" s="11"/>
    </row>
    <row r="688" spans="23:23">
      <c r="W688" s="11"/>
    </row>
    <row r="689" spans="23:23">
      <c r="W689" s="11"/>
    </row>
    <row r="690" spans="23:23">
      <c r="W690" s="11"/>
    </row>
    <row r="691" spans="23:23">
      <c r="W691" s="11"/>
    </row>
    <row r="692" spans="23:23">
      <c r="W692" s="11"/>
    </row>
    <row r="693" spans="23:23">
      <c r="W693" s="11"/>
    </row>
    <row r="694" spans="23:23">
      <c r="W694" s="11"/>
    </row>
    <row r="695" spans="23:23">
      <c r="W695" s="11"/>
    </row>
    <row r="696" spans="23:23">
      <c r="W696" s="11"/>
    </row>
    <row r="697" spans="23:23">
      <c r="W697" s="11"/>
    </row>
    <row r="698" spans="23:23">
      <c r="W698" s="11"/>
    </row>
    <row r="699" spans="23:23">
      <c r="W699" s="11"/>
    </row>
    <row r="700" spans="23:23">
      <c r="W700" s="11"/>
    </row>
    <row r="701" spans="23:23">
      <c r="W701" s="11"/>
    </row>
    <row r="702" spans="23:23">
      <c r="W702" s="11"/>
    </row>
    <row r="703" spans="23:23">
      <c r="W703" s="11"/>
    </row>
    <row r="704" spans="23:23">
      <c r="W704" s="11"/>
    </row>
    <row r="705" spans="23:23">
      <c r="W705" s="11"/>
    </row>
    <row r="706" spans="23:23">
      <c r="W706" s="11"/>
    </row>
    <row r="707" spans="23:23">
      <c r="W707" s="11"/>
    </row>
    <row r="708" spans="23:23">
      <c r="W708" s="11"/>
    </row>
    <row r="709" spans="23:23">
      <c r="W709" s="11"/>
    </row>
    <row r="710" spans="23:23">
      <c r="W710" s="11"/>
    </row>
    <row r="711" spans="23:23">
      <c r="W711" s="11"/>
    </row>
    <row r="712" spans="23:23">
      <c r="W712" s="11"/>
    </row>
    <row r="713" spans="23:23">
      <c r="W713" s="11"/>
    </row>
    <row r="714" spans="23:23">
      <c r="W714" s="11"/>
    </row>
    <row r="715" spans="23:23">
      <c r="W715" s="11"/>
    </row>
    <row r="716" spans="23:23">
      <c r="W716" s="11"/>
    </row>
    <row r="717" spans="23:23">
      <c r="W717" s="11"/>
    </row>
    <row r="718" spans="23:23">
      <c r="W718" s="11"/>
    </row>
    <row r="719" spans="23:23">
      <c r="W719" s="11"/>
    </row>
    <row r="720" spans="23:23">
      <c r="W720" s="11"/>
    </row>
    <row r="721" spans="23:23">
      <c r="W721" s="11"/>
    </row>
    <row r="722" spans="23:23">
      <c r="W722" s="11"/>
    </row>
    <row r="723" spans="23:23">
      <c r="W723" s="11"/>
    </row>
    <row r="724" spans="23:23">
      <c r="W724" s="11"/>
    </row>
    <row r="725" spans="23:23">
      <c r="W725" s="11"/>
    </row>
    <row r="726" spans="23:23">
      <c r="W726" s="11"/>
    </row>
    <row r="727" spans="23:23">
      <c r="W727" s="11"/>
    </row>
    <row r="728" spans="23:23">
      <c r="W728" s="11"/>
    </row>
    <row r="729" spans="23:23">
      <c r="W729" s="11"/>
    </row>
    <row r="730" spans="23:23">
      <c r="W730" s="11"/>
    </row>
    <row r="731" spans="23:23">
      <c r="W731" s="11"/>
    </row>
    <row r="732" spans="23:23">
      <c r="W732" s="11"/>
    </row>
    <row r="733" spans="23:23">
      <c r="W733" s="11"/>
    </row>
    <row r="734" spans="23:23">
      <c r="W734" s="11"/>
    </row>
    <row r="735" spans="23:23">
      <c r="W735" s="11"/>
    </row>
    <row r="736" spans="23:23">
      <c r="W736" s="11"/>
    </row>
    <row r="737" spans="23:23">
      <c r="W737" s="11"/>
    </row>
    <row r="738" spans="23:23">
      <c r="W738" s="11"/>
    </row>
    <row r="739" spans="23:23">
      <c r="W739" s="11"/>
    </row>
    <row r="740" spans="23:23">
      <c r="W740" s="11"/>
    </row>
    <row r="741" spans="23:23">
      <c r="W741" s="11"/>
    </row>
    <row r="742" spans="23:23">
      <c r="W742" s="11"/>
    </row>
    <row r="743" spans="23:23">
      <c r="W743" s="11"/>
    </row>
    <row r="744" spans="23:23">
      <c r="W744" s="11"/>
    </row>
    <row r="745" spans="23:23">
      <c r="W745" s="11"/>
    </row>
    <row r="746" spans="23:23">
      <c r="W746" s="11"/>
    </row>
    <row r="747" spans="23:23">
      <c r="W747" s="11"/>
    </row>
    <row r="748" spans="23:23">
      <c r="W748" s="11"/>
    </row>
    <row r="749" spans="23:23">
      <c r="W749" s="11"/>
    </row>
    <row r="750" spans="23:23">
      <c r="W750" s="11"/>
    </row>
    <row r="751" spans="23:23">
      <c r="W751" s="11"/>
    </row>
    <row r="752" spans="23:23">
      <c r="W752" s="11"/>
    </row>
    <row r="753" spans="1:51">
      <c r="W753" s="11"/>
    </row>
    <row r="754" spans="1:51">
      <c r="W754" s="11"/>
    </row>
    <row r="755" spans="1:51">
      <c r="W755" s="11"/>
    </row>
    <row r="756" spans="1:51">
      <c r="W756" s="11"/>
    </row>
    <row r="757" spans="1:51">
      <c r="W757" s="11"/>
    </row>
    <row r="758" spans="1:51">
      <c r="W758" s="11"/>
    </row>
    <row r="759" spans="1:51">
      <c r="W759" s="11"/>
    </row>
    <row r="760" spans="1:51">
      <c r="W760" s="11"/>
    </row>
    <row r="761" spans="1:51">
      <c r="W761" s="11"/>
    </row>
    <row r="762" spans="1:51">
      <c r="W762" s="11"/>
    </row>
    <row r="763" spans="1:51">
      <c r="W763" s="11"/>
    </row>
    <row r="764" spans="1:51">
      <c r="W764" s="11"/>
    </row>
    <row r="765" spans="1:51">
      <c r="W765" s="11"/>
    </row>
    <row r="766" spans="1:51">
      <c r="W766" s="11"/>
    </row>
    <row r="767" spans="1:51">
      <c r="W767" s="11"/>
    </row>
    <row r="768" spans="1:51" s="55" customFormat="1">
      <c r="A768" s="5"/>
      <c r="B768" s="5"/>
      <c r="C768" s="20"/>
      <c r="D768" s="9"/>
      <c r="F768" s="29"/>
      <c r="G768" s="5"/>
      <c r="H768" s="20"/>
      <c r="I768" s="5"/>
      <c r="J768" s="5"/>
      <c r="K768" s="5"/>
      <c r="L768" s="5"/>
      <c r="M768" s="5"/>
      <c r="N768" s="5"/>
      <c r="O768" s="5"/>
      <c r="S768" s="5"/>
      <c r="T768" s="5"/>
      <c r="U768" s="5"/>
      <c r="V768" s="5"/>
      <c r="W768" s="11"/>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c r="AX768" s="5"/>
      <c r="AY768" s="5"/>
    </row>
    <row r="769" spans="1:51" s="55" customFormat="1">
      <c r="A769" s="5"/>
      <c r="B769" s="5"/>
      <c r="C769" s="20"/>
      <c r="D769" s="9"/>
      <c r="F769" s="29"/>
      <c r="G769" s="5"/>
      <c r="H769" s="20"/>
      <c r="I769" s="5"/>
      <c r="J769" s="5"/>
      <c r="K769" s="5"/>
      <c r="L769" s="5"/>
      <c r="M769" s="5"/>
      <c r="N769" s="5"/>
      <c r="O769" s="5"/>
      <c r="S769" s="5"/>
      <c r="T769" s="5"/>
      <c r="U769" s="5"/>
      <c r="V769" s="5"/>
      <c r="W769" s="11"/>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c r="AX769" s="5"/>
      <c r="AY769" s="5"/>
    </row>
    <row r="770" spans="1:51" s="55" customFormat="1">
      <c r="A770" s="5"/>
      <c r="B770" s="5"/>
      <c r="C770" s="20"/>
      <c r="D770" s="9"/>
      <c r="F770" s="29"/>
      <c r="G770" s="5"/>
      <c r="H770" s="20"/>
      <c r="I770" s="5"/>
      <c r="J770" s="5"/>
      <c r="K770" s="5"/>
      <c r="L770" s="5"/>
      <c r="M770" s="5"/>
      <c r="N770" s="5"/>
      <c r="O770" s="5"/>
      <c r="S770" s="5"/>
      <c r="T770" s="5"/>
      <c r="U770" s="5"/>
      <c r="V770" s="5"/>
      <c r="W770" s="11"/>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row>
    <row r="771" spans="1:51" s="55" customFormat="1">
      <c r="A771" s="5"/>
      <c r="B771" s="5"/>
      <c r="C771" s="20"/>
      <c r="D771" s="9"/>
      <c r="F771" s="29"/>
      <c r="G771" s="5"/>
      <c r="H771" s="20"/>
      <c r="I771" s="5"/>
      <c r="J771" s="5"/>
      <c r="K771" s="5"/>
      <c r="L771" s="5"/>
      <c r="M771" s="5"/>
      <c r="N771" s="5"/>
      <c r="O771" s="5"/>
      <c r="S771" s="5"/>
      <c r="T771" s="5"/>
      <c r="U771" s="5"/>
      <c r="V771" s="5"/>
      <c r="W771" s="11"/>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row>
    <row r="772" spans="1:51" s="55" customFormat="1">
      <c r="A772" s="5"/>
      <c r="B772" s="5"/>
      <c r="C772" s="20"/>
      <c r="D772" s="9"/>
      <c r="F772" s="29"/>
      <c r="G772" s="5"/>
      <c r="H772" s="20"/>
      <c r="I772" s="5"/>
      <c r="J772" s="5"/>
      <c r="K772" s="5"/>
      <c r="L772" s="5"/>
      <c r="M772" s="5"/>
      <c r="N772" s="5"/>
      <c r="O772" s="5"/>
      <c r="S772" s="5"/>
      <c r="T772" s="5"/>
      <c r="U772" s="5"/>
      <c r="V772" s="5"/>
      <c r="W772" s="11"/>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c r="AY772" s="5"/>
    </row>
    <row r="773" spans="1:51" s="55" customFormat="1">
      <c r="A773" s="5"/>
      <c r="B773" s="5"/>
      <c r="C773" s="20"/>
      <c r="D773" s="9"/>
      <c r="F773" s="29"/>
      <c r="G773" s="5"/>
      <c r="H773" s="20"/>
      <c r="I773" s="5"/>
      <c r="J773" s="5"/>
      <c r="K773" s="5"/>
      <c r="L773" s="5"/>
      <c r="M773" s="5"/>
      <c r="N773" s="5"/>
      <c r="O773" s="5"/>
      <c r="S773" s="5"/>
      <c r="T773" s="5"/>
      <c r="U773" s="5"/>
      <c r="V773" s="5"/>
      <c r="W773" s="11"/>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c r="AX773" s="5"/>
      <c r="AY773" s="5"/>
    </row>
    <row r="774" spans="1:51" s="55" customFormat="1">
      <c r="A774" s="5"/>
      <c r="B774" s="5"/>
      <c r="C774" s="20"/>
      <c r="D774" s="9"/>
      <c r="F774" s="29"/>
      <c r="G774" s="5"/>
      <c r="H774" s="20"/>
      <c r="I774" s="5"/>
      <c r="J774" s="5"/>
      <c r="K774" s="5"/>
      <c r="L774" s="5"/>
      <c r="M774" s="5"/>
      <c r="N774" s="5"/>
      <c r="O774" s="5"/>
      <c r="S774" s="5"/>
      <c r="T774" s="5"/>
      <c r="U774" s="5"/>
      <c r="V774" s="5"/>
      <c r="W774" s="11"/>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row>
    <row r="775" spans="1:51" s="55" customFormat="1">
      <c r="A775" s="5"/>
      <c r="B775" s="5"/>
      <c r="C775" s="20"/>
      <c r="D775" s="9"/>
      <c r="F775" s="29"/>
      <c r="G775" s="5"/>
      <c r="H775" s="20"/>
      <c r="I775" s="5"/>
      <c r="J775" s="5"/>
      <c r="K775" s="5"/>
      <c r="L775" s="5"/>
      <c r="M775" s="5"/>
      <c r="N775" s="5"/>
      <c r="O775" s="5"/>
      <c r="S775" s="5"/>
      <c r="T775" s="5"/>
      <c r="U775" s="5"/>
      <c r="V775" s="5"/>
      <c r="W775" s="11"/>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c r="AX775" s="5"/>
      <c r="AY775" s="5"/>
    </row>
    <row r="776" spans="1:51" s="55" customFormat="1">
      <c r="A776" s="5"/>
      <c r="B776" s="5"/>
      <c r="C776" s="20"/>
      <c r="D776" s="9"/>
      <c r="F776" s="29"/>
      <c r="G776" s="5"/>
      <c r="H776" s="20"/>
      <c r="I776" s="5"/>
      <c r="J776" s="5"/>
      <c r="K776" s="5"/>
      <c r="L776" s="5"/>
      <c r="M776" s="5"/>
      <c r="N776" s="5"/>
      <c r="O776" s="5"/>
      <c r="S776" s="5"/>
      <c r="T776" s="5"/>
      <c r="U776" s="5"/>
      <c r="V776" s="5"/>
      <c r="W776" s="11"/>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row>
    <row r="777" spans="1:51" s="55" customFormat="1">
      <c r="A777" s="5"/>
      <c r="B777" s="5"/>
      <c r="C777" s="20"/>
      <c r="D777" s="9"/>
      <c r="F777" s="29"/>
      <c r="G777" s="5"/>
      <c r="H777" s="20"/>
      <c r="I777" s="5"/>
      <c r="J777" s="5"/>
      <c r="K777" s="5"/>
      <c r="L777" s="5"/>
      <c r="M777" s="5"/>
      <c r="N777" s="5"/>
      <c r="O777" s="5"/>
      <c r="S777" s="5"/>
      <c r="T777" s="5"/>
      <c r="U777" s="5"/>
      <c r="V777" s="5"/>
      <c r="W777" s="11"/>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c r="AX777" s="5"/>
      <c r="AY777" s="5"/>
    </row>
    <row r="778" spans="1:51" s="55" customFormat="1">
      <c r="A778" s="5"/>
      <c r="B778" s="5"/>
      <c r="C778" s="20"/>
      <c r="D778" s="9"/>
      <c r="F778" s="29"/>
      <c r="G778" s="5"/>
      <c r="H778" s="20"/>
      <c r="I778" s="5"/>
      <c r="J778" s="5"/>
      <c r="K778" s="5"/>
      <c r="L778" s="5"/>
      <c r="M778" s="5"/>
      <c r="N778" s="5"/>
      <c r="O778" s="5"/>
      <c r="S778" s="5"/>
      <c r="T778" s="5"/>
      <c r="U778" s="5"/>
      <c r="V778" s="5"/>
      <c r="W778" s="11"/>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c r="AX778" s="5"/>
      <c r="AY778" s="5"/>
    </row>
    <row r="779" spans="1:51" s="55" customFormat="1">
      <c r="A779" s="5"/>
      <c r="B779" s="5"/>
      <c r="C779" s="20"/>
      <c r="D779" s="9"/>
      <c r="F779" s="29"/>
      <c r="G779" s="5"/>
      <c r="H779" s="20"/>
      <c r="I779" s="5"/>
      <c r="J779" s="5"/>
      <c r="K779" s="5"/>
      <c r="L779" s="5"/>
      <c r="M779" s="5"/>
      <c r="N779" s="5"/>
      <c r="O779" s="5"/>
      <c r="S779" s="5"/>
      <c r="T779" s="5"/>
      <c r="U779" s="5"/>
      <c r="V779" s="5"/>
      <c r="W779" s="11"/>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c r="AX779" s="5"/>
      <c r="AY779" s="5"/>
    </row>
    <row r="780" spans="1:51" s="55" customFormat="1">
      <c r="A780" s="5"/>
      <c r="B780" s="5"/>
      <c r="C780" s="20"/>
      <c r="D780" s="9"/>
      <c r="F780" s="29"/>
      <c r="G780" s="5"/>
      <c r="H780" s="20"/>
      <c r="I780" s="5"/>
      <c r="J780" s="5"/>
      <c r="K780" s="5"/>
      <c r="L780" s="5"/>
      <c r="M780" s="5"/>
      <c r="N780" s="5"/>
      <c r="O780" s="5"/>
      <c r="S780" s="5"/>
      <c r="T780" s="5"/>
      <c r="U780" s="5"/>
      <c r="V780" s="5"/>
      <c r="W780" s="11"/>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row>
    <row r="781" spans="1:51" s="55" customFormat="1">
      <c r="A781" s="5"/>
      <c r="B781" s="5"/>
      <c r="C781" s="20"/>
      <c r="D781" s="9"/>
      <c r="F781" s="29"/>
      <c r="G781" s="5"/>
      <c r="H781" s="20"/>
      <c r="I781" s="5"/>
      <c r="J781" s="5"/>
      <c r="K781" s="5"/>
      <c r="L781" s="5"/>
      <c r="M781" s="5"/>
      <c r="N781" s="5"/>
      <c r="O781" s="5"/>
      <c r="S781" s="5"/>
      <c r="T781" s="5"/>
      <c r="U781" s="5"/>
      <c r="V781" s="5"/>
      <c r="W781" s="11"/>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c r="AX781" s="5"/>
      <c r="AY781" s="5"/>
    </row>
    <row r="782" spans="1:51" s="55" customFormat="1">
      <c r="A782" s="5"/>
      <c r="B782" s="5"/>
      <c r="C782" s="20"/>
      <c r="D782" s="9"/>
      <c r="F782" s="29"/>
      <c r="G782" s="5"/>
      <c r="H782" s="20"/>
      <c r="I782" s="5"/>
      <c r="J782" s="5"/>
      <c r="K782" s="5"/>
      <c r="L782" s="5"/>
      <c r="M782" s="5"/>
      <c r="N782" s="5"/>
      <c r="O782" s="5"/>
      <c r="S782" s="5"/>
      <c r="T782" s="5"/>
      <c r="U782" s="5"/>
      <c r="V782" s="5"/>
      <c r="W782" s="11"/>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c r="AX782" s="5"/>
      <c r="AY782" s="5"/>
    </row>
    <row r="783" spans="1:51" s="55" customFormat="1">
      <c r="A783" s="5"/>
      <c r="B783" s="5"/>
      <c r="C783" s="20"/>
      <c r="D783" s="9"/>
      <c r="F783" s="29"/>
      <c r="G783" s="5"/>
      <c r="H783" s="20"/>
      <c r="I783" s="5"/>
      <c r="J783" s="5"/>
      <c r="K783" s="5"/>
      <c r="L783" s="5"/>
      <c r="M783" s="5"/>
      <c r="N783" s="5"/>
      <c r="O783" s="5"/>
      <c r="S783" s="5"/>
      <c r="T783" s="5"/>
      <c r="U783" s="5"/>
      <c r="V783" s="5"/>
      <c r="W783" s="11"/>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c r="AX783" s="5"/>
      <c r="AY783" s="5"/>
    </row>
    <row r="784" spans="1:51" s="55" customFormat="1">
      <c r="A784" s="5"/>
      <c r="B784" s="5"/>
      <c r="C784" s="20"/>
      <c r="D784" s="9"/>
      <c r="F784" s="29"/>
      <c r="G784" s="5"/>
      <c r="H784" s="20"/>
      <c r="I784" s="5"/>
      <c r="J784" s="5"/>
      <c r="K784" s="5"/>
      <c r="L784" s="5"/>
      <c r="M784" s="5"/>
      <c r="N784" s="5"/>
      <c r="O784" s="5"/>
      <c r="S784" s="5"/>
      <c r="T784" s="5"/>
      <c r="U784" s="5"/>
      <c r="V784" s="5"/>
      <c r="W784" s="11"/>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c r="AX784" s="5"/>
      <c r="AY784" s="5"/>
    </row>
    <row r="785" spans="1:51" s="55" customFormat="1">
      <c r="A785" s="5"/>
      <c r="B785" s="5"/>
      <c r="C785" s="20"/>
      <c r="D785" s="9"/>
      <c r="F785" s="29"/>
      <c r="G785" s="5"/>
      <c r="H785" s="20"/>
      <c r="I785" s="5"/>
      <c r="J785" s="5"/>
      <c r="K785" s="5"/>
      <c r="L785" s="5"/>
      <c r="M785" s="5"/>
      <c r="N785" s="5"/>
      <c r="O785" s="5"/>
      <c r="S785" s="5"/>
      <c r="T785" s="5"/>
      <c r="U785" s="5"/>
      <c r="V785" s="5"/>
      <c r="W785" s="11"/>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c r="AX785" s="5"/>
      <c r="AY785" s="5"/>
    </row>
    <row r="786" spans="1:51" s="55" customFormat="1">
      <c r="A786" s="5"/>
      <c r="B786" s="5"/>
      <c r="C786" s="20"/>
      <c r="D786" s="9"/>
      <c r="F786" s="29"/>
      <c r="G786" s="5"/>
      <c r="H786" s="20"/>
      <c r="I786" s="5"/>
      <c r="J786" s="5"/>
      <c r="K786" s="5"/>
      <c r="L786" s="5"/>
      <c r="M786" s="5"/>
      <c r="N786" s="5"/>
      <c r="O786" s="5"/>
      <c r="S786" s="5"/>
      <c r="T786" s="5"/>
      <c r="U786" s="5"/>
      <c r="V786" s="5"/>
      <c r="W786" s="11"/>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c r="AX786" s="5"/>
      <c r="AY786" s="5"/>
    </row>
    <row r="787" spans="1:51" s="55" customFormat="1">
      <c r="A787" s="5"/>
      <c r="B787" s="5"/>
      <c r="C787" s="20"/>
      <c r="D787" s="9"/>
      <c r="F787" s="29"/>
      <c r="G787" s="5"/>
      <c r="H787" s="20"/>
      <c r="I787" s="5"/>
      <c r="J787" s="5"/>
      <c r="K787" s="5"/>
      <c r="L787" s="5"/>
      <c r="M787" s="5"/>
      <c r="N787" s="5"/>
      <c r="O787" s="5"/>
      <c r="S787" s="5"/>
      <c r="T787" s="5"/>
      <c r="U787" s="5"/>
      <c r="V787" s="5"/>
      <c r="W787" s="11"/>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c r="AX787" s="5"/>
      <c r="AY787" s="5"/>
    </row>
    <row r="788" spans="1:51" s="55" customFormat="1">
      <c r="A788" s="5"/>
      <c r="B788" s="5"/>
      <c r="C788" s="20"/>
      <c r="D788" s="9"/>
      <c r="F788" s="29"/>
      <c r="G788" s="5"/>
      <c r="H788" s="20"/>
      <c r="I788" s="5"/>
      <c r="J788" s="5"/>
      <c r="K788" s="5"/>
      <c r="L788" s="5"/>
      <c r="M788" s="5"/>
      <c r="N788" s="5"/>
      <c r="O788" s="5"/>
      <c r="S788" s="5"/>
      <c r="T788" s="5"/>
      <c r="U788" s="5"/>
      <c r="V788" s="5"/>
      <c r="W788" s="11"/>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row>
    <row r="789" spans="1:51" s="55" customFormat="1">
      <c r="A789" s="5"/>
      <c r="B789" s="5"/>
      <c r="C789" s="20"/>
      <c r="D789" s="9"/>
      <c r="F789" s="29"/>
      <c r="G789" s="5"/>
      <c r="H789" s="20"/>
      <c r="I789" s="5"/>
      <c r="J789" s="5"/>
      <c r="K789" s="5"/>
      <c r="L789" s="5"/>
      <c r="M789" s="5"/>
      <c r="N789" s="5"/>
      <c r="O789" s="5"/>
      <c r="S789" s="5"/>
      <c r="T789" s="5"/>
      <c r="U789" s="5"/>
      <c r="V789" s="5"/>
      <c r="W789" s="11"/>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c r="AX789" s="5"/>
      <c r="AY789" s="5"/>
    </row>
    <row r="790" spans="1:51" s="55" customFormat="1">
      <c r="A790" s="5"/>
      <c r="B790" s="5"/>
      <c r="C790" s="20"/>
      <c r="D790" s="9"/>
      <c r="F790" s="29"/>
      <c r="G790" s="5"/>
      <c r="H790" s="20"/>
      <c r="I790" s="5"/>
      <c r="J790" s="5"/>
      <c r="K790" s="5"/>
      <c r="L790" s="5"/>
      <c r="M790" s="5"/>
      <c r="N790" s="5"/>
      <c r="O790" s="5"/>
      <c r="S790" s="5"/>
      <c r="T790" s="5"/>
      <c r="U790" s="5"/>
      <c r="V790" s="5"/>
      <c r="W790" s="11"/>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c r="AX790" s="5"/>
      <c r="AY790" s="5"/>
    </row>
    <row r="791" spans="1:51" s="55" customFormat="1">
      <c r="A791" s="5"/>
      <c r="B791" s="5"/>
      <c r="C791" s="20"/>
      <c r="D791" s="9"/>
      <c r="F791" s="29"/>
      <c r="G791" s="5"/>
      <c r="H791" s="20"/>
      <c r="I791" s="5"/>
      <c r="J791" s="5"/>
      <c r="K791" s="5"/>
      <c r="L791" s="5"/>
      <c r="M791" s="5"/>
      <c r="N791" s="5"/>
      <c r="O791" s="5"/>
      <c r="S791" s="5"/>
      <c r="T791" s="5"/>
      <c r="U791" s="5"/>
      <c r="V791" s="5"/>
      <c r="W791" s="11"/>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c r="AX791" s="5"/>
      <c r="AY791" s="5"/>
    </row>
    <row r="792" spans="1:51" s="55" customFormat="1">
      <c r="A792" s="5"/>
      <c r="B792" s="5"/>
      <c r="C792" s="20"/>
      <c r="D792" s="9"/>
      <c r="F792" s="29"/>
      <c r="G792" s="5"/>
      <c r="H792" s="20"/>
      <c r="I792" s="5"/>
      <c r="J792" s="5"/>
      <c r="K792" s="5"/>
      <c r="L792" s="5"/>
      <c r="M792" s="5"/>
      <c r="N792" s="5"/>
      <c r="O792" s="5"/>
      <c r="S792" s="5"/>
      <c r="T792" s="5"/>
      <c r="U792" s="5"/>
      <c r="V792" s="5"/>
      <c r="W792" s="11"/>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c r="AX792" s="5"/>
      <c r="AY792" s="5"/>
    </row>
    <row r="793" spans="1:51" s="55" customFormat="1">
      <c r="A793" s="5"/>
      <c r="B793" s="5"/>
      <c r="C793" s="20"/>
      <c r="D793" s="9"/>
      <c r="F793" s="29"/>
      <c r="G793" s="5"/>
      <c r="H793" s="20"/>
      <c r="I793" s="5"/>
      <c r="J793" s="5"/>
      <c r="K793" s="5"/>
      <c r="L793" s="5"/>
      <c r="M793" s="5"/>
      <c r="N793" s="5"/>
      <c r="O793" s="5"/>
      <c r="S793" s="5"/>
      <c r="T793" s="5"/>
      <c r="U793" s="5"/>
      <c r="V793" s="5"/>
      <c r="W793" s="11"/>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row>
    <row r="794" spans="1:51" s="55" customFormat="1">
      <c r="A794" s="5"/>
      <c r="B794" s="5"/>
      <c r="C794" s="20"/>
      <c r="D794" s="9"/>
      <c r="F794" s="29"/>
      <c r="G794" s="5"/>
      <c r="H794" s="20"/>
      <c r="I794" s="5"/>
      <c r="J794" s="5"/>
      <c r="K794" s="5"/>
      <c r="L794" s="5"/>
      <c r="M794" s="5"/>
      <c r="N794" s="5"/>
      <c r="O794" s="5"/>
      <c r="S794" s="5"/>
      <c r="T794" s="5"/>
      <c r="U794" s="5"/>
      <c r="V794" s="5"/>
      <c r="W794" s="11"/>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c r="AX794" s="5"/>
      <c r="AY794" s="5"/>
    </row>
    <row r="795" spans="1:51" s="55" customFormat="1">
      <c r="A795" s="5"/>
      <c r="B795" s="5"/>
      <c r="C795" s="20"/>
      <c r="D795" s="9"/>
      <c r="F795" s="29"/>
      <c r="G795" s="5"/>
      <c r="H795" s="20"/>
      <c r="I795" s="5"/>
      <c r="J795" s="5"/>
      <c r="K795" s="5"/>
      <c r="L795" s="5"/>
      <c r="M795" s="5"/>
      <c r="N795" s="5"/>
      <c r="O795" s="5"/>
      <c r="S795" s="5"/>
      <c r="T795" s="5"/>
      <c r="U795" s="5"/>
      <c r="V795" s="5"/>
      <c r="W795" s="11"/>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c r="AX795" s="5"/>
      <c r="AY795" s="5"/>
    </row>
    <row r="796" spans="1:51" s="55" customFormat="1">
      <c r="A796" s="5"/>
      <c r="B796" s="5"/>
      <c r="C796" s="20"/>
      <c r="D796" s="9"/>
      <c r="F796" s="29"/>
      <c r="G796" s="5"/>
      <c r="H796" s="20"/>
      <c r="I796" s="5"/>
      <c r="J796" s="5"/>
      <c r="K796" s="5"/>
      <c r="L796" s="5"/>
      <c r="M796" s="5"/>
      <c r="N796" s="5"/>
      <c r="O796" s="5"/>
      <c r="S796" s="5"/>
      <c r="T796" s="5"/>
      <c r="U796" s="5"/>
      <c r="V796" s="5"/>
      <c r="W796" s="11"/>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c r="AX796" s="5"/>
      <c r="AY796" s="5"/>
    </row>
    <row r="797" spans="1:51" s="55" customFormat="1">
      <c r="A797" s="5"/>
      <c r="B797" s="5"/>
      <c r="C797" s="20"/>
      <c r="D797" s="9"/>
      <c r="F797" s="29"/>
      <c r="G797" s="5"/>
      <c r="H797" s="20"/>
      <c r="I797" s="5"/>
      <c r="J797" s="5"/>
      <c r="K797" s="5"/>
      <c r="L797" s="5"/>
      <c r="M797" s="5"/>
      <c r="N797" s="5"/>
      <c r="O797" s="5"/>
      <c r="S797" s="5"/>
      <c r="T797" s="5"/>
      <c r="U797" s="5"/>
      <c r="V797" s="5"/>
      <c r="W797" s="11"/>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c r="AX797" s="5"/>
      <c r="AY797" s="5"/>
    </row>
    <row r="798" spans="1:51" s="55" customFormat="1">
      <c r="A798" s="5"/>
      <c r="B798" s="5"/>
      <c r="C798" s="20"/>
      <c r="D798" s="9"/>
      <c r="F798" s="29"/>
      <c r="G798" s="5"/>
      <c r="H798" s="20"/>
      <c r="I798" s="5"/>
      <c r="J798" s="5"/>
      <c r="K798" s="5"/>
      <c r="L798" s="5"/>
      <c r="M798" s="5"/>
      <c r="N798" s="5"/>
      <c r="O798" s="5"/>
      <c r="S798" s="5"/>
      <c r="T798" s="5"/>
      <c r="U798" s="5"/>
      <c r="V798" s="5"/>
      <c r="W798" s="11"/>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c r="AX798" s="5"/>
      <c r="AY798" s="5"/>
    </row>
    <row r="799" spans="1:51" s="55" customFormat="1">
      <c r="A799" s="5"/>
      <c r="B799" s="5"/>
      <c r="C799" s="20"/>
      <c r="D799" s="9"/>
      <c r="F799" s="29"/>
      <c r="G799" s="5"/>
      <c r="H799" s="20"/>
      <c r="I799" s="5"/>
      <c r="J799" s="5"/>
      <c r="K799" s="5"/>
      <c r="L799" s="5"/>
      <c r="M799" s="5"/>
      <c r="N799" s="5"/>
      <c r="O799" s="5"/>
      <c r="S799" s="5"/>
      <c r="T799" s="5"/>
      <c r="U799" s="5"/>
      <c r="V799" s="5"/>
      <c r="W799" s="11"/>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c r="AX799" s="5"/>
      <c r="AY799" s="5"/>
    </row>
    <row r="800" spans="1:51" s="55" customFormat="1">
      <c r="A800" s="5"/>
      <c r="B800" s="5"/>
      <c r="C800" s="20"/>
      <c r="D800" s="9"/>
      <c r="F800" s="29"/>
      <c r="G800" s="5"/>
      <c r="H800" s="20"/>
      <c r="I800" s="5"/>
      <c r="J800" s="5"/>
      <c r="K800" s="5"/>
      <c r="L800" s="5"/>
      <c r="M800" s="5"/>
      <c r="N800" s="5"/>
      <c r="O800" s="5"/>
      <c r="S800" s="5"/>
      <c r="T800" s="5"/>
      <c r="U800" s="5"/>
      <c r="V800" s="5"/>
      <c r="W800" s="11"/>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c r="AX800" s="5"/>
      <c r="AY800" s="5"/>
    </row>
    <row r="801" spans="1:51" s="55" customFormat="1">
      <c r="A801" s="5"/>
      <c r="B801" s="5"/>
      <c r="C801" s="20"/>
      <c r="D801" s="9"/>
      <c r="F801" s="29"/>
      <c r="G801" s="5"/>
      <c r="H801" s="20"/>
      <c r="I801" s="5"/>
      <c r="J801" s="5"/>
      <c r="K801" s="5"/>
      <c r="L801" s="5"/>
      <c r="M801" s="5"/>
      <c r="N801" s="5"/>
      <c r="O801" s="5"/>
      <c r="S801" s="5"/>
      <c r="T801" s="5"/>
      <c r="U801" s="5"/>
      <c r="V801" s="5"/>
      <c r="W801" s="11"/>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c r="AX801" s="5"/>
      <c r="AY801" s="5"/>
    </row>
    <row r="802" spans="1:51" s="55" customFormat="1">
      <c r="A802" s="5"/>
      <c r="B802" s="5"/>
      <c r="C802" s="20"/>
      <c r="D802" s="9"/>
      <c r="F802" s="29"/>
      <c r="G802" s="5"/>
      <c r="H802" s="20"/>
      <c r="I802" s="5"/>
      <c r="J802" s="5"/>
      <c r="K802" s="5"/>
      <c r="L802" s="5"/>
      <c r="M802" s="5"/>
      <c r="N802" s="5"/>
      <c r="O802" s="5"/>
      <c r="S802" s="5"/>
      <c r="T802" s="5"/>
      <c r="U802" s="5"/>
      <c r="V802" s="5"/>
      <c r="W802" s="11"/>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c r="AX802" s="5"/>
      <c r="AY802" s="5"/>
    </row>
    <row r="803" spans="1:51" s="55" customFormat="1">
      <c r="A803" s="5"/>
      <c r="B803" s="5"/>
      <c r="C803" s="20"/>
      <c r="D803" s="9"/>
      <c r="F803" s="29"/>
      <c r="G803" s="5"/>
      <c r="H803" s="20"/>
      <c r="I803" s="5"/>
      <c r="J803" s="5"/>
      <c r="K803" s="5"/>
      <c r="L803" s="5"/>
      <c r="M803" s="5"/>
      <c r="N803" s="5"/>
      <c r="O803" s="5"/>
      <c r="S803" s="5"/>
      <c r="T803" s="5"/>
      <c r="U803" s="5"/>
      <c r="V803" s="5"/>
      <c r="W803" s="11"/>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c r="AX803" s="5"/>
      <c r="AY803" s="5"/>
    </row>
    <row r="804" spans="1:51" s="55" customFormat="1">
      <c r="A804" s="5"/>
      <c r="B804" s="5"/>
      <c r="C804" s="20"/>
      <c r="D804" s="9"/>
      <c r="F804" s="29"/>
      <c r="G804" s="5"/>
      <c r="H804" s="20"/>
      <c r="I804" s="5"/>
      <c r="J804" s="5"/>
      <c r="K804" s="5"/>
      <c r="L804" s="5"/>
      <c r="M804" s="5"/>
      <c r="N804" s="5"/>
      <c r="O804" s="5"/>
      <c r="S804" s="5"/>
      <c r="T804" s="5"/>
      <c r="U804" s="5"/>
      <c r="V804" s="5"/>
      <c r="W804" s="11"/>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row>
    <row r="805" spans="1:51" s="55" customFormat="1">
      <c r="A805" s="5"/>
      <c r="B805" s="5"/>
      <c r="C805" s="20"/>
      <c r="D805" s="9"/>
      <c r="F805" s="29"/>
      <c r="G805" s="5"/>
      <c r="H805" s="20"/>
      <c r="I805" s="5"/>
      <c r="J805" s="5"/>
      <c r="K805" s="5"/>
      <c r="L805" s="5"/>
      <c r="M805" s="5"/>
      <c r="N805" s="5"/>
      <c r="O805" s="5"/>
      <c r="S805" s="5"/>
      <c r="T805" s="5"/>
      <c r="U805" s="5"/>
      <c r="V805" s="5"/>
      <c r="W805" s="11"/>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row>
    <row r="806" spans="1:51" s="55" customFormat="1">
      <c r="A806" s="5"/>
      <c r="B806" s="5"/>
      <c r="C806" s="20"/>
      <c r="D806" s="9"/>
      <c r="F806" s="29"/>
      <c r="G806" s="5"/>
      <c r="H806" s="20"/>
      <c r="I806" s="5"/>
      <c r="J806" s="5"/>
      <c r="K806" s="5"/>
      <c r="L806" s="5"/>
      <c r="M806" s="5"/>
      <c r="N806" s="5"/>
      <c r="O806" s="5"/>
      <c r="S806" s="5"/>
      <c r="T806" s="5"/>
      <c r="U806" s="5"/>
      <c r="V806" s="5"/>
      <c r="W806" s="11"/>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c r="AX806" s="5"/>
      <c r="AY806" s="5"/>
    </row>
    <row r="807" spans="1:51" s="55" customFormat="1">
      <c r="A807" s="5"/>
      <c r="B807" s="5"/>
      <c r="C807" s="20"/>
      <c r="D807" s="9"/>
      <c r="F807" s="29"/>
      <c r="G807" s="5"/>
      <c r="H807" s="20"/>
      <c r="I807" s="5"/>
      <c r="J807" s="5"/>
      <c r="K807" s="5"/>
      <c r="L807" s="5"/>
      <c r="M807" s="5"/>
      <c r="N807" s="5"/>
      <c r="O807" s="5"/>
      <c r="S807" s="5"/>
      <c r="T807" s="5"/>
      <c r="U807" s="5"/>
      <c r="V807" s="5"/>
      <c r="W807" s="11"/>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c r="AX807" s="5"/>
      <c r="AY807" s="5"/>
    </row>
    <row r="808" spans="1:51" s="55" customFormat="1">
      <c r="A808" s="5"/>
      <c r="B808" s="5"/>
      <c r="C808" s="20"/>
      <c r="D808" s="9"/>
      <c r="F808" s="29"/>
      <c r="G808" s="5"/>
      <c r="H808" s="20"/>
      <c r="I808" s="5"/>
      <c r="J808" s="5"/>
      <c r="K808" s="5"/>
      <c r="L808" s="5"/>
      <c r="M808" s="5"/>
      <c r="N808" s="5"/>
      <c r="O808" s="5"/>
      <c r="S808" s="5"/>
      <c r="T808" s="5"/>
      <c r="U808" s="5"/>
      <c r="V808" s="5"/>
      <c r="W808" s="11"/>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c r="AX808" s="5"/>
      <c r="AY808" s="5"/>
    </row>
    <row r="809" spans="1:51" s="55" customFormat="1">
      <c r="A809" s="5"/>
      <c r="B809" s="5"/>
      <c r="C809" s="20"/>
      <c r="D809" s="9"/>
      <c r="F809" s="29"/>
      <c r="G809" s="5"/>
      <c r="H809" s="20"/>
      <c r="I809" s="5"/>
      <c r="J809" s="5"/>
      <c r="K809" s="5"/>
      <c r="L809" s="5"/>
      <c r="M809" s="5"/>
      <c r="N809" s="5"/>
      <c r="O809" s="5"/>
      <c r="S809" s="5"/>
      <c r="T809" s="5"/>
      <c r="U809" s="5"/>
      <c r="V809" s="5"/>
      <c r="W809" s="11"/>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c r="AX809" s="5"/>
      <c r="AY809" s="5"/>
    </row>
    <row r="810" spans="1:51" s="55" customFormat="1">
      <c r="A810" s="5"/>
      <c r="B810" s="5"/>
      <c r="C810" s="20"/>
      <c r="D810" s="9"/>
      <c r="F810" s="29"/>
      <c r="G810" s="5"/>
      <c r="H810" s="20"/>
      <c r="I810" s="5"/>
      <c r="J810" s="5"/>
      <c r="K810" s="5"/>
      <c r="L810" s="5"/>
      <c r="M810" s="5"/>
      <c r="N810" s="5"/>
      <c r="O810" s="5"/>
      <c r="S810" s="5"/>
      <c r="T810" s="5"/>
      <c r="U810" s="5"/>
      <c r="V810" s="5"/>
      <c r="W810" s="11"/>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c r="AX810" s="5"/>
      <c r="AY810" s="5"/>
    </row>
    <row r="811" spans="1:51" s="55" customFormat="1">
      <c r="A811" s="5"/>
      <c r="B811" s="5"/>
      <c r="C811" s="20"/>
      <c r="D811" s="9"/>
      <c r="F811" s="29"/>
      <c r="G811" s="5"/>
      <c r="H811" s="20"/>
      <c r="I811" s="5"/>
      <c r="J811" s="5"/>
      <c r="K811" s="5"/>
      <c r="L811" s="5"/>
      <c r="M811" s="5"/>
      <c r="N811" s="5"/>
      <c r="O811" s="5"/>
      <c r="S811" s="5"/>
      <c r="T811" s="5"/>
      <c r="U811" s="5"/>
      <c r="V811" s="5"/>
      <c r="W811" s="11"/>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row>
    <row r="812" spans="1:51" s="55" customFormat="1">
      <c r="A812" s="5"/>
      <c r="B812" s="5"/>
      <c r="C812" s="20"/>
      <c r="D812" s="9"/>
      <c r="F812" s="29"/>
      <c r="G812" s="5"/>
      <c r="H812" s="20"/>
      <c r="I812" s="5"/>
      <c r="J812" s="5"/>
      <c r="K812" s="5"/>
      <c r="L812" s="5"/>
      <c r="M812" s="5"/>
      <c r="N812" s="5"/>
      <c r="O812" s="5"/>
      <c r="S812" s="5"/>
      <c r="T812" s="5"/>
      <c r="U812" s="5"/>
      <c r="V812" s="5"/>
      <c r="W812" s="11"/>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row>
    <row r="813" spans="1:51" s="55" customFormat="1">
      <c r="A813" s="5"/>
      <c r="B813" s="5"/>
      <c r="C813" s="20"/>
      <c r="D813" s="9"/>
      <c r="F813" s="29"/>
      <c r="G813" s="5"/>
      <c r="H813" s="20"/>
      <c r="I813" s="5"/>
      <c r="J813" s="5"/>
      <c r="K813" s="5"/>
      <c r="L813" s="5"/>
      <c r="M813" s="5"/>
      <c r="N813" s="5"/>
      <c r="O813" s="5"/>
      <c r="S813" s="5"/>
      <c r="T813" s="5"/>
      <c r="U813" s="5"/>
      <c r="V813" s="5"/>
      <c r="W813" s="11"/>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c r="AX813" s="5"/>
      <c r="AY813" s="5"/>
    </row>
    <row r="814" spans="1:51" s="55" customFormat="1">
      <c r="A814" s="5"/>
      <c r="B814" s="5"/>
      <c r="C814" s="20"/>
      <c r="D814" s="9"/>
      <c r="F814" s="29"/>
      <c r="G814" s="5"/>
      <c r="H814" s="20"/>
      <c r="I814" s="5"/>
      <c r="J814" s="5"/>
      <c r="K814" s="5"/>
      <c r="L814" s="5"/>
      <c r="M814" s="5"/>
      <c r="N814" s="5"/>
      <c r="O814" s="5"/>
      <c r="S814" s="5"/>
      <c r="T814" s="5"/>
      <c r="U814" s="5"/>
      <c r="V814" s="5"/>
      <c r="W814" s="11"/>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c r="AX814" s="5"/>
      <c r="AY814" s="5"/>
    </row>
    <row r="815" spans="1:51" s="55" customFormat="1">
      <c r="A815" s="5"/>
      <c r="B815" s="5"/>
      <c r="C815" s="20"/>
      <c r="D815" s="9"/>
      <c r="F815" s="29"/>
      <c r="G815" s="5"/>
      <c r="H815" s="20"/>
      <c r="I815" s="5"/>
      <c r="J815" s="5"/>
      <c r="K815" s="5"/>
      <c r="L815" s="5"/>
      <c r="M815" s="5"/>
      <c r="N815" s="5"/>
      <c r="O815" s="5"/>
      <c r="S815" s="5"/>
      <c r="T815" s="5"/>
      <c r="U815" s="5"/>
      <c r="V815" s="5"/>
      <c r="W815" s="11"/>
      <c r="X815" s="5"/>
      <c r="Y815" s="5"/>
      <c r="Z815" s="5"/>
      <c r="AA815" s="5"/>
      <c r="AB815" s="5"/>
      <c r="AC815" s="5"/>
      <c r="AD815" s="5"/>
      <c r="AE815" s="5"/>
      <c r="AF815" s="5"/>
      <c r="AG815" s="5"/>
      <c r="AH815" s="5"/>
      <c r="AI815" s="5"/>
      <c r="AJ815" s="5"/>
      <c r="AK815" s="5"/>
      <c r="AL815" s="5"/>
      <c r="AM815" s="5"/>
      <c r="AN815" s="5"/>
      <c r="AO815" s="5"/>
      <c r="AP815" s="5"/>
      <c r="AQ815" s="5"/>
      <c r="AR815" s="5"/>
      <c r="AS815" s="5"/>
      <c r="AT815" s="5"/>
      <c r="AU815" s="5"/>
      <c r="AV815" s="5"/>
      <c r="AW815" s="5"/>
      <c r="AX815" s="5"/>
      <c r="AY815" s="5"/>
    </row>
    <row r="816" spans="1:51" s="55" customFormat="1">
      <c r="A816" s="5"/>
      <c r="B816" s="5"/>
      <c r="C816" s="20"/>
      <c r="D816" s="9"/>
      <c r="F816" s="29"/>
      <c r="G816" s="5"/>
      <c r="H816" s="20"/>
      <c r="I816" s="5"/>
      <c r="J816" s="5"/>
      <c r="K816" s="5"/>
      <c r="L816" s="5"/>
      <c r="M816" s="5"/>
      <c r="N816" s="5"/>
      <c r="O816" s="5"/>
      <c r="S816" s="5"/>
      <c r="T816" s="5"/>
      <c r="U816" s="5"/>
      <c r="V816" s="5"/>
      <c r="W816" s="11"/>
      <c r="X816" s="5"/>
      <c r="Y816" s="5"/>
      <c r="Z816" s="5"/>
      <c r="AA816" s="5"/>
      <c r="AB816" s="5"/>
      <c r="AC816" s="5"/>
      <c r="AD816" s="5"/>
      <c r="AE816" s="5"/>
      <c r="AF816" s="5"/>
      <c r="AG816" s="5"/>
      <c r="AH816" s="5"/>
      <c r="AI816" s="5"/>
      <c r="AJ816" s="5"/>
      <c r="AK816" s="5"/>
      <c r="AL816" s="5"/>
      <c r="AM816" s="5"/>
      <c r="AN816" s="5"/>
      <c r="AO816" s="5"/>
      <c r="AP816" s="5"/>
      <c r="AQ816" s="5"/>
      <c r="AR816" s="5"/>
      <c r="AS816" s="5"/>
      <c r="AT816" s="5"/>
      <c r="AU816" s="5"/>
      <c r="AV816" s="5"/>
      <c r="AW816" s="5"/>
      <c r="AX816" s="5"/>
      <c r="AY816" s="5"/>
    </row>
    <row r="817" spans="1:51" s="55" customFormat="1">
      <c r="A817" s="5"/>
      <c r="B817" s="5"/>
      <c r="C817" s="20"/>
      <c r="D817" s="9"/>
      <c r="F817" s="29"/>
      <c r="G817" s="5"/>
      <c r="H817" s="20"/>
      <c r="I817" s="5"/>
      <c r="J817" s="5"/>
      <c r="K817" s="5"/>
      <c r="L817" s="5"/>
      <c r="M817" s="5"/>
      <c r="N817" s="5"/>
      <c r="O817" s="5"/>
      <c r="S817" s="5"/>
      <c r="T817" s="5"/>
      <c r="U817" s="5"/>
      <c r="V817" s="5"/>
      <c r="W817" s="11"/>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c r="AX817" s="5"/>
      <c r="AY817" s="5"/>
    </row>
    <row r="818" spans="1:51" s="55" customFormat="1">
      <c r="A818" s="5"/>
      <c r="B818" s="5"/>
      <c r="C818" s="20"/>
      <c r="D818" s="9"/>
      <c r="F818" s="29"/>
      <c r="G818" s="5"/>
      <c r="H818" s="20"/>
      <c r="I818" s="5"/>
      <c r="J818" s="5"/>
      <c r="K818" s="5"/>
      <c r="L818" s="5"/>
      <c r="M818" s="5"/>
      <c r="N818" s="5"/>
      <c r="O818" s="5"/>
      <c r="S818" s="5"/>
      <c r="T818" s="5"/>
      <c r="U818" s="5"/>
      <c r="V818" s="5"/>
      <c r="W818" s="11"/>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c r="AX818" s="5"/>
      <c r="AY818" s="5"/>
    </row>
    <row r="819" spans="1:51" s="55" customFormat="1">
      <c r="A819" s="5"/>
      <c r="B819" s="5"/>
      <c r="C819" s="20"/>
      <c r="D819" s="9"/>
      <c r="F819" s="29"/>
      <c r="G819" s="5"/>
      <c r="H819" s="20"/>
      <c r="I819" s="5"/>
      <c r="J819" s="5"/>
      <c r="K819" s="5"/>
      <c r="L819" s="5"/>
      <c r="M819" s="5"/>
      <c r="N819" s="5"/>
      <c r="O819" s="5"/>
      <c r="S819" s="5"/>
      <c r="T819" s="5"/>
      <c r="U819" s="5"/>
      <c r="V819" s="5"/>
      <c r="W819" s="11"/>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c r="AX819" s="5"/>
      <c r="AY819" s="5"/>
    </row>
    <row r="820" spans="1:51" s="55" customFormat="1">
      <c r="A820" s="5"/>
      <c r="B820" s="5"/>
      <c r="C820" s="20"/>
      <c r="D820" s="9"/>
      <c r="F820" s="29"/>
      <c r="G820" s="5"/>
      <c r="H820" s="20"/>
      <c r="I820" s="5"/>
      <c r="J820" s="5"/>
      <c r="K820" s="5"/>
      <c r="L820" s="5"/>
      <c r="M820" s="5"/>
      <c r="N820" s="5"/>
      <c r="O820" s="5"/>
      <c r="S820" s="5"/>
      <c r="T820" s="5"/>
      <c r="U820" s="5"/>
      <c r="V820" s="5"/>
      <c r="W820" s="11"/>
      <c r="X820" s="5"/>
      <c r="Y820" s="5"/>
      <c r="Z820" s="5"/>
      <c r="AA820" s="5"/>
      <c r="AB820" s="5"/>
      <c r="AC820" s="5"/>
      <c r="AD820" s="5"/>
      <c r="AE820" s="5"/>
      <c r="AF820" s="5"/>
      <c r="AG820" s="5"/>
      <c r="AH820" s="5"/>
      <c r="AI820" s="5"/>
      <c r="AJ820" s="5"/>
      <c r="AK820" s="5"/>
      <c r="AL820" s="5"/>
      <c r="AM820" s="5"/>
      <c r="AN820" s="5"/>
      <c r="AO820" s="5"/>
      <c r="AP820" s="5"/>
      <c r="AQ820" s="5"/>
      <c r="AR820" s="5"/>
      <c r="AS820" s="5"/>
      <c r="AT820" s="5"/>
      <c r="AU820" s="5"/>
      <c r="AV820" s="5"/>
      <c r="AW820" s="5"/>
      <c r="AX820" s="5"/>
      <c r="AY820" s="5"/>
    </row>
    <row r="821" spans="1:51" s="55" customFormat="1">
      <c r="A821" s="5"/>
      <c r="B821" s="5"/>
      <c r="C821" s="20"/>
      <c r="D821" s="9"/>
      <c r="F821" s="29"/>
      <c r="G821" s="5"/>
      <c r="H821" s="20"/>
      <c r="I821" s="5"/>
      <c r="J821" s="5"/>
      <c r="K821" s="5"/>
      <c r="L821" s="5"/>
      <c r="M821" s="5"/>
      <c r="N821" s="5"/>
      <c r="O821" s="5"/>
      <c r="S821" s="5"/>
      <c r="T821" s="5"/>
      <c r="U821" s="5"/>
      <c r="V821" s="5"/>
      <c r="W821" s="11"/>
      <c r="X821" s="5"/>
      <c r="Y821" s="5"/>
      <c r="Z821" s="5"/>
      <c r="AA821" s="5"/>
      <c r="AB821" s="5"/>
      <c r="AC821" s="5"/>
      <c r="AD821" s="5"/>
      <c r="AE821" s="5"/>
      <c r="AF821" s="5"/>
      <c r="AG821" s="5"/>
      <c r="AH821" s="5"/>
      <c r="AI821" s="5"/>
      <c r="AJ821" s="5"/>
      <c r="AK821" s="5"/>
      <c r="AL821" s="5"/>
      <c r="AM821" s="5"/>
      <c r="AN821" s="5"/>
      <c r="AO821" s="5"/>
      <c r="AP821" s="5"/>
      <c r="AQ821" s="5"/>
      <c r="AR821" s="5"/>
      <c r="AS821" s="5"/>
      <c r="AT821" s="5"/>
      <c r="AU821" s="5"/>
      <c r="AV821" s="5"/>
      <c r="AW821" s="5"/>
      <c r="AX821" s="5"/>
      <c r="AY821" s="5"/>
    </row>
    <row r="822" spans="1:51" s="55" customFormat="1">
      <c r="A822" s="5"/>
      <c r="B822" s="5"/>
      <c r="C822" s="20"/>
      <c r="D822" s="9"/>
      <c r="F822" s="29"/>
      <c r="G822" s="5"/>
      <c r="H822" s="20"/>
      <c r="I822" s="5"/>
      <c r="J822" s="5"/>
      <c r="K822" s="5"/>
      <c r="L822" s="5"/>
      <c r="M822" s="5"/>
      <c r="N822" s="5"/>
      <c r="O822" s="5"/>
      <c r="S822" s="5"/>
      <c r="T822" s="5"/>
      <c r="U822" s="5"/>
      <c r="V822" s="5"/>
      <c r="W822" s="11"/>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c r="AX822" s="5"/>
      <c r="AY822" s="5"/>
    </row>
    <row r="823" spans="1:51" s="55" customFormat="1">
      <c r="A823" s="5"/>
      <c r="B823" s="5"/>
      <c r="C823" s="20"/>
      <c r="D823" s="9"/>
      <c r="F823" s="29"/>
      <c r="G823" s="5"/>
      <c r="H823" s="20"/>
      <c r="I823" s="5"/>
      <c r="J823" s="5"/>
      <c r="K823" s="5"/>
      <c r="L823" s="5"/>
      <c r="M823" s="5"/>
      <c r="N823" s="5"/>
      <c r="O823" s="5"/>
      <c r="S823" s="5"/>
      <c r="T823" s="5"/>
      <c r="U823" s="5"/>
      <c r="V823" s="5"/>
      <c r="W823" s="11"/>
      <c r="X823" s="5"/>
      <c r="Y823" s="5"/>
      <c r="Z823" s="5"/>
      <c r="AA823" s="5"/>
      <c r="AB823" s="5"/>
      <c r="AC823" s="5"/>
      <c r="AD823" s="5"/>
      <c r="AE823" s="5"/>
      <c r="AF823" s="5"/>
      <c r="AG823" s="5"/>
      <c r="AH823" s="5"/>
      <c r="AI823" s="5"/>
      <c r="AJ823" s="5"/>
      <c r="AK823" s="5"/>
      <c r="AL823" s="5"/>
      <c r="AM823" s="5"/>
      <c r="AN823" s="5"/>
      <c r="AO823" s="5"/>
      <c r="AP823" s="5"/>
      <c r="AQ823" s="5"/>
      <c r="AR823" s="5"/>
      <c r="AS823" s="5"/>
      <c r="AT823" s="5"/>
      <c r="AU823" s="5"/>
      <c r="AV823" s="5"/>
      <c r="AW823" s="5"/>
      <c r="AX823" s="5"/>
      <c r="AY823" s="5"/>
    </row>
    <row r="824" spans="1:51" s="55" customFormat="1">
      <c r="A824" s="5"/>
      <c r="B824" s="5"/>
      <c r="C824" s="20"/>
      <c r="D824" s="9"/>
      <c r="F824" s="29"/>
      <c r="G824" s="5"/>
      <c r="H824" s="20"/>
      <c r="I824" s="5"/>
      <c r="J824" s="5"/>
      <c r="K824" s="5"/>
      <c r="L824" s="5"/>
      <c r="M824" s="5"/>
      <c r="N824" s="5"/>
      <c r="O824" s="5"/>
      <c r="S824" s="5"/>
      <c r="T824" s="5"/>
      <c r="U824" s="5"/>
      <c r="V824" s="5"/>
      <c r="W824" s="11"/>
      <c r="X824" s="5"/>
      <c r="Y824" s="5"/>
      <c r="Z824" s="5"/>
      <c r="AA824" s="5"/>
      <c r="AB824" s="5"/>
      <c r="AC824" s="5"/>
      <c r="AD824" s="5"/>
      <c r="AE824" s="5"/>
      <c r="AF824" s="5"/>
      <c r="AG824" s="5"/>
      <c r="AH824" s="5"/>
      <c r="AI824" s="5"/>
      <c r="AJ824" s="5"/>
      <c r="AK824" s="5"/>
      <c r="AL824" s="5"/>
      <c r="AM824" s="5"/>
      <c r="AN824" s="5"/>
      <c r="AO824" s="5"/>
      <c r="AP824" s="5"/>
      <c r="AQ824" s="5"/>
      <c r="AR824" s="5"/>
      <c r="AS824" s="5"/>
      <c r="AT824" s="5"/>
      <c r="AU824" s="5"/>
      <c r="AV824" s="5"/>
      <c r="AW824" s="5"/>
      <c r="AX824" s="5"/>
      <c r="AY824" s="5"/>
    </row>
    <row r="825" spans="1:51" s="55" customFormat="1">
      <c r="A825" s="5"/>
      <c r="B825" s="5"/>
      <c r="C825" s="20"/>
      <c r="D825" s="9"/>
      <c r="F825" s="29"/>
      <c r="G825" s="5"/>
      <c r="H825" s="20"/>
      <c r="I825" s="5"/>
      <c r="J825" s="5"/>
      <c r="K825" s="5"/>
      <c r="L825" s="5"/>
      <c r="M825" s="5"/>
      <c r="N825" s="5"/>
      <c r="O825" s="5"/>
      <c r="S825" s="5"/>
      <c r="T825" s="5"/>
      <c r="U825" s="5"/>
      <c r="V825" s="5"/>
      <c r="W825" s="11"/>
      <c r="X825" s="5"/>
      <c r="Y825" s="5"/>
      <c r="Z825" s="5"/>
      <c r="AA825" s="5"/>
      <c r="AB825" s="5"/>
      <c r="AC825" s="5"/>
      <c r="AD825" s="5"/>
      <c r="AE825" s="5"/>
      <c r="AF825" s="5"/>
      <c r="AG825" s="5"/>
      <c r="AH825" s="5"/>
      <c r="AI825" s="5"/>
      <c r="AJ825" s="5"/>
      <c r="AK825" s="5"/>
      <c r="AL825" s="5"/>
      <c r="AM825" s="5"/>
      <c r="AN825" s="5"/>
      <c r="AO825" s="5"/>
      <c r="AP825" s="5"/>
      <c r="AQ825" s="5"/>
      <c r="AR825" s="5"/>
      <c r="AS825" s="5"/>
      <c r="AT825" s="5"/>
      <c r="AU825" s="5"/>
      <c r="AV825" s="5"/>
      <c r="AW825" s="5"/>
      <c r="AX825" s="5"/>
      <c r="AY825" s="5"/>
    </row>
    <row r="826" spans="1:51" s="55" customFormat="1">
      <c r="A826" s="5"/>
      <c r="B826" s="5"/>
      <c r="C826" s="20"/>
      <c r="D826" s="9"/>
      <c r="F826" s="29"/>
      <c r="G826" s="5"/>
      <c r="H826" s="20"/>
      <c r="I826" s="5"/>
      <c r="J826" s="5"/>
      <c r="K826" s="5"/>
      <c r="L826" s="5"/>
      <c r="M826" s="5"/>
      <c r="N826" s="5"/>
      <c r="O826" s="5"/>
      <c r="S826" s="5"/>
      <c r="T826" s="5"/>
      <c r="U826" s="5"/>
      <c r="V826" s="5"/>
      <c r="W826" s="11"/>
      <c r="X826" s="5"/>
      <c r="Y826" s="5"/>
      <c r="Z826" s="5"/>
      <c r="AA826" s="5"/>
      <c r="AB826" s="5"/>
      <c r="AC826" s="5"/>
      <c r="AD826" s="5"/>
      <c r="AE826" s="5"/>
      <c r="AF826" s="5"/>
      <c r="AG826" s="5"/>
      <c r="AH826" s="5"/>
      <c r="AI826" s="5"/>
      <c r="AJ826" s="5"/>
      <c r="AK826" s="5"/>
      <c r="AL826" s="5"/>
      <c r="AM826" s="5"/>
      <c r="AN826" s="5"/>
      <c r="AO826" s="5"/>
      <c r="AP826" s="5"/>
      <c r="AQ826" s="5"/>
      <c r="AR826" s="5"/>
      <c r="AS826" s="5"/>
      <c r="AT826" s="5"/>
      <c r="AU826" s="5"/>
      <c r="AV826" s="5"/>
      <c r="AW826" s="5"/>
      <c r="AX826" s="5"/>
      <c r="AY826" s="5"/>
    </row>
    <row r="827" spans="1:51" s="55" customFormat="1">
      <c r="A827" s="5"/>
      <c r="B827" s="5"/>
      <c r="C827" s="20"/>
      <c r="D827" s="9"/>
      <c r="F827" s="29"/>
      <c r="G827" s="5"/>
      <c r="H827" s="20"/>
      <c r="I827" s="5"/>
      <c r="J827" s="5"/>
      <c r="K827" s="5"/>
      <c r="L827" s="5"/>
      <c r="M827" s="5"/>
      <c r="N827" s="5"/>
      <c r="O827" s="5"/>
      <c r="S827" s="5"/>
      <c r="T827" s="5"/>
      <c r="U827" s="5"/>
      <c r="V827" s="5"/>
      <c r="W827" s="11"/>
      <c r="X827" s="5"/>
      <c r="Y827" s="5"/>
      <c r="Z827" s="5"/>
      <c r="AA827" s="5"/>
      <c r="AB827" s="5"/>
      <c r="AC827" s="5"/>
      <c r="AD827" s="5"/>
      <c r="AE827" s="5"/>
      <c r="AF827" s="5"/>
      <c r="AG827" s="5"/>
      <c r="AH827" s="5"/>
      <c r="AI827" s="5"/>
      <c r="AJ827" s="5"/>
      <c r="AK827" s="5"/>
      <c r="AL827" s="5"/>
      <c r="AM827" s="5"/>
      <c r="AN827" s="5"/>
      <c r="AO827" s="5"/>
      <c r="AP827" s="5"/>
      <c r="AQ827" s="5"/>
      <c r="AR827" s="5"/>
      <c r="AS827" s="5"/>
      <c r="AT827" s="5"/>
      <c r="AU827" s="5"/>
      <c r="AV827" s="5"/>
      <c r="AW827" s="5"/>
      <c r="AX827" s="5"/>
      <c r="AY827" s="5"/>
    </row>
    <row r="828" spans="1:51" s="55" customFormat="1">
      <c r="A828" s="5"/>
      <c r="B828" s="5"/>
      <c r="C828" s="20"/>
      <c r="D828" s="9"/>
      <c r="F828" s="29"/>
      <c r="G828" s="5"/>
      <c r="H828" s="20"/>
      <c r="I828" s="5"/>
      <c r="J828" s="5"/>
      <c r="K828" s="5"/>
      <c r="L828" s="5"/>
      <c r="M828" s="5"/>
      <c r="N828" s="5"/>
      <c r="O828" s="5"/>
      <c r="S828" s="5"/>
      <c r="T828" s="5"/>
      <c r="U828" s="5"/>
      <c r="V828" s="5"/>
      <c r="W828" s="11"/>
      <c r="X828" s="5"/>
      <c r="Y828" s="5"/>
      <c r="Z828" s="5"/>
      <c r="AA828" s="5"/>
      <c r="AB828" s="5"/>
      <c r="AC828" s="5"/>
      <c r="AD828" s="5"/>
      <c r="AE828" s="5"/>
      <c r="AF828" s="5"/>
      <c r="AG828" s="5"/>
      <c r="AH828" s="5"/>
      <c r="AI828" s="5"/>
      <c r="AJ828" s="5"/>
      <c r="AK828" s="5"/>
      <c r="AL828" s="5"/>
      <c r="AM828" s="5"/>
      <c r="AN828" s="5"/>
      <c r="AO828" s="5"/>
      <c r="AP828" s="5"/>
      <c r="AQ828" s="5"/>
      <c r="AR828" s="5"/>
      <c r="AS828" s="5"/>
      <c r="AT828" s="5"/>
      <c r="AU828" s="5"/>
      <c r="AV828" s="5"/>
      <c r="AW828" s="5"/>
      <c r="AX828" s="5"/>
      <c r="AY828" s="5"/>
    </row>
    <row r="829" spans="1:51" s="55" customFormat="1">
      <c r="A829" s="5"/>
      <c r="B829" s="5"/>
      <c r="C829" s="20"/>
      <c r="D829" s="9"/>
      <c r="F829" s="29"/>
      <c r="G829" s="5"/>
      <c r="H829" s="20"/>
      <c r="I829" s="5"/>
      <c r="J829" s="5"/>
      <c r="K829" s="5"/>
      <c r="L829" s="5"/>
      <c r="M829" s="5"/>
      <c r="N829" s="5"/>
      <c r="O829" s="5"/>
      <c r="S829" s="5"/>
      <c r="T829" s="5"/>
      <c r="U829" s="5"/>
      <c r="V829" s="5"/>
      <c r="W829" s="11"/>
      <c r="X829" s="5"/>
      <c r="Y829" s="5"/>
      <c r="Z829" s="5"/>
      <c r="AA829" s="5"/>
      <c r="AB829" s="5"/>
      <c r="AC829" s="5"/>
      <c r="AD829" s="5"/>
      <c r="AE829" s="5"/>
      <c r="AF829" s="5"/>
      <c r="AG829" s="5"/>
      <c r="AH829" s="5"/>
      <c r="AI829" s="5"/>
      <c r="AJ829" s="5"/>
      <c r="AK829" s="5"/>
      <c r="AL829" s="5"/>
      <c r="AM829" s="5"/>
      <c r="AN829" s="5"/>
      <c r="AO829" s="5"/>
      <c r="AP829" s="5"/>
      <c r="AQ829" s="5"/>
      <c r="AR829" s="5"/>
      <c r="AS829" s="5"/>
      <c r="AT829" s="5"/>
      <c r="AU829" s="5"/>
      <c r="AV829" s="5"/>
      <c r="AW829" s="5"/>
      <c r="AX829" s="5"/>
      <c r="AY829" s="5"/>
    </row>
    <row r="830" spans="1:51" s="55" customFormat="1">
      <c r="A830" s="5"/>
      <c r="B830" s="5"/>
      <c r="C830" s="20"/>
      <c r="D830" s="9"/>
      <c r="F830" s="29"/>
      <c r="G830" s="5"/>
      <c r="H830" s="20"/>
      <c r="I830" s="5"/>
      <c r="J830" s="5"/>
      <c r="K830" s="5"/>
      <c r="L830" s="5"/>
      <c r="M830" s="5"/>
      <c r="N830" s="5"/>
      <c r="O830" s="5"/>
      <c r="S830" s="5"/>
      <c r="T830" s="5"/>
      <c r="U830" s="5"/>
      <c r="V830" s="5"/>
      <c r="W830" s="11"/>
      <c r="X830" s="5"/>
      <c r="Y830" s="5"/>
      <c r="Z830" s="5"/>
      <c r="AA830" s="5"/>
      <c r="AB830" s="5"/>
      <c r="AC830" s="5"/>
      <c r="AD830" s="5"/>
      <c r="AE830" s="5"/>
      <c r="AF830" s="5"/>
      <c r="AG830" s="5"/>
      <c r="AH830" s="5"/>
      <c r="AI830" s="5"/>
      <c r="AJ830" s="5"/>
      <c r="AK830" s="5"/>
      <c r="AL830" s="5"/>
      <c r="AM830" s="5"/>
      <c r="AN830" s="5"/>
      <c r="AO830" s="5"/>
      <c r="AP830" s="5"/>
      <c r="AQ830" s="5"/>
      <c r="AR830" s="5"/>
      <c r="AS830" s="5"/>
      <c r="AT830" s="5"/>
      <c r="AU830" s="5"/>
      <c r="AV830" s="5"/>
      <c r="AW830" s="5"/>
      <c r="AX830" s="5"/>
      <c r="AY830" s="5"/>
    </row>
    <row r="831" spans="1:51" s="55" customFormat="1">
      <c r="A831" s="5"/>
      <c r="B831" s="5"/>
      <c r="C831" s="20"/>
      <c r="D831" s="9"/>
      <c r="F831" s="29"/>
      <c r="G831" s="5"/>
      <c r="H831" s="20"/>
      <c r="I831" s="5"/>
      <c r="J831" s="5"/>
      <c r="K831" s="5"/>
      <c r="L831" s="5"/>
      <c r="M831" s="5"/>
      <c r="N831" s="5"/>
      <c r="O831" s="5"/>
      <c r="S831" s="5"/>
      <c r="T831" s="5"/>
      <c r="U831" s="5"/>
      <c r="V831" s="5"/>
      <c r="W831" s="11"/>
      <c r="X831" s="5"/>
      <c r="Y831" s="5"/>
      <c r="Z831" s="5"/>
      <c r="AA831" s="5"/>
      <c r="AB831" s="5"/>
      <c r="AC831" s="5"/>
      <c r="AD831" s="5"/>
      <c r="AE831" s="5"/>
      <c r="AF831" s="5"/>
      <c r="AG831" s="5"/>
      <c r="AH831" s="5"/>
      <c r="AI831" s="5"/>
      <c r="AJ831" s="5"/>
      <c r="AK831" s="5"/>
      <c r="AL831" s="5"/>
      <c r="AM831" s="5"/>
      <c r="AN831" s="5"/>
      <c r="AO831" s="5"/>
      <c r="AP831" s="5"/>
      <c r="AQ831" s="5"/>
      <c r="AR831" s="5"/>
      <c r="AS831" s="5"/>
      <c r="AT831" s="5"/>
      <c r="AU831" s="5"/>
      <c r="AV831" s="5"/>
      <c r="AW831" s="5"/>
      <c r="AX831" s="5"/>
      <c r="AY831" s="5"/>
    </row>
    <row r="832" spans="1:51" s="55" customFormat="1">
      <c r="A832" s="5"/>
      <c r="B832" s="5"/>
      <c r="C832" s="20"/>
      <c r="D832" s="9"/>
      <c r="F832" s="29"/>
      <c r="G832" s="5"/>
      <c r="H832" s="20"/>
      <c r="I832" s="5"/>
      <c r="J832" s="5"/>
      <c r="K832" s="5"/>
      <c r="L832" s="5"/>
      <c r="M832" s="5"/>
      <c r="N832" s="5"/>
      <c r="O832" s="5"/>
      <c r="S832" s="5"/>
      <c r="T832" s="5"/>
      <c r="U832" s="5"/>
      <c r="V832" s="5"/>
      <c r="W832" s="11"/>
      <c r="X832" s="5"/>
      <c r="Y832" s="5"/>
      <c r="Z832" s="5"/>
      <c r="AA832" s="5"/>
      <c r="AB832" s="5"/>
      <c r="AC832" s="5"/>
      <c r="AD832" s="5"/>
      <c r="AE832" s="5"/>
      <c r="AF832" s="5"/>
      <c r="AG832" s="5"/>
      <c r="AH832" s="5"/>
      <c r="AI832" s="5"/>
      <c r="AJ832" s="5"/>
      <c r="AK832" s="5"/>
      <c r="AL832" s="5"/>
      <c r="AM832" s="5"/>
      <c r="AN832" s="5"/>
      <c r="AO832" s="5"/>
      <c r="AP832" s="5"/>
      <c r="AQ832" s="5"/>
      <c r="AR832" s="5"/>
      <c r="AS832" s="5"/>
      <c r="AT832" s="5"/>
      <c r="AU832" s="5"/>
      <c r="AV832" s="5"/>
      <c r="AW832" s="5"/>
      <c r="AX832" s="5"/>
      <c r="AY832" s="5"/>
    </row>
    <row r="833" spans="1:51" s="55" customFormat="1">
      <c r="A833" s="5"/>
      <c r="B833" s="5"/>
      <c r="C833" s="20"/>
      <c r="D833" s="9"/>
      <c r="F833" s="29"/>
      <c r="G833" s="5"/>
      <c r="H833" s="20"/>
      <c r="I833" s="5"/>
      <c r="J833" s="5"/>
      <c r="K833" s="5"/>
      <c r="L833" s="5"/>
      <c r="M833" s="5"/>
      <c r="N833" s="5"/>
      <c r="O833" s="5"/>
      <c r="S833" s="5"/>
      <c r="T833" s="5"/>
      <c r="U833" s="5"/>
      <c r="V833" s="5"/>
      <c r="W833" s="11"/>
      <c r="X833" s="5"/>
      <c r="Y833" s="5"/>
      <c r="Z833" s="5"/>
      <c r="AA833" s="5"/>
      <c r="AB833" s="5"/>
      <c r="AC833" s="5"/>
      <c r="AD833" s="5"/>
      <c r="AE833" s="5"/>
      <c r="AF833" s="5"/>
      <c r="AG833" s="5"/>
      <c r="AH833" s="5"/>
      <c r="AI833" s="5"/>
      <c r="AJ833" s="5"/>
      <c r="AK833" s="5"/>
      <c r="AL833" s="5"/>
      <c r="AM833" s="5"/>
      <c r="AN833" s="5"/>
      <c r="AO833" s="5"/>
      <c r="AP833" s="5"/>
      <c r="AQ833" s="5"/>
      <c r="AR833" s="5"/>
      <c r="AS833" s="5"/>
      <c r="AT833" s="5"/>
      <c r="AU833" s="5"/>
      <c r="AV833" s="5"/>
      <c r="AW833" s="5"/>
      <c r="AX833" s="5"/>
      <c r="AY833" s="5"/>
    </row>
    <row r="834" spans="1:51" s="55" customFormat="1">
      <c r="A834" s="5"/>
      <c r="B834" s="5"/>
      <c r="C834" s="20"/>
      <c r="D834" s="9"/>
      <c r="F834" s="29"/>
      <c r="G834" s="5"/>
      <c r="H834" s="20"/>
      <c r="I834" s="5"/>
      <c r="J834" s="5"/>
      <c r="K834" s="5"/>
      <c r="L834" s="5"/>
      <c r="M834" s="5"/>
      <c r="N834" s="5"/>
      <c r="O834" s="5"/>
      <c r="S834" s="5"/>
      <c r="T834" s="5"/>
      <c r="U834" s="5"/>
      <c r="V834" s="5"/>
      <c r="W834" s="11"/>
      <c r="X834" s="5"/>
      <c r="Y834" s="5"/>
      <c r="Z834" s="5"/>
      <c r="AA834" s="5"/>
      <c r="AB834" s="5"/>
      <c r="AC834" s="5"/>
      <c r="AD834" s="5"/>
      <c r="AE834" s="5"/>
      <c r="AF834" s="5"/>
      <c r="AG834" s="5"/>
      <c r="AH834" s="5"/>
      <c r="AI834" s="5"/>
      <c r="AJ834" s="5"/>
      <c r="AK834" s="5"/>
      <c r="AL834" s="5"/>
      <c r="AM834" s="5"/>
      <c r="AN834" s="5"/>
      <c r="AO834" s="5"/>
      <c r="AP834" s="5"/>
      <c r="AQ834" s="5"/>
      <c r="AR834" s="5"/>
      <c r="AS834" s="5"/>
      <c r="AT834" s="5"/>
      <c r="AU834" s="5"/>
      <c r="AV834" s="5"/>
      <c r="AW834" s="5"/>
      <c r="AX834" s="5"/>
      <c r="AY834" s="5"/>
    </row>
    <row r="835" spans="1:51" s="55" customFormat="1">
      <c r="A835" s="5"/>
      <c r="B835" s="5"/>
      <c r="C835" s="20"/>
      <c r="D835" s="9"/>
      <c r="F835" s="29"/>
      <c r="G835" s="5"/>
      <c r="H835" s="20"/>
      <c r="I835" s="5"/>
      <c r="J835" s="5"/>
      <c r="K835" s="5"/>
      <c r="L835" s="5"/>
      <c r="M835" s="5"/>
      <c r="N835" s="5"/>
      <c r="O835" s="5"/>
      <c r="S835" s="5"/>
      <c r="T835" s="5"/>
      <c r="U835" s="5"/>
      <c r="V835" s="5"/>
      <c r="W835" s="11"/>
      <c r="X835" s="5"/>
      <c r="Y835" s="5"/>
      <c r="Z835" s="5"/>
      <c r="AA835" s="5"/>
      <c r="AB835" s="5"/>
      <c r="AC835" s="5"/>
      <c r="AD835" s="5"/>
      <c r="AE835" s="5"/>
      <c r="AF835" s="5"/>
      <c r="AG835" s="5"/>
      <c r="AH835" s="5"/>
      <c r="AI835" s="5"/>
      <c r="AJ835" s="5"/>
      <c r="AK835" s="5"/>
      <c r="AL835" s="5"/>
      <c r="AM835" s="5"/>
      <c r="AN835" s="5"/>
      <c r="AO835" s="5"/>
      <c r="AP835" s="5"/>
      <c r="AQ835" s="5"/>
      <c r="AR835" s="5"/>
      <c r="AS835" s="5"/>
      <c r="AT835" s="5"/>
      <c r="AU835" s="5"/>
      <c r="AV835" s="5"/>
      <c r="AW835" s="5"/>
      <c r="AX835" s="5"/>
      <c r="AY835" s="5"/>
    </row>
    <row r="836" spans="1:51" s="55" customFormat="1">
      <c r="A836" s="5"/>
      <c r="B836" s="5"/>
      <c r="C836" s="20"/>
      <c r="D836" s="9"/>
      <c r="F836" s="29"/>
      <c r="G836" s="5"/>
      <c r="H836" s="20"/>
      <c r="I836" s="5"/>
      <c r="J836" s="5"/>
      <c r="K836" s="5"/>
      <c r="L836" s="5"/>
      <c r="M836" s="5"/>
      <c r="N836" s="5"/>
      <c r="O836" s="5"/>
      <c r="S836" s="5"/>
      <c r="T836" s="5"/>
      <c r="U836" s="5"/>
      <c r="V836" s="5"/>
      <c r="W836" s="11"/>
      <c r="X836" s="5"/>
      <c r="Y836" s="5"/>
      <c r="Z836" s="5"/>
      <c r="AA836" s="5"/>
      <c r="AB836" s="5"/>
      <c r="AC836" s="5"/>
      <c r="AD836" s="5"/>
      <c r="AE836" s="5"/>
      <c r="AF836" s="5"/>
      <c r="AG836" s="5"/>
      <c r="AH836" s="5"/>
      <c r="AI836" s="5"/>
      <c r="AJ836" s="5"/>
      <c r="AK836" s="5"/>
      <c r="AL836" s="5"/>
      <c r="AM836" s="5"/>
      <c r="AN836" s="5"/>
      <c r="AO836" s="5"/>
      <c r="AP836" s="5"/>
      <c r="AQ836" s="5"/>
      <c r="AR836" s="5"/>
      <c r="AS836" s="5"/>
      <c r="AT836" s="5"/>
      <c r="AU836" s="5"/>
      <c r="AV836" s="5"/>
      <c r="AW836" s="5"/>
      <c r="AX836" s="5"/>
      <c r="AY836" s="5"/>
    </row>
    <row r="837" spans="1:51" s="55" customFormat="1">
      <c r="A837" s="5"/>
      <c r="B837" s="5"/>
      <c r="C837" s="20"/>
      <c r="D837" s="9"/>
      <c r="F837" s="29"/>
      <c r="G837" s="5"/>
      <c r="H837" s="20"/>
      <c r="I837" s="5"/>
      <c r="J837" s="5"/>
      <c r="K837" s="5"/>
      <c r="L837" s="5"/>
      <c r="M837" s="5"/>
      <c r="N837" s="5"/>
      <c r="O837" s="5"/>
      <c r="S837" s="5"/>
      <c r="T837" s="5"/>
      <c r="U837" s="5"/>
      <c r="V837" s="5"/>
      <c r="W837" s="11"/>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c r="AX837" s="5"/>
      <c r="AY837" s="5"/>
    </row>
    <row r="838" spans="1:51" s="55" customFormat="1">
      <c r="A838" s="5"/>
      <c r="B838" s="5"/>
      <c r="C838" s="20"/>
      <c r="D838" s="9"/>
      <c r="F838" s="29"/>
      <c r="G838" s="5"/>
      <c r="H838" s="20"/>
      <c r="I838" s="5"/>
      <c r="J838" s="5"/>
      <c r="K838" s="5"/>
      <c r="L838" s="5"/>
      <c r="M838" s="5"/>
      <c r="N838" s="5"/>
      <c r="O838" s="5"/>
      <c r="S838" s="5"/>
      <c r="T838" s="5"/>
      <c r="U838" s="5"/>
      <c r="V838" s="5"/>
      <c r="W838" s="11"/>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c r="AX838" s="5"/>
      <c r="AY838" s="5"/>
    </row>
    <row r="839" spans="1:51" s="55" customFormat="1">
      <c r="A839" s="5"/>
      <c r="B839" s="5"/>
      <c r="C839" s="20"/>
      <c r="D839" s="9"/>
      <c r="F839" s="29"/>
      <c r="G839" s="5"/>
      <c r="H839" s="20"/>
      <c r="I839" s="5"/>
      <c r="J839" s="5"/>
      <c r="K839" s="5"/>
      <c r="L839" s="5"/>
      <c r="M839" s="5"/>
      <c r="N839" s="5"/>
      <c r="O839" s="5"/>
      <c r="S839" s="5"/>
      <c r="T839" s="5"/>
      <c r="U839" s="5"/>
      <c r="V839" s="5"/>
      <c r="W839" s="11"/>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row>
    <row r="840" spans="1:51" s="55" customFormat="1">
      <c r="A840" s="5"/>
      <c r="B840" s="5"/>
      <c r="C840" s="20"/>
      <c r="D840" s="9"/>
      <c r="F840" s="29"/>
      <c r="G840" s="5"/>
      <c r="H840" s="20"/>
      <c r="I840" s="5"/>
      <c r="J840" s="5"/>
      <c r="K840" s="5"/>
      <c r="L840" s="5"/>
      <c r="M840" s="5"/>
      <c r="N840" s="5"/>
      <c r="O840" s="5"/>
      <c r="S840" s="5"/>
      <c r="T840" s="5"/>
      <c r="U840" s="5"/>
      <c r="V840" s="5"/>
      <c r="W840" s="11"/>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c r="AX840" s="5"/>
      <c r="AY840" s="5"/>
    </row>
    <row r="841" spans="1:51" s="55" customFormat="1">
      <c r="A841" s="5"/>
      <c r="B841" s="5"/>
      <c r="C841" s="20"/>
      <c r="D841" s="9"/>
      <c r="F841" s="29"/>
      <c r="G841" s="5"/>
      <c r="H841" s="20"/>
      <c r="I841" s="5"/>
      <c r="J841" s="5"/>
      <c r="K841" s="5"/>
      <c r="L841" s="5"/>
      <c r="M841" s="5"/>
      <c r="N841" s="5"/>
      <c r="O841" s="5"/>
      <c r="S841" s="5"/>
      <c r="T841" s="5"/>
      <c r="U841" s="5"/>
      <c r="V841" s="5"/>
      <c r="W841" s="11"/>
      <c r="X841" s="5"/>
      <c r="Y841" s="5"/>
      <c r="Z841" s="5"/>
      <c r="AA841" s="5"/>
      <c r="AB841" s="5"/>
      <c r="AC841" s="5"/>
      <c r="AD841" s="5"/>
      <c r="AE841" s="5"/>
      <c r="AF841" s="5"/>
      <c r="AG841" s="5"/>
      <c r="AH841" s="5"/>
      <c r="AI841" s="5"/>
      <c r="AJ841" s="5"/>
      <c r="AK841" s="5"/>
      <c r="AL841" s="5"/>
      <c r="AM841" s="5"/>
      <c r="AN841" s="5"/>
      <c r="AO841" s="5"/>
      <c r="AP841" s="5"/>
      <c r="AQ841" s="5"/>
      <c r="AR841" s="5"/>
      <c r="AS841" s="5"/>
      <c r="AT841" s="5"/>
      <c r="AU841" s="5"/>
      <c r="AV841" s="5"/>
      <c r="AW841" s="5"/>
      <c r="AX841" s="5"/>
      <c r="AY841" s="5"/>
    </row>
    <row r="842" spans="1:51" s="55" customFormat="1">
      <c r="A842" s="5"/>
      <c r="B842" s="5"/>
      <c r="C842" s="20"/>
      <c r="D842" s="9"/>
      <c r="F842" s="29"/>
      <c r="G842" s="5"/>
      <c r="H842" s="20"/>
      <c r="I842" s="5"/>
      <c r="J842" s="5"/>
      <c r="K842" s="5"/>
      <c r="L842" s="5"/>
      <c r="M842" s="5"/>
      <c r="N842" s="5"/>
      <c r="O842" s="5"/>
      <c r="S842" s="5"/>
      <c r="T842" s="5"/>
      <c r="U842" s="5"/>
      <c r="V842" s="5"/>
      <c r="W842" s="11"/>
      <c r="X842" s="5"/>
      <c r="Y842" s="5"/>
      <c r="Z842" s="5"/>
      <c r="AA842" s="5"/>
      <c r="AB842" s="5"/>
      <c r="AC842" s="5"/>
      <c r="AD842" s="5"/>
      <c r="AE842" s="5"/>
      <c r="AF842" s="5"/>
      <c r="AG842" s="5"/>
      <c r="AH842" s="5"/>
      <c r="AI842" s="5"/>
      <c r="AJ842" s="5"/>
      <c r="AK842" s="5"/>
      <c r="AL842" s="5"/>
      <c r="AM842" s="5"/>
      <c r="AN842" s="5"/>
      <c r="AO842" s="5"/>
      <c r="AP842" s="5"/>
      <c r="AQ842" s="5"/>
      <c r="AR842" s="5"/>
      <c r="AS842" s="5"/>
      <c r="AT842" s="5"/>
      <c r="AU842" s="5"/>
      <c r="AV842" s="5"/>
      <c r="AW842" s="5"/>
      <c r="AX842" s="5"/>
      <c r="AY842" s="5"/>
    </row>
    <row r="843" spans="1:51" s="55" customFormat="1">
      <c r="A843" s="5"/>
      <c r="B843" s="5"/>
      <c r="C843" s="20"/>
      <c r="D843" s="9"/>
      <c r="F843" s="29"/>
      <c r="G843" s="5"/>
      <c r="H843" s="20"/>
      <c r="I843" s="5"/>
      <c r="J843" s="5"/>
      <c r="K843" s="5"/>
      <c r="L843" s="5"/>
      <c r="M843" s="5"/>
      <c r="N843" s="5"/>
      <c r="O843" s="5"/>
      <c r="S843" s="5"/>
      <c r="T843" s="5"/>
      <c r="U843" s="5"/>
      <c r="V843" s="5"/>
      <c r="W843" s="11"/>
      <c r="X843" s="5"/>
      <c r="Y843" s="5"/>
      <c r="Z843" s="5"/>
      <c r="AA843" s="5"/>
      <c r="AB843" s="5"/>
      <c r="AC843" s="5"/>
      <c r="AD843" s="5"/>
      <c r="AE843" s="5"/>
      <c r="AF843" s="5"/>
      <c r="AG843" s="5"/>
      <c r="AH843" s="5"/>
      <c r="AI843" s="5"/>
      <c r="AJ843" s="5"/>
      <c r="AK843" s="5"/>
      <c r="AL843" s="5"/>
      <c r="AM843" s="5"/>
      <c r="AN843" s="5"/>
      <c r="AO843" s="5"/>
      <c r="AP843" s="5"/>
      <c r="AQ843" s="5"/>
      <c r="AR843" s="5"/>
      <c r="AS843" s="5"/>
      <c r="AT843" s="5"/>
      <c r="AU843" s="5"/>
      <c r="AV843" s="5"/>
      <c r="AW843" s="5"/>
      <c r="AX843" s="5"/>
      <c r="AY843" s="5"/>
    </row>
    <row r="844" spans="1:51" s="55" customFormat="1">
      <c r="A844" s="5"/>
      <c r="B844" s="5"/>
      <c r="C844" s="20"/>
      <c r="D844" s="9"/>
      <c r="F844" s="29"/>
      <c r="G844" s="5"/>
      <c r="H844" s="20"/>
      <c r="I844" s="5"/>
      <c r="J844" s="5"/>
      <c r="K844" s="5"/>
      <c r="L844" s="5"/>
      <c r="M844" s="5"/>
      <c r="N844" s="5"/>
      <c r="O844" s="5"/>
      <c r="S844" s="5"/>
      <c r="T844" s="5"/>
      <c r="U844" s="5"/>
      <c r="V844" s="5"/>
      <c r="W844" s="11"/>
      <c r="X844" s="5"/>
      <c r="Y844" s="5"/>
      <c r="Z844" s="5"/>
      <c r="AA844" s="5"/>
      <c r="AB844" s="5"/>
      <c r="AC844" s="5"/>
      <c r="AD844" s="5"/>
      <c r="AE844" s="5"/>
      <c r="AF844" s="5"/>
      <c r="AG844" s="5"/>
      <c r="AH844" s="5"/>
      <c r="AI844" s="5"/>
      <c r="AJ844" s="5"/>
      <c r="AK844" s="5"/>
      <c r="AL844" s="5"/>
      <c r="AM844" s="5"/>
      <c r="AN844" s="5"/>
      <c r="AO844" s="5"/>
      <c r="AP844" s="5"/>
      <c r="AQ844" s="5"/>
      <c r="AR844" s="5"/>
      <c r="AS844" s="5"/>
      <c r="AT844" s="5"/>
      <c r="AU844" s="5"/>
      <c r="AV844" s="5"/>
      <c r="AW844" s="5"/>
      <c r="AX844" s="5"/>
      <c r="AY844" s="5"/>
    </row>
    <row r="845" spans="1:51" s="55" customFormat="1">
      <c r="A845" s="5"/>
      <c r="B845" s="5"/>
      <c r="C845" s="20"/>
      <c r="D845" s="9"/>
      <c r="F845" s="29"/>
      <c r="G845" s="5"/>
      <c r="H845" s="20"/>
      <c r="I845" s="5"/>
      <c r="J845" s="5"/>
      <c r="K845" s="5"/>
      <c r="L845" s="5"/>
      <c r="M845" s="5"/>
      <c r="N845" s="5"/>
      <c r="O845" s="5"/>
      <c r="S845" s="5"/>
      <c r="T845" s="5"/>
      <c r="U845" s="5"/>
      <c r="V845" s="5"/>
      <c r="W845" s="11"/>
      <c r="X845" s="5"/>
      <c r="Y845" s="5"/>
      <c r="Z845" s="5"/>
      <c r="AA845" s="5"/>
      <c r="AB845" s="5"/>
      <c r="AC845" s="5"/>
      <c r="AD845" s="5"/>
      <c r="AE845" s="5"/>
      <c r="AF845" s="5"/>
      <c r="AG845" s="5"/>
      <c r="AH845" s="5"/>
      <c r="AI845" s="5"/>
      <c r="AJ845" s="5"/>
      <c r="AK845" s="5"/>
      <c r="AL845" s="5"/>
      <c r="AM845" s="5"/>
      <c r="AN845" s="5"/>
      <c r="AO845" s="5"/>
      <c r="AP845" s="5"/>
      <c r="AQ845" s="5"/>
      <c r="AR845" s="5"/>
      <c r="AS845" s="5"/>
      <c r="AT845" s="5"/>
      <c r="AU845" s="5"/>
      <c r="AV845" s="5"/>
      <c r="AW845" s="5"/>
      <c r="AX845" s="5"/>
      <c r="AY845" s="5"/>
    </row>
    <row r="846" spans="1:51" s="55" customFormat="1">
      <c r="A846" s="5"/>
      <c r="B846" s="5"/>
      <c r="C846" s="20"/>
      <c r="D846" s="9"/>
      <c r="F846" s="29"/>
      <c r="G846" s="5"/>
      <c r="H846" s="20"/>
      <c r="I846" s="5"/>
      <c r="J846" s="5"/>
      <c r="K846" s="5"/>
      <c r="L846" s="5"/>
      <c r="M846" s="5"/>
      <c r="N846" s="5"/>
      <c r="O846" s="5"/>
      <c r="S846" s="5"/>
      <c r="T846" s="5"/>
      <c r="U846" s="5"/>
      <c r="V846" s="5"/>
      <c r="W846" s="11"/>
      <c r="X846" s="5"/>
      <c r="Y846" s="5"/>
      <c r="Z846" s="5"/>
      <c r="AA846" s="5"/>
      <c r="AB846" s="5"/>
      <c r="AC846" s="5"/>
      <c r="AD846" s="5"/>
      <c r="AE846" s="5"/>
      <c r="AF846" s="5"/>
      <c r="AG846" s="5"/>
      <c r="AH846" s="5"/>
      <c r="AI846" s="5"/>
      <c r="AJ846" s="5"/>
      <c r="AK846" s="5"/>
      <c r="AL846" s="5"/>
      <c r="AM846" s="5"/>
      <c r="AN846" s="5"/>
      <c r="AO846" s="5"/>
      <c r="AP846" s="5"/>
      <c r="AQ846" s="5"/>
      <c r="AR846" s="5"/>
      <c r="AS846" s="5"/>
      <c r="AT846" s="5"/>
      <c r="AU846" s="5"/>
      <c r="AV846" s="5"/>
      <c r="AW846" s="5"/>
      <c r="AX846" s="5"/>
      <c r="AY846" s="5"/>
    </row>
    <row r="847" spans="1:51" s="55" customFormat="1">
      <c r="A847" s="5"/>
      <c r="B847" s="5"/>
      <c r="C847" s="20"/>
      <c r="D847" s="9"/>
      <c r="F847" s="29"/>
      <c r="G847" s="5"/>
      <c r="H847" s="20"/>
      <c r="I847" s="5"/>
      <c r="J847" s="5"/>
      <c r="K847" s="5"/>
      <c r="L847" s="5"/>
      <c r="M847" s="5"/>
      <c r="N847" s="5"/>
      <c r="O847" s="5"/>
      <c r="S847" s="5"/>
      <c r="T847" s="5"/>
      <c r="U847" s="5"/>
      <c r="V847" s="5"/>
      <c r="W847" s="11"/>
      <c r="X847" s="5"/>
      <c r="Y847" s="5"/>
      <c r="Z847" s="5"/>
      <c r="AA847" s="5"/>
      <c r="AB847" s="5"/>
      <c r="AC847" s="5"/>
      <c r="AD847" s="5"/>
      <c r="AE847" s="5"/>
      <c r="AF847" s="5"/>
      <c r="AG847" s="5"/>
      <c r="AH847" s="5"/>
      <c r="AI847" s="5"/>
      <c r="AJ847" s="5"/>
      <c r="AK847" s="5"/>
      <c r="AL847" s="5"/>
      <c r="AM847" s="5"/>
      <c r="AN847" s="5"/>
      <c r="AO847" s="5"/>
      <c r="AP847" s="5"/>
      <c r="AQ847" s="5"/>
      <c r="AR847" s="5"/>
      <c r="AS847" s="5"/>
      <c r="AT847" s="5"/>
      <c r="AU847" s="5"/>
      <c r="AV847" s="5"/>
      <c r="AW847" s="5"/>
      <c r="AX847" s="5"/>
      <c r="AY847" s="5"/>
    </row>
    <row r="848" spans="1:51" s="55" customFormat="1">
      <c r="A848" s="5"/>
      <c r="B848" s="5"/>
      <c r="C848" s="20"/>
      <c r="D848" s="9"/>
      <c r="F848" s="29"/>
      <c r="G848" s="5"/>
      <c r="H848" s="20"/>
      <c r="I848" s="5"/>
      <c r="J848" s="5"/>
      <c r="K848" s="5"/>
      <c r="L848" s="5"/>
      <c r="M848" s="5"/>
      <c r="N848" s="5"/>
      <c r="O848" s="5"/>
      <c r="S848" s="5"/>
      <c r="T848" s="5"/>
      <c r="U848" s="5"/>
      <c r="V848" s="5"/>
      <c r="W848" s="11"/>
      <c r="X848" s="5"/>
      <c r="Y848" s="5"/>
      <c r="Z848" s="5"/>
      <c r="AA848" s="5"/>
      <c r="AB848" s="5"/>
      <c r="AC848" s="5"/>
      <c r="AD848" s="5"/>
      <c r="AE848" s="5"/>
      <c r="AF848" s="5"/>
      <c r="AG848" s="5"/>
      <c r="AH848" s="5"/>
      <c r="AI848" s="5"/>
      <c r="AJ848" s="5"/>
      <c r="AK848" s="5"/>
      <c r="AL848" s="5"/>
      <c r="AM848" s="5"/>
      <c r="AN848" s="5"/>
      <c r="AO848" s="5"/>
      <c r="AP848" s="5"/>
      <c r="AQ848" s="5"/>
      <c r="AR848" s="5"/>
      <c r="AS848" s="5"/>
      <c r="AT848" s="5"/>
      <c r="AU848" s="5"/>
      <c r="AV848" s="5"/>
      <c r="AW848" s="5"/>
      <c r="AX848" s="5"/>
      <c r="AY848" s="5"/>
    </row>
    <row r="849" spans="1:51" s="55" customFormat="1">
      <c r="A849" s="5"/>
      <c r="B849" s="5"/>
      <c r="C849" s="20"/>
      <c r="D849" s="9"/>
      <c r="F849" s="29"/>
      <c r="G849" s="5"/>
      <c r="H849" s="20"/>
      <c r="I849" s="5"/>
      <c r="J849" s="5"/>
      <c r="K849" s="5"/>
      <c r="L849" s="5"/>
      <c r="M849" s="5"/>
      <c r="N849" s="5"/>
      <c r="O849" s="5"/>
      <c r="S849" s="5"/>
      <c r="T849" s="5"/>
      <c r="U849" s="5"/>
      <c r="V849" s="5"/>
      <c r="W849" s="11"/>
      <c r="X849" s="5"/>
      <c r="Y849" s="5"/>
      <c r="Z849" s="5"/>
      <c r="AA849" s="5"/>
      <c r="AB849" s="5"/>
      <c r="AC849" s="5"/>
      <c r="AD849" s="5"/>
      <c r="AE849" s="5"/>
      <c r="AF849" s="5"/>
      <c r="AG849" s="5"/>
      <c r="AH849" s="5"/>
      <c r="AI849" s="5"/>
      <c r="AJ849" s="5"/>
      <c r="AK849" s="5"/>
      <c r="AL849" s="5"/>
      <c r="AM849" s="5"/>
      <c r="AN849" s="5"/>
      <c r="AO849" s="5"/>
      <c r="AP849" s="5"/>
      <c r="AQ849" s="5"/>
      <c r="AR849" s="5"/>
      <c r="AS849" s="5"/>
      <c r="AT849" s="5"/>
      <c r="AU849" s="5"/>
      <c r="AV849" s="5"/>
      <c r="AW849" s="5"/>
      <c r="AX849" s="5"/>
      <c r="AY849" s="5"/>
    </row>
    <row r="850" spans="1:51" s="55" customFormat="1">
      <c r="A850" s="5"/>
      <c r="B850" s="5"/>
      <c r="C850" s="20"/>
      <c r="D850" s="9"/>
      <c r="F850" s="29"/>
      <c r="G850" s="5"/>
      <c r="H850" s="20"/>
      <c r="I850" s="5"/>
      <c r="J850" s="5"/>
      <c r="K850" s="5"/>
      <c r="L850" s="5"/>
      <c r="M850" s="5"/>
      <c r="N850" s="5"/>
      <c r="O850" s="5"/>
      <c r="S850" s="5"/>
      <c r="T850" s="5"/>
      <c r="U850" s="5"/>
      <c r="V850" s="5"/>
      <c r="W850" s="11"/>
      <c r="X850" s="5"/>
      <c r="Y850" s="5"/>
      <c r="Z850" s="5"/>
      <c r="AA850" s="5"/>
      <c r="AB850" s="5"/>
      <c r="AC850" s="5"/>
      <c r="AD850" s="5"/>
      <c r="AE850" s="5"/>
      <c r="AF850" s="5"/>
      <c r="AG850" s="5"/>
      <c r="AH850" s="5"/>
      <c r="AI850" s="5"/>
      <c r="AJ850" s="5"/>
      <c r="AK850" s="5"/>
      <c r="AL850" s="5"/>
      <c r="AM850" s="5"/>
      <c r="AN850" s="5"/>
      <c r="AO850" s="5"/>
      <c r="AP850" s="5"/>
      <c r="AQ850" s="5"/>
      <c r="AR850" s="5"/>
      <c r="AS850" s="5"/>
      <c r="AT850" s="5"/>
      <c r="AU850" s="5"/>
      <c r="AV850" s="5"/>
      <c r="AW850" s="5"/>
      <c r="AX850" s="5"/>
      <c r="AY850" s="5"/>
    </row>
    <row r="851" spans="1:51" s="55" customFormat="1">
      <c r="A851" s="5"/>
      <c r="B851" s="5"/>
      <c r="C851" s="20"/>
      <c r="D851" s="9"/>
      <c r="F851" s="29"/>
      <c r="G851" s="5"/>
      <c r="H851" s="20"/>
      <c r="I851" s="5"/>
      <c r="J851" s="5"/>
      <c r="K851" s="5"/>
      <c r="L851" s="5"/>
      <c r="M851" s="5"/>
      <c r="N851" s="5"/>
      <c r="O851" s="5"/>
      <c r="S851" s="5"/>
      <c r="T851" s="5"/>
      <c r="U851" s="5"/>
      <c r="V851" s="5"/>
      <c r="W851" s="11"/>
      <c r="X851" s="5"/>
      <c r="Y851" s="5"/>
      <c r="Z851" s="5"/>
      <c r="AA851" s="5"/>
      <c r="AB851" s="5"/>
      <c r="AC851" s="5"/>
      <c r="AD851" s="5"/>
      <c r="AE851" s="5"/>
      <c r="AF851" s="5"/>
      <c r="AG851" s="5"/>
      <c r="AH851" s="5"/>
      <c r="AI851" s="5"/>
      <c r="AJ851" s="5"/>
      <c r="AK851" s="5"/>
      <c r="AL851" s="5"/>
      <c r="AM851" s="5"/>
      <c r="AN851" s="5"/>
      <c r="AO851" s="5"/>
      <c r="AP851" s="5"/>
      <c r="AQ851" s="5"/>
      <c r="AR851" s="5"/>
      <c r="AS851" s="5"/>
      <c r="AT851" s="5"/>
      <c r="AU851" s="5"/>
      <c r="AV851" s="5"/>
      <c r="AW851" s="5"/>
      <c r="AX851" s="5"/>
      <c r="AY851" s="5"/>
    </row>
    <row r="852" spans="1:51" s="55" customFormat="1">
      <c r="A852" s="5"/>
      <c r="B852" s="5"/>
      <c r="C852" s="20"/>
      <c r="D852" s="9"/>
      <c r="F852" s="29"/>
      <c r="G852" s="5"/>
      <c r="H852" s="20"/>
      <c r="I852" s="5"/>
      <c r="J852" s="5"/>
      <c r="K852" s="5"/>
      <c r="L852" s="5"/>
      <c r="M852" s="5"/>
      <c r="N852" s="5"/>
      <c r="O852" s="5"/>
      <c r="S852" s="5"/>
      <c r="T852" s="5"/>
      <c r="U852" s="5"/>
      <c r="V852" s="5"/>
      <c r="W852" s="11"/>
      <c r="X852" s="5"/>
      <c r="Y852" s="5"/>
      <c r="Z852" s="5"/>
      <c r="AA852" s="5"/>
      <c r="AB852" s="5"/>
      <c r="AC852" s="5"/>
      <c r="AD852" s="5"/>
      <c r="AE852" s="5"/>
      <c r="AF852" s="5"/>
      <c r="AG852" s="5"/>
      <c r="AH852" s="5"/>
      <c r="AI852" s="5"/>
      <c r="AJ852" s="5"/>
      <c r="AK852" s="5"/>
      <c r="AL852" s="5"/>
      <c r="AM852" s="5"/>
      <c r="AN852" s="5"/>
      <c r="AO852" s="5"/>
      <c r="AP852" s="5"/>
      <c r="AQ852" s="5"/>
      <c r="AR852" s="5"/>
      <c r="AS852" s="5"/>
      <c r="AT852" s="5"/>
      <c r="AU852" s="5"/>
      <c r="AV852" s="5"/>
      <c r="AW852" s="5"/>
      <c r="AX852" s="5"/>
      <c r="AY852" s="5"/>
    </row>
    <row r="853" spans="1:51" s="55" customFormat="1">
      <c r="A853" s="5"/>
      <c r="B853" s="5"/>
      <c r="C853" s="20"/>
      <c r="D853" s="9"/>
      <c r="F853" s="29"/>
      <c r="G853" s="5"/>
      <c r="H853" s="20"/>
      <c r="I853" s="5"/>
      <c r="J853" s="5"/>
      <c r="K853" s="5"/>
      <c r="L853" s="5"/>
      <c r="M853" s="5"/>
      <c r="N853" s="5"/>
      <c r="O853" s="5"/>
      <c r="S853" s="5"/>
      <c r="T853" s="5"/>
      <c r="U853" s="5"/>
      <c r="V853" s="5"/>
      <c r="W853" s="11"/>
      <c r="X853" s="5"/>
      <c r="Y853" s="5"/>
      <c r="Z853" s="5"/>
      <c r="AA853" s="5"/>
      <c r="AB853" s="5"/>
      <c r="AC853" s="5"/>
      <c r="AD853" s="5"/>
      <c r="AE853" s="5"/>
      <c r="AF853" s="5"/>
      <c r="AG853" s="5"/>
      <c r="AH853" s="5"/>
      <c r="AI853" s="5"/>
      <c r="AJ853" s="5"/>
      <c r="AK853" s="5"/>
      <c r="AL853" s="5"/>
      <c r="AM853" s="5"/>
      <c r="AN853" s="5"/>
      <c r="AO853" s="5"/>
      <c r="AP853" s="5"/>
      <c r="AQ853" s="5"/>
      <c r="AR853" s="5"/>
      <c r="AS853" s="5"/>
      <c r="AT853" s="5"/>
      <c r="AU853" s="5"/>
      <c r="AV853" s="5"/>
      <c r="AW853" s="5"/>
      <c r="AX853" s="5"/>
      <c r="AY853" s="5"/>
    </row>
    <row r="854" spans="1:51" s="55" customFormat="1">
      <c r="A854" s="5"/>
      <c r="B854" s="5"/>
      <c r="C854" s="20"/>
      <c r="D854" s="9"/>
      <c r="F854" s="29"/>
      <c r="G854" s="5"/>
      <c r="H854" s="20"/>
      <c r="I854" s="5"/>
      <c r="J854" s="5"/>
      <c r="K854" s="5"/>
      <c r="L854" s="5"/>
      <c r="M854" s="5"/>
      <c r="N854" s="5"/>
      <c r="O854" s="5"/>
      <c r="S854" s="5"/>
      <c r="T854" s="5"/>
      <c r="U854" s="5"/>
      <c r="V854" s="5"/>
      <c r="W854" s="11"/>
      <c r="X854" s="5"/>
      <c r="Y854" s="5"/>
      <c r="Z854" s="5"/>
      <c r="AA854" s="5"/>
      <c r="AB854" s="5"/>
      <c r="AC854" s="5"/>
      <c r="AD854" s="5"/>
      <c r="AE854" s="5"/>
      <c r="AF854" s="5"/>
      <c r="AG854" s="5"/>
      <c r="AH854" s="5"/>
      <c r="AI854" s="5"/>
      <c r="AJ854" s="5"/>
      <c r="AK854" s="5"/>
      <c r="AL854" s="5"/>
      <c r="AM854" s="5"/>
      <c r="AN854" s="5"/>
      <c r="AO854" s="5"/>
      <c r="AP854" s="5"/>
      <c r="AQ854" s="5"/>
      <c r="AR854" s="5"/>
      <c r="AS854" s="5"/>
      <c r="AT854" s="5"/>
      <c r="AU854" s="5"/>
      <c r="AV854" s="5"/>
      <c r="AW854" s="5"/>
      <c r="AX854" s="5"/>
      <c r="AY854" s="5"/>
    </row>
    <row r="855" spans="1:51" s="55" customFormat="1">
      <c r="A855" s="5"/>
      <c r="B855" s="5"/>
      <c r="C855" s="20"/>
      <c r="D855" s="9"/>
      <c r="F855" s="29"/>
      <c r="G855" s="5"/>
      <c r="H855" s="20"/>
      <c r="I855" s="5"/>
      <c r="J855" s="5"/>
      <c r="K855" s="5"/>
      <c r="L855" s="5"/>
      <c r="M855" s="5"/>
      <c r="N855" s="5"/>
      <c r="O855" s="5"/>
      <c r="S855" s="5"/>
      <c r="T855" s="5"/>
      <c r="U855" s="5"/>
      <c r="V855" s="5"/>
      <c r="W855" s="11"/>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c r="AX855" s="5"/>
      <c r="AY855" s="5"/>
    </row>
    <row r="856" spans="1:51" s="55" customFormat="1">
      <c r="A856" s="5"/>
      <c r="B856" s="5"/>
      <c r="C856" s="20"/>
      <c r="D856" s="9"/>
      <c r="F856" s="29"/>
      <c r="G856" s="5"/>
      <c r="H856" s="20"/>
      <c r="I856" s="5"/>
      <c r="J856" s="5"/>
      <c r="K856" s="5"/>
      <c r="L856" s="5"/>
      <c r="M856" s="5"/>
      <c r="N856" s="5"/>
      <c r="O856" s="5"/>
      <c r="S856" s="5"/>
      <c r="T856" s="5"/>
      <c r="U856" s="5"/>
      <c r="V856" s="5"/>
      <c r="W856" s="11"/>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c r="AX856" s="5"/>
      <c r="AY856" s="5"/>
    </row>
    <row r="857" spans="1:51" s="55" customFormat="1">
      <c r="A857" s="5"/>
      <c r="B857" s="5"/>
      <c r="C857" s="20"/>
      <c r="D857" s="9"/>
      <c r="F857" s="29"/>
      <c r="G857" s="5"/>
      <c r="H857" s="20"/>
      <c r="I857" s="5"/>
      <c r="J857" s="5"/>
      <c r="K857" s="5"/>
      <c r="L857" s="5"/>
      <c r="M857" s="5"/>
      <c r="N857" s="5"/>
      <c r="O857" s="5"/>
      <c r="S857" s="5"/>
      <c r="T857" s="5"/>
      <c r="U857" s="5"/>
      <c r="V857" s="5"/>
      <c r="W857" s="11"/>
      <c r="X857" s="5"/>
      <c r="Y857" s="5"/>
      <c r="Z857" s="5"/>
      <c r="AA857" s="5"/>
      <c r="AB857" s="5"/>
      <c r="AC857" s="5"/>
      <c r="AD857" s="5"/>
      <c r="AE857" s="5"/>
      <c r="AF857" s="5"/>
      <c r="AG857" s="5"/>
      <c r="AH857" s="5"/>
      <c r="AI857" s="5"/>
      <c r="AJ857" s="5"/>
      <c r="AK857" s="5"/>
      <c r="AL857" s="5"/>
      <c r="AM857" s="5"/>
      <c r="AN857" s="5"/>
      <c r="AO857" s="5"/>
      <c r="AP857" s="5"/>
      <c r="AQ857" s="5"/>
      <c r="AR857" s="5"/>
      <c r="AS857" s="5"/>
      <c r="AT857" s="5"/>
      <c r="AU857" s="5"/>
      <c r="AV857" s="5"/>
      <c r="AW857" s="5"/>
      <c r="AX857" s="5"/>
      <c r="AY857" s="5"/>
    </row>
    <row r="858" spans="1:51" s="55" customFormat="1">
      <c r="A858" s="5"/>
      <c r="B858" s="5"/>
      <c r="C858" s="20"/>
      <c r="D858" s="9"/>
      <c r="F858" s="29"/>
      <c r="G858" s="5"/>
      <c r="H858" s="20"/>
      <c r="I858" s="5"/>
      <c r="J858" s="5"/>
      <c r="K858" s="5"/>
      <c r="L858" s="5"/>
      <c r="M858" s="5"/>
      <c r="N858" s="5"/>
      <c r="O858" s="5"/>
      <c r="S858" s="5"/>
      <c r="T858" s="5"/>
      <c r="U858" s="5"/>
      <c r="V858" s="5"/>
      <c r="W858" s="11"/>
      <c r="X858" s="5"/>
      <c r="Y858" s="5"/>
      <c r="Z858" s="5"/>
      <c r="AA858" s="5"/>
      <c r="AB858" s="5"/>
      <c r="AC858" s="5"/>
      <c r="AD858" s="5"/>
      <c r="AE858" s="5"/>
      <c r="AF858" s="5"/>
      <c r="AG858" s="5"/>
      <c r="AH858" s="5"/>
      <c r="AI858" s="5"/>
      <c r="AJ858" s="5"/>
      <c r="AK858" s="5"/>
      <c r="AL858" s="5"/>
      <c r="AM858" s="5"/>
      <c r="AN858" s="5"/>
      <c r="AO858" s="5"/>
      <c r="AP858" s="5"/>
      <c r="AQ858" s="5"/>
      <c r="AR858" s="5"/>
      <c r="AS858" s="5"/>
      <c r="AT858" s="5"/>
      <c r="AU858" s="5"/>
      <c r="AV858" s="5"/>
      <c r="AW858" s="5"/>
      <c r="AX858" s="5"/>
      <c r="AY858" s="5"/>
    </row>
    <row r="859" spans="1:51" s="55" customFormat="1">
      <c r="A859" s="5"/>
      <c r="B859" s="5"/>
      <c r="C859" s="20"/>
      <c r="D859" s="9"/>
      <c r="F859" s="29"/>
      <c r="G859" s="5"/>
      <c r="H859" s="20"/>
      <c r="I859" s="5"/>
      <c r="J859" s="5"/>
      <c r="K859" s="5"/>
      <c r="L859" s="5"/>
      <c r="M859" s="5"/>
      <c r="N859" s="5"/>
      <c r="O859" s="5"/>
      <c r="S859" s="5"/>
      <c r="T859" s="5"/>
      <c r="U859" s="5"/>
      <c r="V859" s="5"/>
      <c r="W859" s="11"/>
      <c r="X859" s="5"/>
      <c r="Y859" s="5"/>
      <c r="Z859" s="5"/>
      <c r="AA859" s="5"/>
      <c r="AB859" s="5"/>
      <c r="AC859" s="5"/>
      <c r="AD859" s="5"/>
      <c r="AE859" s="5"/>
      <c r="AF859" s="5"/>
      <c r="AG859" s="5"/>
      <c r="AH859" s="5"/>
      <c r="AI859" s="5"/>
      <c r="AJ859" s="5"/>
      <c r="AK859" s="5"/>
      <c r="AL859" s="5"/>
      <c r="AM859" s="5"/>
      <c r="AN859" s="5"/>
      <c r="AO859" s="5"/>
      <c r="AP859" s="5"/>
      <c r="AQ859" s="5"/>
      <c r="AR859" s="5"/>
      <c r="AS859" s="5"/>
      <c r="AT859" s="5"/>
      <c r="AU859" s="5"/>
      <c r="AV859" s="5"/>
      <c r="AW859" s="5"/>
      <c r="AX859" s="5"/>
      <c r="AY859" s="5"/>
    </row>
    <row r="860" spans="1:51" s="55" customFormat="1">
      <c r="A860" s="5"/>
      <c r="B860" s="5"/>
      <c r="C860" s="20"/>
      <c r="D860" s="9"/>
      <c r="F860" s="29"/>
      <c r="G860" s="5"/>
      <c r="H860" s="20"/>
      <c r="I860" s="5"/>
      <c r="J860" s="5"/>
      <c r="K860" s="5"/>
      <c r="L860" s="5"/>
      <c r="M860" s="5"/>
      <c r="N860" s="5"/>
      <c r="O860" s="5"/>
      <c r="S860" s="5"/>
      <c r="T860" s="5"/>
      <c r="U860" s="5"/>
      <c r="V860" s="5"/>
      <c r="W860" s="11"/>
      <c r="X860" s="5"/>
      <c r="Y860" s="5"/>
      <c r="Z860" s="5"/>
      <c r="AA860" s="5"/>
      <c r="AB860" s="5"/>
      <c r="AC860" s="5"/>
      <c r="AD860" s="5"/>
      <c r="AE860" s="5"/>
      <c r="AF860" s="5"/>
      <c r="AG860" s="5"/>
      <c r="AH860" s="5"/>
      <c r="AI860" s="5"/>
      <c r="AJ860" s="5"/>
      <c r="AK860" s="5"/>
      <c r="AL860" s="5"/>
      <c r="AM860" s="5"/>
      <c r="AN860" s="5"/>
      <c r="AO860" s="5"/>
      <c r="AP860" s="5"/>
      <c r="AQ860" s="5"/>
      <c r="AR860" s="5"/>
      <c r="AS860" s="5"/>
      <c r="AT860" s="5"/>
      <c r="AU860" s="5"/>
      <c r="AV860" s="5"/>
      <c r="AW860" s="5"/>
      <c r="AX860" s="5"/>
      <c r="AY860" s="5"/>
    </row>
    <row r="861" spans="1:51" s="55" customFormat="1">
      <c r="A861" s="5"/>
      <c r="B861" s="5"/>
      <c r="C861" s="20"/>
      <c r="D861" s="9"/>
      <c r="F861" s="29"/>
      <c r="G861" s="5"/>
      <c r="H861" s="20"/>
      <c r="I861" s="5"/>
      <c r="J861" s="5"/>
      <c r="K861" s="5"/>
      <c r="L861" s="5"/>
      <c r="M861" s="5"/>
      <c r="N861" s="5"/>
      <c r="O861" s="5"/>
      <c r="S861" s="5"/>
      <c r="T861" s="5"/>
      <c r="U861" s="5"/>
      <c r="V861" s="5"/>
      <c r="W861" s="11"/>
      <c r="X861" s="5"/>
      <c r="Y861" s="5"/>
      <c r="Z861" s="5"/>
      <c r="AA861" s="5"/>
      <c r="AB861" s="5"/>
      <c r="AC861" s="5"/>
      <c r="AD861" s="5"/>
      <c r="AE861" s="5"/>
      <c r="AF861" s="5"/>
      <c r="AG861" s="5"/>
      <c r="AH861" s="5"/>
      <c r="AI861" s="5"/>
      <c r="AJ861" s="5"/>
      <c r="AK861" s="5"/>
      <c r="AL861" s="5"/>
      <c r="AM861" s="5"/>
      <c r="AN861" s="5"/>
      <c r="AO861" s="5"/>
      <c r="AP861" s="5"/>
      <c r="AQ861" s="5"/>
      <c r="AR861" s="5"/>
      <c r="AS861" s="5"/>
      <c r="AT861" s="5"/>
      <c r="AU861" s="5"/>
      <c r="AV861" s="5"/>
      <c r="AW861" s="5"/>
      <c r="AX861" s="5"/>
      <c r="AY861" s="5"/>
    </row>
    <row r="862" spans="1:51" s="55" customFormat="1">
      <c r="A862" s="5"/>
      <c r="B862" s="5"/>
      <c r="C862" s="20"/>
      <c r="D862" s="9"/>
      <c r="F862" s="29"/>
      <c r="G862" s="5"/>
      <c r="H862" s="20"/>
      <c r="I862" s="5"/>
      <c r="J862" s="5"/>
      <c r="K862" s="5"/>
      <c r="L862" s="5"/>
      <c r="M862" s="5"/>
      <c r="N862" s="5"/>
      <c r="O862" s="5"/>
      <c r="S862" s="5"/>
      <c r="T862" s="5"/>
      <c r="U862" s="5"/>
      <c r="V862" s="5"/>
      <c r="W862" s="11"/>
      <c r="X862" s="5"/>
      <c r="Y862" s="5"/>
      <c r="Z862" s="5"/>
      <c r="AA862" s="5"/>
      <c r="AB862" s="5"/>
      <c r="AC862" s="5"/>
      <c r="AD862" s="5"/>
      <c r="AE862" s="5"/>
      <c r="AF862" s="5"/>
      <c r="AG862" s="5"/>
      <c r="AH862" s="5"/>
      <c r="AI862" s="5"/>
      <c r="AJ862" s="5"/>
      <c r="AK862" s="5"/>
      <c r="AL862" s="5"/>
      <c r="AM862" s="5"/>
      <c r="AN862" s="5"/>
      <c r="AO862" s="5"/>
      <c r="AP862" s="5"/>
      <c r="AQ862" s="5"/>
      <c r="AR862" s="5"/>
      <c r="AS862" s="5"/>
      <c r="AT862" s="5"/>
      <c r="AU862" s="5"/>
      <c r="AV862" s="5"/>
      <c r="AW862" s="5"/>
      <c r="AX862" s="5"/>
      <c r="AY862" s="5"/>
    </row>
    <row r="863" spans="1:51" s="55" customFormat="1">
      <c r="A863" s="5"/>
      <c r="B863" s="5"/>
      <c r="C863" s="20"/>
      <c r="D863" s="9"/>
      <c r="F863" s="29"/>
      <c r="G863" s="5"/>
      <c r="H863" s="20"/>
      <c r="I863" s="5"/>
      <c r="J863" s="5"/>
      <c r="K863" s="5"/>
      <c r="L863" s="5"/>
      <c r="M863" s="5"/>
      <c r="N863" s="5"/>
      <c r="O863" s="5"/>
      <c r="S863" s="5"/>
      <c r="T863" s="5"/>
      <c r="U863" s="5"/>
      <c r="V863" s="5"/>
      <c r="W863" s="11"/>
      <c r="X863" s="5"/>
      <c r="Y863" s="5"/>
      <c r="Z863" s="5"/>
      <c r="AA863" s="5"/>
      <c r="AB863" s="5"/>
      <c r="AC863" s="5"/>
      <c r="AD863" s="5"/>
      <c r="AE863" s="5"/>
      <c r="AF863" s="5"/>
      <c r="AG863" s="5"/>
      <c r="AH863" s="5"/>
      <c r="AI863" s="5"/>
      <c r="AJ863" s="5"/>
      <c r="AK863" s="5"/>
      <c r="AL863" s="5"/>
      <c r="AM863" s="5"/>
      <c r="AN863" s="5"/>
      <c r="AO863" s="5"/>
      <c r="AP863" s="5"/>
      <c r="AQ863" s="5"/>
      <c r="AR863" s="5"/>
      <c r="AS863" s="5"/>
      <c r="AT863" s="5"/>
      <c r="AU863" s="5"/>
      <c r="AV863" s="5"/>
      <c r="AW863" s="5"/>
      <c r="AX863" s="5"/>
      <c r="AY863" s="5"/>
    </row>
    <row r="864" spans="1:51" s="55" customFormat="1">
      <c r="A864" s="5"/>
      <c r="B864" s="5"/>
      <c r="C864" s="20"/>
      <c r="D864" s="9"/>
      <c r="F864" s="29"/>
      <c r="G864" s="5"/>
      <c r="H864" s="20"/>
      <c r="I864" s="5"/>
      <c r="J864" s="5"/>
      <c r="K864" s="5"/>
      <c r="L864" s="5"/>
      <c r="M864" s="5"/>
      <c r="N864" s="5"/>
      <c r="O864" s="5"/>
      <c r="S864" s="5"/>
      <c r="T864" s="5"/>
      <c r="U864" s="5"/>
      <c r="V864" s="5"/>
      <c r="W864" s="11"/>
      <c r="X864" s="5"/>
      <c r="Y864" s="5"/>
      <c r="Z864" s="5"/>
      <c r="AA864" s="5"/>
      <c r="AB864" s="5"/>
      <c r="AC864" s="5"/>
      <c r="AD864" s="5"/>
      <c r="AE864" s="5"/>
      <c r="AF864" s="5"/>
      <c r="AG864" s="5"/>
      <c r="AH864" s="5"/>
      <c r="AI864" s="5"/>
      <c r="AJ864" s="5"/>
      <c r="AK864" s="5"/>
      <c r="AL864" s="5"/>
      <c r="AM864" s="5"/>
      <c r="AN864" s="5"/>
      <c r="AO864" s="5"/>
      <c r="AP864" s="5"/>
      <c r="AQ864" s="5"/>
      <c r="AR864" s="5"/>
      <c r="AS864" s="5"/>
      <c r="AT864" s="5"/>
      <c r="AU864" s="5"/>
      <c r="AV864" s="5"/>
      <c r="AW864" s="5"/>
      <c r="AX864" s="5"/>
      <c r="AY864" s="5"/>
    </row>
    <row r="865" spans="1:51" s="55" customFormat="1">
      <c r="A865" s="5"/>
      <c r="B865" s="5"/>
      <c r="C865" s="20"/>
      <c r="D865" s="9"/>
      <c r="F865" s="29"/>
      <c r="G865" s="5"/>
      <c r="H865" s="20"/>
      <c r="I865" s="5"/>
      <c r="J865" s="5"/>
      <c r="K865" s="5"/>
      <c r="L865" s="5"/>
      <c r="M865" s="5"/>
      <c r="N865" s="5"/>
      <c r="O865" s="5"/>
      <c r="S865" s="5"/>
      <c r="T865" s="5"/>
      <c r="U865" s="5"/>
      <c r="V865" s="5"/>
      <c r="W865" s="11"/>
      <c r="X865" s="5"/>
      <c r="Y865" s="5"/>
      <c r="Z865" s="5"/>
      <c r="AA865" s="5"/>
      <c r="AB865" s="5"/>
      <c r="AC865" s="5"/>
      <c r="AD865" s="5"/>
      <c r="AE865" s="5"/>
      <c r="AF865" s="5"/>
      <c r="AG865" s="5"/>
      <c r="AH865" s="5"/>
      <c r="AI865" s="5"/>
      <c r="AJ865" s="5"/>
      <c r="AK865" s="5"/>
      <c r="AL865" s="5"/>
      <c r="AM865" s="5"/>
      <c r="AN865" s="5"/>
      <c r="AO865" s="5"/>
      <c r="AP865" s="5"/>
      <c r="AQ865" s="5"/>
      <c r="AR865" s="5"/>
      <c r="AS865" s="5"/>
      <c r="AT865" s="5"/>
      <c r="AU865" s="5"/>
      <c r="AV865" s="5"/>
      <c r="AW865" s="5"/>
      <c r="AX865" s="5"/>
      <c r="AY865" s="5"/>
    </row>
    <row r="866" spans="1:51" s="55" customFormat="1">
      <c r="A866" s="5"/>
      <c r="B866" s="5"/>
      <c r="C866" s="20"/>
      <c r="D866" s="9"/>
      <c r="F866" s="29"/>
      <c r="G866" s="5"/>
      <c r="H866" s="20"/>
      <c r="I866" s="5"/>
      <c r="J866" s="5"/>
      <c r="K866" s="5"/>
      <c r="L866" s="5"/>
      <c r="M866" s="5"/>
      <c r="N866" s="5"/>
      <c r="O866" s="5"/>
      <c r="S866" s="5"/>
      <c r="T866" s="5"/>
      <c r="U866" s="5"/>
      <c r="V866" s="5"/>
      <c r="W866" s="11"/>
      <c r="X866" s="5"/>
      <c r="Y866" s="5"/>
      <c r="Z866" s="5"/>
      <c r="AA866" s="5"/>
      <c r="AB866" s="5"/>
      <c r="AC866" s="5"/>
      <c r="AD866" s="5"/>
      <c r="AE866" s="5"/>
      <c r="AF866" s="5"/>
      <c r="AG866" s="5"/>
      <c r="AH866" s="5"/>
      <c r="AI866" s="5"/>
      <c r="AJ866" s="5"/>
      <c r="AK866" s="5"/>
      <c r="AL866" s="5"/>
      <c r="AM866" s="5"/>
      <c r="AN866" s="5"/>
      <c r="AO866" s="5"/>
      <c r="AP866" s="5"/>
      <c r="AQ866" s="5"/>
      <c r="AR866" s="5"/>
      <c r="AS866" s="5"/>
      <c r="AT866" s="5"/>
      <c r="AU866" s="5"/>
      <c r="AV866" s="5"/>
      <c r="AW866" s="5"/>
      <c r="AX866" s="5"/>
      <c r="AY866" s="5"/>
    </row>
    <row r="867" spans="1:51" s="55" customFormat="1">
      <c r="A867" s="5"/>
      <c r="B867" s="5"/>
      <c r="C867" s="20"/>
      <c r="D867" s="9"/>
      <c r="F867" s="29"/>
      <c r="G867" s="5"/>
      <c r="H867" s="20"/>
      <c r="I867" s="5"/>
      <c r="J867" s="5"/>
      <c r="K867" s="5"/>
      <c r="L867" s="5"/>
      <c r="M867" s="5"/>
      <c r="N867" s="5"/>
      <c r="O867" s="5"/>
      <c r="S867" s="5"/>
      <c r="T867" s="5"/>
      <c r="U867" s="5"/>
      <c r="V867" s="5"/>
      <c r="W867" s="11"/>
      <c r="X867" s="5"/>
      <c r="Y867" s="5"/>
      <c r="Z867" s="5"/>
      <c r="AA867" s="5"/>
      <c r="AB867" s="5"/>
      <c r="AC867" s="5"/>
      <c r="AD867" s="5"/>
      <c r="AE867" s="5"/>
      <c r="AF867" s="5"/>
      <c r="AG867" s="5"/>
      <c r="AH867" s="5"/>
      <c r="AI867" s="5"/>
      <c r="AJ867" s="5"/>
      <c r="AK867" s="5"/>
      <c r="AL867" s="5"/>
      <c r="AM867" s="5"/>
      <c r="AN867" s="5"/>
      <c r="AO867" s="5"/>
      <c r="AP867" s="5"/>
      <c r="AQ867" s="5"/>
      <c r="AR867" s="5"/>
      <c r="AS867" s="5"/>
      <c r="AT867" s="5"/>
      <c r="AU867" s="5"/>
      <c r="AV867" s="5"/>
      <c r="AW867" s="5"/>
      <c r="AX867" s="5"/>
      <c r="AY867" s="5"/>
    </row>
    <row r="868" spans="1:51" s="55" customFormat="1">
      <c r="A868" s="5"/>
      <c r="B868" s="5"/>
      <c r="C868" s="20"/>
      <c r="D868" s="9"/>
      <c r="F868" s="29"/>
      <c r="G868" s="5"/>
      <c r="H868" s="20"/>
      <c r="I868" s="5"/>
      <c r="J868" s="5"/>
      <c r="K868" s="5"/>
      <c r="L868" s="5"/>
      <c r="M868" s="5"/>
      <c r="N868" s="5"/>
      <c r="O868" s="5"/>
      <c r="S868" s="5"/>
      <c r="T868" s="5"/>
      <c r="U868" s="5"/>
      <c r="V868" s="5"/>
      <c r="W868" s="11"/>
      <c r="X868" s="5"/>
      <c r="Y868" s="5"/>
      <c r="Z868" s="5"/>
      <c r="AA868" s="5"/>
      <c r="AB868" s="5"/>
      <c r="AC868" s="5"/>
      <c r="AD868" s="5"/>
      <c r="AE868" s="5"/>
      <c r="AF868" s="5"/>
      <c r="AG868" s="5"/>
      <c r="AH868" s="5"/>
      <c r="AI868" s="5"/>
      <c r="AJ868" s="5"/>
      <c r="AK868" s="5"/>
      <c r="AL868" s="5"/>
      <c r="AM868" s="5"/>
      <c r="AN868" s="5"/>
      <c r="AO868" s="5"/>
      <c r="AP868" s="5"/>
      <c r="AQ868" s="5"/>
      <c r="AR868" s="5"/>
      <c r="AS868" s="5"/>
      <c r="AT868" s="5"/>
      <c r="AU868" s="5"/>
      <c r="AV868" s="5"/>
      <c r="AW868" s="5"/>
      <c r="AX868" s="5"/>
      <c r="AY868" s="5"/>
    </row>
    <row r="869" spans="1:51" s="55" customFormat="1">
      <c r="A869" s="5"/>
      <c r="B869" s="5"/>
      <c r="C869" s="20"/>
      <c r="D869" s="9"/>
      <c r="F869" s="29"/>
      <c r="G869" s="5"/>
      <c r="H869" s="20"/>
      <c r="I869" s="5"/>
      <c r="J869" s="5"/>
      <c r="K869" s="5"/>
      <c r="L869" s="5"/>
      <c r="M869" s="5"/>
      <c r="N869" s="5"/>
      <c r="O869" s="5"/>
      <c r="S869" s="5"/>
      <c r="T869" s="5"/>
      <c r="U869" s="5"/>
      <c r="V869" s="5"/>
      <c r="W869" s="11"/>
      <c r="X869" s="5"/>
      <c r="Y869" s="5"/>
      <c r="Z869" s="5"/>
      <c r="AA869" s="5"/>
      <c r="AB869" s="5"/>
      <c r="AC869" s="5"/>
      <c r="AD869" s="5"/>
      <c r="AE869" s="5"/>
      <c r="AF869" s="5"/>
      <c r="AG869" s="5"/>
      <c r="AH869" s="5"/>
      <c r="AI869" s="5"/>
      <c r="AJ869" s="5"/>
      <c r="AK869" s="5"/>
      <c r="AL869" s="5"/>
      <c r="AM869" s="5"/>
      <c r="AN869" s="5"/>
      <c r="AO869" s="5"/>
      <c r="AP869" s="5"/>
      <c r="AQ869" s="5"/>
      <c r="AR869" s="5"/>
      <c r="AS869" s="5"/>
      <c r="AT869" s="5"/>
      <c r="AU869" s="5"/>
      <c r="AV869" s="5"/>
      <c r="AW869" s="5"/>
      <c r="AX869" s="5"/>
      <c r="AY869" s="5"/>
    </row>
    <row r="870" spans="1:51" s="55" customFormat="1">
      <c r="A870" s="5"/>
      <c r="B870" s="5"/>
      <c r="C870" s="20"/>
      <c r="D870" s="9"/>
      <c r="F870" s="29"/>
      <c r="G870" s="5"/>
      <c r="H870" s="20"/>
      <c r="I870" s="5"/>
      <c r="J870" s="5"/>
      <c r="K870" s="5"/>
      <c r="L870" s="5"/>
      <c r="M870" s="5"/>
      <c r="N870" s="5"/>
      <c r="O870" s="5"/>
      <c r="S870" s="5"/>
      <c r="T870" s="5"/>
      <c r="U870" s="5"/>
      <c r="V870" s="5"/>
      <c r="W870" s="11"/>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c r="AX870" s="5"/>
      <c r="AY870" s="5"/>
    </row>
    <row r="871" spans="1:51" s="55" customFormat="1">
      <c r="A871" s="5"/>
      <c r="B871" s="5"/>
      <c r="C871" s="20"/>
      <c r="D871" s="9"/>
      <c r="F871" s="29"/>
      <c r="G871" s="5"/>
      <c r="H871" s="20"/>
      <c r="I871" s="5"/>
      <c r="J871" s="5"/>
      <c r="K871" s="5"/>
      <c r="L871" s="5"/>
      <c r="M871" s="5"/>
      <c r="N871" s="5"/>
      <c r="O871" s="5"/>
      <c r="S871" s="5"/>
      <c r="T871" s="5"/>
      <c r="U871" s="5"/>
      <c r="V871" s="5"/>
      <c r="W871" s="11"/>
      <c r="X871" s="5"/>
      <c r="Y871" s="5"/>
      <c r="Z871" s="5"/>
      <c r="AA871" s="5"/>
      <c r="AB871" s="5"/>
      <c r="AC871" s="5"/>
      <c r="AD871" s="5"/>
      <c r="AE871" s="5"/>
      <c r="AF871" s="5"/>
      <c r="AG871" s="5"/>
      <c r="AH871" s="5"/>
      <c r="AI871" s="5"/>
      <c r="AJ871" s="5"/>
      <c r="AK871" s="5"/>
      <c r="AL871" s="5"/>
      <c r="AM871" s="5"/>
      <c r="AN871" s="5"/>
      <c r="AO871" s="5"/>
      <c r="AP871" s="5"/>
      <c r="AQ871" s="5"/>
      <c r="AR871" s="5"/>
      <c r="AS871" s="5"/>
      <c r="AT871" s="5"/>
      <c r="AU871" s="5"/>
      <c r="AV871" s="5"/>
      <c r="AW871" s="5"/>
      <c r="AX871" s="5"/>
      <c r="AY871" s="5"/>
    </row>
    <row r="872" spans="1:51" s="55" customFormat="1">
      <c r="A872" s="5"/>
      <c r="B872" s="5"/>
      <c r="C872" s="20"/>
      <c r="D872" s="9"/>
      <c r="F872" s="29"/>
      <c r="G872" s="5"/>
      <c r="H872" s="20"/>
      <c r="I872" s="5"/>
      <c r="J872" s="5"/>
      <c r="K872" s="5"/>
      <c r="L872" s="5"/>
      <c r="M872" s="5"/>
      <c r="N872" s="5"/>
      <c r="O872" s="5"/>
      <c r="S872" s="5"/>
      <c r="T872" s="5"/>
      <c r="U872" s="5"/>
      <c r="V872" s="5"/>
      <c r="W872" s="11"/>
      <c r="X872" s="5"/>
      <c r="Y872" s="5"/>
      <c r="Z872" s="5"/>
      <c r="AA872" s="5"/>
      <c r="AB872" s="5"/>
      <c r="AC872" s="5"/>
      <c r="AD872" s="5"/>
      <c r="AE872" s="5"/>
      <c r="AF872" s="5"/>
      <c r="AG872" s="5"/>
      <c r="AH872" s="5"/>
      <c r="AI872" s="5"/>
      <c r="AJ872" s="5"/>
      <c r="AK872" s="5"/>
      <c r="AL872" s="5"/>
      <c r="AM872" s="5"/>
      <c r="AN872" s="5"/>
      <c r="AO872" s="5"/>
      <c r="AP872" s="5"/>
      <c r="AQ872" s="5"/>
      <c r="AR872" s="5"/>
      <c r="AS872" s="5"/>
      <c r="AT872" s="5"/>
      <c r="AU872" s="5"/>
      <c r="AV872" s="5"/>
      <c r="AW872" s="5"/>
      <c r="AX872" s="5"/>
      <c r="AY872" s="5"/>
    </row>
    <row r="873" spans="1:51" s="55" customFormat="1">
      <c r="A873" s="5"/>
      <c r="B873" s="5"/>
      <c r="C873" s="20"/>
      <c r="D873" s="9"/>
      <c r="F873" s="29"/>
      <c r="G873" s="5"/>
      <c r="H873" s="20"/>
      <c r="I873" s="5"/>
      <c r="J873" s="5"/>
      <c r="K873" s="5"/>
      <c r="L873" s="5"/>
      <c r="M873" s="5"/>
      <c r="N873" s="5"/>
      <c r="O873" s="5"/>
      <c r="S873" s="5"/>
      <c r="T873" s="5"/>
      <c r="U873" s="5"/>
      <c r="V873" s="5"/>
      <c r="W873" s="11"/>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row>
    <row r="874" spans="1:51" s="55" customFormat="1">
      <c r="A874" s="5"/>
      <c r="B874" s="5"/>
      <c r="C874" s="20"/>
      <c r="D874" s="9"/>
      <c r="F874" s="29"/>
      <c r="G874" s="5"/>
      <c r="H874" s="20"/>
      <c r="I874" s="5"/>
      <c r="J874" s="5"/>
      <c r="K874" s="5"/>
      <c r="L874" s="5"/>
      <c r="M874" s="5"/>
      <c r="N874" s="5"/>
      <c r="O874" s="5"/>
      <c r="S874" s="5"/>
      <c r="T874" s="5"/>
      <c r="U874" s="5"/>
      <c r="V874" s="5"/>
      <c r="W874" s="11"/>
      <c r="X874" s="5"/>
      <c r="Y874" s="5"/>
      <c r="Z874" s="5"/>
      <c r="AA874" s="5"/>
      <c r="AB874" s="5"/>
      <c r="AC874" s="5"/>
      <c r="AD874" s="5"/>
      <c r="AE874" s="5"/>
      <c r="AF874" s="5"/>
      <c r="AG874" s="5"/>
      <c r="AH874" s="5"/>
      <c r="AI874" s="5"/>
      <c r="AJ874" s="5"/>
      <c r="AK874" s="5"/>
      <c r="AL874" s="5"/>
      <c r="AM874" s="5"/>
      <c r="AN874" s="5"/>
      <c r="AO874" s="5"/>
      <c r="AP874" s="5"/>
      <c r="AQ874" s="5"/>
      <c r="AR874" s="5"/>
      <c r="AS874" s="5"/>
      <c r="AT874" s="5"/>
      <c r="AU874" s="5"/>
      <c r="AV874" s="5"/>
      <c r="AW874" s="5"/>
      <c r="AX874" s="5"/>
      <c r="AY874" s="5"/>
    </row>
    <row r="875" spans="1:51" s="55" customFormat="1">
      <c r="A875" s="5"/>
      <c r="B875" s="5"/>
      <c r="C875" s="20"/>
      <c r="D875" s="9"/>
      <c r="F875" s="29"/>
      <c r="G875" s="5"/>
      <c r="H875" s="20"/>
      <c r="I875" s="5"/>
      <c r="J875" s="5"/>
      <c r="K875" s="5"/>
      <c r="L875" s="5"/>
      <c r="M875" s="5"/>
      <c r="N875" s="5"/>
      <c r="O875" s="5"/>
      <c r="S875" s="5"/>
      <c r="T875" s="5"/>
      <c r="U875" s="5"/>
      <c r="V875" s="5"/>
      <c r="W875" s="11"/>
      <c r="X875" s="5"/>
      <c r="Y875" s="5"/>
      <c r="Z875" s="5"/>
      <c r="AA875" s="5"/>
      <c r="AB875" s="5"/>
      <c r="AC875" s="5"/>
      <c r="AD875" s="5"/>
      <c r="AE875" s="5"/>
      <c r="AF875" s="5"/>
      <c r="AG875" s="5"/>
      <c r="AH875" s="5"/>
      <c r="AI875" s="5"/>
      <c r="AJ875" s="5"/>
      <c r="AK875" s="5"/>
      <c r="AL875" s="5"/>
      <c r="AM875" s="5"/>
      <c r="AN875" s="5"/>
      <c r="AO875" s="5"/>
      <c r="AP875" s="5"/>
      <c r="AQ875" s="5"/>
      <c r="AR875" s="5"/>
      <c r="AS875" s="5"/>
      <c r="AT875" s="5"/>
      <c r="AU875" s="5"/>
      <c r="AV875" s="5"/>
      <c r="AW875" s="5"/>
      <c r="AX875" s="5"/>
      <c r="AY875" s="5"/>
    </row>
    <row r="876" spans="1:51" s="55" customFormat="1">
      <c r="A876" s="5"/>
      <c r="B876" s="5"/>
      <c r="C876" s="20"/>
      <c r="D876" s="9"/>
      <c r="F876" s="29"/>
      <c r="G876" s="5"/>
      <c r="H876" s="20"/>
      <c r="I876" s="5"/>
      <c r="J876" s="5"/>
      <c r="K876" s="5"/>
      <c r="L876" s="5"/>
      <c r="M876" s="5"/>
      <c r="N876" s="5"/>
      <c r="O876" s="5"/>
      <c r="S876" s="5"/>
      <c r="T876" s="5"/>
      <c r="U876" s="5"/>
      <c r="V876" s="5"/>
      <c r="W876" s="11"/>
      <c r="X876" s="5"/>
      <c r="Y876" s="5"/>
      <c r="Z876" s="5"/>
      <c r="AA876" s="5"/>
      <c r="AB876" s="5"/>
      <c r="AC876" s="5"/>
      <c r="AD876" s="5"/>
      <c r="AE876" s="5"/>
      <c r="AF876" s="5"/>
      <c r="AG876" s="5"/>
      <c r="AH876" s="5"/>
      <c r="AI876" s="5"/>
      <c r="AJ876" s="5"/>
      <c r="AK876" s="5"/>
      <c r="AL876" s="5"/>
      <c r="AM876" s="5"/>
      <c r="AN876" s="5"/>
      <c r="AO876" s="5"/>
      <c r="AP876" s="5"/>
      <c r="AQ876" s="5"/>
      <c r="AR876" s="5"/>
      <c r="AS876" s="5"/>
      <c r="AT876" s="5"/>
      <c r="AU876" s="5"/>
      <c r="AV876" s="5"/>
      <c r="AW876" s="5"/>
      <c r="AX876" s="5"/>
      <c r="AY876" s="5"/>
    </row>
    <row r="877" spans="1:51" s="55" customFormat="1">
      <c r="A877" s="5"/>
      <c r="B877" s="5"/>
      <c r="C877" s="20"/>
      <c r="D877" s="9"/>
      <c r="F877" s="29"/>
      <c r="G877" s="5"/>
      <c r="H877" s="20"/>
      <c r="I877" s="5"/>
      <c r="J877" s="5"/>
      <c r="K877" s="5"/>
      <c r="L877" s="5"/>
      <c r="M877" s="5"/>
      <c r="N877" s="5"/>
      <c r="O877" s="5"/>
      <c r="S877" s="5"/>
      <c r="T877" s="5"/>
      <c r="U877" s="5"/>
      <c r="V877" s="5"/>
      <c r="W877" s="11"/>
      <c r="X877" s="5"/>
      <c r="Y877" s="5"/>
      <c r="Z877" s="5"/>
      <c r="AA877" s="5"/>
      <c r="AB877" s="5"/>
      <c r="AC877" s="5"/>
      <c r="AD877" s="5"/>
      <c r="AE877" s="5"/>
      <c r="AF877" s="5"/>
      <c r="AG877" s="5"/>
      <c r="AH877" s="5"/>
      <c r="AI877" s="5"/>
      <c r="AJ877" s="5"/>
      <c r="AK877" s="5"/>
      <c r="AL877" s="5"/>
      <c r="AM877" s="5"/>
      <c r="AN877" s="5"/>
      <c r="AO877" s="5"/>
      <c r="AP877" s="5"/>
      <c r="AQ877" s="5"/>
      <c r="AR877" s="5"/>
      <c r="AS877" s="5"/>
      <c r="AT877" s="5"/>
      <c r="AU877" s="5"/>
      <c r="AV877" s="5"/>
      <c r="AW877" s="5"/>
      <c r="AX877" s="5"/>
      <c r="AY877" s="5"/>
    </row>
    <row r="878" spans="1:51" s="55" customFormat="1">
      <c r="A878" s="5"/>
      <c r="B878" s="5"/>
      <c r="C878" s="20"/>
      <c r="D878" s="9"/>
      <c r="F878" s="29"/>
      <c r="G878" s="5"/>
      <c r="H878" s="20"/>
      <c r="I878" s="5"/>
      <c r="J878" s="5"/>
      <c r="K878" s="5"/>
      <c r="L878" s="5"/>
      <c r="M878" s="5"/>
      <c r="N878" s="5"/>
      <c r="O878" s="5"/>
      <c r="S878" s="5"/>
      <c r="T878" s="5"/>
      <c r="U878" s="5"/>
      <c r="V878" s="5"/>
      <c r="W878" s="11"/>
      <c r="X878" s="5"/>
      <c r="Y878" s="5"/>
      <c r="Z878" s="5"/>
      <c r="AA878" s="5"/>
      <c r="AB878" s="5"/>
      <c r="AC878" s="5"/>
      <c r="AD878" s="5"/>
      <c r="AE878" s="5"/>
      <c r="AF878" s="5"/>
      <c r="AG878" s="5"/>
      <c r="AH878" s="5"/>
      <c r="AI878" s="5"/>
      <c r="AJ878" s="5"/>
      <c r="AK878" s="5"/>
      <c r="AL878" s="5"/>
      <c r="AM878" s="5"/>
      <c r="AN878" s="5"/>
      <c r="AO878" s="5"/>
      <c r="AP878" s="5"/>
      <c r="AQ878" s="5"/>
      <c r="AR878" s="5"/>
      <c r="AS878" s="5"/>
      <c r="AT878" s="5"/>
      <c r="AU878" s="5"/>
      <c r="AV878" s="5"/>
      <c r="AW878" s="5"/>
      <c r="AX878" s="5"/>
      <c r="AY878" s="5"/>
    </row>
    <row r="879" spans="1:51" s="55" customFormat="1">
      <c r="A879" s="5"/>
      <c r="B879" s="5"/>
      <c r="C879" s="20"/>
      <c r="D879" s="9"/>
      <c r="F879" s="29"/>
      <c r="G879" s="5"/>
      <c r="H879" s="20"/>
      <c r="I879" s="5"/>
      <c r="J879" s="5"/>
      <c r="K879" s="5"/>
      <c r="L879" s="5"/>
      <c r="M879" s="5"/>
      <c r="N879" s="5"/>
      <c r="O879" s="5"/>
      <c r="S879" s="5"/>
      <c r="T879" s="5"/>
      <c r="U879" s="5"/>
      <c r="V879" s="5"/>
      <c r="W879" s="11"/>
      <c r="X879" s="5"/>
      <c r="Y879" s="5"/>
      <c r="Z879" s="5"/>
      <c r="AA879" s="5"/>
      <c r="AB879" s="5"/>
      <c r="AC879" s="5"/>
      <c r="AD879" s="5"/>
      <c r="AE879" s="5"/>
      <c r="AF879" s="5"/>
      <c r="AG879" s="5"/>
      <c r="AH879" s="5"/>
      <c r="AI879" s="5"/>
      <c r="AJ879" s="5"/>
      <c r="AK879" s="5"/>
      <c r="AL879" s="5"/>
      <c r="AM879" s="5"/>
      <c r="AN879" s="5"/>
      <c r="AO879" s="5"/>
      <c r="AP879" s="5"/>
      <c r="AQ879" s="5"/>
      <c r="AR879" s="5"/>
      <c r="AS879" s="5"/>
      <c r="AT879" s="5"/>
      <c r="AU879" s="5"/>
      <c r="AV879" s="5"/>
      <c r="AW879" s="5"/>
      <c r="AX879" s="5"/>
      <c r="AY879" s="5"/>
    </row>
    <row r="880" spans="1:51" s="55" customFormat="1">
      <c r="A880" s="5"/>
      <c r="B880" s="5"/>
      <c r="C880" s="20"/>
      <c r="D880" s="9"/>
      <c r="F880" s="29"/>
      <c r="G880" s="5"/>
      <c r="H880" s="20"/>
      <c r="I880" s="5"/>
      <c r="J880" s="5"/>
      <c r="K880" s="5"/>
      <c r="L880" s="5"/>
      <c r="M880" s="5"/>
      <c r="N880" s="5"/>
      <c r="O880" s="5"/>
      <c r="S880" s="5"/>
      <c r="T880" s="5"/>
      <c r="U880" s="5"/>
      <c r="V880" s="5"/>
      <c r="W880" s="11"/>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c r="AX880" s="5"/>
      <c r="AY880" s="5"/>
    </row>
    <row r="881" spans="1:51" s="55" customFormat="1">
      <c r="A881" s="5"/>
      <c r="B881" s="5"/>
      <c r="C881" s="20"/>
      <c r="D881" s="9"/>
      <c r="F881" s="29"/>
      <c r="G881" s="5"/>
      <c r="H881" s="20"/>
      <c r="I881" s="5"/>
      <c r="J881" s="5"/>
      <c r="K881" s="5"/>
      <c r="L881" s="5"/>
      <c r="M881" s="5"/>
      <c r="N881" s="5"/>
      <c r="O881" s="5"/>
      <c r="S881" s="5"/>
      <c r="T881" s="5"/>
      <c r="U881" s="5"/>
      <c r="V881" s="5"/>
      <c r="W881" s="11"/>
      <c r="X881" s="5"/>
      <c r="Y881" s="5"/>
      <c r="Z881" s="5"/>
      <c r="AA881" s="5"/>
      <c r="AB881" s="5"/>
      <c r="AC881" s="5"/>
      <c r="AD881" s="5"/>
      <c r="AE881" s="5"/>
      <c r="AF881" s="5"/>
      <c r="AG881" s="5"/>
      <c r="AH881" s="5"/>
      <c r="AI881" s="5"/>
      <c r="AJ881" s="5"/>
      <c r="AK881" s="5"/>
      <c r="AL881" s="5"/>
      <c r="AM881" s="5"/>
      <c r="AN881" s="5"/>
      <c r="AO881" s="5"/>
      <c r="AP881" s="5"/>
      <c r="AQ881" s="5"/>
      <c r="AR881" s="5"/>
      <c r="AS881" s="5"/>
      <c r="AT881" s="5"/>
      <c r="AU881" s="5"/>
      <c r="AV881" s="5"/>
      <c r="AW881" s="5"/>
      <c r="AX881" s="5"/>
      <c r="AY881" s="5"/>
    </row>
    <row r="882" spans="1:51" s="55" customFormat="1">
      <c r="A882" s="5"/>
      <c r="B882" s="5"/>
      <c r="C882" s="20"/>
      <c r="D882" s="9"/>
      <c r="F882" s="29"/>
      <c r="G882" s="5"/>
      <c r="H882" s="20"/>
      <c r="I882" s="5"/>
      <c r="J882" s="5"/>
      <c r="K882" s="5"/>
      <c r="L882" s="5"/>
      <c r="M882" s="5"/>
      <c r="N882" s="5"/>
      <c r="O882" s="5"/>
      <c r="S882" s="5"/>
      <c r="T882" s="5"/>
      <c r="U882" s="5"/>
      <c r="V882" s="5"/>
      <c r="W882" s="11"/>
      <c r="X882" s="5"/>
      <c r="Y882" s="5"/>
      <c r="Z882" s="5"/>
      <c r="AA882" s="5"/>
      <c r="AB882" s="5"/>
      <c r="AC882" s="5"/>
      <c r="AD882" s="5"/>
      <c r="AE882" s="5"/>
      <c r="AF882" s="5"/>
      <c r="AG882" s="5"/>
      <c r="AH882" s="5"/>
      <c r="AI882" s="5"/>
      <c r="AJ882" s="5"/>
      <c r="AK882" s="5"/>
      <c r="AL882" s="5"/>
      <c r="AM882" s="5"/>
      <c r="AN882" s="5"/>
      <c r="AO882" s="5"/>
      <c r="AP882" s="5"/>
      <c r="AQ882" s="5"/>
      <c r="AR882" s="5"/>
      <c r="AS882" s="5"/>
      <c r="AT882" s="5"/>
      <c r="AU882" s="5"/>
      <c r="AV882" s="5"/>
      <c r="AW882" s="5"/>
      <c r="AX882" s="5"/>
      <c r="AY882" s="5"/>
    </row>
    <row r="883" spans="1:51" s="55" customFormat="1">
      <c r="A883" s="5"/>
      <c r="B883" s="5"/>
      <c r="C883" s="20"/>
      <c r="D883" s="9"/>
      <c r="F883" s="29"/>
      <c r="G883" s="5"/>
      <c r="H883" s="20"/>
      <c r="I883" s="5"/>
      <c r="J883" s="5"/>
      <c r="K883" s="5"/>
      <c r="L883" s="5"/>
      <c r="M883" s="5"/>
      <c r="N883" s="5"/>
      <c r="O883" s="5"/>
      <c r="S883" s="5"/>
      <c r="T883" s="5"/>
      <c r="U883" s="5"/>
      <c r="V883" s="5"/>
      <c r="W883" s="11"/>
      <c r="X883" s="5"/>
      <c r="Y883" s="5"/>
      <c r="Z883" s="5"/>
      <c r="AA883" s="5"/>
      <c r="AB883" s="5"/>
      <c r="AC883" s="5"/>
      <c r="AD883" s="5"/>
      <c r="AE883" s="5"/>
      <c r="AF883" s="5"/>
      <c r="AG883" s="5"/>
      <c r="AH883" s="5"/>
      <c r="AI883" s="5"/>
      <c r="AJ883" s="5"/>
      <c r="AK883" s="5"/>
      <c r="AL883" s="5"/>
      <c r="AM883" s="5"/>
      <c r="AN883" s="5"/>
      <c r="AO883" s="5"/>
      <c r="AP883" s="5"/>
      <c r="AQ883" s="5"/>
      <c r="AR883" s="5"/>
      <c r="AS883" s="5"/>
      <c r="AT883" s="5"/>
      <c r="AU883" s="5"/>
      <c r="AV883" s="5"/>
      <c r="AW883" s="5"/>
      <c r="AX883" s="5"/>
      <c r="AY883" s="5"/>
    </row>
    <row r="884" spans="1:51" s="55" customFormat="1">
      <c r="A884" s="5"/>
      <c r="B884" s="5"/>
      <c r="C884" s="20"/>
      <c r="D884" s="9"/>
      <c r="F884" s="29"/>
      <c r="G884" s="5"/>
      <c r="H884" s="20"/>
      <c r="I884" s="5"/>
      <c r="J884" s="5"/>
      <c r="K884" s="5"/>
      <c r="L884" s="5"/>
      <c r="M884" s="5"/>
      <c r="N884" s="5"/>
      <c r="O884" s="5"/>
      <c r="S884" s="5"/>
      <c r="T884" s="5"/>
      <c r="U884" s="5"/>
      <c r="V884" s="5"/>
      <c r="W884" s="11"/>
      <c r="X884" s="5"/>
      <c r="Y884" s="5"/>
      <c r="Z884" s="5"/>
      <c r="AA884" s="5"/>
      <c r="AB884" s="5"/>
      <c r="AC884" s="5"/>
      <c r="AD884" s="5"/>
      <c r="AE884" s="5"/>
      <c r="AF884" s="5"/>
      <c r="AG884" s="5"/>
      <c r="AH884" s="5"/>
      <c r="AI884" s="5"/>
      <c r="AJ884" s="5"/>
      <c r="AK884" s="5"/>
      <c r="AL884" s="5"/>
      <c r="AM884" s="5"/>
      <c r="AN884" s="5"/>
      <c r="AO884" s="5"/>
      <c r="AP884" s="5"/>
      <c r="AQ884" s="5"/>
      <c r="AR884" s="5"/>
      <c r="AS884" s="5"/>
      <c r="AT884" s="5"/>
      <c r="AU884" s="5"/>
      <c r="AV884" s="5"/>
      <c r="AW884" s="5"/>
      <c r="AX884" s="5"/>
      <c r="AY884" s="5"/>
    </row>
    <row r="885" spans="1:51" s="55" customFormat="1">
      <c r="A885" s="5"/>
      <c r="B885" s="5"/>
      <c r="C885" s="20"/>
      <c r="D885" s="9"/>
      <c r="F885" s="29"/>
      <c r="G885" s="5"/>
      <c r="H885" s="20"/>
      <c r="I885" s="5"/>
      <c r="J885" s="5"/>
      <c r="K885" s="5"/>
      <c r="L885" s="5"/>
      <c r="M885" s="5"/>
      <c r="N885" s="5"/>
      <c r="O885" s="5"/>
      <c r="S885" s="5"/>
      <c r="T885" s="5"/>
      <c r="U885" s="5"/>
      <c r="V885" s="5"/>
      <c r="W885" s="11"/>
      <c r="X885" s="5"/>
      <c r="Y885" s="5"/>
      <c r="Z885" s="5"/>
      <c r="AA885" s="5"/>
      <c r="AB885" s="5"/>
      <c r="AC885" s="5"/>
      <c r="AD885" s="5"/>
      <c r="AE885" s="5"/>
      <c r="AF885" s="5"/>
      <c r="AG885" s="5"/>
      <c r="AH885" s="5"/>
      <c r="AI885" s="5"/>
      <c r="AJ885" s="5"/>
      <c r="AK885" s="5"/>
      <c r="AL885" s="5"/>
      <c r="AM885" s="5"/>
      <c r="AN885" s="5"/>
      <c r="AO885" s="5"/>
      <c r="AP885" s="5"/>
      <c r="AQ885" s="5"/>
      <c r="AR885" s="5"/>
      <c r="AS885" s="5"/>
      <c r="AT885" s="5"/>
      <c r="AU885" s="5"/>
      <c r="AV885" s="5"/>
      <c r="AW885" s="5"/>
      <c r="AX885" s="5"/>
      <c r="AY885" s="5"/>
    </row>
    <row r="886" spans="1:51" s="55" customFormat="1">
      <c r="A886" s="5"/>
      <c r="B886" s="5"/>
      <c r="C886" s="20"/>
      <c r="D886" s="9"/>
      <c r="F886" s="29"/>
      <c r="G886" s="5"/>
      <c r="H886" s="20"/>
      <c r="I886" s="5"/>
      <c r="J886" s="5"/>
      <c r="K886" s="5"/>
      <c r="L886" s="5"/>
      <c r="M886" s="5"/>
      <c r="N886" s="5"/>
      <c r="O886" s="5"/>
      <c r="S886" s="5"/>
      <c r="T886" s="5"/>
      <c r="U886" s="5"/>
      <c r="V886" s="5"/>
      <c r="W886" s="11"/>
      <c r="X886" s="5"/>
      <c r="Y886" s="5"/>
      <c r="Z886" s="5"/>
      <c r="AA886" s="5"/>
      <c r="AB886" s="5"/>
      <c r="AC886" s="5"/>
      <c r="AD886" s="5"/>
      <c r="AE886" s="5"/>
      <c r="AF886" s="5"/>
      <c r="AG886" s="5"/>
      <c r="AH886" s="5"/>
      <c r="AI886" s="5"/>
      <c r="AJ886" s="5"/>
      <c r="AK886" s="5"/>
      <c r="AL886" s="5"/>
      <c r="AM886" s="5"/>
      <c r="AN886" s="5"/>
      <c r="AO886" s="5"/>
      <c r="AP886" s="5"/>
      <c r="AQ886" s="5"/>
      <c r="AR886" s="5"/>
      <c r="AS886" s="5"/>
      <c r="AT886" s="5"/>
      <c r="AU886" s="5"/>
      <c r="AV886" s="5"/>
      <c r="AW886" s="5"/>
      <c r="AX886" s="5"/>
      <c r="AY886" s="5"/>
    </row>
    <row r="887" spans="1:51" s="55" customFormat="1">
      <c r="A887" s="5"/>
      <c r="B887" s="5"/>
      <c r="C887" s="20"/>
      <c r="D887" s="9"/>
      <c r="F887" s="29"/>
      <c r="G887" s="5"/>
      <c r="H887" s="20"/>
      <c r="I887" s="5"/>
      <c r="J887" s="5"/>
      <c r="K887" s="5"/>
      <c r="L887" s="5"/>
      <c r="M887" s="5"/>
      <c r="N887" s="5"/>
      <c r="O887" s="5"/>
      <c r="S887" s="5"/>
      <c r="T887" s="5"/>
      <c r="U887" s="5"/>
      <c r="V887" s="5"/>
      <c r="W887" s="11"/>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c r="AX887" s="5"/>
      <c r="AY887" s="5"/>
    </row>
    <row r="888" spans="1:51" s="55" customFormat="1">
      <c r="A888" s="5"/>
      <c r="B888" s="5"/>
      <c r="C888" s="20"/>
      <c r="D888" s="9"/>
      <c r="F888" s="29"/>
      <c r="G888" s="5"/>
      <c r="H888" s="20"/>
      <c r="I888" s="5"/>
      <c r="J888" s="5"/>
      <c r="K888" s="5"/>
      <c r="L888" s="5"/>
      <c r="M888" s="5"/>
      <c r="N888" s="5"/>
      <c r="O888" s="5"/>
      <c r="S888" s="5"/>
      <c r="T888" s="5"/>
      <c r="U888" s="5"/>
      <c r="V888" s="5"/>
      <c r="W888" s="11"/>
      <c r="X888" s="5"/>
      <c r="Y888" s="5"/>
      <c r="Z888" s="5"/>
      <c r="AA888" s="5"/>
      <c r="AB888" s="5"/>
      <c r="AC888" s="5"/>
      <c r="AD888" s="5"/>
      <c r="AE888" s="5"/>
      <c r="AF888" s="5"/>
      <c r="AG888" s="5"/>
      <c r="AH888" s="5"/>
      <c r="AI888" s="5"/>
      <c r="AJ888" s="5"/>
      <c r="AK888" s="5"/>
      <c r="AL888" s="5"/>
      <c r="AM888" s="5"/>
      <c r="AN888" s="5"/>
      <c r="AO888" s="5"/>
      <c r="AP888" s="5"/>
      <c r="AQ888" s="5"/>
      <c r="AR888" s="5"/>
      <c r="AS888" s="5"/>
      <c r="AT888" s="5"/>
      <c r="AU888" s="5"/>
      <c r="AV888" s="5"/>
      <c r="AW888" s="5"/>
      <c r="AX888" s="5"/>
      <c r="AY888" s="5"/>
    </row>
    <row r="889" spans="1:51" s="55" customFormat="1">
      <c r="A889" s="5"/>
      <c r="B889" s="5"/>
      <c r="C889" s="20"/>
      <c r="D889" s="9"/>
      <c r="F889" s="29"/>
      <c r="G889" s="5"/>
      <c r="H889" s="20"/>
      <c r="I889" s="5"/>
      <c r="J889" s="5"/>
      <c r="K889" s="5"/>
      <c r="L889" s="5"/>
      <c r="M889" s="5"/>
      <c r="N889" s="5"/>
      <c r="O889" s="5"/>
      <c r="S889" s="5"/>
      <c r="T889" s="5"/>
      <c r="U889" s="5"/>
      <c r="V889" s="5"/>
      <c r="W889" s="11"/>
      <c r="X889" s="5"/>
      <c r="Y889" s="5"/>
      <c r="Z889" s="5"/>
      <c r="AA889" s="5"/>
      <c r="AB889" s="5"/>
      <c r="AC889" s="5"/>
      <c r="AD889" s="5"/>
      <c r="AE889" s="5"/>
      <c r="AF889" s="5"/>
      <c r="AG889" s="5"/>
      <c r="AH889" s="5"/>
      <c r="AI889" s="5"/>
      <c r="AJ889" s="5"/>
      <c r="AK889" s="5"/>
      <c r="AL889" s="5"/>
      <c r="AM889" s="5"/>
      <c r="AN889" s="5"/>
      <c r="AO889" s="5"/>
      <c r="AP889" s="5"/>
      <c r="AQ889" s="5"/>
      <c r="AR889" s="5"/>
      <c r="AS889" s="5"/>
      <c r="AT889" s="5"/>
      <c r="AU889" s="5"/>
      <c r="AV889" s="5"/>
      <c r="AW889" s="5"/>
      <c r="AX889" s="5"/>
      <c r="AY889" s="5"/>
    </row>
    <row r="890" spans="1:51" s="55" customFormat="1">
      <c r="A890" s="5"/>
      <c r="B890" s="5"/>
      <c r="C890" s="20"/>
      <c r="D890" s="9"/>
      <c r="F890" s="29"/>
      <c r="G890" s="5"/>
      <c r="H890" s="20"/>
      <c r="I890" s="5"/>
      <c r="J890" s="5"/>
      <c r="K890" s="5"/>
      <c r="L890" s="5"/>
      <c r="M890" s="5"/>
      <c r="N890" s="5"/>
      <c r="O890" s="5"/>
      <c r="S890" s="5"/>
      <c r="T890" s="5"/>
      <c r="U890" s="5"/>
      <c r="V890" s="5"/>
      <c r="W890" s="11"/>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row>
    <row r="891" spans="1:51" s="55" customFormat="1">
      <c r="A891" s="5"/>
      <c r="B891" s="5"/>
      <c r="C891" s="20"/>
      <c r="D891" s="9"/>
      <c r="F891" s="29"/>
      <c r="G891" s="5"/>
      <c r="H891" s="20"/>
      <c r="I891" s="5"/>
      <c r="J891" s="5"/>
      <c r="K891" s="5"/>
      <c r="L891" s="5"/>
      <c r="M891" s="5"/>
      <c r="N891" s="5"/>
      <c r="O891" s="5"/>
      <c r="S891" s="5"/>
      <c r="T891" s="5"/>
      <c r="U891" s="5"/>
      <c r="V891" s="5"/>
      <c r="W891" s="11"/>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c r="AX891" s="5"/>
      <c r="AY891" s="5"/>
    </row>
    <row r="892" spans="1:51" s="55" customFormat="1">
      <c r="A892" s="5"/>
      <c r="B892" s="5"/>
      <c r="C892" s="20"/>
      <c r="D892" s="9"/>
      <c r="F892" s="29"/>
      <c r="G892" s="5"/>
      <c r="H892" s="20"/>
      <c r="I892" s="5"/>
      <c r="J892" s="5"/>
      <c r="K892" s="5"/>
      <c r="L892" s="5"/>
      <c r="M892" s="5"/>
      <c r="N892" s="5"/>
      <c r="O892" s="5"/>
      <c r="S892" s="5"/>
      <c r="T892" s="5"/>
      <c r="U892" s="5"/>
      <c r="V892" s="5"/>
      <c r="W892" s="11"/>
      <c r="X892" s="5"/>
      <c r="Y892" s="5"/>
      <c r="Z892" s="5"/>
      <c r="AA892" s="5"/>
      <c r="AB892" s="5"/>
      <c r="AC892" s="5"/>
      <c r="AD892" s="5"/>
      <c r="AE892" s="5"/>
      <c r="AF892" s="5"/>
      <c r="AG892" s="5"/>
      <c r="AH892" s="5"/>
      <c r="AI892" s="5"/>
      <c r="AJ892" s="5"/>
      <c r="AK892" s="5"/>
      <c r="AL892" s="5"/>
      <c r="AM892" s="5"/>
      <c r="AN892" s="5"/>
      <c r="AO892" s="5"/>
      <c r="AP892" s="5"/>
      <c r="AQ892" s="5"/>
      <c r="AR892" s="5"/>
      <c r="AS892" s="5"/>
      <c r="AT892" s="5"/>
      <c r="AU892" s="5"/>
      <c r="AV892" s="5"/>
      <c r="AW892" s="5"/>
      <c r="AX892" s="5"/>
      <c r="AY892" s="5"/>
    </row>
    <row r="893" spans="1:51" s="55" customFormat="1">
      <c r="A893" s="5"/>
      <c r="B893" s="5"/>
      <c r="C893" s="20"/>
      <c r="D893" s="9"/>
      <c r="F893" s="29"/>
      <c r="G893" s="5"/>
      <c r="H893" s="20"/>
      <c r="I893" s="5"/>
      <c r="J893" s="5"/>
      <c r="K893" s="5"/>
      <c r="L893" s="5"/>
      <c r="M893" s="5"/>
      <c r="N893" s="5"/>
      <c r="O893" s="5"/>
      <c r="S893" s="5"/>
      <c r="T893" s="5"/>
      <c r="U893" s="5"/>
      <c r="V893" s="5"/>
      <c r="W893" s="11"/>
      <c r="X893" s="5"/>
      <c r="Y893" s="5"/>
      <c r="Z893" s="5"/>
      <c r="AA893" s="5"/>
      <c r="AB893" s="5"/>
      <c r="AC893" s="5"/>
      <c r="AD893" s="5"/>
      <c r="AE893" s="5"/>
      <c r="AF893" s="5"/>
      <c r="AG893" s="5"/>
      <c r="AH893" s="5"/>
      <c r="AI893" s="5"/>
      <c r="AJ893" s="5"/>
      <c r="AK893" s="5"/>
      <c r="AL893" s="5"/>
      <c r="AM893" s="5"/>
      <c r="AN893" s="5"/>
      <c r="AO893" s="5"/>
      <c r="AP893" s="5"/>
      <c r="AQ893" s="5"/>
      <c r="AR893" s="5"/>
      <c r="AS893" s="5"/>
      <c r="AT893" s="5"/>
      <c r="AU893" s="5"/>
      <c r="AV893" s="5"/>
      <c r="AW893" s="5"/>
      <c r="AX893" s="5"/>
      <c r="AY893" s="5"/>
    </row>
    <row r="894" spans="1:51" s="55" customFormat="1">
      <c r="A894" s="5"/>
      <c r="B894" s="5"/>
      <c r="C894" s="20"/>
      <c r="D894" s="9"/>
      <c r="F894" s="29"/>
      <c r="G894" s="5"/>
      <c r="H894" s="20"/>
      <c r="I894" s="5"/>
      <c r="J894" s="5"/>
      <c r="K894" s="5"/>
      <c r="L894" s="5"/>
      <c r="M894" s="5"/>
      <c r="N894" s="5"/>
      <c r="O894" s="5"/>
      <c r="S894" s="5"/>
      <c r="T894" s="5"/>
      <c r="U894" s="5"/>
      <c r="V894" s="5"/>
      <c r="W894" s="11"/>
      <c r="X894" s="5"/>
      <c r="Y894" s="5"/>
      <c r="Z894" s="5"/>
      <c r="AA894" s="5"/>
      <c r="AB894" s="5"/>
      <c r="AC894" s="5"/>
      <c r="AD894" s="5"/>
      <c r="AE894" s="5"/>
      <c r="AF894" s="5"/>
      <c r="AG894" s="5"/>
      <c r="AH894" s="5"/>
      <c r="AI894" s="5"/>
      <c r="AJ894" s="5"/>
      <c r="AK894" s="5"/>
      <c r="AL894" s="5"/>
      <c r="AM894" s="5"/>
      <c r="AN894" s="5"/>
      <c r="AO894" s="5"/>
      <c r="AP894" s="5"/>
      <c r="AQ894" s="5"/>
      <c r="AR894" s="5"/>
      <c r="AS894" s="5"/>
      <c r="AT894" s="5"/>
      <c r="AU894" s="5"/>
      <c r="AV894" s="5"/>
      <c r="AW894" s="5"/>
      <c r="AX894" s="5"/>
      <c r="AY894" s="5"/>
    </row>
    <row r="895" spans="1:51" s="55" customFormat="1">
      <c r="A895" s="5"/>
      <c r="B895" s="5"/>
      <c r="C895" s="20"/>
      <c r="D895" s="9"/>
      <c r="F895" s="29"/>
      <c r="G895" s="5"/>
      <c r="H895" s="20"/>
      <c r="I895" s="5"/>
      <c r="J895" s="5"/>
      <c r="K895" s="5"/>
      <c r="L895" s="5"/>
      <c r="M895" s="5"/>
      <c r="N895" s="5"/>
      <c r="O895" s="5"/>
      <c r="S895" s="5"/>
      <c r="T895" s="5"/>
      <c r="U895" s="5"/>
      <c r="V895" s="5"/>
      <c r="W895" s="11"/>
      <c r="X895" s="5"/>
      <c r="Y895" s="5"/>
      <c r="Z895" s="5"/>
      <c r="AA895" s="5"/>
      <c r="AB895" s="5"/>
      <c r="AC895" s="5"/>
      <c r="AD895" s="5"/>
      <c r="AE895" s="5"/>
      <c r="AF895" s="5"/>
      <c r="AG895" s="5"/>
      <c r="AH895" s="5"/>
      <c r="AI895" s="5"/>
      <c r="AJ895" s="5"/>
      <c r="AK895" s="5"/>
      <c r="AL895" s="5"/>
      <c r="AM895" s="5"/>
      <c r="AN895" s="5"/>
      <c r="AO895" s="5"/>
      <c r="AP895" s="5"/>
      <c r="AQ895" s="5"/>
      <c r="AR895" s="5"/>
      <c r="AS895" s="5"/>
      <c r="AT895" s="5"/>
      <c r="AU895" s="5"/>
      <c r="AV895" s="5"/>
      <c r="AW895" s="5"/>
      <c r="AX895" s="5"/>
      <c r="AY895" s="5"/>
    </row>
    <row r="896" spans="1:51" s="55" customFormat="1">
      <c r="A896" s="5"/>
      <c r="B896" s="5"/>
      <c r="C896" s="20"/>
      <c r="D896" s="9"/>
      <c r="F896" s="29"/>
      <c r="G896" s="5"/>
      <c r="H896" s="20"/>
      <c r="I896" s="5"/>
      <c r="J896" s="5"/>
      <c r="K896" s="5"/>
      <c r="L896" s="5"/>
      <c r="M896" s="5"/>
      <c r="N896" s="5"/>
      <c r="O896" s="5"/>
      <c r="S896" s="5"/>
      <c r="T896" s="5"/>
      <c r="U896" s="5"/>
      <c r="V896" s="5"/>
      <c r="W896" s="11"/>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c r="AX896" s="5"/>
      <c r="AY896" s="5"/>
    </row>
    <row r="897" spans="1:51" s="55" customFormat="1">
      <c r="A897" s="5"/>
      <c r="B897" s="5"/>
      <c r="C897" s="20"/>
      <c r="D897" s="9"/>
      <c r="F897" s="29"/>
      <c r="G897" s="5"/>
      <c r="H897" s="20"/>
      <c r="I897" s="5"/>
      <c r="J897" s="5"/>
      <c r="K897" s="5"/>
      <c r="L897" s="5"/>
      <c r="M897" s="5"/>
      <c r="N897" s="5"/>
      <c r="O897" s="5"/>
      <c r="S897" s="5"/>
      <c r="T897" s="5"/>
      <c r="U897" s="5"/>
      <c r="V897" s="5"/>
      <c r="W897" s="11"/>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c r="AX897" s="5"/>
      <c r="AY897" s="5"/>
    </row>
    <row r="898" spans="1:51" s="55" customFormat="1">
      <c r="A898" s="5"/>
      <c r="B898" s="5"/>
      <c r="C898" s="20"/>
      <c r="D898" s="9"/>
      <c r="F898" s="29"/>
      <c r="G898" s="5"/>
      <c r="H898" s="20"/>
      <c r="I898" s="5"/>
      <c r="J898" s="5"/>
      <c r="K898" s="5"/>
      <c r="L898" s="5"/>
      <c r="M898" s="5"/>
      <c r="N898" s="5"/>
      <c r="O898" s="5"/>
      <c r="S898" s="5"/>
      <c r="T898" s="5"/>
      <c r="U898" s="5"/>
      <c r="V898" s="5"/>
      <c r="W898" s="11"/>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c r="AX898" s="5"/>
      <c r="AY898" s="5"/>
    </row>
    <row r="899" spans="1:51" s="55" customFormat="1">
      <c r="A899" s="5"/>
      <c r="B899" s="5"/>
      <c r="C899" s="20"/>
      <c r="D899" s="9"/>
      <c r="F899" s="29"/>
      <c r="G899" s="5"/>
      <c r="H899" s="20"/>
      <c r="I899" s="5"/>
      <c r="J899" s="5"/>
      <c r="K899" s="5"/>
      <c r="L899" s="5"/>
      <c r="M899" s="5"/>
      <c r="N899" s="5"/>
      <c r="O899" s="5"/>
      <c r="S899" s="5"/>
      <c r="T899" s="5"/>
      <c r="U899" s="5"/>
      <c r="V899" s="5"/>
      <c r="W899" s="11"/>
      <c r="X899" s="5"/>
      <c r="Y899" s="5"/>
      <c r="Z899" s="5"/>
      <c r="AA899" s="5"/>
      <c r="AB899" s="5"/>
      <c r="AC899" s="5"/>
      <c r="AD899" s="5"/>
      <c r="AE899" s="5"/>
      <c r="AF899" s="5"/>
      <c r="AG899" s="5"/>
      <c r="AH899" s="5"/>
      <c r="AI899" s="5"/>
      <c r="AJ899" s="5"/>
      <c r="AK899" s="5"/>
      <c r="AL899" s="5"/>
      <c r="AM899" s="5"/>
      <c r="AN899" s="5"/>
      <c r="AO899" s="5"/>
      <c r="AP899" s="5"/>
      <c r="AQ899" s="5"/>
      <c r="AR899" s="5"/>
      <c r="AS899" s="5"/>
      <c r="AT899" s="5"/>
      <c r="AU899" s="5"/>
      <c r="AV899" s="5"/>
      <c r="AW899" s="5"/>
      <c r="AX899" s="5"/>
      <c r="AY899" s="5"/>
    </row>
    <row r="900" spans="1:51" s="55" customFormat="1">
      <c r="A900" s="5"/>
      <c r="B900" s="5"/>
      <c r="C900" s="20"/>
      <c r="D900" s="9"/>
      <c r="F900" s="29"/>
      <c r="G900" s="5"/>
      <c r="H900" s="20"/>
      <c r="I900" s="5"/>
      <c r="J900" s="5"/>
      <c r="K900" s="5"/>
      <c r="L900" s="5"/>
      <c r="M900" s="5"/>
      <c r="N900" s="5"/>
      <c r="O900" s="5"/>
      <c r="S900" s="5"/>
      <c r="T900" s="5"/>
      <c r="U900" s="5"/>
      <c r="V900" s="5"/>
      <c r="W900" s="3"/>
      <c r="X900" s="5"/>
      <c r="Y900" s="5"/>
      <c r="Z900" s="5"/>
      <c r="AA900" s="5"/>
      <c r="AB900" s="5"/>
      <c r="AC900" s="5"/>
      <c r="AD900" s="5"/>
      <c r="AE900" s="5"/>
      <c r="AF900" s="5"/>
      <c r="AG900" s="5"/>
      <c r="AH900" s="5"/>
      <c r="AI900" s="5"/>
      <c r="AJ900" s="5"/>
      <c r="AK900" s="5"/>
      <c r="AL900" s="5"/>
      <c r="AM900" s="5"/>
      <c r="AN900" s="5"/>
      <c r="AO900" s="5"/>
      <c r="AP900" s="5"/>
      <c r="AQ900" s="5"/>
      <c r="AR900" s="5"/>
      <c r="AS900" s="5"/>
      <c r="AT900" s="5"/>
      <c r="AU900" s="5"/>
      <c r="AV900" s="5"/>
      <c r="AW900" s="5"/>
      <c r="AX900" s="5"/>
      <c r="AY900" s="5"/>
    </row>
    <row r="901" spans="1:51" s="55" customFormat="1">
      <c r="A901" s="5"/>
      <c r="B901" s="5"/>
      <c r="C901" s="20"/>
      <c r="D901" s="9"/>
      <c r="F901" s="29"/>
      <c r="G901" s="5"/>
      <c r="H901" s="20"/>
      <c r="I901" s="5"/>
      <c r="J901" s="5"/>
      <c r="K901" s="5"/>
      <c r="L901" s="5"/>
      <c r="M901" s="5"/>
      <c r="N901" s="5"/>
      <c r="O901" s="5"/>
      <c r="S901" s="5"/>
      <c r="T901" s="5"/>
      <c r="U901" s="5"/>
      <c r="V901" s="5"/>
      <c r="W901" s="3"/>
      <c r="X901" s="5"/>
      <c r="Y901" s="5"/>
      <c r="Z901" s="5"/>
      <c r="AA901" s="5"/>
      <c r="AB901" s="5"/>
      <c r="AC901" s="5"/>
      <c r="AD901" s="5"/>
      <c r="AE901" s="5"/>
      <c r="AF901" s="5"/>
      <c r="AG901" s="5"/>
      <c r="AH901" s="5"/>
      <c r="AI901" s="5"/>
      <c r="AJ901" s="5"/>
      <c r="AK901" s="5"/>
      <c r="AL901" s="5"/>
      <c r="AM901" s="5"/>
      <c r="AN901" s="5"/>
      <c r="AO901" s="5"/>
      <c r="AP901" s="5"/>
      <c r="AQ901" s="5"/>
      <c r="AR901" s="5"/>
      <c r="AS901" s="5"/>
      <c r="AT901" s="5"/>
      <c r="AU901" s="5"/>
      <c r="AV901" s="5"/>
      <c r="AW901" s="5"/>
      <c r="AX901" s="5"/>
      <c r="AY901" s="5"/>
    </row>
    <row r="902" spans="1:51" s="55" customFormat="1">
      <c r="A902" s="5"/>
      <c r="B902" s="5"/>
      <c r="C902" s="20"/>
      <c r="D902" s="9"/>
      <c r="F902" s="29"/>
      <c r="G902" s="5"/>
      <c r="H902" s="20"/>
      <c r="I902" s="5"/>
      <c r="J902" s="5"/>
      <c r="K902" s="5"/>
      <c r="L902" s="5"/>
      <c r="M902" s="5"/>
      <c r="N902" s="5"/>
      <c r="O902" s="5"/>
      <c r="S902" s="5"/>
      <c r="T902" s="5"/>
      <c r="U902" s="5"/>
      <c r="V902" s="5"/>
      <c r="W902" s="3"/>
      <c r="X902" s="5"/>
      <c r="Y902" s="5"/>
      <c r="Z902" s="5"/>
      <c r="AA902" s="5"/>
      <c r="AB902" s="5"/>
      <c r="AC902" s="5"/>
      <c r="AD902" s="5"/>
      <c r="AE902" s="5"/>
      <c r="AF902" s="5"/>
      <c r="AG902" s="5"/>
      <c r="AH902" s="5"/>
      <c r="AI902" s="5"/>
      <c r="AJ902" s="5"/>
      <c r="AK902" s="5"/>
      <c r="AL902" s="5"/>
      <c r="AM902" s="5"/>
      <c r="AN902" s="5"/>
      <c r="AO902" s="5"/>
      <c r="AP902" s="5"/>
      <c r="AQ902" s="5"/>
      <c r="AR902" s="5"/>
      <c r="AS902" s="5"/>
      <c r="AT902" s="5"/>
      <c r="AU902" s="5"/>
      <c r="AV902" s="5"/>
      <c r="AW902" s="5"/>
      <c r="AX902" s="5"/>
      <c r="AY902" s="5"/>
    </row>
    <row r="903" spans="1:51" s="55" customFormat="1">
      <c r="A903" s="5"/>
      <c r="B903" s="5"/>
      <c r="C903" s="20"/>
      <c r="D903" s="9"/>
      <c r="F903" s="29"/>
      <c r="G903" s="5"/>
      <c r="H903" s="20"/>
      <c r="I903" s="5"/>
      <c r="J903" s="5"/>
      <c r="K903" s="5"/>
      <c r="L903" s="5"/>
      <c r="M903" s="5"/>
      <c r="N903" s="5"/>
      <c r="O903" s="5"/>
      <c r="S903" s="5"/>
      <c r="T903" s="5"/>
      <c r="U903" s="5"/>
      <c r="V903" s="5"/>
      <c r="W903" s="3"/>
      <c r="X903" s="5"/>
      <c r="Y903" s="5"/>
      <c r="Z903" s="5"/>
      <c r="AA903" s="5"/>
      <c r="AB903" s="5"/>
      <c r="AC903" s="5"/>
      <c r="AD903" s="5"/>
      <c r="AE903" s="5"/>
      <c r="AF903" s="5"/>
      <c r="AG903" s="5"/>
      <c r="AH903" s="5"/>
      <c r="AI903" s="5"/>
      <c r="AJ903" s="5"/>
      <c r="AK903" s="5"/>
      <c r="AL903" s="5"/>
      <c r="AM903" s="5"/>
      <c r="AN903" s="5"/>
      <c r="AO903" s="5"/>
      <c r="AP903" s="5"/>
      <c r="AQ903" s="5"/>
      <c r="AR903" s="5"/>
      <c r="AS903" s="5"/>
      <c r="AT903" s="5"/>
      <c r="AU903" s="5"/>
      <c r="AV903" s="5"/>
      <c r="AW903" s="5"/>
      <c r="AX903" s="5"/>
      <c r="AY903" s="5"/>
    </row>
    <row r="904" spans="1:51" s="55" customFormat="1">
      <c r="A904" s="5"/>
      <c r="B904" s="5"/>
      <c r="C904" s="20"/>
      <c r="D904" s="9"/>
      <c r="F904" s="29"/>
      <c r="G904" s="5"/>
      <c r="H904" s="20"/>
      <c r="I904" s="5"/>
      <c r="J904" s="5"/>
      <c r="K904" s="5"/>
      <c r="L904" s="5"/>
      <c r="M904" s="5"/>
      <c r="N904" s="5"/>
      <c r="O904" s="5"/>
      <c r="S904" s="5"/>
      <c r="T904" s="5"/>
      <c r="U904" s="5"/>
      <c r="V904" s="5"/>
      <c r="W904" s="3"/>
      <c r="X904" s="5"/>
      <c r="Y904" s="5"/>
      <c r="Z904" s="5"/>
      <c r="AA904" s="5"/>
      <c r="AB904" s="5"/>
      <c r="AC904" s="5"/>
      <c r="AD904" s="5"/>
      <c r="AE904" s="5"/>
      <c r="AF904" s="5"/>
      <c r="AG904" s="5"/>
      <c r="AH904" s="5"/>
      <c r="AI904" s="5"/>
      <c r="AJ904" s="5"/>
      <c r="AK904" s="5"/>
      <c r="AL904" s="5"/>
      <c r="AM904" s="5"/>
      <c r="AN904" s="5"/>
      <c r="AO904" s="5"/>
      <c r="AP904" s="5"/>
      <c r="AQ904" s="5"/>
      <c r="AR904" s="5"/>
      <c r="AS904" s="5"/>
      <c r="AT904" s="5"/>
      <c r="AU904" s="5"/>
      <c r="AV904" s="5"/>
      <c r="AW904" s="5"/>
      <c r="AX904" s="5"/>
      <c r="AY904" s="5"/>
    </row>
    <row r="905" spans="1:51" s="55" customFormat="1">
      <c r="A905" s="5"/>
      <c r="B905" s="5"/>
      <c r="C905" s="20"/>
      <c r="D905" s="9"/>
      <c r="F905" s="29"/>
      <c r="G905" s="5"/>
      <c r="H905" s="20"/>
      <c r="I905" s="5"/>
      <c r="J905" s="5"/>
      <c r="K905" s="5"/>
      <c r="L905" s="5"/>
      <c r="M905" s="5"/>
      <c r="N905" s="5"/>
      <c r="O905" s="5"/>
      <c r="S905" s="5"/>
      <c r="T905" s="5"/>
      <c r="U905" s="5"/>
      <c r="V905" s="5"/>
      <c r="W905" s="3"/>
      <c r="X905" s="5"/>
      <c r="Y905" s="5"/>
      <c r="Z905" s="5"/>
      <c r="AA905" s="5"/>
      <c r="AB905" s="5"/>
      <c r="AC905" s="5"/>
      <c r="AD905" s="5"/>
      <c r="AE905" s="5"/>
      <c r="AF905" s="5"/>
      <c r="AG905" s="5"/>
      <c r="AH905" s="5"/>
      <c r="AI905" s="5"/>
      <c r="AJ905" s="5"/>
      <c r="AK905" s="5"/>
      <c r="AL905" s="5"/>
      <c r="AM905" s="5"/>
      <c r="AN905" s="5"/>
      <c r="AO905" s="5"/>
      <c r="AP905" s="5"/>
      <c r="AQ905" s="5"/>
      <c r="AR905" s="5"/>
      <c r="AS905" s="5"/>
      <c r="AT905" s="5"/>
      <c r="AU905" s="5"/>
      <c r="AV905" s="5"/>
      <c r="AW905" s="5"/>
      <c r="AX905" s="5"/>
      <c r="AY905" s="5"/>
    </row>
    <row r="906" spans="1:51" s="55" customFormat="1">
      <c r="A906" s="5"/>
      <c r="B906" s="5"/>
      <c r="C906" s="20"/>
      <c r="D906" s="9"/>
      <c r="F906" s="29"/>
      <c r="G906" s="5"/>
      <c r="H906" s="20"/>
      <c r="I906" s="5"/>
      <c r="J906" s="5"/>
      <c r="K906" s="5"/>
      <c r="L906" s="5"/>
      <c r="M906" s="5"/>
      <c r="N906" s="5"/>
      <c r="O906" s="5"/>
      <c r="S906" s="5"/>
      <c r="T906" s="5"/>
      <c r="U906" s="5"/>
      <c r="V906" s="5"/>
      <c r="W906" s="3"/>
      <c r="X906" s="5"/>
      <c r="Y906" s="5"/>
      <c r="Z906" s="5"/>
      <c r="AA906" s="5"/>
      <c r="AB906" s="5"/>
      <c r="AC906" s="5"/>
      <c r="AD906" s="5"/>
      <c r="AE906" s="5"/>
      <c r="AF906" s="5"/>
      <c r="AG906" s="5"/>
      <c r="AH906" s="5"/>
      <c r="AI906" s="5"/>
      <c r="AJ906" s="5"/>
      <c r="AK906" s="5"/>
      <c r="AL906" s="5"/>
      <c r="AM906" s="5"/>
      <c r="AN906" s="5"/>
      <c r="AO906" s="5"/>
      <c r="AP906" s="5"/>
      <c r="AQ906" s="5"/>
      <c r="AR906" s="5"/>
      <c r="AS906" s="5"/>
      <c r="AT906" s="5"/>
      <c r="AU906" s="5"/>
      <c r="AV906" s="5"/>
      <c r="AW906" s="5"/>
      <c r="AX906" s="5"/>
      <c r="AY906" s="5"/>
    </row>
    <row r="907" spans="1:51" s="55" customFormat="1">
      <c r="A907" s="5"/>
      <c r="B907" s="5"/>
      <c r="C907" s="20"/>
      <c r="D907" s="9"/>
      <c r="F907" s="29"/>
      <c r="G907" s="5"/>
      <c r="H907" s="20"/>
      <c r="I907" s="5"/>
      <c r="J907" s="5"/>
      <c r="K907" s="5"/>
      <c r="L907" s="5"/>
      <c r="M907" s="5"/>
      <c r="N907" s="5"/>
      <c r="O907" s="5"/>
      <c r="S907" s="5"/>
      <c r="T907" s="5"/>
      <c r="U907" s="5"/>
      <c r="V907" s="5"/>
      <c r="W907" s="3"/>
      <c r="X907" s="5"/>
      <c r="Y907" s="5"/>
      <c r="Z907" s="5"/>
      <c r="AA907" s="5"/>
      <c r="AB907" s="5"/>
      <c r="AC907" s="5"/>
      <c r="AD907" s="5"/>
      <c r="AE907" s="5"/>
      <c r="AF907" s="5"/>
      <c r="AG907" s="5"/>
      <c r="AH907" s="5"/>
      <c r="AI907" s="5"/>
      <c r="AJ907" s="5"/>
      <c r="AK907" s="5"/>
      <c r="AL907" s="5"/>
      <c r="AM907" s="5"/>
      <c r="AN907" s="5"/>
      <c r="AO907" s="5"/>
      <c r="AP907" s="5"/>
      <c r="AQ907" s="5"/>
      <c r="AR907" s="5"/>
      <c r="AS907" s="5"/>
      <c r="AT907" s="5"/>
      <c r="AU907" s="5"/>
      <c r="AV907" s="5"/>
      <c r="AW907" s="5"/>
      <c r="AX907" s="5"/>
      <c r="AY907" s="5"/>
    </row>
    <row r="908" spans="1:51" s="55" customFormat="1">
      <c r="A908" s="5"/>
      <c r="B908" s="5"/>
      <c r="C908" s="20"/>
      <c r="D908" s="9"/>
      <c r="F908" s="29"/>
      <c r="G908" s="5"/>
      <c r="H908" s="20"/>
      <c r="I908" s="5"/>
      <c r="J908" s="5"/>
      <c r="K908" s="5"/>
      <c r="L908" s="5"/>
      <c r="M908" s="5"/>
      <c r="N908" s="5"/>
      <c r="O908" s="5"/>
      <c r="S908" s="5"/>
      <c r="T908" s="5"/>
      <c r="U908" s="5"/>
      <c r="V908" s="5"/>
      <c r="W908" s="3"/>
      <c r="X908" s="5"/>
      <c r="Y908" s="5"/>
      <c r="Z908" s="5"/>
      <c r="AA908" s="5"/>
      <c r="AB908" s="5"/>
      <c r="AC908" s="5"/>
      <c r="AD908" s="5"/>
      <c r="AE908" s="5"/>
      <c r="AF908" s="5"/>
      <c r="AG908" s="5"/>
      <c r="AH908" s="5"/>
      <c r="AI908" s="5"/>
      <c r="AJ908" s="5"/>
      <c r="AK908" s="5"/>
      <c r="AL908" s="5"/>
      <c r="AM908" s="5"/>
      <c r="AN908" s="5"/>
      <c r="AO908" s="5"/>
      <c r="AP908" s="5"/>
      <c r="AQ908" s="5"/>
      <c r="AR908" s="5"/>
      <c r="AS908" s="5"/>
      <c r="AT908" s="5"/>
      <c r="AU908" s="5"/>
      <c r="AV908" s="5"/>
      <c r="AW908" s="5"/>
      <c r="AX908" s="5"/>
      <c r="AY908" s="5"/>
    </row>
    <row r="909" spans="1:51" s="55" customFormat="1">
      <c r="A909" s="5"/>
      <c r="B909" s="5"/>
      <c r="C909" s="20"/>
      <c r="D909" s="9"/>
      <c r="F909" s="29"/>
      <c r="G909" s="5"/>
      <c r="H909" s="20"/>
      <c r="I909" s="5"/>
      <c r="J909" s="5"/>
      <c r="K909" s="5"/>
      <c r="L909" s="5"/>
      <c r="M909" s="5"/>
      <c r="N909" s="5"/>
      <c r="O909" s="5"/>
      <c r="S909" s="5"/>
      <c r="T909" s="5"/>
      <c r="U909" s="5"/>
      <c r="V909" s="5"/>
      <c r="W909" s="3"/>
      <c r="X909" s="5"/>
      <c r="Y909" s="5"/>
      <c r="Z909" s="5"/>
      <c r="AA909" s="5"/>
      <c r="AB909" s="5"/>
      <c r="AC909" s="5"/>
      <c r="AD909" s="5"/>
      <c r="AE909" s="5"/>
      <c r="AF909" s="5"/>
      <c r="AG909" s="5"/>
      <c r="AH909" s="5"/>
      <c r="AI909" s="5"/>
      <c r="AJ909" s="5"/>
      <c r="AK909" s="5"/>
      <c r="AL909" s="5"/>
      <c r="AM909" s="5"/>
      <c r="AN909" s="5"/>
      <c r="AO909" s="5"/>
      <c r="AP909" s="5"/>
      <c r="AQ909" s="5"/>
      <c r="AR909" s="5"/>
      <c r="AS909" s="5"/>
      <c r="AT909" s="5"/>
      <c r="AU909" s="5"/>
      <c r="AV909" s="5"/>
      <c r="AW909" s="5"/>
      <c r="AX909" s="5"/>
      <c r="AY909" s="5"/>
    </row>
    <row r="910" spans="1:51" s="55" customFormat="1">
      <c r="A910" s="5"/>
      <c r="B910" s="5"/>
      <c r="C910" s="20"/>
      <c r="D910" s="9"/>
      <c r="F910" s="29"/>
      <c r="G910" s="5"/>
      <c r="H910" s="20"/>
      <c r="I910" s="5"/>
      <c r="J910" s="5"/>
      <c r="K910" s="5"/>
      <c r="L910" s="5"/>
      <c r="M910" s="5"/>
      <c r="N910" s="5"/>
      <c r="O910" s="5"/>
      <c r="S910" s="5"/>
      <c r="T910" s="5"/>
      <c r="U910" s="5"/>
      <c r="V910" s="5"/>
      <c r="W910" s="3"/>
      <c r="X910" s="5"/>
      <c r="Y910" s="5"/>
      <c r="Z910" s="5"/>
      <c r="AA910" s="5"/>
      <c r="AB910" s="5"/>
      <c r="AC910" s="5"/>
      <c r="AD910" s="5"/>
      <c r="AE910" s="5"/>
      <c r="AF910" s="5"/>
      <c r="AG910" s="5"/>
      <c r="AH910" s="5"/>
      <c r="AI910" s="5"/>
      <c r="AJ910" s="5"/>
      <c r="AK910" s="5"/>
      <c r="AL910" s="5"/>
      <c r="AM910" s="5"/>
      <c r="AN910" s="5"/>
      <c r="AO910" s="5"/>
      <c r="AP910" s="5"/>
      <c r="AQ910" s="5"/>
      <c r="AR910" s="5"/>
      <c r="AS910" s="5"/>
      <c r="AT910" s="5"/>
      <c r="AU910" s="5"/>
      <c r="AV910" s="5"/>
      <c r="AW910" s="5"/>
      <c r="AX910" s="5"/>
      <c r="AY910" s="5"/>
    </row>
    <row r="911" spans="1:51" s="55" customFormat="1">
      <c r="A911" s="5"/>
      <c r="B911" s="5"/>
      <c r="C911" s="20"/>
      <c r="D911" s="9"/>
      <c r="F911" s="29"/>
      <c r="G911" s="5"/>
      <c r="H911" s="20"/>
      <c r="I911" s="5"/>
      <c r="J911" s="5"/>
      <c r="K911" s="5"/>
      <c r="L911" s="5"/>
      <c r="M911" s="5"/>
      <c r="N911" s="5"/>
      <c r="O911" s="5"/>
      <c r="S911" s="5"/>
      <c r="T911" s="5"/>
      <c r="U911" s="5"/>
      <c r="V911" s="5"/>
      <c r="W911" s="3"/>
      <c r="X911" s="5"/>
      <c r="Y911" s="5"/>
      <c r="Z911" s="5"/>
      <c r="AA911" s="5"/>
      <c r="AB911" s="5"/>
      <c r="AC911" s="5"/>
      <c r="AD911" s="5"/>
      <c r="AE911" s="5"/>
      <c r="AF911" s="5"/>
      <c r="AG911" s="5"/>
      <c r="AH911" s="5"/>
      <c r="AI911" s="5"/>
      <c r="AJ911" s="5"/>
      <c r="AK911" s="5"/>
      <c r="AL911" s="5"/>
      <c r="AM911" s="5"/>
      <c r="AN911" s="5"/>
      <c r="AO911" s="5"/>
      <c r="AP911" s="5"/>
      <c r="AQ911" s="5"/>
      <c r="AR911" s="5"/>
      <c r="AS911" s="5"/>
      <c r="AT911" s="5"/>
      <c r="AU911" s="5"/>
      <c r="AV911" s="5"/>
      <c r="AW911" s="5"/>
      <c r="AX911" s="5"/>
      <c r="AY911" s="5"/>
    </row>
    <row r="912" spans="1:51" s="55" customFormat="1">
      <c r="A912" s="5"/>
      <c r="B912" s="5"/>
      <c r="C912" s="20"/>
      <c r="D912" s="9"/>
      <c r="F912" s="29"/>
      <c r="G912" s="5"/>
      <c r="H912" s="20"/>
      <c r="I912" s="5"/>
      <c r="J912" s="5"/>
      <c r="K912" s="5"/>
      <c r="L912" s="5"/>
      <c r="M912" s="5"/>
      <c r="N912" s="5"/>
      <c r="O912" s="5"/>
      <c r="S912" s="5"/>
      <c r="T912" s="5"/>
      <c r="U912" s="5"/>
      <c r="V912" s="5"/>
      <c r="W912" s="3"/>
      <c r="X912" s="5"/>
      <c r="Y912" s="5"/>
      <c r="Z912" s="5"/>
      <c r="AA912" s="5"/>
      <c r="AB912" s="5"/>
      <c r="AC912" s="5"/>
      <c r="AD912" s="5"/>
      <c r="AE912" s="5"/>
      <c r="AF912" s="5"/>
      <c r="AG912" s="5"/>
      <c r="AH912" s="5"/>
      <c r="AI912" s="5"/>
      <c r="AJ912" s="5"/>
      <c r="AK912" s="5"/>
      <c r="AL912" s="5"/>
      <c r="AM912" s="5"/>
      <c r="AN912" s="5"/>
      <c r="AO912" s="5"/>
      <c r="AP912" s="5"/>
      <c r="AQ912" s="5"/>
      <c r="AR912" s="5"/>
      <c r="AS912" s="5"/>
      <c r="AT912" s="5"/>
      <c r="AU912" s="5"/>
      <c r="AV912" s="5"/>
      <c r="AW912" s="5"/>
      <c r="AX912" s="5"/>
      <c r="AY912" s="5"/>
    </row>
    <row r="913" spans="1:51" s="55" customFormat="1">
      <c r="A913" s="5"/>
      <c r="B913" s="5"/>
      <c r="C913" s="20"/>
      <c r="D913" s="9"/>
      <c r="F913" s="29"/>
      <c r="G913" s="5"/>
      <c r="H913" s="20"/>
      <c r="I913" s="5"/>
      <c r="J913" s="5"/>
      <c r="K913" s="5"/>
      <c r="L913" s="5"/>
      <c r="M913" s="5"/>
      <c r="N913" s="5"/>
      <c r="O913" s="5"/>
      <c r="S913" s="5"/>
      <c r="T913" s="5"/>
      <c r="U913" s="5"/>
      <c r="V913" s="5"/>
      <c r="W913" s="3"/>
      <c r="X913" s="5"/>
      <c r="Y913" s="5"/>
      <c r="Z913" s="5"/>
      <c r="AA913" s="5"/>
      <c r="AB913" s="5"/>
      <c r="AC913" s="5"/>
      <c r="AD913" s="5"/>
      <c r="AE913" s="5"/>
      <c r="AF913" s="5"/>
      <c r="AG913" s="5"/>
      <c r="AH913" s="5"/>
      <c r="AI913" s="5"/>
      <c r="AJ913" s="5"/>
      <c r="AK913" s="5"/>
      <c r="AL913" s="5"/>
      <c r="AM913" s="5"/>
      <c r="AN913" s="5"/>
      <c r="AO913" s="5"/>
      <c r="AP913" s="5"/>
      <c r="AQ913" s="5"/>
      <c r="AR913" s="5"/>
      <c r="AS913" s="5"/>
      <c r="AT913" s="5"/>
      <c r="AU913" s="5"/>
      <c r="AV913" s="5"/>
      <c r="AW913" s="5"/>
      <c r="AX913" s="5"/>
      <c r="AY913" s="5"/>
    </row>
    <row r="914" spans="1:51" s="55" customFormat="1">
      <c r="A914" s="5"/>
      <c r="B914" s="5"/>
      <c r="C914" s="20"/>
      <c r="D914" s="9"/>
      <c r="F914" s="29"/>
      <c r="G914" s="5"/>
      <c r="H914" s="20"/>
      <c r="I914" s="5"/>
      <c r="J914" s="5"/>
      <c r="K914" s="5"/>
      <c r="L914" s="5"/>
      <c r="M914" s="5"/>
      <c r="N914" s="5"/>
      <c r="O914" s="5"/>
      <c r="S914" s="5"/>
      <c r="T914" s="5"/>
      <c r="U914" s="5"/>
      <c r="V914" s="5"/>
      <c r="W914" s="3"/>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c r="AX914" s="5"/>
      <c r="AY914" s="5"/>
    </row>
    <row r="915" spans="1:51" s="55" customFormat="1">
      <c r="A915" s="5"/>
      <c r="B915" s="5"/>
      <c r="C915" s="20"/>
      <c r="D915" s="9"/>
      <c r="F915" s="29"/>
      <c r="G915" s="5"/>
      <c r="H915" s="20"/>
      <c r="I915" s="5"/>
      <c r="J915" s="5"/>
      <c r="K915" s="5"/>
      <c r="L915" s="5"/>
      <c r="M915" s="5"/>
      <c r="N915" s="5"/>
      <c r="O915" s="5"/>
      <c r="S915" s="5"/>
      <c r="T915" s="5"/>
      <c r="U915" s="5"/>
      <c r="V915" s="5"/>
      <c r="W915" s="3"/>
      <c r="X915" s="5"/>
      <c r="Y915" s="5"/>
      <c r="Z915" s="5"/>
      <c r="AA915" s="5"/>
      <c r="AB915" s="5"/>
      <c r="AC915" s="5"/>
      <c r="AD915" s="5"/>
      <c r="AE915" s="5"/>
      <c r="AF915" s="5"/>
      <c r="AG915" s="5"/>
      <c r="AH915" s="5"/>
      <c r="AI915" s="5"/>
      <c r="AJ915" s="5"/>
      <c r="AK915" s="5"/>
      <c r="AL915" s="5"/>
      <c r="AM915" s="5"/>
      <c r="AN915" s="5"/>
      <c r="AO915" s="5"/>
      <c r="AP915" s="5"/>
      <c r="AQ915" s="5"/>
      <c r="AR915" s="5"/>
      <c r="AS915" s="5"/>
      <c r="AT915" s="5"/>
      <c r="AU915" s="5"/>
      <c r="AV915" s="5"/>
      <c r="AW915" s="5"/>
      <c r="AX915" s="5"/>
      <c r="AY915" s="5"/>
    </row>
    <row r="916" spans="1:51" s="55" customFormat="1">
      <c r="A916" s="5"/>
      <c r="B916" s="5"/>
      <c r="C916" s="20"/>
      <c r="D916" s="9"/>
      <c r="F916" s="29"/>
      <c r="G916" s="5"/>
      <c r="H916" s="20"/>
      <c r="I916" s="5"/>
      <c r="J916" s="5"/>
      <c r="K916" s="5"/>
      <c r="L916" s="5"/>
      <c r="M916" s="5"/>
      <c r="N916" s="5"/>
      <c r="O916" s="5"/>
      <c r="S916" s="5"/>
      <c r="T916" s="5"/>
      <c r="U916" s="5"/>
      <c r="V916" s="5"/>
      <c r="W916" s="3"/>
      <c r="X916" s="5"/>
      <c r="Y916" s="5"/>
      <c r="Z916" s="5"/>
      <c r="AA916" s="5"/>
      <c r="AB916" s="5"/>
      <c r="AC916" s="5"/>
      <c r="AD916" s="5"/>
      <c r="AE916" s="5"/>
      <c r="AF916" s="5"/>
      <c r="AG916" s="5"/>
      <c r="AH916" s="5"/>
      <c r="AI916" s="5"/>
      <c r="AJ916" s="5"/>
      <c r="AK916" s="5"/>
      <c r="AL916" s="5"/>
      <c r="AM916" s="5"/>
      <c r="AN916" s="5"/>
      <c r="AO916" s="5"/>
      <c r="AP916" s="5"/>
      <c r="AQ916" s="5"/>
      <c r="AR916" s="5"/>
      <c r="AS916" s="5"/>
      <c r="AT916" s="5"/>
      <c r="AU916" s="5"/>
      <c r="AV916" s="5"/>
      <c r="AW916" s="5"/>
      <c r="AX916" s="5"/>
      <c r="AY916" s="5"/>
    </row>
    <row r="917" spans="1:51" s="55" customFormat="1">
      <c r="A917" s="5"/>
      <c r="B917" s="5"/>
      <c r="C917" s="20"/>
      <c r="D917" s="9"/>
      <c r="F917" s="29"/>
      <c r="G917" s="5"/>
      <c r="H917" s="20"/>
      <c r="I917" s="5"/>
      <c r="J917" s="5"/>
      <c r="K917" s="5"/>
      <c r="L917" s="5"/>
      <c r="M917" s="5"/>
      <c r="N917" s="5"/>
      <c r="O917" s="5"/>
      <c r="S917" s="5"/>
      <c r="T917" s="5"/>
      <c r="U917" s="5"/>
      <c r="V917" s="5"/>
      <c r="W917" s="3"/>
      <c r="X917" s="5"/>
      <c r="Y917" s="5"/>
      <c r="Z917" s="5"/>
      <c r="AA917" s="5"/>
      <c r="AB917" s="5"/>
      <c r="AC917" s="5"/>
      <c r="AD917" s="5"/>
      <c r="AE917" s="5"/>
      <c r="AF917" s="5"/>
      <c r="AG917" s="5"/>
      <c r="AH917" s="5"/>
      <c r="AI917" s="5"/>
      <c r="AJ917" s="5"/>
      <c r="AK917" s="5"/>
      <c r="AL917" s="5"/>
      <c r="AM917" s="5"/>
      <c r="AN917" s="5"/>
      <c r="AO917" s="5"/>
      <c r="AP917" s="5"/>
      <c r="AQ917" s="5"/>
      <c r="AR917" s="5"/>
      <c r="AS917" s="5"/>
      <c r="AT917" s="5"/>
      <c r="AU917" s="5"/>
      <c r="AV917" s="5"/>
      <c r="AW917" s="5"/>
      <c r="AX917" s="5"/>
      <c r="AY917" s="5"/>
    </row>
    <row r="918" spans="1:51" s="55" customFormat="1">
      <c r="A918" s="5"/>
      <c r="B918" s="5"/>
      <c r="C918" s="20"/>
      <c r="D918" s="9"/>
      <c r="F918" s="29"/>
      <c r="G918" s="5"/>
      <c r="H918" s="20"/>
      <c r="I918" s="5"/>
      <c r="J918" s="5"/>
      <c r="K918" s="5"/>
      <c r="L918" s="5"/>
      <c r="M918" s="5"/>
      <c r="N918" s="5"/>
      <c r="O918" s="5"/>
      <c r="S918" s="5"/>
      <c r="T918" s="5"/>
      <c r="U918" s="5"/>
      <c r="V918" s="5"/>
      <c r="W918" s="3"/>
      <c r="X918" s="5"/>
      <c r="Y918" s="5"/>
      <c r="Z918" s="5"/>
      <c r="AA918" s="5"/>
      <c r="AB918" s="5"/>
      <c r="AC918" s="5"/>
      <c r="AD918" s="5"/>
      <c r="AE918" s="5"/>
      <c r="AF918" s="5"/>
      <c r="AG918" s="5"/>
      <c r="AH918" s="5"/>
      <c r="AI918" s="5"/>
      <c r="AJ918" s="5"/>
      <c r="AK918" s="5"/>
      <c r="AL918" s="5"/>
      <c r="AM918" s="5"/>
      <c r="AN918" s="5"/>
      <c r="AO918" s="5"/>
      <c r="AP918" s="5"/>
      <c r="AQ918" s="5"/>
      <c r="AR918" s="5"/>
      <c r="AS918" s="5"/>
      <c r="AT918" s="5"/>
      <c r="AU918" s="5"/>
      <c r="AV918" s="5"/>
      <c r="AW918" s="5"/>
      <c r="AX918" s="5"/>
      <c r="AY918" s="5"/>
    </row>
    <row r="919" spans="1:51" s="55" customFormat="1">
      <c r="A919" s="5"/>
      <c r="B919" s="5"/>
      <c r="C919" s="20"/>
      <c r="D919" s="9"/>
      <c r="F919" s="29"/>
      <c r="G919" s="5"/>
      <c r="H919" s="20"/>
      <c r="I919" s="5"/>
      <c r="J919" s="5"/>
      <c r="K919" s="5"/>
      <c r="L919" s="5"/>
      <c r="M919" s="5"/>
      <c r="N919" s="5"/>
      <c r="O919" s="5"/>
      <c r="S919" s="5"/>
      <c r="T919" s="5"/>
      <c r="U919" s="5"/>
      <c r="V919" s="5"/>
      <c r="W919" s="3"/>
      <c r="X919" s="5"/>
      <c r="Y919" s="5"/>
      <c r="Z919" s="5"/>
      <c r="AA919" s="5"/>
      <c r="AB919" s="5"/>
      <c r="AC919" s="5"/>
      <c r="AD919" s="5"/>
      <c r="AE919" s="5"/>
      <c r="AF919" s="5"/>
      <c r="AG919" s="5"/>
      <c r="AH919" s="5"/>
      <c r="AI919" s="5"/>
      <c r="AJ919" s="5"/>
      <c r="AK919" s="5"/>
      <c r="AL919" s="5"/>
      <c r="AM919" s="5"/>
      <c r="AN919" s="5"/>
      <c r="AO919" s="5"/>
      <c r="AP919" s="5"/>
      <c r="AQ919" s="5"/>
      <c r="AR919" s="5"/>
      <c r="AS919" s="5"/>
      <c r="AT919" s="5"/>
      <c r="AU919" s="5"/>
      <c r="AV919" s="5"/>
      <c r="AW919" s="5"/>
      <c r="AX919" s="5"/>
      <c r="AY919" s="5"/>
    </row>
    <row r="920" spans="1:51" s="55" customFormat="1">
      <c r="A920" s="5"/>
      <c r="B920" s="5"/>
      <c r="C920" s="20"/>
      <c r="D920" s="9"/>
      <c r="F920" s="29"/>
      <c r="G920" s="5"/>
      <c r="H920" s="20"/>
      <c r="I920" s="5"/>
      <c r="J920" s="5"/>
      <c r="K920" s="5"/>
      <c r="L920" s="5"/>
      <c r="M920" s="5"/>
      <c r="N920" s="5"/>
      <c r="O920" s="5"/>
      <c r="S920" s="5"/>
      <c r="T920" s="5"/>
      <c r="U920" s="5"/>
      <c r="V920" s="5"/>
      <c r="W920" s="3"/>
      <c r="X920" s="5"/>
      <c r="Y920" s="5"/>
      <c r="Z920" s="5"/>
      <c r="AA920" s="5"/>
      <c r="AB920" s="5"/>
      <c r="AC920" s="5"/>
      <c r="AD920" s="5"/>
      <c r="AE920" s="5"/>
      <c r="AF920" s="5"/>
      <c r="AG920" s="5"/>
      <c r="AH920" s="5"/>
      <c r="AI920" s="5"/>
      <c r="AJ920" s="5"/>
      <c r="AK920" s="5"/>
      <c r="AL920" s="5"/>
      <c r="AM920" s="5"/>
      <c r="AN920" s="5"/>
      <c r="AO920" s="5"/>
      <c r="AP920" s="5"/>
      <c r="AQ920" s="5"/>
      <c r="AR920" s="5"/>
      <c r="AS920" s="5"/>
      <c r="AT920" s="5"/>
      <c r="AU920" s="5"/>
      <c r="AV920" s="5"/>
      <c r="AW920" s="5"/>
      <c r="AX920" s="5"/>
      <c r="AY920" s="5"/>
    </row>
    <row r="921" spans="1:51" s="55" customFormat="1">
      <c r="A921" s="5"/>
      <c r="B921" s="5"/>
      <c r="C921" s="20"/>
      <c r="D921" s="9"/>
      <c r="F921" s="29"/>
      <c r="G921" s="5"/>
      <c r="H921" s="20"/>
      <c r="I921" s="5"/>
      <c r="J921" s="5"/>
      <c r="K921" s="5"/>
      <c r="L921" s="5"/>
      <c r="M921" s="5"/>
      <c r="N921" s="5"/>
      <c r="O921" s="5"/>
      <c r="S921" s="5"/>
      <c r="T921" s="5"/>
      <c r="U921" s="5"/>
      <c r="V921" s="5"/>
      <c r="W921" s="3"/>
      <c r="X921" s="5"/>
      <c r="Y921" s="5"/>
      <c r="Z921" s="5"/>
      <c r="AA921" s="5"/>
      <c r="AB921" s="5"/>
      <c r="AC921" s="5"/>
      <c r="AD921" s="5"/>
      <c r="AE921" s="5"/>
      <c r="AF921" s="5"/>
      <c r="AG921" s="5"/>
      <c r="AH921" s="5"/>
      <c r="AI921" s="5"/>
      <c r="AJ921" s="5"/>
      <c r="AK921" s="5"/>
      <c r="AL921" s="5"/>
      <c r="AM921" s="5"/>
      <c r="AN921" s="5"/>
      <c r="AO921" s="5"/>
      <c r="AP921" s="5"/>
      <c r="AQ921" s="5"/>
      <c r="AR921" s="5"/>
      <c r="AS921" s="5"/>
      <c r="AT921" s="5"/>
      <c r="AU921" s="5"/>
      <c r="AV921" s="5"/>
      <c r="AW921" s="5"/>
      <c r="AX921" s="5"/>
      <c r="AY921" s="5"/>
    </row>
    <row r="922" spans="1:51" s="55" customFormat="1">
      <c r="A922" s="5"/>
      <c r="B922" s="5"/>
      <c r="C922" s="20"/>
      <c r="D922" s="9"/>
      <c r="F922" s="29"/>
      <c r="G922" s="5"/>
      <c r="H922" s="20"/>
      <c r="I922" s="5"/>
      <c r="J922" s="5"/>
      <c r="K922" s="5"/>
      <c r="L922" s="5"/>
      <c r="M922" s="5"/>
      <c r="N922" s="5"/>
      <c r="O922" s="5"/>
      <c r="S922" s="5"/>
      <c r="T922" s="5"/>
      <c r="U922" s="5"/>
      <c r="V922" s="5"/>
      <c r="W922" s="3"/>
      <c r="X922" s="5"/>
      <c r="Y922" s="5"/>
      <c r="Z922" s="5"/>
      <c r="AA922" s="5"/>
      <c r="AB922" s="5"/>
      <c r="AC922" s="5"/>
      <c r="AD922" s="5"/>
      <c r="AE922" s="5"/>
      <c r="AF922" s="5"/>
      <c r="AG922" s="5"/>
      <c r="AH922" s="5"/>
      <c r="AI922" s="5"/>
      <c r="AJ922" s="5"/>
      <c r="AK922" s="5"/>
      <c r="AL922" s="5"/>
      <c r="AM922" s="5"/>
      <c r="AN922" s="5"/>
      <c r="AO922" s="5"/>
      <c r="AP922" s="5"/>
      <c r="AQ922" s="5"/>
      <c r="AR922" s="5"/>
      <c r="AS922" s="5"/>
      <c r="AT922" s="5"/>
      <c r="AU922" s="5"/>
      <c r="AV922" s="5"/>
      <c r="AW922" s="5"/>
      <c r="AX922" s="5"/>
      <c r="AY922" s="5"/>
    </row>
    <row r="923" spans="1:51" s="55" customFormat="1">
      <c r="A923" s="5"/>
      <c r="B923" s="5"/>
      <c r="C923" s="20"/>
      <c r="D923" s="9"/>
      <c r="F923" s="29"/>
      <c r="G923" s="5"/>
      <c r="H923" s="20"/>
      <c r="I923" s="5"/>
      <c r="J923" s="5"/>
      <c r="K923" s="5"/>
      <c r="L923" s="5"/>
      <c r="M923" s="5"/>
      <c r="N923" s="5"/>
      <c r="O923" s="5"/>
      <c r="S923" s="5"/>
      <c r="T923" s="5"/>
      <c r="U923" s="5"/>
      <c r="V923" s="5"/>
      <c r="W923" s="3"/>
      <c r="X923" s="5"/>
      <c r="Y923" s="5"/>
      <c r="Z923" s="5"/>
      <c r="AA923" s="5"/>
      <c r="AB923" s="5"/>
      <c r="AC923" s="5"/>
      <c r="AD923" s="5"/>
      <c r="AE923" s="5"/>
      <c r="AF923" s="5"/>
      <c r="AG923" s="5"/>
      <c r="AH923" s="5"/>
      <c r="AI923" s="5"/>
      <c r="AJ923" s="5"/>
      <c r="AK923" s="5"/>
      <c r="AL923" s="5"/>
      <c r="AM923" s="5"/>
      <c r="AN923" s="5"/>
      <c r="AO923" s="5"/>
      <c r="AP923" s="5"/>
      <c r="AQ923" s="5"/>
      <c r="AR923" s="5"/>
      <c r="AS923" s="5"/>
      <c r="AT923" s="5"/>
      <c r="AU923" s="5"/>
      <c r="AV923" s="5"/>
      <c r="AW923" s="5"/>
      <c r="AX923" s="5"/>
      <c r="AY923" s="5"/>
    </row>
    <row r="924" spans="1:51" s="55" customFormat="1">
      <c r="A924" s="5"/>
      <c r="B924" s="5"/>
      <c r="C924" s="20"/>
      <c r="D924" s="9"/>
      <c r="F924" s="29"/>
      <c r="G924" s="5"/>
      <c r="H924" s="20"/>
      <c r="I924" s="5"/>
      <c r="J924" s="5"/>
      <c r="K924" s="5"/>
      <c r="L924" s="5"/>
      <c r="M924" s="5"/>
      <c r="N924" s="5"/>
      <c r="O924" s="5"/>
      <c r="S924" s="5"/>
      <c r="T924" s="5"/>
      <c r="U924" s="5"/>
      <c r="V924" s="5"/>
      <c r="W924" s="3"/>
      <c r="X924" s="5"/>
      <c r="Y924" s="5"/>
      <c r="Z924" s="5"/>
      <c r="AA924" s="5"/>
      <c r="AB924" s="5"/>
      <c r="AC924" s="5"/>
      <c r="AD924" s="5"/>
      <c r="AE924" s="5"/>
      <c r="AF924" s="5"/>
      <c r="AG924" s="5"/>
      <c r="AH924" s="5"/>
      <c r="AI924" s="5"/>
      <c r="AJ924" s="5"/>
      <c r="AK924" s="5"/>
      <c r="AL924" s="5"/>
      <c r="AM924" s="5"/>
      <c r="AN924" s="5"/>
      <c r="AO924" s="5"/>
      <c r="AP924" s="5"/>
      <c r="AQ924" s="5"/>
      <c r="AR924" s="5"/>
      <c r="AS924" s="5"/>
      <c r="AT924" s="5"/>
      <c r="AU924" s="5"/>
      <c r="AV924" s="5"/>
      <c r="AW924" s="5"/>
      <c r="AX924" s="5"/>
      <c r="AY924" s="5"/>
    </row>
    <row r="925" spans="1:51" s="55" customFormat="1">
      <c r="A925" s="5"/>
      <c r="B925" s="5"/>
      <c r="C925" s="20"/>
      <c r="D925" s="9"/>
      <c r="F925" s="29"/>
      <c r="G925" s="5"/>
      <c r="H925" s="20"/>
      <c r="I925" s="5"/>
      <c r="J925" s="5"/>
      <c r="K925" s="5"/>
      <c r="L925" s="5"/>
      <c r="M925" s="5"/>
      <c r="N925" s="5"/>
      <c r="O925" s="5"/>
      <c r="S925" s="5"/>
      <c r="T925" s="5"/>
      <c r="U925" s="5"/>
      <c r="V925" s="5"/>
      <c r="W925" s="3"/>
      <c r="X925" s="5"/>
      <c r="Y925" s="5"/>
      <c r="Z925" s="5"/>
      <c r="AA925" s="5"/>
      <c r="AB925" s="5"/>
      <c r="AC925" s="5"/>
      <c r="AD925" s="5"/>
      <c r="AE925" s="5"/>
      <c r="AF925" s="5"/>
      <c r="AG925" s="5"/>
      <c r="AH925" s="5"/>
      <c r="AI925" s="5"/>
      <c r="AJ925" s="5"/>
      <c r="AK925" s="5"/>
      <c r="AL925" s="5"/>
      <c r="AM925" s="5"/>
      <c r="AN925" s="5"/>
      <c r="AO925" s="5"/>
      <c r="AP925" s="5"/>
      <c r="AQ925" s="5"/>
      <c r="AR925" s="5"/>
      <c r="AS925" s="5"/>
      <c r="AT925" s="5"/>
      <c r="AU925" s="5"/>
      <c r="AV925" s="5"/>
      <c r="AW925" s="5"/>
      <c r="AX925" s="5"/>
      <c r="AY925" s="5"/>
    </row>
    <row r="926" spans="1:51" s="55" customFormat="1">
      <c r="A926" s="5"/>
      <c r="B926" s="5"/>
      <c r="C926" s="20"/>
      <c r="D926" s="9"/>
      <c r="F926" s="29"/>
      <c r="G926" s="5"/>
      <c r="H926" s="20"/>
      <c r="I926" s="5"/>
      <c r="J926" s="5"/>
      <c r="K926" s="5"/>
      <c r="L926" s="5"/>
      <c r="M926" s="5"/>
      <c r="N926" s="5"/>
      <c r="O926" s="5"/>
      <c r="S926" s="5"/>
      <c r="T926" s="5"/>
      <c r="U926" s="5"/>
      <c r="V926" s="5"/>
      <c r="W926" s="3"/>
      <c r="X926" s="5"/>
      <c r="Y926" s="5"/>
      <c r="Z926" s="5"/>
      <c r="AA926" s="5"/>
      <c r="AB926" s="5"/>
      <c r="AC926" s="5"/>
      <c r="AD926" s="5"/>
      <c r="AE926" s="5"/>
      <c r="AF926" s="5"/>
      <c r="AG926" s="5"/>
      <c r="AH926" s="5"/>
      <c r="AI926" s="5"/>
      <c r="AJ926" s="5"/>
      <c r="AK926" s="5"/>
      <c r="AL926" s="5"/>
      <c r="AM926" s="5"/>
      <c r="AN926" s="5"/>
      <c r="AO926" s="5"/>
      <c r="AP926" s="5"/>
      <c r="AQ926" s="5"/>
      <c r="AR926" s="5"/>
      <c r="AS926" s="5"/>
      <c r="AT926" s="5"/>
      <c r="AU926" s="5"/>
      <c r="AV926" s="5"/>
      <c r="AW926" s="5"/>
      <c r="AX926" s="5"/>
      <c r="AY926" s="5"/>
    </row>
    <row r="927" spans="1:51" s="55" customFormat="1">
      <c r="A927" s="5"/>
      <c r="B927" s="5"/>
      <c r="C927" s="20"/>
      <c r="D927" s="9"/>
      <c r="F927" s="29"/>
      <c r="G927" s="5"/>
      <c r="H927" s="20"/>
      <c r="I927" s="5"/>
      <c r="J927" s="5"/>
      <c r="K927" s="5"/>
      <c r="L927" s="5"/>
      <c r="M927" s="5"/>
      <c r="N927" s="5"/>
      <c r="O927" s="5"/>
      <c r="S927" s="5"/>
      <c r="T927" s="5"/>
      <c r="U927" s="5"/>
      <c r="V927" s="5"/>
      <c r="W927" s="3"/>
      <c r="X927" s="5"/>
      <c r="Y927" s="5"/>
      <c r="Z927" s="5"/>
      <c r="AA927" s="5"/>
      <c r="AB927" s="5"/>
      <c r="AC927" s="5"/>
      <c r="AD927" s="5"/>
      <c r="AE927" s="5"/>
      <c r="AF927" s="5"/>
      <c r="AG927" s="5"/>
      <c r="AH927" s="5"/>
      <c r="AI927" s="5"/>
      <c r="AJ927" s="5"/>
      <c r="AK927" s="5"/>
      <c r="AL927" s="5"/>
      <c r="AM927" s="5"/>
      <c r="AN927" s="5"/>
      <c r="AO927" s="5"/>
      <c r="AP927" s="5"/>
      <c r="AQ927" s="5"/>
      <c r="AR927" s="5"/>
      <c r="AS927" s="5"/>
      <c r="AT927" s="5"/>
      <c r="AU927" s="5"/>
      <c r="AV927" s="5"/>
      <c r="AW927" s="5"/>
      <c r="AX927" s="5"/>
      <c r="AY927" s="5"/>
    </row>
    <row r="928" spans="1:51" s="55" customFormat="1">
      <c r="A928" s="5"/>
      <c r="B928" s="5"/>
      <c r="C928" s="20"/>
      <c r="D928" s="9"/>
      <c r="F928" s="29"/>
      <c r="G928" s="5"/>
      <c r="H928" s="20"/>
      <c r="I928" s="5"/>
      <c r="J928" s="5"/>
      <c r="K928" s="5"/>
      <c r="L928" s="5"/>
      <c r="M928" s="5"/>
      <c r="N928" s="5"/>
      <c r="O928" s="5"/>
      <c r="S928" s="5"/>
      <c r="T928" s="5"/>
      <c r="U928" s="5"/>
      <c r="V928" s="5"/>
      <c r="W928" s="3"/>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row>
    <row r="929" spans="1:51" s="55" customFormat="1">
      <c r="A929" s="5"/>
      <c r="B929" s="5"/>
      <c r="C929" s="20"/>
      <c r="D929" s="9"/>
      <c r="F929" s="29"/>
      <c r="G929" s="5"/>
      <c r="H929" s="20"/>
      <c r="I929" s="5"/>
      <c r="J929" s="5"/>
      <c r="K929" s="5"/>
      <c r="L929" s="5"/>
      <c r="M929" s="5"/>
      <c r="N929" s="5"/>
      <c r="O929" s="5"/>
      <c r="S929" s="5"/>
      <c r="T929" s="5"/>
      <c r="U929" s="5"/>
      <c r="V929" s="5"/>
      <c r="W929" s="3"/>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c r="AX929" s="5"/>
      <c r="AY929" s="5"/>
    </row>
    <row r="930" spans="1:51" s="55" customFormat="1">
      <c r="A930" s="5"/>
      <c r="B930" s="5"/>
      <c r="C930" s="20"/>
      <c r="D930" s="9"/>
      <c r="F930" s="29"/>
      <c r="G930" s="5"/>
      <c r="H930" s="20"/>
      <c r="I930" s="5"/>
      <c r="J930" s="5"/>
      <c r="K930" s="5"/>
      <c r="L930" s="5"/>
      <c r="M930" s="5"/>
      <c r="N930" s="5"/>
      <c r="O930" s="5"/>
      <c r="S930" s="5"/>
      <c r="T930" s="5"/>
      <c r="U930" s="5"/>
      <c r="V930" s="5"/>
      <c r="W930" s="3"/>
      <c r="X930" s="5"/>
      <c r="Y930" s="5"/>
      <c r="Z930" s="5"/>
      <c r="AA930" s="5"/>
      <c r="AB930" s="5"/>
      <c r="AC930" s="5"/>
      <c r="AD930" s="5"/>
      <c r="AE930" s="5"/>
      <c r="AF930" s="5"/>
      <c r="AG930" s="5"/>
      <c r="AH930" s="5"/>
      <c r="AI930" s="5"/>
      <c r="AJ930" s="5"/>
      <c r="AK930" s="5"/>
      <c r="AL930" s="5"/>
      <c r="AM930" s="5"/>
      <c r="AN930" s="5"/>
      <c r="AO930" s="5"/>
      <c r="AP930" s="5"/>
      <c r="AQ930" s="5"/>
      <c r="AR930" s="5"/>
      <c r="AS930" s="5"/>
      <c r="AT930" s="5"/>
      <c r="AU930" s="5"/>
      <c r="AV930" s="5"/>
      <c r="AW930" s="5"/>
      <c r="AX930" s="5"/>
      <c r="AY930" s="5"/>
    </row>
    <row r="931" spans="1:51" s="55" customFormat="1">
      <c r="A931" s="5"/>
      <c r="B931" s="5"/>
      <c r="C931" s="20"/>
      <c r="D931" s="9"/>
      <c r="F931" s="29"/>
      <c r="G931" s="5"/>
      <c r="H931" s="20"/>
      <c r="I931" s="5"/>
      <c r="J931" s="5"/>
      <c r="K931" s="5"/>
      <c r="L931" s="5"/>
      <c r="M931" s="5"/>
      <c r="N931" s="5"/>
      <c r="O931" s="5"/>
      <c r="S931" s="5"/>
      <c r="T931" s="5"/>
      <c r="U931" s="5"/>
      <c r="V931" s="5"/>
      <c r="W931" s="3"/>
      <c r="X931" s="5"/>
      <c r="Y931" s="5"/>
      <c r="Z931" s="5"/>
      <c r="AA931" s="5"/>
      <c r="AB931" s="5"/>
      <c r="AC931" s="5"/>
      <c r="AD931" s="5"/>
      <c r="AE931" s="5"/>
      <c r="AF931" s="5"/>
      <c r="AG931" s="5"/>
      <c r="AH931" s="5"/>
      <c r="AI931" s="5"/>
      <c r="AJ931" s="5"/>
      <c r="AK931" s="5"/>
      <c r="AL931" s="5"/>
      <c r="AM931" s="5"/>
      <c r="AN931" s="5"/>
      <c r="AO931" s="5"/>
      <c r="AP931" s="5"/>
      <c r="AQ931" s="5"/>
      <c r="AR931" s="5"/>
      <c r="AS931" s="5"/>
      <c r="AT931" s="5"/>
      <c r="AU931" s="5"/>
      <c r="AV931" s="5"/>
      <c r="AW931" s="5"/>
      <c r="AX931" s="5"/>
      <c r="AY931" s="5"/>
    </row>
    <row r="932" spans="1:51" s="55" customFormat="1">
      <c r="A932" s="5"/>
      <c r="B932" s="5"/>
      <c r="C932" s="20"/>
      <c r="D932" s="9"/>
      <c r="F932" s="29"/>
      <c r="G932" s="5"/>
      <c r="H932" s="20"/>
      <c r="I932" s="5"/>
      <c r="J932" s="5"/>
      <c r="K932" s="5"/>
      <c r="L932" s="5"/>
      <c r="M932" s="5"/>
      <c r="N932" s="5"/>
      <c r="O932" s="5"/>
      <c r="S932" s="5"/>
      <c r="T932" s="5"/>
      <c r="U932" s="5"/>
      <c r="V932" s="5"/>
      <c r="W932" s="3"/>
      <c r="X932" s="5"/>
      <c r="Y932" s="5"/>
      <c r="Z932" s="5"/>
      <c r="AA932" s="5"/>
      <c r="AB932" s="5"/>
      <c r="AC932" s="5"/>
      <c r="AD932" s="5"/>
      <c r="AE932" s="5"/>
      <c r="AF932" s="5"/>
      <c r="AG932" s="5"/>
      <c r="AH932" s="5"/>
      <c r="AI932" s="5"/>
      <c r="AJ932" s="5"/>
      <c r="AK932" s="5"/>
      <c r="AL932" s="5"/>
      <c r="AM932" s="5"/>
      <c r="AN932" s="5"/>
      <c r="AO932" s="5"/>
      <c r="AP932" s="5"/>
      <c r="AQ932" s="5"/>
      <c r="AR932" s="5"/>
      <c r="AS932" s="5"/>
      <c r="AT932" s="5"/>
      <c r="AU932" s="5"/>
      <c r="AV932" s="5"/>
      <c r="AW932" s="5"/>
      <c r="AX932" s="5"/>
      <c r="AY932" s="5"/>
    </row>
    <row r="933" spans="1:51" s="55" customFormat="1">
      <c r="A933" s="5"/>
      <c r="B933" s="5"/>
      <c r="C933" s="20"/>
      <c r="D933" s="9"/>
      <c r="F933" s="29"/>
      <c r="G933" s="5"/>
      <c r="H933" s="20"/>
      <c r="I933" s="5"/>
      <c r="J933" s="5"/>
      <c r="K933" s="5"/>
      <c r="L933" s="5"/>
      <c r="M933" s="5"/>
      <c r="N933" s="5"/>
      <c r="O933" s="5"/>
      <c r="S933" s="5"/>
      <c r="T933" s="5"/>
      <c r="U933" s="5"/>
      <c r="V933" s="5"/>
      <c r="W933" s="3"/>
      <c r="X933" s="5"/>
      <c r="Y933" s="5"/>
      <c r="Z933" s="5"/>
      <c r="AA933" s="5"/>
      <c r="AB933" s="5"/>
      <c r="AC933" s="5"/>
      <c r="AD933" s="5"/>
      <c r="AE933" s="5"/>
      <c r="AF933" s="5"/>
      <c r="AG933" s="5"/>
      <c r="AH933" s="5"/>
      <c r="AI933" s="5"/>
      <c r="AJ933" s="5"/>
      <c r="AK933" s="5"/>
      <c r="AL933" s="5"/>
      <c r="AM933" s="5"/>
      <c r="AN933" s="5"/>
      <c r="AO933" s="5"/>
      <c r="AP933" s="5"/>
      <c r="AQ933" s="5"/>
      <c r="AR933" s="5"/>
      <c r="AS933" s="5"/>
      <c r="AT933" s="5"/>
      <c r="AU933" s="5"/>
      <c r="AV933" s="5"/>
      <c r="AW933" s="5"/>
      <c r="AX933" s="5"/>
      <c r="AY933" s="5"/>
    </row>
    <row r="934" spans="1:51" s="55" customFormat="1">
      <c r="A934" s="5"/>
      <c r="B934" s="5"/>
      <c r="C934" s="20"/>
      <c r="D934" s="9"/>
      <c r="F934" s="29"/>
      <c r="G934" s="5"/>
      <c r="H934" s="20"/>
      <c r="I934" s="5"/>
      <c r="J934" s="5"/>
      <c r="K934" s="5"/>
      <c r="L934" s="5"/>
      <c r="M934" s="5"/>
      <c r="N934" s="5"/>
      <c r="O934" s="5"/>
      <c r="S934" s="5"/>
      <c r="T934" s="5"/>
      <c r="U934" s="5"/>
      <c r="V934" s="5"/>
      <c r="W934" s="3"/>
      <c r="X934" s="5"/>
      <c r="Y934" s="5"/>
      <c r="Z934" s="5"/>
      <c r="AA934" s="5"/>
      <c r="AB934" s="5"/>
      <c r="AC934" s="5"/>
      <c r="AD934" s="5"/>
      <c r="AE934" s="5"/>
      <c r="AF934" s="5"/>
      <c r="AG934" s="5"/>
      <c r="AH934" s="5"/>
      <c r="AI934" s="5"/>
      <c r="AJ934" s="5"/>
      <c r="AK934" s="5"/>
      <c r="AL934" s="5"/>
      <c r="AM934" s="5"/>
      <c r="AN934" s="5"/>
      <c r="AO934" s="5"/>
      <c r="AP934" s="5"/>
      <c r="AQ934" s="5"/>
      <c r="AR934" s="5"/>
      <c r="AS934" s="5"/>
      <c r="AT934" s="5"/>
      <c r="AU934" s="5"/>
      <c r="AV934" s="5"/>
      <c r="AW934" s="5"/>
      <c r="AX934" s="5"/>
      <c r="AY934" s="5"/>
    </row>
    <row r="935" spans="1:51" s="55" customFormat="1">
      <c r="A935" s="5"/>
      <c r="B935" s="5"/>
      <c r="C935" s="20"/>
      <c r="D935" s="9"/>
      <c r="F935" s="29"/>
      <c r="G935" s="5"/>
      <c r="H935" s="20"/>
      <c r="I935" s="5"/>
      <c r="J935" s="5"/>
      <c r="K935" s="5"/>
      <c r="L935" s="5"/>
      <c r="M935" s="5"/>
      <c r="N935" s="5"/>
      <c r="O935" s="5"/>
      <c r="S935" s="5"/>
      <c r="T935" s="5"/>
      <c r="U935" s="5"/>
      <c r="V935" s="5"/>
      <c r="W935" s="3"/>
      <c r="X935" s="5"/>
      <c r="Y935" s="5"/>
      <c r="Z935" s="5"/>
      <c r="AA935" s="5"/>
      <c r="AB935" s="5"/>
      <c r="AC935" s="5"/>
      <c r="AD935" s="5"/>
      <c r="AE935" s="5"/>
      <c r="AF935" s="5"/>
      <c r="AG935" s="5"/>
      <c r="AH935" s="5"/>
      <c r="AI935" s="5"/>
      <c r="AJ935" s="5"/>
      <c r="AK935" s="5"/>
      <c r="AL935" s="5"/>
      <c r="AM935" s="5"/>
      <c r="AN935" s="5"/>
      <c r="AO935" s="5"/>
      <c r="AP935" s="5"/>
      <c r="AQ935" s="5"/>
      <c r="AR935" s="5"/>
      <c r="AS935" s="5"/>
      <c r="AT935" s="5"/>
      <c r="AU935" s="5"/>
      <c r="AV935" s="5"/>
      <c r="AW935" s="5"/>
      <c r="AX935" s="5"/>
      <c r="AY935" s="5"/>
    </row>
    <row r="936" spans="1:51" s="55" customFormat="1">
      <c r="A936" s="5"/>
      <c r="B936" s="5"/>
      <c r="C936" s="20"/>
      <c r="D936" s="9"/>
      <c r="F936" s="29"/>
      <c r="G936" s="5"/>
      <c r="H936" s="20"/>
      <c r="I936" s="5"/>
      <c r="J936" s="5"/>
      <c r="K936" s="5"/>
      <c r="L936" s="5"/>
      <c r="M936" s="5"/>
      <c r="N936" s="5"/>
      <c r="O936" s="5"/>
      <c r="S936" s="5"/>
      <c r="T936" s="5"/>
      <c r="U936" s="5"/>
      <c r="V936" s="5"/>
      <c r="W936" s="3"/>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c r="AX936" s="5"/>
      <c r="AY936" s="5"/>
    </row>
    <row r="937" spans="1:51" s="55" customFormat="1">
      <c r="A937" s="5"/>
      <c r="B937" s="5"/>
      <c r="C937" s="20"/>
      <c r="D937" s="9"/>
      <c r="F937" s="29"/>
      <c r="G937" s="5"/>
      <c r="H937" s="20"/>
      <c r="I937" s="5"/>
      <c r="J937" s="5"/>
      <c r="K937" s="5"/>
      <c r="L937" s="5"/>
      <c r="M937" s="5"/>
      <c r="N937" s="5"/>
      <c r="O937" s="5"/>
      <c r="S937" s="5"/>
      <c r="T937" s="5"/>
      <c r="U937" s="5"/>
      <c r="V937" s="5"/>
      <c r="W937" s="3"/>
      <c r="X937" s="5"/>
      <c r="Y937" s="5"/>
      <c r="Z937" s="5"/>
      <c r="AA937" s="5"/>
      <c r="AB937" s="5"/>
      <c r="AC937" s="5"/>
      <c r="AD937" s="5"/>
      <c r="AE937" s="5"/>
      <c r="AF937" s="5"/>
      <c r="AG937" s="5"/>
      <c r="AH937" s="5"/>
      <c r="AI937" s="5"/>
      <c r="AJ937" s="5"/>
      <c r="AK937" s="5"/>
      <c r="AL937" s="5"/>
      <c r="AM937" s="5"/>
      <c r="AN937" s="5"/>
      <c r="AO937" s="5"/>
      <c r="AP937" s="5"/>
      <c r="AQ937" s="5"/>
      <c r="AR937" s="5"/>
      <c r="AS937" s="5"/>
      <c r="AT937" s="5"/>
      <c r="AU937" s="5"/>
      <c r="AV937" s="5"/>
      <c r="AW937" s="5"/>
      <c r="AX937" s="5"/>
      <c r="AY937" s="5"/>
    </row>
    <row r="938" spans="1:51" s="55" customFormat="1">
      <c r="A938" s="5"/>
      <c r="B938" s="5"/>
      <c r="C938" s="20"/>
      <c r="D938" s="9"/>
      <c r="F938" s="29"/>
      <c r="G938" s="5"/>
      <c r="H938" s="20"/>
      <c r="I938" s="5"/>
      <c r="J938" s="5"/>
      <c r="K938" s="5"/>
      <c r="L938" s="5"/>
      <c r="M938" s="5"/>
      <c r="N938" s="5"/>
      <c r="O938" s="5"/>
      <c r="S938" s="5"/>
      <c r="T938" s="5"/>
      <c r="U938" s="5"/>
      <c r="V938" s="5"/>
      <c r="W938" s="3"/>
      <c r="X938" s="5"/>
      <c r="Y938" s="5"/>
      <c r="Z938" s="5"/>
      <c r="AA938" s="5"/>
      <c r="AB938" s="5"/>
      <c r="AC938" s="5"/>
      <c r="AD938" s="5"/>
      <c r="AE938" s="5"/>
      <c r="AF938" s="5"/>
      <c r="AG938" s="5"/>
      <c r="AH938" s="5"/>
      <c r="AI938" s="5"/>
      <c r="AJ938" s="5"/>
      <c r="AK938" s="5"/>
      <c r="AL938" s="5"/>
      <c r="AM938" s="5"/>
      <c r="AN938" s="5"/>
      <c r="AO938" s="5"/>
      <c r="AP938" s="5"/>
      <c r="AQ938" s="5"/>
      <c r="AR938" s="5"/>
      <c r="AS938" s="5"/>
      <c r="AT938" s="5"/>
      <c r="AU938" s="5"/>
      <c r="AV938" s="5"/>
      <c r="AW938" s="5"/>
      <c r="AX938" s="5"/>
      <c r="AY938" s="5"/>
    </row>
    <row r="939" spans="1:51" s="55" customFormat="1">
      <c r="A939" s="5"/>
      <c r="B939" s="5"/>
      <c r="C939" s="20"/>
      <c r="D939" s="9"/>
      <c r="F939" s="29"/>
      <c r="G939" s="5"/>
      <c r="H939" s="20"/>
      <c r="I939" s="5"/>
      <c r="J939" s="5"/>
      <c r="K939" s="5"/>
      <c r="L939" s="5"/>
      <c r="M939" s="5"/>
      <c r="N939" s="5"/>
      <c r="O939" s="5"/>
      <c r="S939" s="5"/>
      <c r="T939" s="5"/>
      <c r="U939" s="5"/>
      <c r="V939" s="5"/>
      <c r="W939" s="3"/>
      <c r="X939" s="5"/>
      <c r="Y939" s="5"/>
      <c r="Z939" s="5"/>
      <c r="AA939" s="5"/>
      <c r="AB939" s="5"/>
      <c r="AC939" s="5"/>
      <c r="AD939" s="5"/>
      <c r="AE939" s="5"/>
      <c r="AF939" s="5"/>
      <c r="AG939" s="5"/>
      <c r="AH939" s="5"/>
      <c r="AI939" s="5"/>
      <c r="AJ939" s="5"/>
      <c r="AK939" s="5"/>
      <c r="AL939" s="5"/>
      <c r="AM939" s="5"/>
      <c r="AN939" s="5"/>
      <c r="AO939" s="5"/>
      <c r="AP939" s="5"/>
      <c r="AQ939" s="5"/>
      <c r="AR939" s="5"/>
      <c r="AS939" s="5"/>
      <c r="AT939" s="5"/>
      <c r="AU939" s="5"/>
      <c r="AV939" s="5"/>
      <c r="AW939" s="5"/>
      <c r="AX939" s="5"/>
      <c r="AY939" s="5"/>
    </row>
    <row r="940" spans="1:51" s="55" customFormat="1">
      <c r="A940" s="5"/>
      <c r="B940" s="5"/>
      <c r="C940" s="20"/>
      <c r="D940" s="9"/>
      <c r="F940" s="29"/>
      <c r="G940" s="5"/>
      <c r="H940" s="20"/>
      <c r="I940" s="5"/>
      <c r="J940" s="5"/>
      <c r="K940" s="5"/>
      <c r="L940" s="5"/>
      <c r="M940" s="5"/>
      <c r="N940" s="5"/>
      <c r="O940" s="5"/>
      <c r="S940" s="5"/>
      <c r="T940" s="5"/>
      <c r="U940" s="5"/>
      <c r="V940" s="5"/>
      <c r="W940" s="3"/>
      <c r="X940" s="5"/>
      <c r="Y940" s="5"/>
      <c r="Z940" s="5"/>
      <c r="AA940" s="5"/>
      <c r="AB940" s="5"/>
      <c r="AC940" s="5"/>
      <c r="AD940" s="5"/>
      <c r="AE940" s="5"/>
      <c r="AF940" s="5"/>
      <c r="AG940" s="5"/>
      <c r="AH940" s="5"/>
      <c r="AI940" s="5"/>
      <c r="AJ940" s="5"/>
      <c r="AK940" s="5"/>
      <c r="AL940" s="5"/>
      <c r="AM940" s="5"/>
      <c r="AN940" s="5"/>
      <c r="AO940" s="5"/>
      <c r="AP940" s="5"/>
      <c r="AQ940" s="5"/>
      <c r="AR940" s="5"/>
      <c r="AS940" s="5"/>
      <c r="AT940" s="5"/>
      <c r="AU940" s="5"/>
      <c r="AV940" s="5"/>
      <c r="AW940" s="5"/>
      <c r="AX940" s="5"/>
      <c r="AY940" s="5"/>
    </row>
    <row r="941" spans="1:51" s="55" customFormat="1">
      <c r="A941" s="5"/>
      <c r="B941" s="5"/>
      <c r="C941" s="20"/>
      <c r="D941" s="9"/>
      <c r="F941" s="29"/>
      <c r="G941" s="5"/>
      <c r="H941" s="20"/>
      <c r="I941" s="5"/>
      <c r="J941" s="5"/>
      <c r="K941" s="5"/>
      <c r="L941" s="5"/>
      <c r="M941" s="5"/>
      <c r="N941" s="5"/>
      <c r="O941" s="5"/>
      <c r="S941" s="5"/>
      <c r="T941" s="5"/>
      <c r="U941" s="5"/>
      <c r="V941" s="5"/>
      <c r="W941" s="3"/>
      <c r="X941" s="5"/>
      <c r="Y941" s="5"/>
      <c r="Z941" s="5"/>
      <c r="AA941" s="5"/>
      <c r="AB941" s="5"/>
      <c r="AC941" s="5"/>
      <c r="AD941" s="5"/>
      <c r="AE941" s="5"/>
      <c r="AF941" s="5"/>
      <c r="AG941" s="5"/>
      <c r="AH941" s="5"/>
      <c r="AI941" s="5"/>
      <c r="AJ941" s="5"/>
      <c r="AK941" s="5"/>
      <c r="AL941" s="5"/>
      <c r="AM941" s="5"/>
      <c r="AN941" s="5"/>
      <c r="AO941" s="5"/>
      <c r="AP941" s="5"/>
      <c r="AQ941" s="5"/>
      <c r="AR941" s="5"/>
      <c r="AS941" s="5"/>
      <c r="AT941" s="5"/>
      <c r="AU941" s="5"/>
      <c r="AV941" s="5"/>
      <c r="AW941" s="5"/>
      <c r="AX941" s="5"/>
      <c r="AY941" s="5"/>
    </row>
    <row r="942" spans="1:51" s="55" customFormat="1">
      <c r="A942" s="5"/>
      <c r="B942" s="5"/>
      <c r="C942" s="20"/>
      <c r="D942" s="9"/>
      <c r="F942" s="29"/>
      <c r="G942" s="5"/>
      <c r="H942" s="20"/>
      <c r="I942" s="5"/>
      <c r="J942" s="5"/>
      <c r="K942" s="5"/>
      <c r="L942" s="5"/>
      <c r="M942" s="5"/>
      <c r="N942" s="5"/>
      <c r="O942" s="5"/>
      <c r="S942" s="5"/>
      <c r="T942" s="5"/>
      <c r="U942" s="5"/>
      <c r="V942" s="5"/>
      <c r="W942" s="3"/>
      <c r="X942" s="5"/>
      <c r="Y942" s="5"/>
      <c r="Z942" s="5"/>
      <c r="AA942" s="5"/>
      <c r="AB942" s="5"/>
      <c r="AC942" s="5"/>
      <c r="AD942" s="5"/>
      <c r="AE942" s="5"/>
      <c r="AF942" s="5"/>
      <c r="AG942" s="5"/>
      <c r="AH942" s="5"/>
      <c r="AI942" s="5"/>
      <c r="AJ942" s="5"/>
      <c r="AK942" s="5"/>
      <c r="AL942" s="5"/>
      <c r="AM942" s="5"/>
      <c r="AN942" s="5"/>
      <c r="AO942" s="5"/>
      <c r="AP942" s="5"/>
      <c r="AQ942" s="5"/>
      <c r="AR942" s="5"/>
      <c r="AS942" s="5"/>
      <c r="AT942" s="5"/>
      <c r="AU942" s="5"/>
      <c r="AV942" s="5"/>
      <c r="AW942" s="5"/>
      <c r="AX942" s="5"/>
      <c r="AY942" s="5"/>
    </row>
    <row r="943" spans="1:51" s="55" customFormat="1">
      <c r="A943" s="5"/>
      <c r="B943" s="5"/>
      <c r="C943" s="20"/>
      <c r="D943" s="9"/>
      <c r="F943" s="29"/>
      <c r="G943" s="5"/>
      <c r="H943" s="20"/>
      <c r="I943" s="5"/>
      <c r="J943" s="5"/>
      <c r="K943" s="5"/>
      <c r="L943" s="5"/>
      <c r="M943" s="5"/>
      <c r="N943" s="5"/>
      <c r="O943" s="5"/>
      <c r="S943" s="5"/>
      <c r="T943" s="5"/>
      <c r="U943" s="5"/>
      <c r="V943" s="5"/>
      <c r="W943" s="3"/>
      <c r="X943" s="5"/>
      <c r="Y943" s="5"/>
      <c r="Z943" s="5"/>
      <c r="AA943" s="5"/>
      <c r="AB943" s="5"/>
      <c r="AC943" s="5"/>
      <c r="AD943" s="5"/>
      <c r="AE943" s="5"/>
      <c r="AF943" s="5"/>
      <c r="AG943" s="5"/>
      <c r="AH943" s="5"/>
      <c r="AI943" s="5"/>
      <c r="AJ943" s="5"/>
      <c r="AK943" s="5"/>
      <c r="AL943" s="5"/>
      <c r="AM943" s="5"/>
      <c r="AN943" s="5"/>
      <c r="AO943" s="5"/>
      <c r="AP943" s="5"/>
      <c r="AQ943" s="5"/>
      <c r="AR943" s="5"/>
      <c r="AS943" s="5"/>
      <c r="AT943" s="5"/>
      <c r="AU943" s="5"/>
      <c r="AV943" s="5"/>
      <c r="AW943" s="5"/>
      <c r="AX943" s="5"/>
      <c r="AY943" s="5"/>
    </row>
    <row r="944" spans="1:51" s="55" customFormat="1">
      <c r="A944" s="5"/>
      <c r="B944" s="5"/>
      <c r="C944" s="20"/>
      <c r="D944" s="9"/>
      <c r="F944" s="29"/>
      <c r="G944" s="5"/>
      <c r="H944" s="20"/>
      <c r="I944" s="5"/>
      <c r="J944" s="5"/>
      <c r="K944" s="5"/>
      <c r="L944" s="5"/>
      <c r="M944" s="5"/>
      <c r="N944" s="5"/>
      <c r="O944" s="5"/>
      <c r="S944" s="5"/>
      <c r="T944" s="5"/>
      <c r="U944" s="5"/>
      <c r="V944" s="5"/>
      <c r="W944" s="3"/>
      <c r="X944" s="5"/>
      <c r="Y944" s="5"/>
      <c r="Z944" s="5"/>
      <c r="AA944" s="5"/>
      <c r="AB944" s="5"/>
      <c r="AC944" s="5"/>
      <c r="AD944" s="5"/>
      <c r="AE944" s="5"/>
      <c r="AF944" s="5"/>
      <c r="AG944" s="5"/>
      <c r="AH944" s="5"/>
      <c r="AI944" s="5"/>
      <c r="AJ944" s="5"/>
      <c r="AK944" s="5"/>
      <c r="AL944" s="5"/>
      <c r="AM944" s="5"/>
      <c r="AN944" s="5"/>
      <c r="AO944" s="5"/>
      <c r="AP944" s="5"/>
      <c r="AQ944" s="5"/>
      <c r="AR944" s="5"/>
      <c r="AS944" s="5"/>
      <c r="AT944" s="5"/>
      <c r="AU944" s="5"/>
      <c r="AV944" s="5"/>
      <c r="AW944" s="5"/>
      <c r="AX944" s="5"/>
      <c r="AY944" s="5"/>
    </row>
    <row r="945" spans="1:51" s="55" customFormat="1">
      <c r="A945" s="5"/>
      <c r="B945" s="5"/>
      <c r="C945" s="20"/>
      <c r="D945" s="9"/>
      <c r="F945" s="29"/>
      <c r="G945" s="5"/>
      <c r="H945" s="20"/>
      <c r="I945" s="5"/>
      <c r="J945" s="5"/>
      <c r="K945" s="5"/>
      <c r="L945" s="5"/>
      <c r="M945" s="5"/>
      <c r="N945" s="5"/>
      <c r="O945" s="5"/>
      <c r="S945" s="5"/>
      <c r="T945" s="5"/>
      <c r="U945" s="5"/>
      <c r="V945" s="5"/>
      <c r="W945" s="3"/>
      <c r="X945" s="5"/>
      <c r="Y945" s="5"/>
      <c r="Z945" s="5"/>
      <c r="AA945" s="5"/>
      <c r="AB945" s="5"/>
      <c r="AC945" s="5"/>
      <c r="AD945" s="5"/>
      <c r="AE945" s="5"/>
      <c r="AF945" s="5"/>
      <c r="AG945" s="5"/>
      <c r="AH945" s="5"/>
      <c r="AI945" s="5"/>
      <c r="AJ945" s="5"/>
      <c r="AK945" s="5"/>
      <c r="AL945" s="5"/>
      <c r="AM945" s="5"/>
      <c r="AN945" s="5"/>
      <c r="AO945" s="5"/>
      <c r="AP945" s="5"/>
      <c r="AQ945" s="5"/>
      <c r="AR945" s="5"/>
      <c r="AS945" s="5"/>
      <c r="AT945" s="5"/>
      <c r="AU945" s="5"/>
      <c r="AV945" s="5"/>
      <c r="AW945" s="5"/>
      <c r="AX945" s="5"/>
      <c r="AY945" s="5"/>
    </row>
    <row r="946" spans="1:51" s="55" customFormat="1">
      <c r="A946" s="5"/>
      <c r="B946" s="5"/>
      <c r="C946" s="20"/>
      <c r="D946" s="9"/>
      <c r="F946" s="29"/>
      <c r="G946" s="5"/>
      <c r="H946" s="20"/>
      <c r="I946" s="5"/>
      <c r="J946" s="5"/>
      <c r="K946" s="5"/>
      <c r="L946" s="5"/>
      <c r="M946" s="5"/>
      <c r="N946" s="5"/>
      <c r="O946" s="5"/>
      <c r="S946" s="5"/>
      <c r="T946" s="5"/>
      <c r="U946" s="5"/>
      <c r="V946" s="5"/>
      <c r="W946" s="3"/>
      <c r="X946" s="5"/>
      <c r="Y946" s="5"/>
      <c r="Z946" s="5"/>
      <c r="AA946" s="5"/>
      <c r="AB946" s="5"/>
      <c r="AC946" s="5"/>
      <c r="AD946" s="5"/>
      <c r="AE946" s="5"/>
      <c r="AF946" s="5"/>
      <c r="AG946" s="5"/>
      <c r="AH946" s="5"/>
      <c r="AI946" s="5"/>
      <c r="AJ946" s="5"/>
      <c r="AK946" s="5"/>
      <c r="AL946" s="5"/>
      <c r="AM946" s="5"/>
      <c r="AN946" s="5"/>
      <c r="AO946" s="5"/>
      <c r="AP946" s="5"/>
      <c r="AQ946" s="5"/>
      <c r="AR946" s="5"/>
      <c r="AS946" s="5"/>
      <c r="AT946" s="5"/>
      <c r="AU946" s="5"/>
      <c r="AV946" s="5"/>
      <c r="AW946" s="5"/>
      <c r="AX946" s="5"/>
      <c r="AY946" s="5"/>
    </row>
    <row r="947" spans="1:51" s="55" customFormat="1">
      <c r="A947" s="5"/>
      <c r="B947" s="5"/>
      <c r="C947" s="20"/>
      <c r="D947" s="9"/>
      <c r="F947" s="29"/>
      <c r="G947" s="5"/>
      <c r="H947" s="20"/>
      <c r="I947" s="5"/>
      <c r="J947" s="5"/>
      <c r="K947" s="5"/>
      <c r="L947" s="5"/>
      <c r="M947" s="5"/>
      <c r="N947" s="5"/>
      <c r="O947" s="5"/>
      <c r="S947" s="5"/>
      <c r="T947" s="5"/>
      <c r="U947" s="5"/>
      <c r="V947" s="5"/>
      <c r="W947" s="3"/>
      <c r="X947" s="5"/>
      <c r="Y947" s="5"/>
      <c r="Z947" s="5"/>
      <c r="AA947" s="5"/>
      <c r="AB947" s="5"/>
      <c r="AC947" s="5"/>
      <c r="AD947" s="5"/>
      <c r="AE947" s="5"/>
      <c r="AF947" s="5"/>
      <c r="AG947" s="5"/>
      <c r="AH947" s="5"/>
      <c r="AI947" s="5"/>
      <c r="AJ947" s="5"/>
      <c r="AK947" s="5"/>
      <c r="AL947" s="5"/>
      <c r="AM947" s="5"/>
      <c r="AN947" s="5"/>
      <c r="AO947" s="5"/>
      <c r="AP947" s="5"/>
      <c r="AQ947" s="5"/>
      <c r="AR947" s="5"/>
      <c r="AS947" s="5"/>
      <c r="AT947" s="5"/>
      <c r="AU947" s="5"/>
      <c r="AV947" s="5"/>
      <c r="AW947" s="5"/>
      <c r="AX947" s="5"/>
      <c r="AY947" s="5"/>
    </row>
    <row r="948" spans="1:51" s="55" customFormat="1">
      <c r="A948" s="5"/>
      <c r="B948" s="5"/>
      <c r="C948" s="20"/>
      <c r="D948" s="9"/>
      <c r="F948" s="29"/>
      <c r="G948" s="5"/>
      <c r="H948" s="20"/>
      <c r="I948" s="5"/>
      <c r="J948" s="5"/>
      <c r="K948" s="5"/>
      <c r="L948" s="5"/>
      <c r="M948" s="5"/>
      <c r="N948" s="5"/>
      <c r="O948" s="5"/>
      <c r="S948" s="5"/>
      <c r="T948" s="5"/>
      <c r="U948" s="5"/>
      <c r="V948" s="5"/>
      <c r="W948" s="3"/>
      <c r="X948" s="5"/>
      <c r="Y948" s="5"/>
      <c r="Z948" s="5"/>
      <c r="AA948" s="5"/>
      <c r="AB948" s="5"/>
      <c r="AC948" s="5"/>
      <c r="AD948" s="5"/>
      <c r="AE948" s="5"/>
      <c r="AF948" s="5"/>
      <c r="AG948" s="5"/>
      <c r="AH948" s="5"/>
      <c r="AI948" s="5"/>
      <c r="AJ948" s="5"/>
      <c r="AK948" s="5"/>
      <c r="AL948" s="5"/>
      <c r="AM948" s="5"/>
      <c r="AN948" s="5"/>
      <c r="AO948" s="5"/>
      <c r="AP948" s="5"/>
      <c r="AQ948" s="5"/>
      <c r="AR948" s="5"/>
      <c r="AS948" s="5"/>
      <c r="AT948" s="5"/>
      <c r="AU948" s="5"/>
      <c r="AV948" s="5"/>
      <c r="AW948" s="5"/>
      <c r="AX948" s="5"/>
      <c r="AY948" s="5"/>
    </row>
    <row r="949" spans="1:51" s="55" customFormat="1">
      <c r="A949" s="5"/>
      <c r="B949" s="5"/>
      <c r="C949" s="20"/>
      <c r="D949" s="9"/>
      <c r="F949" s="29"/>
      <c r="G949" s="5"/>
      <c r="H949" s="20"/>
      <c r="I949" s="5"/>
      <c r="J949" s="5"/>
      <c r="K949" s="5"/>
      <c r="L949" s="5"/>
      <c r="M949" s="5"/>
      <c r="N949" s="5"/>
      <c r="O949" s="5"/>
      <c r="S949" s="5"/>
      <c r="T949" s="5"/>
      <c r="U949" s="5"/>
      <c r="V949" s="5"/>
      <c r="W949" s="3"/>
      <c r="X949" s="5"/>
      <c r="Y949" s="5"/>
      <c r="Z949" s="5"/>
      <c r="AA949" s="5"/>
      <c r="AB949" s="5"/>
      <c r="AC949" s="5"/>
      <c r="AD949" s="5"/>
      <c r="AE949" s="5"/>
      <c r="AF949" s="5"/>
      <c r="AG949" s="5"/>
      <c r="AH949" s="5"/>
      <c r="AI949" s="5"/>
      <c r="AJ949" s="5"/>
      <c r="AK949" s="5"/>
      <c r="AL949" s="5"/>
      <c r="AM949" s="5"/>
      <c r="AN949" s="5"/>
      <c r="AO949" s="5"/>
      <c r="AP949" s="5"/>
      <c r="AQ949" s="5"/>
      <c r="AR949" s="5"/>
      <c r="AS949" s="5"/>
      <c r="AT949" s="5"/>
      <c r="AU949" s="5"/>
      <c r="AV949" s="5"/>
      <c r="AW949" s="5"/>
      <c r="AX949" s="5"/>
      <c r="AY949" s="5"/>
    </row>
    <row r="950" spans="1:51" s="55" customFormat="1">
      <c r="A950" s="5"/>
      <c r="B950" s="5"/>
      <c r="C950" s="20"/>
      <c r="D950" s="9"/>
      <c r="F950" s="29"/>
      <c r="G950" s="5"/>
      <c r="H950" s="20"/>
      <c r="I950" s="5"/>
      <c r="J950" s="5"/>
      <c r="K950" s="5"/>
      <c r="L950" s="5"/>
      <c r="M950" s="5"/>
      <c r="N950" s="5"/>
      <c r="O950" s="5"/>
      <c r="S950" s="5"/>
      <c r="T950" s="5"/>
      <c r="U950" s="5"/>
      <c r="V950" s="5"/>
      <c r="W950" s="3"/>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c r="AX950" s="5"/>
      <c r="AY950" s="5"/>
    </row>
    <row r="951" spans="1:51" s="55" customFormat="1">
      <c r="A951" s="5"/>
      <c r="B951" s="5"/>
      <c r="C951" s="20"/>
      <c r="D951" s="9"/>
      <c r="F951" s="29"/>
      <c r="G951" s="5"/>
      <c r="H951" s="20"/>
      <c r="I951" s="5"/>
      <c r="J951" s="5"/>
      <c r="K951" s="5"/>
      <c r="L951" s="5"/>
      <c r="M951" s="5"/>
      <c r="N951" s="5"/>
      <c r="O951" s="5"/>
      <c r="S951" s="5"/>
      <c r="T951" s="5"/>
      <c r="U951" s="5"/>
      <c r="V951" s="5"/>
      <c r="W951" s="3"/>
      <c r="X951" s="5"/>
      <c r="Y951" s="5"/>
      <c r="Z951" s="5"/>
      <c r="AA951" s="5"/>
      <c r="AB951" s="5"/>
      <c r="AC951" s="5"/>
      <c r="AD951" s="5"/>
      <c r="AE951" s="5"/>
      <c r="AF951" s="5"/>
      <c r="AG951" s="5"/>
      <c r="AH951" s="5"/>
      <c r="AI951" s="5"/>
      <c r="AJ951" s="5"/>
      <c r="AK951" s="5"/>
      <c r="AL951" s="5"/>
      <c r="AM951" s="5"/>
      <c r="AN951" s="5"/>
      <c r="AO951" s="5"/>
      <c r="AP951" s="5"/>
      <c r="AQ951" s="5"/>
      <c r="AR951" s="5"/>
      <c r="AS951" s="5"/>
      <c r="AT951" s="5"/>
      <c r="AU951" s="5"/>
      <c r="AV951" s="5"/>
      <c r="AW951" s="5"/>
      <c r="AX951" s="5"/>
      <c r="AY951" s="5"/>
    </row>
    <row r="952" spans="1:51" s="55" customFormat="1">
      <c r="A952" s="5"/>
      <c r="B952" s="5"/>
      <c r="C952" s="20"/>
      <c r="D952" s="9"/>
      <c r="F952" s="29"/>
      <c r="G952" s="5"/>
      <c r="H952" s="20"/>
      <c r="I952" s="5"/>
      <c r="J952" s="5"/>
      <c r="K952" s="5"/>
      <c r="L952" s="5"/>
      <c r="M952" s="5"/>
      <c r="N952" s="5"/>
      <c r="O952" s="5"/>
      <c r="S952" s="5"/>
      <c r="T952" s="5"/>
      <c r="U952" s="5"/>
      <c r="V952" s="5"/>
      <c r="W952" s="3"/>
      <c r="X952" s="5"/>
      <c r="Y952" s="5"/>
      <c r="Z952" s="5"/>
      <c r="AA952" s="5"/>
      <c r="AB952" s="5"/>
      <c r="AC952" s="5"/>
      <c r="AD952" s="5"/>
      <c r="AE952" s="5"/>
      <c r="AF952" s="5"/>
      <c r="AG952" s="5"/>
      <c r="AH952" s="5"/>
      <c r="AI952" s="5"/>
      <c r="AJ952" s="5"/>
      <c r="AK952" s="5"/>
      <c r="AL952" s="5"/>
      <c r="AM952" s="5"/>
      <c r="AN952" s="5"/>
      <c r="AO952" s="5"/>
      <c r="AP952" s="5"/>
      <c r="AQ952" s="5"/>
      <c r="AR952" s="5"/>
      <c r="AS952" s="5"/>
      <c r="AT952" s="5"/>
      <c r="AU952" s="5"/>
      <c r="AV952" s="5"/>
      <c r="AW952" s="5"/>
      <c r="AX952" s="5"/>
      <c r="AY952" s="5"/>
    </row>
    <row r="953" spans="1:51" s="55" customFormat="1">
      <c r="A953" s="5"/>
      <c r="B953" s="5"/>
      <c r="C953" s="20"/>
      <c r="D953" s="9"/>
      <c r="F953" s="29"/>
      <c r="G953" s="5"/>
      <c r="H953" s="20"/>
      <c r="I953" s="5"/>
      <c r="J953" s="5"/>
      <c r="K953" s="5"/>
      <c r="L953" s="5"/>
      <c r="M953" s="5"/>
      <c r="N953" s="5"/>
      <c r="O953" s="5"/>
      <c r="S953" s="5"/>
      <c r="T953" s="5"/>
      <c r="U953" s="5"/>
      <c r="V953" s="5"/>
      <c r="W953" s="3"/>
      <c r="X953" s="5"/>
      <c r="Y953" s="5"/>
      <c r="Z953" s="5"/>
      <c r="AA953" s="5"/>
      <c r="AB953" s="5"/>
      <c r="AC953" s="5"/>
      <c r="AD953" s="5"/>
      <c r="AE953" s="5"/>
      <c r="AF953" s="5"/>
      <c r="AG953" s="5"/>
      <c r="AH953" s="5"/>
      <c r="AI953" s="5"/>
      <c r="AJ953" s="5"/>
      <c r="AK953" s="5"/>
      <c r="AL953" s="5"/>
      <c r="AM953" s="5"/>
      <c r="AN953" s="5"/>
      <c r="AO953" s="5"/>
      <c r="AP953" s="5"/>
      <c r="AQ953" s="5"/>
      <c r="AR953" s="5"/>
      <c r="AS953" s="5"/>
      <c r="AT953" s="5"/>
      <c r="AU953" s="5"/>
      <c r="AV953" s="5"/>
      <c r="AW953" s="5"/>
      <c r="AX953" s="5"/>
      <c r="AY953" s="5"/>
    </row>
    <row r="954" spans="1:51" s="55" customFormat="1">
      <c r="A954" s="5"/>
      <c r="B954" s="5"/>
      <c r="C954" s="20"/>
      <c r="D954" s="9"/>
      <c r="F954" s="29"/>
      <c r="G954" s="5"/>
      <c r="H954" s="20"/>
      <c r="I954" s="5"/>
      <c r="J954" s="5"/>
      <c r="K954" s="5"/>
      <c r="L954" s="5"/>
      <c r="M954" s="5"/>
      <c r="N954" s="5"/>
      <c r="O954" s="5"/>
      <c r="S954" s="5"/>
      <c r="T954" s="5"/>
      <c r="U954" s="5"/>
      <c r="V954" s="5"/>
      <c r="W954" s="3"/>
      <c r="X954" s="5"/>
      <c r="Y954" s="5"/>
      <c r="Z954" s="5"/>
      <c r="AA954" s="5"/>
      <c r="AB954" s="5"/>
      <c r="AC954" s="5"/>
      <c r="AD954" s="5"/>
      <c r="AE954" s="5"/>
      <c r="AF954" s="5"/>
      <c r="AG954" s="5"/>
      <c r="AH954" s="5"/>
      <c r="AI954" s="5"/>
      <c r="AJ954" s="5"/>
      <c r="AK954" s="5"/>
      <c r="AL954" s="5"/>
      <c r="AM954" s="5"/>
      <c r="AN954" s="5"/>
      <c r="AO954" s="5"/>
      <c r="AP954" s="5"/>
      <c r="AQ954" s="5"/>
      <c r="AR954" s="5"/>
      <c r="AS954" s="5"/>
      <c r="AT954" s="5"/>
      <c r="AU954" s="5"/>
      <c r="AV954" s="5"/>
      <c r="AW954" s="5"/>
      <c r="AX954" s="5"/>
      <c r="AY954" s="5"/>
    </row>
    <row r="955" spans="1:51" s="55" customFormat="1">
      <c r="A955" s="5"/>
      <c r="B955" s="5"/>
      <c r="C955" s="20"/>
      <c r="D955" s="9"/>
      <c r="F955" s="29"/>
      <c r="G955" s="5"/>
      <c r="H955" s="20"/>
      <c r="I955" s="5"/>
      <c r="J955" s="5"/>
      <c r="K955" s="5"/>
      <c r="L955" s="5"/>
      <c r="M955" s="5"/>
      <c r="N955" s="5"/>
      <c r="O955" s="5"/>
      <c r="S955" s="5"/>
      <c r="T955" s="5"/>
      <c r="U955" s="5"/>
      <c r="V955" s="5"/>
      <c r="W955" s="3"/>
      <c r="X955" s="5"/>
      <c r="Y955" s="5"/>
      <c r="Z955" s="5"/>
      <c r="AA955" s="5"/>
      <c r="AB955" s="5"/>
      <c r="AC955" s="5"/>
      <c r="AD955" s="5"/>
      <c r="AE955" s="5"/>
      <c r="AF955" s="5"/>
      <c r="AG955" s="5"/>
      <c r="AH955" s="5"/>
      <c r="AI955" s="5"/>
      <c r="AJ955" s="5"/>
      <c r="AK955" s="5"/>
      <c r="AL955" s="5"/>
      <c r="AM955" s="5"/>
      <c r="AN955" s="5"/>
      <c r="AO955" s="5"/>
      <c r="AP955" s="5"/>
      <c r="AQ955" s="5"/>
      <c r="AR955" s="5"/>
      <c r="AS955" s="5"/>
      <c r="AT955" s="5"/>
      <c r="AU955" s="5"/>
      <c r="AV955" s="5"/>
      <c r="AW955" s="5"/>
      <c r="AX955" s="5"/>
      <c r="AY955" s="5"/>
    </row>
    <row r="956" spans="1:51" s="55" customFormat="1">
      <c r="A956" s="5"/>
      <c r="B956" s="5"/>
      <c r="C956" s="20"/>
      <c r="D956" s="9"/>
      <c r="F956" s="29"/>
      <c r="G956" s="5"/>
      <c r="H956" s="20"/>
      <c r="I956" s="5"/>
      <c r="J956" s="5"/>
      <c r="K956" s="5"/>
      <c r="L956" s="5"/>
      <c r="M956" s="5"/>
      <c r="N956" s="5"/>
      <c r="O956" s="5"/>
      <c r="S956" s="5"/>
      <c r="T956" s="5"/>
      <c r="U956" s="5"/>
      <c r="V956" s="5"/>
      <c r="W956" s="3"/>
      <c r="X956" s="5"/>
      <c r="Y956" s="5"/>
      <c r="Z956" s="5"/>
      <c r="AA956" s="5"/>
      <c r="AB956" s="5"/>
      <c r="AC956" s="5"/>
      <c r="AD956" s="5"/>
      <c r="AE956" s="5"/>
      <c r="AF956" s="5"/>
      <c r="AG956" s="5"/>
      <c r="AH956" s="5"/>
      <c r="AI956" s="5"/>
      <c r="AJ956" s="5"/>
      <c r="AK956" s="5"/>
      <c r="AL956" s="5"/>
      <c r="AM956" s="5"/>
      <c r="AN956" s="5"/>
      <c r="AO956" s="5"/>
      <c r="AP956" s="5"/>
      <c r="AQ956" s="5"/>
      <c r="AR956" s="5"/>
      <c r="AS956" s="5"/>
      <c r="AT956" s="5"/>
      <c r="AU956" s="5"/>
      <c r="AV956" s="5"/>
      <c r="AW956" s="5"/>
      <c r="AX956" s="5"/>
      <c r="AY956" s="5"/>
    </row>
    <row r="957" spans="1:51" s="55" customFormat="1">
      <c r="A957" s="5"/>
      <c r="B957" s="5"/>
      <c r="C957" s="20"/>
      <c r="D957" s="9"/>
      <c r="F957" s="29"/>
      <c r="G957" s="5"/>
      <c r="H957" s="20"/>
      <c r="I957" s="5"/>
      <c r="J957" s="5"/>
      <c r="K957" s="5"/>
      <c r="L957" s="5"/>
      <c r="M957" s="5"/>
      <c r="N957" s="5"/>
      <c r="O957" s="5"/>
      <c r="S957" s="5"/>
      <c r="T957" s="5"/>
      <c r="U957" s="5"/>
      <c r="V957" s="5"/>
      <c r="W957" s="3"/>
      <c r="X957" s="5"/>
      <c r="Y957" s="5"/>
      <c r="Z957" s="5"/>
      <c r="AA957" s="5"/>
      <c r="AB957" s="5"/>
      <c r="AC957" s="5"/>
      <c r="AD957" s="5"/>
      <c r="AE957" s="5"/>
      <c r="AF957" s="5"/>
      <c r="AG957" s="5"/>
      <c r="AH957" s="5"/>
      <c r="AI957" s="5"/>
      <c r="AJ957" s="5"/>
      <c r="AK957" s="5"/>
      <c r="AL957" s="5"/>
      <c r="AM957" s="5"/>
      <c r="AN957" s="5"/>
      <c r="AO957" s="5"/>
      <c r="AP957" s="5"/>
      <c r="AQ957" s="5"/>
      <c r="AR957" s="5"/>
      <c r="AS957" s="5"/>
      <c r="AT957" s="5"/>
      <c r="AU957" s="5"/>
      <c r="AV957" s="5"/>
      <c r="AW957" s="5"/>
      <c r="AX957" s="5"/>
      <c r="AY957" s="5"/>
    </row>
    <row r="958" spans="1:51" s="55" customFormat="1">
      <c r="A958" s="5"/>
      <c r="B958" s="5"/>
      <c r="C958" s="20"/>
      <c r="D958" s="9"/>
      <c r="F958" s="29"/>
      <c r="G958" s="5"/>
      <c r="H958" s="20"/>
      <c r="I958" s="5"/>
      <c r="J958" s="5"/>
      <c r="K958" s="5"/>
      <c r="L958" s="5"/>
      <c r="M958" s="5"/>
      <c r="N958" s="5"/>
      <c r="O958" s="5"/>
      <c r="S958" s="5"/>
      <c r="T958" s="5"/>
      <c r="U958" s="5"/>
      <c r="V958" s="5"/>
      <c r="W958" s="3"/>
      <c r="X958" s="5"/>
      <c r="Y958" s="5"/>
      <c r="Z958" s="5"/>
      <c r="AA958" s="5"/>
      <c r="AB958" s="5"/>
      <c r="AC958" s="5"/>
      <c r="AD958" s="5"/>
      <c r="AE958" s="5"/>
      <c r="AF958" s="5"/>
      <c r="AG958" s="5"/>
      <c r="AH958" s="5"/>
      <c r="AI958" s="5"/>
      <c r="AJ958" s="5"/>
      <c r="AK958" s="5"/>
      <c r="AL958" s="5"/>
      <c r="AM958" s="5"/>
      <c r="AN958" s="5"/>
      <c r="AO958" s="5"/>
      <c r="AP958" s="5"/>
      <c r="AQ958" s="5"/>
      <c r="AR958" s="5"/>
      <c r="AS958" s="5"/>
      <c r="AT958" s="5"/>
      <c r="AU958" s="5"/>
      <c r="AV958" s="5"/>
      <c r="AW958" s="5"/>
      <c r="AX958" s="5"/>
      <c r="AY958" s="5"/>
    </row>
    <row r="959" spans="1:51" s="55" customFormat="1">
      <c r="A959" s="5"/>
      <c r="B959" s="5"/>
      <c r="C959" s="20"/>
      <c r="D959" s="9"/>
      <c r="F959" s="29"/>
      <c r="G959" s="5"/>
      <c r="H959" s="20"/>
      <c r="I959" s="5"/>
      <c r="J959" s="5"/>
      <c r="K959" s="5"/>
      <c r="L959" s="5"/>
      <c r="M959" s="5"/>
      <c r="N959" s="5"/>
      <c r="O959" s="5"/>
      <c r="S959" s="5"/>
      <c r="T959" s="5"/>
      <c r="U959" s="5"/>
      <c r="V959" s="5"/>
      <c r="W959" s="3"/>
      <c r="X959" s="5"/>
      <c r="Y959" s="5"/>
      <c r="Z959" s="5"/>
      <c r="AA959" s="5"/>
      <c r="AB959" s="5"/>
      <c r="AC959" s="5"/>
      <c r="AD959" s="5"/>
      <c r="AE959" s="5"/>
      <c r="AF959" s="5"/>
      <c r="AG959" s="5"/>
      <c r="AH959" s="5"/>
      <c r="AI959" s="5"/>
      <c r="AJ959" s="5"/>
      <c r="AK959" s="5"/>
      <c r="AL959" s="5"/>
      <c r="AM959" s="5"/>
      <c r="AN959" s="5"/>
      <c r="AO959" s="5"/>
      <c r="AP959" s="5"/>
      <c r="AQ959" s="5"/>
      <c r="AR959" s="5"/>
      <c r="AS959" s="5"/>
      <c r="AT959" s="5"/>
      <c r="AU959" s="5"/>
      <c r="AV959" s="5"/>
      <c r="AW959" s="5"/>
      <c r="AX959" s="5"/>
      <c r="AY959" s="5"/>
    </row>
    <row r="960" spans="1:51" s="55" customFormat="1">
      <c r="A960" s="5"/>
      <c r="B960" s="5"/>
      <c r="C960" s="20"/>
      <c r="D960" s="9"/>
      <c r="F960" s="29"/>
      <c r="G960" s="5"/>
      <c r="H960" s="20"/>
      <c r="I960" s="5"/>
      <c r="J960" s="5"/>
      <c r="K960" s="5"/>
      <c r="L960" s="5"/>
      <c r="M960" s="5"/>
      <c r="N960" s="5"/>
      <c r="O960" s="5"/>
      <c r="S960" s="5"/>
      <c r="T960" s="5"/>
      <c r="U960" s="5"/>
      <c r="V960" s="5"/>
      <c r="W960" s="3"/>
      <c r="X960" s="5"/>
      <c r="Y960" s="5"/>
      <c r="Z960" s="5"/>
      <c r="AA960" s="5"/>
      <c r="AB960" s="5"/>
      <c r="AC960" s="5"/>
      <c r="AD960" s="5"/>
      <c r="AE960" s="5"/>
      <c r="AF960" s="5"/>
      <c r="AG960" s="5"/>
      <c r="AH960" s="5"/>
      <c r="AI960" s="5"/>
      <c r="AJ960" s="5"/>
      <c r="AK960" s="5"/>
      <c r="AL960" s="5"/>
      <c r="AM960" s="5"/>
      <c r="AN960" s="5"/>
      <c r="AO960" s="5"/>
      <c r="AP960" s="5"/>
      <c r="AQ960" s="5"/>
      <c r="AR960" s="5"/>
      <c r="AS960" s="5"/>
      <c r="AT960" s="5"/>
      <c r="AU960" s="5"/>
      <c r="AV960" s="5"/>
      <c r="AW960" s="5"/>
      <c r="AX960" s="5"/>
      <c r="AY960" s="5"/>
    </row>
    <row r="961" spans="1:51" s="55" customFormat="1">
      <c r="A961" s="5"/>
      <c r="B961" s="5"/>
      <c r="C961" s="20"/>
      <c r="D961" s="9"/>
      <c r="F961" s="29"/>
      <c r="G961" s="5"/>
      <c r="H961" s="20"/>
      <c r="I961" s="5"/>
      <c r="J961" s="5"/>
      <c r="K961" s="5"/>
      <c r="L961" s="5"/>
      <c r="M961" s="5"/>
      <c r="N961" s="5"/>
      <c r="O961" s="5"/>
      <c r="S961" s="5"/>
      <c r="T961" s="5"/>
      <c r="U961" s="5"/>
      <c r="V961" s="5"/>
      <c r="W961" s="3"/>
      <c r="X961" s="5"/>
      <c r="Y961" s="5"/>
      <c r="Z961" s="5"/>
      <c r="AA961" s="5"/>
      <c r="AB961" s="5"/>
      <c r="AC961" s="5"/>
      <c r="AD961" s="5"/>
      <c r="AE961" s="5"/>
      <c r="AF961" s="5"/>
      <c r="AG961" s="5"/>
      <c r="AH961" s="5"/>
      <c r="AI961" s="5"/>
      <c r="AJ961" s="5"/>
      <c r="AK961" s="5"/>
      <c r="AL961" s="5"/>
      <c r="AM961" s="5"/>
      <c r="AN961" s="5"/>
      <c r="AO961" s="5"/>
      <c r="AP961" s="5"/>
      <c r="AQ961" s="5"/>
      <c r="AR961" s="5"/>
      <c r="AS961" s="5"/>
      <c r="AT961" s="5"/>
      <c r="AU961" s="5"/>
      <c r="AV961" s="5"/>
      <c r="AW961" s="5"/>
      <c r="AX961" s="5"/>
      <c r="AY961" s="5"/>
    </row>
    <row r="962" spans="1:51" s="55" customFormat="1">
      <c r="A962" s="5"/>
      <c r="B962" s="5"/>
      <c r="C962" s="20"/>
      <c r="D962" s="9"/>
      <c r="F962" s="29"/>
      <c r="G962" s="5"/>
      <c r="H962" s="20"/>
      <c r="I962" s="5"/>
      <c r="J962" s="5"/>
      <c r="K962" s="5"/>
      <c r="L962" s="5"/>
      <c r="M962" s="5"/>
      <c r="N962" s="5"/>
      <c r="O962" s="5"/>
      <c r="S962" s="5"/>
      <c r="T962" s="5"/>
      <c r="U962" s="5"/>
      <c r="V962" s="5"/>
      <c r="W962" s="3"/>
      <c r="X962" s="5"/>
      <c r="Y962" s="5"/>
      <c r="Z962" s="5"/>
      <c r="AA962" s="5"/>
      <c r="AB962" s="5"/>
      <c r="AC962" s="5"/>
      <c r="AD962" s="5"/>
      <c r="AE962" s="5"/>
      <c r="AF962" s="5"/>
      <c r="AG962" s="5"/>
      <c r="AH962" s="5"/>
      <c r="AI962" s="5"/>
      <c r="AJ962" s="5"/>
      <c r="AK962" s="5"/>
      <c r="AL962" s="5"/>
      <c r="AM962" s="5"/>
      <c r="AN962" s="5"/>
      <c r="AO962" s="5"/>
      <c r="AP962" s="5"/>
      <c r="AQ962" s="5"/>
      <c r="AR962" s="5"/>
      <c r="AS962" s="5"/>
      <c r="AT962" s="5"/>
      <c r="AU962" s="5"/>
      <c r="AV962" s="5"/>
      <c r="AW962" s="5"/>
      <c r="AX962" s="5"/>
      <c r="AY962" s="5"/>
    </row>
    <row r="963" spans="1:51" s="55" customFormat="1">
      <c r="A963" s="5"/>
      <c r="B963" s="5"/>
      <c r="C963" s="20"/>
      <c r="D963" s="9"/>
      <c r="F963" s="29"/>
      <c r="G963" s="5"/>
      <c r="H963" s="20"/>
      <c r="I963" s="5"/>
      <c r="J963" s="5"/>
      <c r="K963" s="5"/>
      <c r="L963" s="5"/>
      <c r="M963" s="5"/>
      <c r="N963" s="5"/>
      <c r="O963" s="5"/>
      <c r="S963" s="5"/>
      <c r="T963" s="5"/>
      <c r="U963" s="5"/>
      <c r="V963" s="5"/>
      <c r="W963" s="3"/>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c r="AX963" s="5"/>
      <c r="AY963" s="5"/>
    </row>
    <row r="964" spans="1:51" s="55" customFormat="1">
      <c r="A964" s="5"/>
      <c r="B964" s="5"/>
      <c r="C964" s="20"/>
      <c r="D964" s="9"/>
      <c r="F964" s="29"/>
      <c r="G964" s="5"/>
      <c r="H964" s="20"/>
      <c r="I964" s="5"/>
      <c r="J964" s="5"/>
      <c r="K964" s="5"/>
      <c r="L964" s="5"/>
      <c r="M964" s="5"/>
      <c r="N964" s="5"/>
      <c r="O964" s="5"/>
      <c r="S964" s="5"/>
      <c r="T964" s="5"/>
      <c r="U964" s="5"/>
      <c r="V964" s="5"/>
      <c r="W964" s="3"/>
      <c r="X964" s="5"/>
      <c r="Y964" s="5"/>
      <c r="Z964" s="5"/>
      <c r="AA964" s="5"/>
      <c r="AB964" s="5"/>
      <c r="AC964" s="5"/>
      <c r="AD964" s="5"/>
      <c r="AE964" s="5"/>
      <c r="AF964" s="5"/>
      <c r="AG964" s="5"/>
      <c r="AH964" s="5"/>
      <c r="AI964" s="5"/>
      <c r="AJ964" s="5"/>
      <c r="AK964" s="5"/>
      <c r="AL964" s="5"/>
      <c r="AM964" s="5"/>
      <c r="AN964" s="5"/>
      <c r="AO964" s="5"/>
      <c r="AP964" s="5"/>
      <c r="AQ964" s="5"/>
      <c r="AR964" s="5"/>
      <c r="AS964" s="5"/>
      <c r="AT964" s="5"/>
      <c r="AU964" s="5"/>
      <c r="AV964" s="5"/>
      <c r="AW964" s="5"/>
      <c r="AX964" s="5"/>
      <c r="AY964" s="5"/>
    </row>
    <row r="965" spans="1:51" s="55" customFormat="1">
      <c r="A965" s="5"/>
      <c r="B965" s="5"/>
      <c r="C965" s="20"/>
      <c r="D965" s="9"/>
      <c r="F965" s="29"/>
      <c r="G965" s="5"/>
      <c r="H965" s="20"/>
      <c r="I965" s="5"/>
      <c r="J965" s="5"/>
      <c r="K965" s="5"/>
      <c r="L965" s="5"/>
      <c r="M965" s="5"/>
      <c r="N965" s="5"/>
      <c r="O965" s="5"/>
      <c r="S965" s="5"/>
      <c r="T965" s="5"/>
      <c r="U965" s="5"/>
      <c r="V965" s="5"/>
      <c r="W965" s="3"/>
      <c r="X965" s="5"/>
      <c r="Y965" s="5"/>
      <c r="Z965" s="5"/>
      <c r="AA965" s="5"/>
      <c r="AB965" s="5"/>
      <c r="AC965" s="5"/>
      <c r="AD965" s="5"/>
      <c r="AE965" s="5"/>
      <c r="AF965" s="5"/>
      <c r="AG965" s="5"/>
      <c r="AH965" s="5"/>
      <c r="AI965" s="5"/>
      <c r="AJ965" s="5"/>
      <c r="AK965" s="5"/>
      <c r="AL965" s="5"/>
      <c r="AM965" s="5"/>
      <c r="AN965" s="5"/>
      <c r="AO965" s="5"/>
      <c r="AP965" s="5"/>
      <c r="AQ965" s="5"/>
      <c r="AR965" s="5"/>
      <c r="AS965" s="5"/>
      <c r="AT965" s="5"/>
      <c r="AU965" s="5"/>
      <c r="AV965" s="5"/>
      <c r="AW965" s="5"/>
      <c r="AX965" s="5"/>
      <c r="AY965" s="5"/>
    </row>
    <row r="966" spans="1:51" s="55" customFormat="1">
      <c r="A966" s="5"/>
      <c r="B966" s="5"/>
      <c r="C966" s="20"/>
      <c r="D966" s="9"/>
      <c r="F966" s="29"/>
      <c r="G966" s="5"/>
      <c r="H966" s="20"/>
      <c r="I966" s="5"/>
      <c r="J966" s="5"/>
      <c r="K966" s="5"/>
      <c r="L966" s="5"/>
      <c r="M966" s="5"/>
      <c r="N966" s="5"/>
      <c r="O966" s="5"/>
      <c r="S966" s="5"/>
      <c r="T966" s="5"/>
      <c r="U966" s="5"/>
      <c r="V966" s="5"/>
      <c r="W966" s="3"/>
      <c r="X966" s="5"/>
      <c r="Y966" s="5"/>
      <c r="Z966" s="5"/>
      <c r="AA966" s="5"/>
      <c r="AB966" s="5"/>
      <c r="AC966" s="5"/>
      <c r="AD966" s="5"/>
      <c r="AE966" s="5"/>
      <c r="AF966" s="5"/>
      <c r="AG966" s="5"/>
      <c r="AH966" s="5"/>
      <c r="AI966" s="5"/>
      <c r="AJ966" s="5"/>
      <c r="AK966" s="5"/>
      <c r="AL966" s="5"/>
      <c r="AM966" s="5"/>
      <c r="AN966" s="5"/>
      <c r="AO966" s="5"/>
      <c r="AP966" s="5"/>
      <c r="AQ966" s="5"/>
      <c r="AR966" s="5"/>
      <c r="AS966" s="5"/>
      <c r="AT966" s="5"/>
      <c r="AU966" s="5"/>
      <c r="AV966" s="5"/>
      <c r="AW966" s="5"/>
      <c r="AX966" s="5"/>
      <c r="AY966" s="5"/>
    </row>
    <row r="967" spans="1:51" s="55" customFormat="1">
      <c r="A967" s="5"/>
      <c r="B967" s="5"/>
      <c r="C967" s="20"/>
      <c r="D967" s="9"/>
      <c r="F967" s="29"/>
      <c r="G967" s="5"/>
      <c r="H967" s="20"/>
      <c r="I967" s="5"/>
      <c r="J967" s="5"/>
      <c r="K967" s="5"/>
      <c r="L967" s="5"/>
      <c r="M967" s="5"/>
      <c r="N967" s="5"/>
      <c r="O967" s="5"/>
      <c r="S967" s="5"/>
      <c r="T967" s="5"/>
      <c r="U967" s="5"/>
      <c r="V967" s="5"/>
      <c r="W967" s="3"/>
      <c r="X967" s="5"/>
      <c r="Y967" s="5"/>
      <c r="Z967" s="5"/>
      <c r="AA967" s="5"/>
      <c r="AB967" s="5"/>
      <c r="AC967" s="5"/>
      <c r="AD967" s="5"/>
      <c r="AE967" s="5"/>
      <c r="AF967" s="5"/>
      <c r="AG967" s="5"/>
      <c r="AH967" s="5"/>
      <c r="AI967" s="5"/>
      <c r="AJ967" s="5"/>
      <c r="AK967" s="5"/>
      <c r="AL967" s="5"/>
      <c r="AM967" s="5"/>
      <c r="AN967" s="5"/>
      <c r="AO967" s="5"/>
      <c r="AP967" s="5"/>
      <c r="AQ967" s="5"/>
      <c r="AR967" s="5"/>
      <c r="AS967" s="5"/>
      <c r="AT967" s="5"/>
      <c r="AU967" s="5"/>
      <c r="AV967" s="5"/>
      <c r="AW967" s="5"/>
      <c r="AX967" s="5"/>
      <c r="AY967" s="5"/>
    </row>
    <row r="968" spans="1:51" s="55" customFormat="1">
      <c r="A968" s="5"/>
      <c r="B968" s="5"/>
      <c r="C968" s="20"/>
      <c r="D968" s="9"/>
      <c r="F968" s="29"/>
      <c r="G968" s="5"/>
      <c r="H968" s="20"/>
      <c r="I968" s="5"/>
      <c r="J968" s="5"/>
      <c r="K968" s="5"/>
      <c r="L968" s="5"/>
      <c r="M968" s="5"/>
      <c r="N968" s="5"/>
      <c r="O968" s="5"/>
      <c r="S968" s="5"/>
      <c r="T968" s="5"/>
      <c r="U968" s="5"/>
      <c r="V968" s="5"/>
      <c r="W968" s="3"/>
      <c r="X968" s="5"/>
      <c r="Y968" s="5"/>
      <c r="Z968" s="5"/>
      <c r="AA968" s="5"/>
      <c r="AB968" s="5"/>
      <c r="AC968" s="5"/>
      <c r="AD968" s="5"/>
      <c r="AE968" s="5"/>
      <c r="AF968" s="5"/>
      <c r="AG968" s="5"/>
      <c r="AH968" s="5"/>
      <c r="AI968" s="5"/>
      <c r="AJ968" s="5"/>
      <c r="AK968" s="5"/>
      <c r="AL968" s="5"/>
      <c r="AM968" s="5"/>
      <c r="AN968" s="5"/>
      <c r="AO968" s="5"/>
      <c r="AP968" s="5"/>
      <c r="AQ968" s="5"/>
      <c r="AR968" s="5"/>
      <c r="AS968" s="5"/>
      <c r="AT968" s="5"/>
      <c r="AU968" s="5"/>
      <c r="AV968" s="5"/>
      <c r="AW968" s="5"/>
      <c r="AX968" s="5"/>
      <c r="AY968" s="5"/>
    </row>
    <row r="969" spans="1:51" s="55" customFormat="1">
      <c r="A969" s="5"/>
      <c r="B969" s="5"/>
      <c r="C969" s="20"/>
      <c r="D969" s="9"/>
      <c r="F969" s="29"/>
      <c r="G969" s="5"/>
      <c r="H969" s="20"/>
      <c r="I969" s="5"/>
      <c r="J969" s="5"/>
      <c r="K969" s="5"/>
      <c r="L969" s="5"/>
      <c r="M969" s="5"/>
      <c r="N969" s="5"/>
      <c r="O969" s="5"/>
      <c r="S969" s="5"/>
      <c r="T969" s="5"/>
      <c r="U969" s="5"/>
      <c r="V969" s="5"/>
      <c r="W969" s="3"/>
      <c r="X969" s="5"/>
      <c r="Y969" s="5"/>
      <c r="Z969" s="5"/>
      <c r="AA969" s="5"/>
      <c r="AB969" s="5"/>
      <c r="AC969" s="5"/>
      <c r="AD969" s="5"/>
      <c r="AE969" s="5"/>
      <c r="AF969" s="5"/>
      <c r="AG969" s="5"/>
      <c r="AH969" s="5"/>
      <c r="AI969" s="5"/>
      <c r="AJ969" s="5"/>
      <c r="AK969" s="5"/>
      <c r="AL969" s="5"/>
      <c r="AM969" s="5"/>
      <c r="AN969" s="5"/>
      <c r="AO969" s="5"/>
      <c r="AP969" s="5"/>
      <c r="AQ969" s="5"/>
      <c r="AR969" s="5"/>
      <c r="AS969" s="5"/>
      <c r="AT969" s="5"/>
      <c r="AU969" s="5"/>
      <c r="AV969" s="5"/>
      <c r="AW969" s="5"/>
      <c r="AX969" s="5"/>
      <c r="AY969" s="5"/>
    </row>
    <row r="970" spans="1:51" s="55" customFormat="1">
      <c r="A970" s="5"/>
      <c r="B970" s="5"/>
      <c r="C970" s="20"/>
      <c r="D970" s="9"/>
      <c r="F970" s="29"/>
      <c r="G970" s="5"/>
      <c r="H970" s="20"/>
      <c r="I970" s="5"/>
      <c r="J970" s="5"/>
      <c r="K970" s="5"/>
      <c r="L970" s="5"/>
      <c r="M970" s="5"/>
      <c r="N970" s="5"/>
      <c r="O970" s="5"/>
      <c r="S970" s="5"/>
      <c r="T970" s="5"/>
      <c r="U970" s="5"/>
      <c r="V970" s="5"/>
      <c r="W970" s="3"/>
      <c r="X970" s="5"/>
      <c r="Y970" s="5"/>
      <c r="Z970" s="5"/>
      <c r="AA970" s="5"/>
      <c r="AB970" s="5"/>
      <c r="AC970" s="5"/>
      <c r="AD970" s="5"/>
      <c r="AE970" s="5"/>
      <c r="AF970" s="5"/>
      <c r="AG970" s="5"/>
      <c r="AH970" s="5"/>
      <c r="AI970" s="5"/>
      <c r="AJ970" s="5"/>
      <c r="AK970" s="5"/>
      <c r="AL970" s="5"/>
      <c r="AM970" s="5"/>
      <c r="AN970" s="5"/>
      <c r="AO970" s="5"/>
      <c r="AP970" s="5"/>
      <c r="AQ970" s="5"/>
      <c r="AR970" s="5"/>
      <c r="AS970" s="5"/>
      <c r="AT970" s="5"/>
      <c r="AU970" s="5"/>
      <c r="AV970" s="5"/>
      <c r="AW970" s="5"/>
      <c r="AX970" s="5"/>
      <c r="AY970" s="5"/>
    </row>
    <row r="971" spans="1:51" s="55" customFormat="1">
      <c r="A971" s="5"/>
      <c r="B971" s="5"/>
      <c r="C971" s="20"/>
      <c r="D971" s="9"/>
      <c r="F971" s="29"/>
      <c r="G971" s="5"/>
      <c r="H971" s="20"/>
      <c r="I971" s="5"/>
      <c r="J971" s="5"/>
      <c r="K971" s="5"/>
      <c r="L971" s="5"/>
      <c r="M971" s="5"/>
      <c r="N971" s="5"/>
      <c r="O971" s="5"/>
      <c r="S971" s="5"/>
      <c r="T971" s="5"/>
      <c r="U971" s="5"/>
      <c r="V971" s="5"/>
      <c r="W971" s="3"/>
      <c r="X971" s="5"/>
      <c r="Y971" s="5"/>
      <c r="Z971" s="5"/>
      <c r="AA971" s="5"/>
      <c r="AB971" s="5"/>
      <c r="AC971" s="5"/>
      <c r="AD971" s="5"/>
      <c r="AE971" s="5"/>
      <c r="AF971" s="5"/>
      <c r="AG971" s="5"/>
      <c r="AH971" s="5"/>
      <c r="AI971" s="5"/>
      <c r="AJ971" s="5"/>
      <c r="AK971" s="5"/>
      <c r="AL971" s="5"/>
      <c r="AM971" s="5"/>
      <c r="AN971" s="5"/>
      <c r="AO971" s="5"/>
      <c r="AP971" s="5"/>
      <c r="AQ971" s="5"/>
      <c r="AR971" s="5"/>
      <c r="AS971" s="5"/>
      <c r="AT971" s="5"/>
      <c r="AU971" s="5"/>
      <c r="AV971" s="5"/>
      <c r="AW971" s="5"/>
      <c r="AX971" s="5"/>
      <c r="AY971" s="5"/>
    </row>
    <row r="972" spans="1:51" s="55" customFormat="1">
      <c r="A972" s="5"/>
      <c r="B972" s="5"/>
      <c r="C972" s="20"/>
      <c r="D972" s="9"/>
      <c r="F972" s="29"/>
      <c r="G972" s="5"/>
      <c r="H972" s="20"/>
      <c r="I972" s="5"/>
      <c r="J972" s="5"/>
      <c r="K972" s="5"/>
      <c r="L972" s="5"/>
      <c r="M972" s="5"/>
      <c r="N972" s="5"/>
      <c r="O972" s="5"/>
      <c r="S972" s="5"/>
      <c r="T972" s="5"/>
      <c r="U972" s="5"/>
      <c r="V972" s="5"/>
      <c r="W972" s="3"/>
      <c r="X972" s="5"/>
      <c r="Y972" s="5"/>
      <c r="Z972" s="5"/>
      <c r="AA972" s="5"/>
      <c r="AB972" s="5"/>
      <c r="AC972" s="5"/>
      <c r="AD972" s="5"/>
      <c r="AE972" s="5"/>
      <c r="AF972" s="5"/>
      <c r="AG972" s="5"/>
      <c r="AH972" s="5"/>
      <c r="AI972" s="5"/>
      <c r="AJ972" s="5"/>
      <c r="AK972" s="5"/>
      <c r="AL972" s="5"/>
      <c r="AM972" s="5"/>
      <c r="AN972" s="5"/>
      <c r="AO972" s="5"/>
      <c r="AP972" s="5"/>
      <c r="AQ972" s="5"/>
      <c r="AR972" s="5"/>
      <c r="AS972" s="5"/>
      <c r="AT972" s="5"/>
      <c r="AU972" s="5"/>
      <c r="AV972" s="5"/>
      <c r="AW972" s="5"/>
      <c r="AX972" s="5"/>
      <c r="AY972" s="5"/>
    </row>
    <row r="973" spans="1:51" s="55" customFormat="1">
      <c r="A973" s="5"/>
      <c r="B973" s="5"/>
      <c r="C973" s="20"/>
      <c r="D973" s="9"/>
      <c r="F973" s="29"/>
      <c r="G973" s="5"/>
      <c r="H973" s="20"/>
      <c r="I973" s="5"/>
      <c r="J973" s="5"/>
      <c r="K973" s="5"/>
      <c r="L973" s="5"/>
      <c r="M973" s="5"/>
      <c r="N973" s="5"/>
      <c r="O973" s="5"/>
      <c r="S973" s="5"/>
      <c r="T973" s="5"/>
      <c r="U973" s="5"/>
      <c r="V973" s="5"/>
      <c r="W973" s="3"/>
      <c r="X973" s="5"/>
      <c r="Y973" s="5"/>
      <c r="Z973" s="5"/>
      <c r="AA973" s="5"/>
      <c r="AB973" s="5"/>
      <c r="AC973" s="5"/>
      <c r="AD973" s="5"/>
      <c r="AE973" s="5"/>
      <c r="AF973" s="5"/>
      <c r="AG973" s="5"/>
      <c r="AH973" s="5"/>
      <c r="AI973" s="5"/>
      <c r="AJ973" s="5"/>
      <c r="AK973" s="5"/>
      <c r="AL973" s="5"/>
      <c r="AM973" s="5"/>
      <c r="AN973" s="5"/>
      <c r="AO973" s="5"/>
      <c r="AP973" s="5"/>
      <c r="AQ973" s="5"/>
      <c r="AR973" s="5"/>
      <c r="AS973" s="5"/>
      <c r="AT973" s="5"/>
      <c r="AU973" s="5"/>
      <c r="AV973" s="5"/>
      <c r="AW973" s="5"/>
      <c r="AX973" s="5"/>
      <c r="AY973" s="5"/>
    </row>
    <row r="974" spans="1:51" s="55" customFormat="1">
      <c r="A974" s="5"/>
      <c r="B974" s="5"/>
      <c r="C974" s="20"/>
      <c r="D974" s="9"/>
      <c r="F974" s="29"/>
      <c r="G974" s="5"/>
      <c r="H974" s="20"/>
      <c r="I974" s="5"/>
      <c r="J974" s="5"/>
      <c r="K974" s="5"/>
      <c r="L974" s="5"/>
      <c r="M974" s="5"/>
      <c r="N974" s="5"/>
      <c r="O974" s="5"/>
      <c r="S974" s="5"/>
      <c r="T974" s="5"/>
      <c r="U974" s="5"/>
      <c r="V974" s="5"/>
      <c r="W974" s="3"/>
      <c r="X974" s="5"/>
      <c r="Y974" s="5"/>
      <c r="Z974" s="5"/>
      <c r="AA974" s="5"/>
      <c r="AB974" s="5"/>
      <c r="AC974" s="5"/>
      <c r="AD974" s="5"/>
      <c r="AE974" s="5"/>
      <c r="AF974" s="5"/>
      <c r="AG974" s="5"/>
      <c r="AH974" s="5"/>
      <c r="AI974" s="5"/>
      <c r="AJ974" s="5"/>
      <c r="AK974" s="5"/>
      <c r="AL974" s="5"/>
      <c r="AM974" s="5"/>
      <c r="AN974" s="5"/>
      <c r="AO974" s="5"/>
      <c r="AP974" s="5"/>
      <c r="AQ974" s="5"/>
      <c r="AR974" s="5"/>
      <c r="AS974" s="5"/>
      <c r="AT974" s="5"/>
      <c r="AU974" s="5"/>
      <c r="AV974" s="5"/>
      <c r="AW974" s="5"/>
      <c r="AX974" s="5"/>
      <c r="AY974" s="5"/>
    </row>
    <row r="975" spans="1:51" s="55" customFormat="1">
      <c r="A975" s="5"/>
      <c r="B975" s="5"/>
      <c r="C975" s="20"/>
      <c r="D975" s="9"/>
      <c r="F975" s="29"/>
      <c r="G975" s="5"/>
      <c r="H975" s="20"/>
      <c r="I975" s="5"/>
      <c r="J975" s="5"/>
      <c r="K975" s="5"/>
      <c r="L975" s="5"/>
      <c r="M975" s="5"/>
      <c r="N975" s="5"/>
      <c r="O975" s="5"/>
      <c r="S975" s="5"/>
      <c r="T975" s="5"/>
      <c r="U975" s="5"/>
      <c r="V975" s="5"/>
      <c r="W975" s="3"/>
      <c r="X975" s="5"/>
      <c r="Y975" s="5"/>
      <c r="Z975" s="5"/>
      <c r="AA975" s="5"/>
      <c r="AB975" s="5"/>
      <c r="AC975" s="5"/>
      <c r="AD975" s="5"/>
      <c r="AE975" s="5"/>
      <c r="AF975" s="5"/>
      <c r="AG975" s="5"/>
      <c r="AH975" s="5"/>
      <c r="AI975" s="5"/>
      <c r="AJ975" s="5"/>
      <c r="AK975" s="5"/>
      <c r="AL975" s="5"/>
      <c r="AM975" s="5"/>
      <c r="AN975" s="5"/>
      <c r="AO975" s="5"/>
      <c r="AP975" s="5"/>
      <c r="AQ975" s="5"/>
      <c r="AR975" s="5"/>
      <c r="AS975" s="5"/>
      <c r="AT975" s="5"/>
      <c r="AU975" s="5"/>
      <c r="AV975" s="5"/>
      <c r="AW975" s="5"/>
      <c r="AX975" s="5"/>
      <c r="AY975" s="5"/>
    </row>
    <row r="976" spans="1:51" s="55" customFormat="1">
      <c r="A976" s="5"/>
      <c r="B976" s="5"/>
      <c r="C976" s="20"/>
      <c r="D976" s="9"/>
      <c r="F976" s="29"/>
      <c r="G976" s="5"/>
      <c r="H976" s="20"/>
      <c r="I976" s="5"/>
      <c r="J976" s="5"/>
      <c r="K976" s="5"/>
      <c r="L976" s="5"/>
      <c r="M976" s="5"/>
      <c r="N976" s="5"/>
      <c r="O976" s="5"/>
      <c r="S976" s="5"/>
      <c r="T976" s="5"/>
      <c r="U976" s="5"/>
      <c r="V976" s="5"/>
      <c r="W976" s="3"/>
      <c r="X976" s="5"/>
      <c r="Y976" s="5"/>
      <c r="Z976" s="5"/>
      <c r="AA976" s="5"/>
      <c r="AB976" s="5"/>
      <c r="AC976" s="5"/>
      <c r="AD976" s="5"/>
      <c r="AE976" s="5"/>
      <c r="AF976" s="5"/>
      <c r="AG976" s="5"/>
      <c r="AH976" s="5"/>
      <c r="AI976" s="5"/>
      <c r="AJ976" s="5"/>
      <c r="AK976" s="5"/>
      <c r="AL976" s="5"/>
      <c r="AM976" s="5"/>
      <c r="AN976" s="5"/>
      <c r="AO976" s="5"/>
      <c r="AP976" s="5"/>
      <c r="AQ976" s="5"/>
      <c r="AR976" s="5"/>
      <c r="AS976" s="5"/>
      <c r="AT976" s="5"/>
      <c r="AU976" s="5"/>
      <c r="AV976" s="5"/>
      <c r="AW976" s="5"/>
      <c r="AX976" s="5"/>
      <c r="AY976" s="5"/>
    </row>
    <row r="977" spans="1:51" s="55" customFormat="1">
      <c r="A977" s="5"/>
      <c r="B977" s="5"/>
      <c r="C977" s="20"/>
      <c r="D977" s="9"/>
      <c r="F977" s="29"/>
      <c r="G977" s="5"/>
      <c r="H977" s="20"/>
      <c r="I977" s="5"/>
      <c r="J977" s="5"/>
      <c r="K977" s="5"/>
      <c r="L977" s="5"/>
      <c r="M977" s="5"/>
      <c r="N977" s="5"/>
      <c r="O977" s="5"/>
      <c r="S977" s="5"/>
      <c r="T977" s="5"/>
      <c r="U977" s="5"/>
      <c r="V977" s="5"/>
      <c r="W977" s="3"/>
      <c r="X977" s="5"/>
      <c r="Y977" s="5"/>
      <c r="Z977" s="5"/>
      <c r="AA977" s="5"/>
      <c r="AB977" s="5"/>
      <c r="AC977" s="5"/>
      <c r="AD977" s="5"/>
      <c r="AE977" s="5"/>
      <c r="AF977" s="5"/>
      <c r="AG977" s="5"/>
      <c r="AH977" s="5"/>
      <c r="AI977" s="5"/>
      <c r="AJ977" s="5"/>
      <c r="AK977" s="5"/>
      <c r="AL977" s="5"/>
      <c r="AM977" s="5"/>
      <c r="AN977" s="5"/>
      <c r="AO977" s="5"/>
      <c r="AP977" s="5"/>
      <c r="AQ977" s="5"/>
      <c r="AR977" s="5"/>
      <c r="AS977" s="5"/>
      <c r="AT977" s="5"/>
      <c r="AU977" s="5"/>
      <c r="AV977" s="5"/>
      <c r="AW977" s="5"/>
      <c r="AX977" s="5"/>
      <c r="AY977" s="5"/>
    </row>
    <row r="978" spans="1:51" s="55" customFormat="1">
      <c r="A978" s="5"/>
      <c r="B978" s="5"/>
      <c r="C978" s="20"/>
      <c r="D978" s="9"/>
      <c r="F978" s="29"/>
      <c r="G978" s="5"/>
      <c r="H978" s="20"/>
      <c r="I978" s="5"/>
      <c r="J978" s="5"/>
      <c r="K978" s="5"/>
      <c r="L978" s="5"/>
      <c r="M978" s="5"/>
      <c r="N978" s="5"/>
      <c r="O978" s="5"/>
      <c r="S978" s="5"/>
      <c r="T978" s="5"/>
      <c r="U978" s="5"/>
      <c r="V978" s="5"/>
      <c r="W978" s="3"/>
      <c r="X978" s="5"/>
      <c r="Y978" s="5"/>
      <c r="Z978" s="5"/>
      <c r="AA978" s="5"/>
      <c r="AB978" s="5"/>
      <c r="AC978" s="5"/>
      <c r="AD978" s="5"/>
      <c r="AE978" s="5"/>
      <c r="AF978" s="5"/>
      <c r="AG978" s="5"/>
      <c r="AH978" s="5"/>
      <c r="AI978" s="5"/>
      <c r="AJ978" s="5"/>
      <c r="AK978" s="5"/>
      <c r="AL978" s="5"/>
      <c r="AM978" s="5"/>
      <c r="AN978" s="5"/>
      <c r="AO978" s="5"/>
      <c r="AP978" s="5"/>
      <c r="AQ978" s="5"/>
      <c r="AR978" s="5"/>
      <c r="AS978" s="5"/>
      <c r="AT978" s="5"/>
      <c r="AU978" s="5"/>
      <c r="AV978" s="5"/>
      <c r="AW978" s="5"/>
      <c r="AX978" s="5"/>
      <c r="AY978" s="5"/>
    </row>
    <row r="979" spans="1:51" s="55" customFormat="1">
      <c r="A979" s="5"/>
      <c r="B979" s="5"/>
      <c r="C979" s="20"/>
      <c r="D979" s="9"/>
      <c r="F979" s="29"/>
      <c r="G979" s="5"/>
      <c r="H979" s="20"/>
      <c r="I979" s="5"/>
      <c r="J979" s="5"/>
      <c r="K979" s="5"/>
      <c r="L979" s="5"/>
      <c r="M979" s="5"/>
      <c r="N979" s="5"/>
      <c r="O979" s="5"/>
      <c r="S979" s="5"/>
      <c r="T979" s="5"/>
      <c r="U979" s="5"/>
      <c r="V979" s="5"/>
      <c r="W979" s="3"/>
      <c r="X979" s="5"/>
      <c r="Y979" s="5"/>
      <c r="Z979" s="5"/>
      <c r="AA979" s="5"/>
      <c r="AB979" s="5"/>
      <c r="AC979" s="5"/>
      <c r="AD979" s="5"/>
      <c r="AE979" s="5"/>
      <c r="AF979" s="5"/>
      <c r="AG979" s="5"/>
      <c r="AH979" s="5"/>
      <c r="AI979" s="5"/>
      <c r="AJ979" s="5"/>
      <c r="AK979" s="5"/>
      <c r="AL979" s="5"/>
      <c r="AM979" s="5"/>
      <c r="AN979" s="5"/>
      <c r="AO979" s="5"/>
      <c r="AP979" s="5"/>
      <c r="AQ979" s="5"/>
      <c r="AR979" s="5"/>
      <c r="AS979" s="5"/>
      <c r="AT979" s="5"/>
      <c r="AU979" s="5"/>
      <c r="AV979" s="5"/>
      <c r="AW979" s="5"/>
      <c r="AX979" s="5"/>
      <c r="AY979" s="5"/>
    </row>
    <row r="980" spans="1:51" s="55" customFormat="1">
      <c r="A980" s="5"/>
      <c r="B980" s="5"/>
      <c r="C980" s="20"/>
      <c r="D980" s="9"/>
      <c r="F980" s="29"/>
      <c r="G980" s="5"/>
      <c r="H980" s="20"/>
      <c r="I980" s="5"/>
      <c r="J980" s="5"/>
      <c r="K980" s="5"/>
      <c r="L980" s="5"/>
      <c r="M980" s="5"/>
      <c r="N980" s="5"/>
      <c r="O980" s="5"/>
      <c r="S980" s="5"/>
      <c r="T980" s="5"/>
      <c r="U980" s="5"/>
      <c r="V980" s="5"/>
      <c r="W980" s="3"/>
      <c r="X980" s="5"/>
      <c r="Y980" s="5"/>
      <c r="Z980" s="5"/>
      <c r="AA980" s="5"/>
      <c r="AB980" s="5"/>
      <c r="AC980" s="5"/>
      <c r="AD980" s="5"/>
      <c r="AE980" s="5"/>
      <c r="AF980" s="5"/>
      <c r="AG980" s="5"/>
      <c r="AH980" s="5"/>
      <c r="AI980" s="5"/>
      <c r="AJ980" s="5"/>
      <c r="AK980" s="5"/>
      <c r="AL980" s="5"/>
      <c r="AM980" s="5"/>
      <c r="AN980" s="5"/>
      <c r="AO980" s="5"/>
      <c r="AP980" s="5"/>
      <c r="AQ980" s="5"/>
      <c r="AR980" s="5"/>
      <c r="AS980" s="5"/>
      <c r="AT980" s="5"/>
      <c r="AU980" s="5"/>
      <c r="AV980" s="5"/>
      <c r="AW980" s="5"/>
      <c r="AX980" s="5"/>
      <c r="AY980" s="5"/>
    </row>
    <row r="981" spans="1:51" s="55" customFormat="1">
      <c r="A981" s="5"/>
      <c r="B981" s="5"/>
      <c r="C981" s="20"/>
      <c r="D981" s="9"/>
      <c r="F981" s="29"/>
      <c r="G981" s="5"/>
      <c r="H981" s="20"/>
      <c r="I981" s="5"/>
      <c r="J981" s="5"/>
      <c r="K981" s="5"/>
      <c r="L981" s="5"/>
      <c r="M981" s="5"/>
      <c r="N981" s="5"/>
      <c r="O981" s="5"/>
      <c r="S981" s="5"/>
      <c r="T981" s="5"/>
      <c r="U981" s="5"/>
      <c r="V981" s="5"/>
      <c r="W981" s="3"/>
      <c r="X981" s="5"/>
      <c r="Y981" s="5"/>
      <c r="Z981" s="5"/>
      <c r="AA981" s="5"/>
      <c r="AB981" s="5"/>
      <c r="AC981" s="5"/>
      <c r="AD981" s="5"/>
      <c r="AE981" s="5"/>
      <c r="AF981" s="5"/>
      <c r="AG981" s="5"/>
      <c r="AH981" s="5"/>
      <c r="AI981" s="5"/>
      <c r="AJ981" s="5"/>
      <c r="AK981" s="5"/>
      <c r="AL981" s="5"/>
      <c r="AM981" s="5"/>
      <c r="AN981" s="5"/>
      <c r="AO981" s="5"/>
      <c r="AP981" s="5"/>
      <c r="AQ981" s="5"/>
      <c r="AR981" s="5"/>
      <c r="AS981" s="5"/>
      <c r="AT981" s="5"/>
      <c r="AU981" s="5"/>
      <c r="AV981" s="5"/>
      <c r="AW981" s="5"/>
      <c r="AX981" s="5"/>
      <c r="AY981" s="5"/>
    </row>
    <row r="982" spans="1:51" s="55" customFormat="1">
      <c r="A982" s="5"/>
      <c r="B982" s="5"/>
      <c r="C982" s="20"/>
      <c r="D982" s="9"/>
      <c r="F982" s="29"/>
      <c r="G982" s="5"/>
      <c r="H982" s="20"/>
      <c r="I982" s="5"/>
      <c r="J982" s="5"/>
      <c r="K982" s="5"/>
      <c r="L982" s="5"/>
      <c r="M982" s="5"/>
      <c r="N982" s="5"/>
      <c r="O982" s="5"/>
      <c r="S982" s="5"/>
      <c r="T982" s="5"/>
      <c r="U982" s="5"/>
      <c r="V982" s="5"/>
      <c r="W982" s="3"/>
      <c r="X982" s="5"/>
      <c r="Y982" s="5"/>
      <c r="Z982" s="5"/>
      <c r="AA982" s="5"/>
      <c r="AB982" s="5"/>
      <c r="AC982" s="5"/>
      <c r="AD982" s="5"/>
      <c r="AE982" s="5"/>
      <c r="AF982" s="5"/>
      <c r="AG982" s="5"/>
      <c r="AH982" s="5"/>
      <c r="AI982" s="5"/>
      <c r="AJ982" s="5"/>
      <c r="AK982" s="5"/>
      <c r="AL982" s="5"/>
      <c r="AM982" s="5"/>
      <c r="AN982" s="5"/>
      <c r="AO982" s="5"/>
      <c r="AP982" s="5"/>
      <c r="AQ982" s="5"/>
      <c r="AR982" s="5"/>
      <c r="AS982" s="5"/>
      <c r="AT982" s="5"/>
      <c r="AU982" s="5"/>
      <c r="AV982" s="5"/>
      <c r="AW982" s="5"/>
      <c r="AX982" s="5"/>
      <c r="AY982" s="5"/>
    </row>
    <row r="983" spans="1:51" s="55" customFormat="1">
      <c r="A983" s="5"/>
      <c r="B983" s="5"/>
      <c r="C983" s="20"/>
      <c r="D983" s="9"/>
      <c r="F983" s="29"/>
      <c r="G983" s="5"/>
      <c r="H983" s="20"/>
      <c r="I983" s="5"/>
      <c r="J983" s="5"/>
      <c r="K983" s="5"/>
      <c r="L983" s="5"/>
      <c r="M983" s="5"/>
      <c r="N983" s="5"/>
      <c r="O983" s="5"/>
      <c r="S983" s="5"/>
      <c r="T983" s="5"/>
      <c r="U983" s="5"/>
      <c r="V983" s="5"/>
      <c r="W983" s="3"/>
      <c r="X983" s="5"/>
      <c r="Y983" s="5"/>
      <c r="Z983" s="5"/>
      <c r="AA983" s="5"/>
      <c r="AB983" s="5"/>
      <c r="AC983" s="5"/>
      <c r="AD983" s="5"/>
      <c r="AE983" s="5"/>
      <c r="AF983" s="5"/>
      <c r="AG983" s="5"/>
      <c r="AH983" s="5"/>
      <c r="AI983" s="5"/>
      <c r="AJ983" s="5"/>
      <c r="AK983" s="5"/>
      <c r="AL983" s="5"/>
      <c r="AM983" s="5"/>
      <c r="AN983" s="5"/>
      <c r="AO983" s="5"/>
      <c r="AP983" s="5"/>
      <c r="AQ983" s="5"/>
      <c r="AR983" s="5"/>
      <c r="AS983" s="5"/>
      <c r="AT983" s="5"/>
      <c r="AU983" s="5"/>
      <c r="AV983" s="5"/>
      <c r="AW983" s="5"/>
      <c r="AX983" s="5"/>
      <c r="AY983" s="5"/>
    </row>
    <row r="984" spans="1:51" s="55" customFormat="1">
      <c r="A984" s="5"/>
      <c r="B984" s="5"/>
      <c r="C984" s="20"/>
      <c r="D984" s="9"/>
      <c r="F984" s="29"/>
      <c r="G984" s="5"/>
      <c r="H984" s="20"/>
      <c r="I984" s="5"/>
      <c r="J984" s="5"/>
      <c r="K984" s="5"/>
      <c r="L984" s="5"/>
      <c r="M984" s="5"/>
      <c r="N984" s="5"/>
      <c r="O984" s="5"/>
      <c r="S984" s="5"/>
      <c r="T984" s="5"/>
      <c r="U984" s="5"/>
      <c r="V984" s="5"/>
      <c r="W984" s="3"/>
      <c r="X984" s="5"/>
      <c r="Y984" s="5"/>
      <c r="Z984" s="5"/>
      <c r="AA984" s="5"/>
      <c r="AB984" s="5"/>
      <c r="AC984" s="5"/>
      <c r="AD984" s="5"/>
      <c r="AE984" s="5"/>
      <c r="AF984" s="5"/>
      <c r="AG984" s="5"/>
      <c r="AH984" s="5"/>
      <c r="AI984" s="5"/>
      <c r="AJ984" s="5"/>
      <c r="AK984" s="5"/>
      <c r="AL984" s="5"/>
      <c r="AM984" s="5"/>
      <c r="AN984" s="5"/>
      <c r="AO984" s="5"/>
      <c r="AP984" s="5"/>
      <c r="AQ984" s="5"/>
      <c r="AR984" s="5"/>
      <c r="AS984" s="5"/>
      <c r="AT984" s="5"/>
      <c r="AU984" s="5"/>
      <c r="AV984" s="5"/>
      <c r="AW984" s="5"/>
      <c r="AX984" s="5"/>
      <c r="AY984" s="5"/>
    </row>
    <row r="985" spans="1:51" s="55" customFormat="1">
      <c r="A985" s="5"/>
      <c r="B985" s="5"/>
      <c r="C985" s="20"/>
      <c r="D985" s="9"/>
      <c r="F985" s="29"/>
      <c r="G985" s="5"/>
      <c r="H985" s="20"/>
      <c r="I985" s="5"/>
      <c r="J985" s="5"/>
      <c r="K985" s="5"/>
      <c r="L985" s="5"/>
      <c r="M985" s="5"/>
      <c r="N985" s="5"/>
      <c r="O985" s="5"/>
      <c r="S985" s="5"/>
      <c r="T985" s="5"/>
      <c r="U985" s="5"/>
      <c r="V985" s="5"/>
      <c r="W985" s="3"/>
      <c r="X985" s="5"/>
      <c r="Y985" s="5"/>
      <c r="Z985" s="5"/>
      <c r="AA985" s="5"/>
      <c r="AB985" s="5"/>
      <c r="AC985" s="5"/>
      <c r="AD985" s="5"/>
      <c r="AE985" s="5"/>
      <c r="AF985" s="5"/>
      <c r="AG985" s="5"/>
      <c r="AH985" s="5"/>
      <c r="AI985" s="5"/>
      <c r="AJ985" s="5"/>
      <c r="AK985" s="5"/>
      <c r="AL985" s="5"/>
      <c r="AM985" s="5"/>
      <c r="AN985" s="5"/>
      <c r="AO985" s="5"/>
      <c r="AP985" s="5"/>
      <c r="AQ985" s="5"/>
      <c r="AR985" s="5"/>
      <c r="AS985" s="5"/>
      <c r="AT985" s="5"/>
      <c r="AU985" s="5"/>
      <c r="AV985" s="5"/>
      <c r="AW985" s="5"/>
      <c r="AX985" s="5"/>
      <c r="AY985" s="5"/>
    </row>
    <row r="986" spans="1:51" s="55" customFormat="1">
      <c r="A986" s="5"/>
      <c r="B986" s="5"/>
      <c r="C986" s="20"/>
      <c r="D986" s="9"/>
      <c r="F986" s="29"/>
      <c r="G986" s="5"/>
      <c r="H986" s="20"/>
      <c r="I986" s="5"/>
      <c r="J986" s="5"/>
      <c r="K986" s="5"/>
      <c r="L986" s="5"/>
      <c r="M986" s="5"/>
      <c r="N986" s="5"/>
      <c r="O986" s="5"/>
      <c r="S986" s="5"/>
      <c r="T986" s="5"/>
      <c r="U986" s="5"/>
      <c r="V986" s="5"/>
      <c r="W986" s="3"/>
      <c r="X986" s="5"/>
      <c r="Y986" s="5"/>
      <c r="Z986" s="5"/>
      <c r="AA986" s="5"/>
      <c r="AB986" s="5"/>
      <c r="AC986" s="5"/>
      <c r="AD986" s="5"/>
      <c r="AE986" s="5"/>
      <c r="AF986" s="5"/>
      <c r="AG986" s="5"/>
      <c r="AH986" s="5"/>
      <c r="AI986" s="5"/>
      <c r="AJ986" s="5"/>
      <c r="AK986" s="5"/>
      <c r="AL986" s="5"/>
      <c r="AM986" s="5"/>
      <c r="AN986" s="5"/>
      <c r="AO986" s="5"/>
      <c r="AP986" s="5"/>
      <c r="AQ986" s="5"/>
      <c r="AR986" s="5"/>
      <c r="AS986" s="5"/>
      <c r="AT986" s="5"/>
      <c r="AU986" s="5"/>
      <c r="AV986" s="5"/>
      <c r="AW986" s="5"/>
      <c r="AX986" s="5"/>
      <c r="AY986" s="5"/>
    </row>
    <row r="987" spans="1:51" s="55" customFormat="1">
      <c r="A987" s="5"/>
      <c r="B987" s="5"/>
      <c r="C987" s="20"/>
      <c r="D987" s="9"/>
      <c r="F987" s="29"/>
      <c r="G987" s="5"/>
      <c r="H987" s="20"/>
      <c r="I987" s="5"/>
      <c r="J987" s="5"/>
      <c r="K987" s="5"/>
      <c r="L987" s="5"/>
      <c r="M987" s="5"/>
      <c r="N987" s="5"/>
      <c r="O987" s="5"/>
      <c r="S987" s="5"/>
      <c r="T987" s="5"/>
      <c r="U987" s="5"/>
      <c r="V987" s="5"/>
      <c r="W987" s="3"/>
      <c r="X987" s="5"/>
      <c r="Y987" s="5"/>
      <c r="Z987" s="5"/>
      <c r="AA987" s="5"/>
      <c r="AB987" s="5"/>
      <c r="AC987" s="5"/>
      <c r="AD987" s="5"/>
      <c r="AE987" s="5"/>
      <c r="AF987" s="5"/>
      <c r="AG987" s="5"/>
      <c r="AH987" s="5"/>
      <c r="AI987" s="5"/>
      <c r="AJ987" s="5"/>
      <c r="AK987" s="5"/>
      <c r="AL987" s="5"/>
      <c r="AM987" s="5"/>
      <c r="AN987" s="5"/>
      <c r="AO987" s="5"/>
      <c r="AP987" s="5"/>
      <c r="AQ987" s="5"/>
      <c r="AR987" s="5"/>
      <c r="AS987" s="5"/>
      <c r="AT987" s="5"/>
      <c r="AU987" s="5"/>
      <c r="AV987" s="5"/>
      <c r="AW987" s="5"/>
      <c r="AX987" s="5"/>
      <c r="AY987" s="5"/>
    </row>
    <row r="988" spans="1:51" s="55" customFormat="1">
      <c r="A988" s="5"/>
      <c r="B988" s="5"/>
      <c r="C988" s="20"/>
      <c r="D988" s="9"/>
      <c r="F988" s="29"/>
      <c r="G988" s="5"/>
      <c r="H988" s="20"/>
      <c r="I988" s="5"/>
      <c r="J988" s="5"/>
      <c r="K988" s="5"/>
      <c r="L988" s="5"/>
      <c r="M988" s="5"/>
      <c r="N988" s="5"/>
      <c r="O988" s="5"/>
      <c r="S988" s="5"/>
      <c r="T988" s="5"/>
      <c r="U988" s="5"/>
      <c r="V988" s="5"/>
      <c r="W988" s="3"/>
      <c r="X988" s="5"/>
      <c r="Y988" s="5"/>
      <c r="Z988" s="5"/>
      <c r="AA988" s="5"/>
      <c r="AB988" s="5"/>
      <c r="AC988" s="5"/>
      <c r="AD988" s="5"/>
      <c r="AE988" s="5"/>
      <c r="AF988" s="5"/>
      <c r="AG988" s="5"/>
      <c r="AH988" s="5"/>
      <c r="AI988" s="5"/>
      <c r="AJ988" s="5"/>
      <c r="AK988" s="5"/>
      <c r="AL988" s="5"/>
      <c r="AM988" s="5"/>
      <c r="AN988" s="5"/>
      <c r="AO988" s="5"/>
      <c r="AP988" s="5"/>
      <c r="AQ988" s="5"/>
      <c r="AR988" s="5"/>
      <c r="AS988" s="5"/>
      <c r="AT988" s="5"/>
      <c r="AU988" s="5"/>
      <c r="AV988" s="5"/>
      <c r="AW988" s="5"/>
      <c r="AX988" s="5"/>
      <c r="AY988" s="5"/>
    </row>
    <row r="989" spans="1:51" s="55" customFormat="1">
      <c r="A989" s="5"/>
      <c r="B989" s="5"/>
      <c r="C989" s="20"/>
      <c r="D989" s="9"/>
      <c r="F989" s="29"/>
      <c r="G989" s="5"/>
      <c r="H989" s="20"/>
      <c r="I989" s="5"/>
      <c r="J989" s="5"/>
      <c r="K989" s="5"/>
      <c r="L989" s="5"/>
      <c r="M989" s="5"/>
      <c r="N989" s="5"/>
      <c r="O989" s="5"/>
      <c r="S989" s="5"/>
      <c r="T989" s="5"/>
      <c r="U989" s="5"/>
      <c r="V989" s="5"/>
      <c r="W989" s="3"/>
      <c r="X989" s="5"/>
      <c r="Y989" s="5"/>
      <c r="Z989" s="5"/>
      <c r="AA989" s="5"/>
      <c r="AB989" s="5"/>
      <c r="AC989" s="5"/>
      <c r="AD989" s="5"/>
      <c r="AE989" s="5"/>
      <c r="AF989" s="5"/>
      <c r="AG989" s="5"/>
      <c r="AH989" s="5"/>
      <c r="AI989" s="5"/>
      <c r="AJ989" s="5"/>
      <c r="AK989" s="5"/>
      <c r="AL989" s="5"/>
      <c r="AM989" s="5"/>
      <c r="AN989" s="5"/>
      <c r="AO989" s="5"/>
      <c r="AP989" s="5"/>
      <c r="AQ989" s="5"/>
      <c r="AR989" s="5"/>
      <c r="AS989" s="5"/>
      <c r="AT989" s="5"/>
      <c r="AU989" s="5"/>
      <c r="AV989" s="5"/>
      <c r="AW989" s="5"/>
      <c r="AX989" s="5"/>
      <c r="AY989" s="5"/>
    </row>
    <row r="990" spans="1:51" s="55" customFormat="1">
      <c r="A990" s="5"/>
      <c r="B990" s="5"/>
      <c r="C990" s="20"/>
      <c r="D990" s="9"/>
      <c r="F990" s="29"/>
      <c r="G990" s="5"/>
      <c r="H990" s="20"/>
      <c r="I990" s="5"/>
      <c r="J990" s="5"/>
      <c r="K990" s="5"/>
      <c r="L990" s="5"/>
      <c r="M990" s="5"/>
      <c r="N990" s="5"/>
      <c r="O990" s="5"/>
      <c r="S990" s="5"/>
      <c r="T990" s="5"/>
      <c r="U990" s="5"/>
      <c r="V990" s="5"/>
      <c r="W990" s="3"/>
      <c r="X990" s="5"/>
      <c r="Y990" s="5"/>
      <c r="Z990" s="5"/>
      <c r="AA990" s="5"/>
      <c r="AB990" s="5"/>
      <c r="AC990" s="5"/>
      <c r="AD990" s="5"/>
      <c r="AE990" s="5"/>
      <c r="AF990" s="5"/>
      <c r="AG990" s="5"/>
      <c r="AH990" s="5"/>
      <c r="AI990" s="5"/>
      <c r="AJ990" s="5"/>
      <c r="AK990" s="5"/>
      <c r="AL990" s="5"/>
      <c r="AM990" s="5"/>
      <c r="AN990" s="5"/>
      <c r="AO990" s="5"/>
      <c r="AP990" s="5"/>
      <c r="AQ990" s="5"/>
      <c r="AR990" s="5"/>
      <c r="AS990" s="5"/>
      <c r="AT990" s="5"/>
      <c r="AU990" s="5"/>
      <c r="AV990" s="5"/>
      <c r="AW990" s="5"/>
      <c r="AX990" s="5"/>
      <c r="AY990" s="5"/>
    </row>
    <row r="991" spans="1:51" s="55" customFormat="1">
      <c r="A991" s="5"/>
      <c r="B991" s="5"/>
      <c r="C991" s="20"/>
      <c r="D991" s="9"/>
      <c r="F991" s="29"/>
      <c r="G991" s="5"/>
      <c r="H991" s="20"/>
      <c r="I991" s="5"/>
      <c r="J991" s="5"/>
      <c r="K991" s="5"/>
      <c r="L991" s="5"/>
      <c r="M991" s="5"/>
      <c r="N991" s="5"/>
      <c r="O991" s="5"/>
      <c r="S991" s="5"/>
      <c r="T991" s="5"/>
      <c r="U991" s="5"/>
      <c r="V991" s="5"/>
      <c r="W991" s="3"/>
      <c r="X991" s="5"/>
      <c r="Y991" s="5"/>
      <c r="Z991" s="5"/>
      <c r="AA991" s="5"/>
      <c r="AB991" s="5"/>
      <c r="AC991" s="5"/>
      <c r="AD991" s="5"/>
      <c r="AE991" s="5"/>
      <c r="AF991" s="5"/>
      <c r="AG991" s="5"/>
      <c r="AH991" s="5"/>
      <c r="AI991" s="5"/>
      <c r="AJ991" s="5"/>
      <c r="AK991" s="5"/>
      <c r="AL991" s="5"/>
      <c r="AM991" s="5"/>
      <c r="AN991" s="5"/>
      <c r="AO991" s="5"/>
      <c r="AP991" s="5"/>
      <c r="AQ991" s="5"/>
      <c r="AR991" s="5"/>
      <c r="AS991" s="5"/>
      <c r="AT991" s="5"/>
      <c r="AU991" s="5"/>
      <c r="AV991" s="5"/>
      <c r="AW991" s="5"/>
      <c r="AX991" s="5"/>
      <c r="AY991" s="5"/>
    </row>
    <row r="992" spans="1:51" s="55" customFormat="1">
      <c r="A992" s="5"/>
      <c r="B992" s="5"/>
      <c r="C992" s="20"/>
      <c r="D992" s="9"/>
      <c r="F992" s="29"/>
      <c r="G992" s="5"/>
      <c r="H992" s="20"/>
      <c r="I992" s="5"/>
      <c r="J992" s="5"/>
      <c r="K992" s="5"/>
      <c r="L992" s="5"/>
      <c r="M992" s="5"/>
      <c r="N992" s="5"/>
      <c r="O992" s="5"/>
      <c r="S992" s="5"/>
      <c r="T992" s="5"/>
      <c r="U992" s="5"/>
      <c r="V992" s="5"/>
      <c r="W992" s="3"/>
      <c r="X992" s="5"/>
      <c r="Y992" s="5"/>
      <c r="Z992" s="5"/>
      <c r="AA992" s="5"/>
      <c r="AB992" s="5"/>
      <c r="AC992" s="5"/>
      <c r="AD992" s="5"/>
      <c r="AE992" s="5"/>
      <c r="AF992" s="5"/>
      <c r="AG992" s="5"/>
      <c r="AH992" s="5"/>
      <c r="AI992" s="5"/>
      <c r="AJ992" s="5"/>
      <c r="AK992" s="5"/>
      <c r="AL992" s="5"/>
      <c r="AM992" s="5"/>
      <c r="AN992" s="5"/>
      <c r="AO992" s="5"/>
      <c r="AP992" s="5"/>
      <c r="AQ992" s="5"/>
      <c r="AR992" s="5"/>
      <c r="AS992" s="5"/>
      <c r="AT992" s="5"/>
      <c r="AU992" s="5"/>
      <c r="AV992" s="5"/>
      <c r="AW992" s="5"/>
      <c r="AX992" s="5"/>
      <c r="AY992" s="5"/>
    </row>
    <row r="993" spans="1:51" s="55" customFormat="1">
      <c r="A993" s="5"/>
      <c r="B993" s="5"/>
      <c r="C993" s="20"/>
      <c r="D993" s="9"/>
      <c r="F993" s="29"/>
      <c r="G993" s="5"/>
      <c r="H993" s="20"/>
      <c r="I993" s="5"/>
      <c r="J993" s="5"/>
      <c r="K993" s="5"/>
      <c r="L993" s="5"/>
      <c r="M993" s="5"/>
      <c r="N993" s="5"/>
      <c r="O993" s="5"/>
      <c r="S993" s="5"/>
      <c r="T993" s="5"/>
      <c r="U993" s="5"/>
      <c r="V993" s="5"/>
      <c r="W993" s="3"/>
      <c r="X993" s="5"/>
      <c r="Y993" s="5"/>
      <c r="Z993" s="5"/>
      <c r="AA993" s="5"/>
      <c r="AB993" s="5"/>
      <c r="AC993" s="5"/>
      <c r="AD993" s="5"/>
      <c r="AE993" s="5"/>
      <c r="AF993" s="5"/>
      <c r="AG993" s="5"/>
      <c r="AH993" s="5"/>
      <c r="AI993" s="5"/>
      <c r="AJ993" s="5"/>
      <c r="AK993" s="5"/>
      <c r="AL993" s="5"/>
      <c r="AM993" s="5"/>
      <c r="AN993" s="5"/>
      <c r="AO993" s="5"/>
      <c r="AP993" s="5"/>
      <c r="AQ993" s="5"/>
      <c r="AR993" s="5"/>
      <c r="AS993" s="5"/>
      <c r="AT993" s="5"/>
      <c r="AU993" s="5"/>
      <c r="AV993" s="5"/>
      <c r="AW993" s="5"/>
      <c r="AX993" s="5"/>
      <c r="AY993" s="5"/>
    </row>
    <row r="994" spans="1:51" s="55" customFormat="1">
      <c r="A994" s="5"/>
      <c r="B994" s="5"/>
      <c r="C994" s="20"/>
      <c r="D994" s="9"/>
      <c r="F994" s="29"/>
      <c r="G994" s="5"/>
      <c r="H994" s="20"/>
      <c r="I994" s="5"/>
      <c r="J994" s="5"/>
      <c r="K994" s="5"/>
      <c r="L994" s="5"/>
      <c r="M994" s="5"/>
      <c r="N994" s="5"/>
      <c r="O994" s="5"/>
      <c r="S994" s="5"/>
      <c r="T994" s="5"/>
      <c r="U994" s="5"/>
      <c r="V994" s="5"/>
      <c r="W994" s="3"/>
      <c r="X994" s="5"/>
      <c r="Y994" s="5"/>
      <c r="Z994" s="5"/>
      <c r="AA994" s="5"/>
      <c r="AB994" s="5"/>
      <c r="AC994" s="5"/>
      <c r="AD994" s="5"/>
      <c r="AE994" s="5"/>
      <c r="AF994" s="5"/>
      <c r="AG994" s="5"/>
      <c r="AH994" s="5"/>
      <c r="AI994" s="5"/>
      <c r="AJ994" s="5"/>
      <c r="AK994" s="5"/>
      <c r="AL994" s="5"/>
      <c r="AM994" s="5"/>
      <c r="AN994" s="5"/>
      <c r="AO994" s="5"/>
      <c r="AP994" s="5"/>
      <c r="AQ994" s="5"/>
      <c r="AR994" s="5"/>
      <c r="AS994" s="5"/>
      <c r="AT994" s="5"/>
      <c r="AU994" s="5"/>
      <c r="AV994" s="5"/>
      <c r="AW994" s="5"/>
      <c r="AX994" s="5"/>
      <c r="AY994" s="5"/>
    </row>
    <row r="995" spans="1:51" s="55" customFormat="1">
      <c r="A995" s="5"/>
      <c r="B995" s="5"/>
      <c r="C995" s="20"/>
      <c r="D995" s="9"/>
      <c r="F995" s="29"/>
      <c r="G995" s="5"/>
      <c r="H995" s="20"/>
      <c r="I995" s="5"/>
      <c r="J995" s="5"/>
      <c r="K995" s="5"/>
      <c r="L995" s="5"/>
      <c r="M995" s="5"/>
      <c r="N995" s="5"/>
      <c r="O995" s="5"/>
      <c r="S995" s="5"/>
      <c r="T995" s="5"/>
      <c r="U995" s="5"/>
      <c r="V995" s="5"/>
      <c r="W995" s="3"/>
      <c r="X995" s="5"/>
      <c r="Y995" s="5"/>
      <c r="Z995" s="5"/>
      <c r="AA995" s="5"/>
      <c r="AB995" s="5"/>
      <c r="AC995" s="5"/>
      <c r="AD995" s="5"/>
      <c r="AE995" s="5"/>
      <c r="AF995" s="5"/>
      <c r="AG995" s="5"/>
      <c r="AH995" s="5"/>
      <c r="AI995" s="5"/>
      <c r="AJ995" s="5"/>
      <c r="AK995" s="5"/>
      <c r="AL995" s="5"/>
      <c r="AM995" s="5"/>
      <c r="AN995" s="5"/>
      <c r="AO995" s="5"/>
      <c r="AP995" s="5"/>
      <c r="AQ995" s="5"/>
      <c r="AR995" s="5"/>
      <c r="AS995" s="5"/>
      <c r="AT995" s="5"/>
      <c r="AU995" s="5"/>
      <c r="AV995" s="5"/>
      <c r="AW995" s="5"/>
      <c r="AX995" s="5"/>
      <c r="AY995" s="5"/>
    </row>
    <row r="996" spans="1:51" s="55" customFormat="1">
      <c r="A996" s="5"/>
      <c r="B996" s="5"/>
      <c r="C996" s="20"/>
      <c r="D996" s="9"/>
      <c r="F996" s="29"/>
      <c r="G996" s="5"/>
      <c r="H996" s="20"/>
      <c r="I996" s="5"/>
      <c r="J996" s="5"/>
      <c r="K996" s="5"/>
      <c r="L996" s="5"/>
      <c r="M996" s="5"/>
      <c r="N996" s="5"/>
      <c r="O996" s="5"/>
      <c r="S996" s="5"/>
      <c r="T996" s="5"/>
      <c r="U996" s="5"/>
      <c r="V996" s="5"/>
      <c r="W996" s="3"/>
      <c r="X996" s="5"/>
      <c r="Y996" s="5"/>
      <c r="Z996" s="5"/>
      <c r="AA996" s="5"/>
      <c r="AB996" s="5"/>
      <c r="AC996" s="5"/>
      <c r="AD996" s="5"/>
      <c r="AE996" s="5"/>
      <c r="AF996" s="5"/>
      <c r="AG996" s="5"/>
      <c r="AH996" s="5"/>
      <c r="AI996" s="5"/>
      <c r="AJ996" s="5"/>
      <c r="AK996" s="5"/>
      <c r="AL996" s="5"/>
      <c r="AM996" s="5"/>
      <c r="AN996" s="5"/>
      <c r="AO996" s="5"/>
      <c r="AP996" s="5"/>
      <c r="AQ996" s="5"/>
      <c r="AR996" s="5"/>
      <c r="AS996" s="5"/>
      <c r="AT996" s="5"/>
      <c r="AU996" s="5"/>
      <c r="AV996" s="5"/>
      <c r="AW996" s="5"/>
      <c r="AX996" s="5"/>
      <c r="AY996" s="5"/>
    </row>
    <row r="997" spans="1:51" s="55" customFormat="1">
      <c r="A997" s="5"/>
      <c r="B997" s="5"/>
      <c r="C997" s="20"/>
      <c r="D997" s="9"/>
      <c r="F997" s="29"/>
      <c r="G997" s="5"/>
      <c r="H997" s="20"/>
      <c r="I997" s="5"/>
      <c r="J997" s="5"/>
      <c r="K997" s="5"/>
      <c r="L997" s="5"/>
      <c r="M997" s="5"/>
      <c r="N997" s="5"/>
      <c r="O997" s="5"/>
      <c r="S997" s="5"/>
      <c r="T997" s="5"/>
      <c r="U997" s="5"/>
      <c r="V997" s="5"/>
      <c r="W997" s="3"/>
      <c r="X997" s="5"/>
      <c r="Y997" s="5"/>
      <c r="Z997" s="5"/>
      <c r="AA997" s="5"/>
      <c r="AB997" s="5"/>
      <c r="AC997" s="5"/>
      <c r="AD997" s="5"/>
      <c r="AE997" s="5"/>
      <c r="AF997" s="5"/>
      <c r="AG997" s="5"/>
      <c r="AH997" s="5"/>
      <c r="AI997" s="5"/>
      <c r="AJ997" s="5"/>
      <c r="AK997" s="5"/>
      <c r="AL997" s="5"/>
      <c r="AM997" s="5"/>
      <c r="AN997" s="5"/>
      <c r="AO997" s="5"/>
      <c r="AP997" s="5"/>
      <c r="AQ997" s="5"/>
      <c r="AR997" s="5"/>
      <c r="AS997" s="5"/>
      <c r="AT997" s="5"/>
      <c r="AU997" s="5"/>
      <c r="AV997" s="5"/>
      <c r="AW997" s="5"/>
      <c r="AX997" s="5"/>
      <c r="AY997" s="5"/>
    </row>
  </sheetData>
  <autoFilter ref="A5:AY583"/>
  <mergeCells count="2">
    <mergeCell ref="S3:V3"/>
    <mergeCell ref="S4:V4"/>
  </mergeCells>
  <printOptions horizontalCentered="1"/>
  <pageMargins left="0" right="0" top="0.25" bottom="0.25" header="0.5" footer="0.5"/>
  <pageSetup paperSize="9" scale="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FA Summary</vt:lpstr>
      <vt:lpstr>Cost Incurred</vt:lpstr>
      <vt:lpstr>Cost to complete</vt:lpstr>
      <vt:lpstr>CCI</vt:lpstr>
      <vt:lpstr>Building Summary Sheet</vt:lpstr>
      <vt:lpstr>Final Vlauation Summary</vt:lpstr>
      <vt:lpstr>CWIP- Time to complete</vt:lpstr>
      <vt:lpstr>Plant Buildings</vt:lpstr>
      <vt:lpstr>Buildg-Others</vt:lpstr>
      <vt:lpstr>Leasehold Prprts</vt:lpstr>
      <vt:lpstr>Unit-II</vt:lpstr>
      <vt:lpstr>Unit-III</vt:lpstr>
      <vt:lpstr>Unit-IV</vt:lpstr>
      <vt:lpstr>P &amp; M</vt:lpstr>
      <vt:lpstr>P&amp;M-Ele-Insta</vt:lpstr>
      <vt:lpstr>P&amp;M-Misc Eqipt</vt:lpstr>
      <vt:lpstr>F &amp; F</vt:lpstr>
      <vt:lpstr>Vehicles</vt:lpstr>
      <vt:lpstr>Office Euipt</vt:lpstr>
      <vt:lpstr>Data Proc Eqpmnt</vt:lpstr>
      <vt:lpstr>Comp. Software</vt:lpstr>
      <vt:lpstr>'Comp. Software'!Print_Area</vt:lpstr>
      <vt:lpstr>'Data Proc Eqpmnt'!Print_Area</vt:lpstr>
      <vt:lpstr>'F &amp; F'!Print_Area</vt:lpstr>
      <vt:lpstr>'Leasehold Prprts'!Print_Area</vt:lpstr>
      <vt:lpstr>'P &amp; M'!Print_Area</vt:lpstr>
      <vt:lpstr>'P&amp;M-Ele-Insta'!Print_Area</vt:lpstr>
      <vt:lpstr>'P&amp;M-Misc Eqipt'!Print_Area</vt:lpstr>
      <vt:lpstr>'Plant Buildings'!Print_Area</vt:lpstr>
      <vt:lpstr>Vehicles!Print_Area</vt:lpstr>
      <vt:lpstr>'Buildg-Others'!Print_Titles</vt:lpstr>
      <vt:lpstr>'Comp. Software'!Print_Titles</vt:lpstr>
      <vt:lpstr>'Data Proc Eqpmnt'!Print_Titles</vt:lpstr>
      <vt:lpstr>'F &amp; F'!Print_Titles</vt:lpstr>
      <vt:lpstr>'Leasehold Prprts'!Print_Titles</vt:lpstr>
      <vt:lpstr>'Office Euipt'!Print_Titles</vt:lpstr>
      <vt:lpstr>'P &amp; M'!Print_Titles</vt:lpstr>
      <vt:lpstr>'P&amp;M-Ele-Insta'!Print_Titles</vt:lpstr>
      <vt:lpstr>'Plant Buildings'!Print_Titles</vt:lpstr>
      <vt:lpstr>Vehicles!Print_Titles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Sunil Kumar Sreekantam</dc:creator>
  <cp:lastModifiedBy>Abhishek Sharma</cp:lastModifiedBy>
  <cp:lastPrinted>2022-05-24T06:43:11Z</cp:lastPrinted>
  <dcterms:created xsi:type="dcterms:W3CDTF">2004-05-10T13:19:34Z</dcterms:created>
  <dcterms:modified xsi:type="dcterms:W3CDTF">2022-11-07T13:47:40Z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367401972</vt:i4>
  </property>
  <property fmtid="{D5CDD505-2E9C-101B-9397-08002B2CF9AE}" pid="3" name="_ReviewCycleID">
    <vt:i4>367401972</vt:i4>
  </property>
  <property fmtid="{D5CDD505-2E9C-101B-9397-08002B2CF9AE}" pid="4" name="_NewReviewCycle">
    <vt:lpwstr/>
  </property>
  <property fmtid="{D5CDD505-2E9C-101B-9397-08002B2CF9AE}" pid="5" name="_EmailEntryID">
    <vt:lpwstr>00000000CAB688D234478043A62927EBCF9373320700EB8D382EF27D2140B496A92047C7C96B000798B79F450000C3A8A1A0B1CADE4B8232B47A85DE24CF00054F3FAE920000</vt:lpwstr>
  </property>
  <property fmtid="{D5CDD505-2E9C-101B-9397-08002B2CF9AE}" pid="6" name="_EmailStoreID0">
    <vt:lpwstr>0000000038A1BB1005E5101AA1BB08002B2A56C20000454D534D44422E444C4C00000000000000001B55FA20AA6611CD9BC800AA002FC45A0C0000004B534B4D41494C002F6F3D4B534B2F6F753D45786368616E67652041646D696E6973747261746976652047726F7570202846594449424F484632335350444C54292F636</vt:lpwstr>
  </property>
  <property fmtid="{D5CDD505-2E9C-101B-9397-08002B2CF9AE}" pid="7" name="_EmailStoreID1">
    <vt:lpwstr>E3D526563697069656E74732F636E3D6D616C6C696B61726A756E00D83521F3A70000000100000014000000750000002F6F3D4B534B2F6F753D45786368616E67652041646D696E6973747261746976652047726F7570202846594449424F484632335350444C54292F636E3D436F6E66696775726174696F6E2F636E3D5365</vt:lpwstr>
  </property>
  <property fmtid="{D5CDD505-2E9C-101B-9397-08002B2CF9AE}" pid="8" name="_EmailStoreID2">
    <vt:lpwstr>72766572732F636E3D4B534B4D41494C006B0073006B006D00610069006C002E006B0073006B00760065006E00740075007200650073002E0063006F006D0000000000</vt:lpwstr>
  </property>
  <property fmtid="{D5CDD505-2E9C-101B-9397-08002B2CF9AE}" pid="9" name="_ReviewingToolsShownOnce">
    <vt:lpwstr/>
  </property>
</Properties>
</file>