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shish Sawe\BPTP\Updated\BPTP\"/>
    </mc:Choice>
  </mc:AlternateContent>
  <xr:revisionPtr revIDLastSave="0" documentId="13_ncr:1_{904CF783-00CB-42CC-B6AD-03428C3F1A99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DCF" sheetId="2" r:id="rId1"/>
    <sheet name="Provided_sheet" sheetId="3" r:id="rId2"/>
    <sheet name="Area_statement" sheetId="6" r:id="rId3"/>
    <sheet name="Capital_Value" sheetId="5" r:id="rId4"/>
    <sheet name="Rate_Ref" sheetId="7" r:id="rId5"/>
  </sheets>
  <definedNames>
    <definedName name="_xlnm._FilterDatabase" localSheetId="2" hidden="1">Area_statement!$T$14:$U$14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5" l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5" i="5"/>
  <c r="W5" i="5"/>
  <c r="J5" i="5"/>
  <c r="J6" i="5"/>
  <c r="V5" i="5"/>
  <c r="X5" i="5"/>
  <c r="A29" i="6" l="1"/>
  <c r="A30" i="6" s="1"/>
  <c r="A36" i="6"/>
  <c r="A35" i="6"/>
  <c r="E37" i="6"/>
  <c r="E36" i="6"/>
  <c r="K42" i="6"/>
  <c r="A16" i="6"/>
  <c r="A17" i="6" s="1"/>
  <c r="A18" i="6" s="1"/>
  <c r="A37" i="6" l="1"/>
  <c r="W32" i="6"/>
  <c r="W36" i="6"/>
  <c r="W37" i="6" s="1"/>
  <c r="E27" i="5"/>
  <c r="AA24" i="5"/>
  <c r="AA23" i="5"/>
  <c r="W27" i="6"/>
  <c r="K26" i="5"/>
  <c r="G35" i="6"/>
  <c r="U39" i="6"/>
  <c r="F9" i="6" s="1"/>
  <c r="M6" i="5"/>
  <c r="N6" i="5" s="1"/>
  <c r="O6" i="5" s="1"/>
  <c r="I6" i="5"/>
  <c r="J7" i="5"/>
  <c r="M7" i="5" s="1"/>
  <c r="K16" i="3"/>
  <c r="M5" i="5"/>
  <c r="N5" i="5" s="1"/>
  <c r="Q39" i="6"/>
  <c r="F38" i="6"/>
  <c r="F35" i="6"/>
  <c r="K34" i="6"/>
  <c r="P33" i="6"/>
  <c r="M33" i="6"/>
  <c r="K33" i="6"/>
  <c r="J32" i="6"/>
  <c r="K32" i="6" s="1"/>
  <c r="J31" i="6"/>
  <c r="K31" i="6" s="1"/>
  <c r="J30" i="6"/>
  <c r="K30" i="6" s="1"/>
  <c r="J29" i="6"/>
  <c r="K29" i="6" s="1"/>
  <c r="J28" i="6"/>
  <c r="K28" i="6" s="1"/>
  <c r="K27" i="6"/>
  <c r="K26" i="6"/>
  <c r="K25" i="6"/>
  <c r="J24" i="6"/>
  <c r="K24" i="6" s="1"/>
  <c r="K23" i="6"/>
  <c r="K22" i="6"/>
  <c r="K21" i="6"/>
  <c r="J19" i="6"/>
  <c r="J18" i="6" s="1"/>
  <c r="K17" i="6"/>
  <c r="F6" i="6"/>
  <c r="J20" i="5"/>
  <c r="M20" i="5" s="1"/>
  <c r="J19" i="5"/>
  <c r="M19" i="5" s="1"/>
  <c r="J18" i="5"/>
  <c r="J17" i="5"/>
  <c r="M17" i="5" s="1"/>
  <c r="J16" i="5"/>
  <c r="M16" i="5" s="1"/>
  <c r="J15" i="5"/>
  <c r="M15" i="5" s="1"/>
  <c r="N15" i="5" s="1"/>
  <c r="O15" i="5" s="1"/>
  <c r="I11" i="5"/>
  <c r="K11" i="5" s="1"/>
  <c r="L11" i="5" s="1"/>
  <c r="I12" i="5"/>
  <c r="K12" i="5" s="1"/>
  <c r="L12" i="5" s="1"/>
  <c r="K13" i="5"/>
  <c r="L13" i="5" s="1"/>
  <c r="K14" i="5"/>
  <c r="L14" i="5" s="1"/>
  <c r="M10" i="5"/>
  <c r="N10" i="5" s="1"/>
  <c r="O10" i="5" s="1"/>
  <c r="M11" i="5"/>
  <c r="M12" i="5"/>
  <c r="M13" i="5"/>
  <c r="M14" i="5"/>
  <c r="N14" i="5" s="1"/>
  <c r="O14" i="5" s="1"/>
  <c r="M18" i="5"/>
  <c r="K10" i="5"/>
  <c r="L10" i="5" s="1"/>
  <c r="J9" i="5"/>
  <c r="M9" i="5" s="1"/>
  <c r="H9" i="5"/>
  <c r="H10" i="5"/>
  <c r="H11" i="5"/>
  <c r="H12" i="5"/>
  <c r="H13" i="5"/>
  <c r="H14" i="5"/>
  <c r="H15" i="5"/>
  <c r="H16" i="5"/>
  <c r="H17" i="5"/>
  <c r="H18" i="5"/>
  <c r="H19" i="5"/>
  <c r="H20" i="5"/>
  <c r="J8" i="5"/>
  <c r="M8" i="5" s="1"/>
  <c r="H7" i="5"/>
  <c r="H8" i="5"/>
  <c r="H5" i="5"/>
  <c r="K6" i="5" l="1"/>
  <c r="L6" i="5" s="1"/>
  <c r="P6" i="5" s="1"/>
  <c r="T6" i="5" s="1"/>
  <c r="J20" i="6"/>
  <c r="K20" i="6" s="1"/>
  <c r="H36" i="6"/>
  <c r="H38" i="6" s="1"/>
  <c r="H35" i="6"/>
  <c r="Z6" i="5"/>
  <c r="K5" i="5"/>
  <c r="L5" i="5" s="1"/>
  <c r="K8" i="5"/>
  <c r="L8" i="5" s="1"/>
  <c r="F39" i="6"/>
  <c r="F40" i="6" s="1"/>
  <c r="E38" i="6"/>
  <c r="K43" i="6" s="1"/>
  <c r="K44" i="6" s="1"/>
  <c r="V39" i="6"/>
  <c r="G9" i="6"/>
  <c r="F7" i="6"/>
  <c r="K18" i="6"/>
  <c r="J39" i="6"/>
  <c r="K19" i="6"/>
  <c r="K20" i="5"/>
  <c r="L20" i="5" s="1"/>
  <c r="N11" i="5"/>
  <c r="O11" i="5" s="1"/>
  <c r="P11" i="5" s="1"/>
  <c r="N12" i="5"/>
  <c r="O12" i="5" s="1"/>
  <c r="P12" i="5" s="1"/>
  <c r="N7" i="5"/>
  <c r="O7" i="5" s="1"/>
  <c r="K7" i="5"/>
  <c r="L7" i="5" s="1"/>
  <c r="N19" i="5"/>
  <c r="O19" i="5" s="1"/>
  <c r="K9" i="5"/>
  <c r="L9" i="5" s="1"/>
  <c r="N18" i="5"/>
  <c r="O18" i="5" s="1"/>
  <c r="O5" i="5"/>
  <c r="K17" i="5"/>
  <c r="L17" i="5" s="1"/>
  <c r="N8" i="5"/>
  <c r="O8" i="5" s="1"/>
  <c r="K19" i="5"/>
  <c r="L19" i="5" s="1"/>
  <c r="K18" i="5"/>
  <c r="L18" i="5" s="1"/>
  <c r="N9" i="5"/>
  <c r="O9" i="5" s="1"/>
  <c r="K16" i="5"/>
  <c r="L16" i="5" s="1"/>
  <c r="K15" i="5"/>
  <c r="L15" i="5" s="1"/>
  <c r="P15" i="5" s="1"/>
  <c r="T15" i="5" s="1"/>
  <c r="P14" i="5"/>
  <c r="T14" i="5" s="1"/>
  <c r="P10" i="5"/>
  <c r="T10" i="5" s="1"/>
  <c r="N20" i="5"/>
  <c r="O20" i="5" s="1"/>
  <c r="P20" i="5" s="1"/>
  <c r="T20" i="5" s="1"/>
  <c r="N16" i="5"/>
  <c r="O16" i="5" s="1"/>
  <c r="N17" i="5"/>
  <c r="O17" i="5" s="1"/>
  <c r="N13" i="5"/>
  <c r="O13" i="5" s="1"/>
  <c r="P13" i="5" s="1"/>
  <c r="T13" i="5" s="1"/>
  <c r="K12" i="3"/>
  <c r="K10" i="3"/>
  <c r="D37" i="3"/>
  <c r="H34" i="3" s="1"/>
  <c r="I25" i="3"/>
  <c r="J25" i="3" s="1"/>
  <c r="J23" i="3"/>
  <c r="I21" i="3"/>
  <c r="D39" i="3" s="1"/>
  <c r="J19" i="3"/>
  <c r="J18" i="3"/>
  <c r="J16" i="3"/>
  <c r="J14" i="3"/>
  <c r="J12" i="3"/>
  <c r="J10" i="3"/>
  <c r="D10" i="3"/>
  <c r="J8" i="3"/>
  <c r="J7" i="3"/>
  <c r="J6" i="3"/>
  <c r="J5" i="3"/>
  <c r="J4" i="3"/>
  <c r="U12" i="5" l="1"/>
  <c r="T12" i="5"/>
  <c r="P8" i="5"/>
  <c r="T8" i="5" s="1"/>
  <c r="U8" i="5" s="1"/>
  <c r="U11" i="5"/>
  <c r="T11" i="5"/>
  <c r="F10" i="6"/>
  <c r="G42" i="6"/>
  <c r="H42" i="6" s="1"/>
  <c r="U40" i="6"/>
  <c r="U41" i="6" s="1"/>
  <c r="P18" i="5"/>
  <c r="K39" i="6"/>
  <c r="F11" i="6" s="1"/>
  <c r="P19" i="5"/>
  <c r="T19" i="5" s="1"/>
  <c r="P7" i="5"/>
  <c r="U20" i="5"/>
  <c r="Z20" i="5"/>
  <c r="U19" i="5"/>
  <c r="Z19" i="5"/>
  <c r="U15" i="5"/>
  <c r="Z15" i="5"/>
  <c r="U14" i="5"/>
  <c r="Z14" i="5"/>
  <c r="Z8" i="5"/>
  <c r="U10" i="5"/>
  <c r="Z10" i="5"/>
  <c r="U13" i="5"/>
  <c r="Z13" i="5"/>
  <c r="P5" i="5"/>
  <c r="T5" i="5" s="1"/>
  <c r="P17" i="5"/>
  <c r="T17" i="5" s="1"/>
  <c r="P9" i="5"/>
  <c r="T9" i="5" s="1"/>
  <c r="P16" i="5"/>
  <c r="T16" i="5" s="1"/>
  <c r="J21" i="3"/>
  <c r="D41" i="3"/>
  <c r="I27" i="3" s="1"/>
  <c r="J27" i="3" s="1"/>
  <c r="I29" i="3"/>
  <c r="T7" i="5" l="1"/>
  <c r="U7" i="5" s="1"/>
  <c r="T18" i="5"/>
  <c r="U18" i="5" s="1"/>
  <c r="X6" i="5"/>
  <c r="Z5" i="5"/>
  <c r="U17" i="5"/>
  <c r="Z17" i="5"/>
  <c r="U16" i="5"/>
  <c r="Z16" i="5"/>
  <c r="U9" i="5"/>
  <c r="Z9" i="5"/>
  <c r="J29" i="3"/>
  <c r="E39" i="3"/>
  <c r="E40" i="3" s="1"/>
  <c r="K15" i="2"/>
  <c r="K17" i="2" s="1"/>
  <c r="L15" i="2"/>
  <c r="L17" i="2" s="1"/>
  <c r="M15" i="2"/>
  <c r="M17" i="2" s="1"/>
  <c r="N15" i="2"/>
  <c r="N17" i="2" s="1"/>
  <c r="B2" i="2"/>
  <c r="F10" i="2"/>
  <c r="F12" i="2" s="1"/>
  <c r="G10" i="2"/>
  <c r="H10" i="2"/>
  <c r="H12" i="2" s="1"/>
  <c r="I10" i="2"/>
  <c r="J10" i="2"/>
  <c r="K10" i="2"/>
  <c r="L10" i="2"/>
  <c r="M10" i="2"/>
  <c r="N10" i="2"/>
  <c r="E10" i="2"/>
  <c r="E12" i="2" s="1"/>
  <c r="V18" i="2"/>
  <c r="S12" i="2"/>
  <c r="V14" i="2"/>
  <c r="L11" i="2"/>
  <c r="F3" i="2"/>
  <c r="G11" i="2"/>
  <c r="H20" i="2"/>
  <c r="I20" i="2" s="1"/>
  <c r="J20" i="2" s="1"/>
  <c r="K20" i="2" s="1"/>
  <c r="L20" i="2" s="1"/>
  <c r="M20" i="2" s="1"/>
  <c r="N20" i="2" s="1"/>
  <c r="F8" i="2"/>
  <c r="G8" i="2"/>
  <c r="H8" i="2"/>
  <c r="I8" i="2"/>
  <c r="E8" i="2"/>
  <c r="E15" i="2" s="1"/>
  <c r="E17" i="2" s="1"/>
  <c r="F15" i="2" s="1"/>
  <c r="F17" i="2" s="1"/>
  <c r="G15" i="2" s="1"/>
  <c r="J6" i="2"/>
  <c r="K6" i="2" s="1"/>
  <c r="K8" i="2" s="1"/>
  <c r="L8" i="2"/>
  <c r="Z18" i="5" l="1"/>
  <c r="Z7" i="5"/>
  <c r="T24" i="5" s="1"/>
  <c r="T21" i="5"/>
  <c r="U5" i="5"/>
  <c r="G17" i="2"/>
  <c r="H15" i="2"/>
  <c r="A29" i="2"/>
  <c r="V19" i="2"/>
  <c r="V15" i="2" s="1"/>
  <c r="Q13" i="2" s="1"/>
  <c r="Q14" i="2" s="1"/>
  <c r="P21" i="2" s="1"/>
  <c r="G12" i="2"/>
  <c r="G13" i="2" s="1"/>
  <c r="G19" i="2" s="1"/>
  <c r="N12" i="2"/>
  <c r="I12" i="2"/>
  <c r="I13" i="2" s="1"/>
  <c r="I19" i="2" s="1"/>
  <c r="J12" i="2"/>
  <c r="F13" i="2"/>
  <c r="F19" i="2" s="1"/>
  <c r="E13" i="2"/>
  <c r="E19" i="2" s="1"/>
  <c r="H13" i="2"/>
  <c r="H19" i="2" s="1"/>
  <c r="J8" i="2"/>
  <c r="M8" i="2"/>
  <c r="N8" i="2"/>
  <c r="H17" i="2" l="1"/>
  <c r="I15" i="2" s="1"/>
  <c r="I17" i="2" s="1"/>
  <c r="J15" i="2" s="1"/>
  <c r="J17" i="2" s="1"/>
  <c r="L12" i="2"/>
  <c r="L13" i="2" s="1"/>
  <c r="K12" i="2"/>
  <c r="K13" i="2" s="1"/>
  <c r="M12" i="2"/>
  <c r="M13" i="2" s="1"/>
  <c r="I21" i="2"/>
  <c r="I22" i="2" s="1"/>
  <c r="I14" i="2"/>
  <c r="G21" i="2"/>
  <c r="G22" i="2" s="1"/>
  <c r="G14" i="2"/>
  <c r="H14" i="2"/>
  <c r="H21" i="2"/>
  <c r="H22" i="2" s="1"/>
  <c r="E21" i="2"/>
  <c r="E22" i="2" s="1"/>
  <c r="E14" i="2"/>
  <c r="F14" i="2"/>
  <c r="F21" i="2"/>
  <c r="F22" i="2" s="1"/>
  <c r="J13" i="2"/>
  <c r="J19" i="2" s="1"/>
  <c r="N13" i="2"/>
  <c r="N19" i="2" s="1"/>
  <c r="M19" i="2" l="1"/>
  <c r="M21" i="2" s="1"/>
  <c r="M22" i="2" s="1"/>
  <c r="K19" i="2"/>
  <c r="K21" i="2" s="1"/>
  <c r="K22" i="2" s="1"/>
  <c r="L19" i="2"/>
  <c r="L21" i="2" s="1"/>
  <c r="L22" i="2" s="1"/>
  <c r="F24" i="2"/>
  <c r="L14" i="2"/>
  <c r="H24" i="2"/>
  <c r="G24" i="2"/>
  <c r="I24" i="2"/>
  <c r="E24" i="2"/>
  <c r="K14" i="2"/>
  <c r="M14" i="2"/>
  <c r="N14" i="2"/>
  <c r="N21" i="2"/>
  <c r="J14" i="2"/>
  <c r="J21" i="2"/>
  <c r="L24" i="2" l="1"/>
  <c r="M24" i="2"/>
  <c r="K24" i="2"/>
  <c r="J22" i="2"/>
  <c r="J24" i="2" s="1"/>
  <c r="E25" i="2" s="1"/>
  <c r="N22" i="2"/>
  <c r="N24" i="2" s="1"/>
  <c r="O24" i="2" s="1"/>
</calcChain>
</file>

<file path=xl/sharedStrings.xml><?xml version="1.0" encoding="utf-8"?>
<sst xmlns="http://schemas.openxmlformats.org/spreadsheetml/2006/main" count="226" uniqueCount="174">
  <si>
    <t>Sr. No.</t>
  </si>
  <si>
    <t>Floor</t>
  </si>
  <si>
    <t>Date</t>
  </si>
  <si>
    <t>Occupancy rate</t>
  </si>
  <si>
    <t xml:space="preserve">Leaseable area </t>
  </si>
  <si>
    <t xml:space="preserve">Net Leased area </t>
  </si>
  <si>
    <t>Dip %</t>
  </si>
  <si>
    <t xml:space="preserve">Increment </t>
  </si>
  <si>
    <t>Escalation</t>
  </si>
  <si>
    <t>Monthly Rent (In per sq.ft.)</t>
  </si>
  <si>
    <t>Any other Charges (In per sq.ft.)</t>
  </si>
  <si>
    <t>Final Rent (In per sq.ft.)</t>
  </si>
  <si>
    <t>Income from lease</t>
  </si>
  <si>
    <t>Outgoing</t>
  </si>
  <si>
    <t xml:space="preserve">  </t>
  </si>
  <si>
    <t>Maintenance &amp; operative Charges</t>
  </si>
  <si>
    <t>Net cash flow</t>
  </si>
  <si>
    <t xml:space="preserve">Debt to equity </t>
  </si>
  <si>
    <t>Unlevered beta</t>
  </si>
  <si>
    <t xml:space="preserve">Debt </t>
  </si>
  <si>
    <t xml:space="preserve">Equity </t>
  </si>
  <si>
    <t xml:space="preserve">% </t>
  </si>
  <si>
    <t xml:space="preserve">cost </t>
  </si>
  <si>
    <t>WACC</t>
  </si>
  <si>
    <t>Market return</t>
  </si>
  <si>
    <t>Risk free rate of return</t>
  </si>
  <si>
    <t>Beta Godrej Properties</t>
  </si>
  <si>
    <t xml:space="preserve">Cost of equity </t>
  </si>
  <si>
    <t>levered beta</t>
  </si>
  <si>
    <t>Security Deposit</t>
  </si>
  <si>
    <t>Lessee</t>
  </si>
  <si>
    <t>Tenant</t>
  </si>
  <si>
    <t>LOI/Lease deed status</t>
  </si>
  <si>
    <t>Occupation Date</t>
  </si>
  <si>
    <t>Rent</t>
  </si>
  <si>
    <t>Leasable Area (Sq. ft.)</t>
  </si>
  <si>
    <t>Annual Rent*</t>
  </si>
  <si>
    <t>Tablespace Services Pvt Ltd</t>
  </si>
  <si>
    <t>Naviga Global</t>
  </si>
  <si>
    <t>Lease Deed executed - Registration under process</t>
  </si>
  <si>
    <t>22nd Aug</t>
  </si>
  <si>
    <t>Clearwater Analytics</t>
  </si>
  <si>
    <t>8th Aug</t>
  </si>
  <si>
    <t>French MNC</t>
  </si>
  <si>
    <t>LOI Executed</t>
  </si>
  <si>
    <t>Top fortune 100 MNC</t>
  </si>
  <si>
    <t>Under Process</t>
  </si>
  <si>
    <t>Swiss Singapore Overseas Pte Ltd</t>
  </si>
  <si>
    <t>ZS</t>
  </si>
  <si>
    <t>14 and 15</t>
  </si>
  <si>
    <t>BPTP Ltd</t>
  </si>
  <si>
    <t>3rd &amp; Mezzanine</t>
  </si>
  <si>
    <t>Garg Enterprises (CAD)</t>
  </si>
  <si>
    <t>(Restaurant) Ground**</t>
  </si>
  <si>
    <t>Multiple Tenants</t>
  </si>
  <si>
    <t>CMA CGM</t>
  </si>
  <si>
    <t>LOI under process (to be executed this month)</t>
  </si>
  <si>
    <t>British Council</t>
  </si>
  <si>
    <t>Under discussion (Advance Stage)</t>
  </si>
  <si>
    <t>Retail Area**</t>
  </si>
  <si>
    <t>Balance Unleased Area</t>
  </si>
  <si>
    <t>Total Leasable Area</t>
  </si>
  <si>
    <t>*Annual Rent does not include CAM and anciliary income</t>
  </si>
  <si>
    <t>** In Retail area leasing Revenure share will be higher</t>
  </si>
  <si>
    <t>Total Area of Project</t>
  </si>
  <si>
    <t>Area sold out ***</t>
  </si>
  <si>
    <t>Leasable Area</t>
  </si>
  <si>
    <t>Area Leased Out/Under finalisation</t>
  </si>
  <si>
    <t>Balance leasable area</t>
  </si>
  <si>
    <t xml:space="preserve">*** we are trying to buy back some more area </t>
  </si>
  <si>
    <t>S.No.</t>
  </si>
  <si>
    <t>Capital Value</t>
  </si>
  <si>
    <t>LOI executed in name of Garg enterprise(CAD)</t>
  </si>
  <si>
    <t>LOI executed in name of BPTP Ltd.</t>
  </si>
  <si>
    <t>Lease Deed executed - Registration under process for Naviga Global</t>
  </si>
  <si>
    <t>Lease Deed executed - Registration under process for Clear water Analytics</t>
  </si>
  <si>
    <t>LOI executed in name of French MNC</t>
  </si>
  <si>
    <t>Fully Furnished</t>
  </si>
  <si>
    <t>Bare Shell</t>
  </si>
  <si>
    <t>LOI executed in name of Swiss Singapore Overseas Pvt Ltd
LOI under process for CMA and British Council</t>
  </si>
  <si>
    <t xml:space="preserve">Leased </t>
  </si>
  <si>
    <t>Unleased Area</t>
  </si>
  <si>
    <t>Y.P.</t>
  </si>
  <si>
    <t>No Name provided</t>
  </si>
  <si>
    <t>Z5</t>
  </si>
  <si>
    <t>sold out unit not considered</t>
  </si>
  <si>
    <t>Lease Status</t>
  </si>
  <si>
    <t>Construction Status</t>
  </si>
  <si>
    <t>Yet to be leased</t>
  </si>
  <si>
    <t>5th</t>
  </si>
  <si>
    <t>6th</t>
  </si>
  <si>
    <r>
      <t xml:space="preserve">Total Floor Plate
</t>
    </r>
    <r>
      <rPr>
        <b/>
        <i/>
        <sz val="11"/>
        <color theme="0"/>
        <rFont val="Calibri"/>
        <family val="2"/>
        <scheme val="minor"/>
      </rPr>
      <t>(per sq.ft.)</t>
    </r>
  </si>
  <si>
    <t>Monthly</t>
  </si>
  <si>
    <t>Annual Rac Rent</t>
  </si>
  <si>
    <t>BPTP CAPITAL CITY, NOIDA SECTOR 94</t>
  </si>
  <si>
    <t>AREA SUMMARY SHEET</t>
  </si>
  <si>
    <t>SQ.FT</t>
  </si>
  <si>
    <t>TOTAL RETAIL SALEABLE AREA</t>
  </si>
  <si>
    <t>TOTAL OFFICE SALEABLE AREA</t>
  </si>
  <si>
    <t>TOTAL SALEABLE AREA</t>
  </si>
  <si>
    <t>TOTAL BUITUP AREA</t>
  </si>
  <si>
    <t>Total Carpet Area</t>
  </si>
  <si>
    <t>AREA STATEMENT</t>
  </si>
  <si>
    <t>FLOOR</t>
  </si>
  <si>
    <t>Carpet Area (sqm)</t>
  </si>
  <si>
    <t>Carpet Area (sft)</t>
  </si>
  <si>
    <t>COVERED AREA</t>
  </si>
  <si>
    <t>COVERED AREA WITH BOXING</t>
  </si>
  <si>
    <t>Super Area
(Sq.ft)</t>
  </si>
  <si>
    <t>SUPER AREA</t>
  </si>
  <si>
    <t>(sqm)</t>
  </si>
  <si>
    <t>Q (sft)</t>
  </si>
  <si>
    <t xml:space="preserve"> (sft)</t>
  </si>
  <si>
    <t>sqm</t>
  </si>
  <si>
    <t>sft</t>
  </si>
  <si>
    <t>sq.ft</t>
  </si>
  <si>
    <t>Terrace</t>
  </si>
  <si>
    <t>15th floor</t>
  </si>
  <si>
    <t>14th floor</t>
  </si>
  <si>
    <t>13th floor</t>
  </si>
  <si>
    <t>12th floor</t>
  </si>
  <si>
    <t>11th floor</t>
  </si>
  <si>
    <t>10th floor</t>
  </si>
  <si>
    <t>9th floor</t>
  </si>
  <si>
    <t>8th floor</t>
  </si>
  <si>
    <t>7th floor</t>
  </si>
  <si>
    <t>6th floor</t>
  </si>
  <si>
    <t>5th floor</t>
  </si>
  <si>
    <t>4th floor</t>
  </si>
  <si>
    <t>3rd mezzanine</t>
  </si>
  <si>
    <t>3rd floor</t>
  </si>
  <si>
    <t>3rd floor -office</t>
  </si>
  <si>
    <t>3rd floor -retail</t>
  </si>
  <si>
    <t>2nd floor</t>
  </si>
  <si>
    <t>1st floor</t>
  </si>
  <si>
    <t>ground floor</t>
  </si>
  <si>
    <t>basement 1</t>
  </si>
  <si>
    <t>basement 2</t>
  </si>
  <si>
    <t>basement 3</t>
  </si>
  <si>
    <t xml:space="preserve">total </t>
  </si>
  <si>
    <t>Average</t>
  </si>
  <si>
    <t>Food Court operated by BPTP</t>
  </si>
  <si>
    <r>
      <t xml:space="preserve">Total Area
</t>
    </r>
    <r>
      <rPr>
        <b/>
        <i/>
        <sz val="11"/>
        <color theme="0"/>
        <rFont val="Calibri"/>
        <family val="2"/>
        <scheme val="minor"/>
      </rPr>
      <t>(in sq.ft.)</t>
    </r>
  </si>
  <si>
    <t>https://www.99acres.com/commercial-office-space-in-sector-94-noida-ffid</t>
  </si>
  <si>
    <t>Annual Maintenance</t>
  </si>
  <si>
    <t>Maintenance Value</t>
  </si>
  <si>
    <t>Ground Floor</t>
  </si>
  <si>
    <t>1st Floor</t>
  </si>
  <si>
    <t>2nd Floor</t>
  </si>
  <si>
    <t>4th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</si>
  <si>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</si>
  <si>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</si>
  <si>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</si>
  <si>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</si>
  <si>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</si>
  <si>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</si>
  <si>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</si>
  <si>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&amp; 15th Floor</t>
  </si>
  <si>
    <t>Built Up Area (in sq.mtr.)</t>
  </si>
  <si>
    <t>Built Up Area(in sq.ft.)</t>
  </si>
  <si>
    <t>Super Area (sq.ft)</t>
  </si>
  <si>
    <t xml:space="preserve"> Grand Total </t>
  </si>
  <si>
    <t xml:space="preserve">Sub-Total </t>
  </si>
  <si>
    <t>Total Basement Area</t>
  </si>
  <si>
    <t>3rd Floor
 with Mezzanine</t>
  </si>
  <si>
    <t>GF</t>
  </si>
  <si>
    <t>Remaining</t>
  </si>
  <si>
    <t>S. No.</t>
  </si>
  <si>
    <t>Total</t>
  </si>
  <si>
    <r>
      <t xml:space="preserve">Maintenance &amp; ORS Expenses </t>
    </r>
    <r>
      <rPr>
        <b/>
        <i/>
        <sz val="11"/>
        <color theme="0"/>
        <rFont val="Calibri"/>
        <family val="2"/>
        <scheme val="minor"/>
      </rPr>
      <t>(in INR)</t>
    </r>
  </si>
  <si>
    <t>Rate of interest(I)</t>
  </si>
  <si>
    <t>Term(N )</t>
  </si>
  <si>
    <t>Rates
Including Maintenance</t>
  </si>
  <si>
    <t xml:space="preserve">Net Rent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</si>
</sst>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%"/>
    <numFmt numFmtId="166" formatCode="0.0000%"/>
    <numFmt numFmtId="167" formatCode="_-* #,##0.00_-;\-* #,##0.00_-;_-* &quot;-&quot;??_-;_-@_-"/>
    <numFmt numFmtId="168" formatCode="_(* #,##0_);_(* \(#,##0\);_(* &quot;-&quot;??_);_(@_)"/>
    <numFmt numFmtId="169" formatCode="_ &quot;₹&quot;\ * #,##0_ ;_ &quot;₹&quot;\ * \-#,##0_ ;_ &quot;₹&quot;\ * &quot;-&quot;??_ ;_ @_ "/>
    <numFmt numFmtId="170" formatCode="_(* #,##0.0_);_(* \(#,##0.0\);_(* &quot;-&quot;??_);_(@_)"/>
    <numFmt numFmtId="171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43" fontId="0" fillId="0" borderId="0" xfId="1" applyFont="1"/>
    <xf numFmtId="9" fontId="0" fillId="0" borderId="0" xfId="0" applyNumberFormat="1"/>
    <xf numFmtId="9" fontId="0" fillId="0" borderId="0" xfId="2" applyFont="1"/>
    <xf numFmtId="165" fontId="0" fillId="0" borderId="0" xfId="0" applyNumberFormat="1"/>
    <xf numFmtId="166" fontId="0" fillId="0" borderId="0" xfId="0" applyNumberFormat="1"/>
    <xf numFmtId="10" fontId="0" fillId="0" borderId="0" xfId="2" applyNumberFormat="1" applyFont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/>
    <xf numFmtId="10" fontId="0" fillId="0" borderId="1" xfId="2" applyNumberFormat="1" applyFont="1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164" fontId="0" fillId="0" borderId="1" xfId="1" applyNumberFormat="1" applyFont="1" applyBorder="1"/>
    <xf numFmtId="43" fontId="0" fillId="0" borderId="1" xfId="1" applyFont="1" applyBorder="1"/>
    <xf numFmtId="164" fontId="0" fillId="0" borderId="1" xfId="0" applyNumberFormat="1" applyBorder="1"/>
    <xf numFmtId="43" fontId="0" fillId="0" borderId="1" xfId="0" applyNumberFormat="1" applyBorder="1"/>
    <xf numFmtId="9" fontId="0" fillId="0" borderId="1" xfId="2" applyFont="1" applyBorder="1"/>
    <xf numFmtId="14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43" fontId="2" fillId="0" borderId="7" xfId="1" applyBorder="1"/>
    <xf numFmtId="164" fontId="2" fillId="0" borderId="7" xfId="4" applyNumberFormat="1" applyFont="1" applyBorder="1"/>
    <xf numFmtId="43" fontId="2" fillId="0" borderId="8" xfId="1" applyFont="1" applyBorder="1"/>
    <xf numFmtId="0" fontId="0" fillId="0" borderId="9" xfId="0" applyBorder="1" applyAlignment="1">
      <alignment horizontal="center"/>
    </xf>
    <xf numFmtId="43" fontId="2" fillId="0" borderId="1" xfId="1" applyBorder="1"/>
    <xf numFmtId="164" fontId="2" fillId="0" borderId="1" xfId="4" applyNumberFormat="1" applyFont="1" applyBorder="1"/>
    <xf numFmtId="43" fontId="2" fillId="0" borderId="1" xfId="1" applyFont="1" applyBorder="1" applyAlignment="1">
      <alignment horizontal="center"/>
    </xf>
    <xf numFmtId="168" fontId="2" fillId="0" borderId="1" xfId="1" applyNumberFormat="1" applyFont="1" applyBorder="1"/>
    <xf numFmtId="0" fontId="2" fillId="0" borderId="1" xfId="5" applyBorder="1"/>
    <xf numFmtId="0" fontId="0" fillId="0" borderId="11" xfId="0" applyBorder="1" applyAlignment="1">
      <alignment horizontal="center"/>
    </xf>
    <xf numFmtId="0" fontId="2" fillId="0" borderId="10" xfId="5" applyBorder="1"/>
    <xf numFmtId="0" fontId="0" fillId="0" borderId="10" xfId="0" applyBorder="1"/>
    <xf numFmtId="0" fontId="0" fillId="0" borderId="10" xfId="0" applyBorder="1" applyAlignment="1">
      <alignment horizontal="center"/>
    </xf>
    <xf numFmtId="43" fontId="2" fillId="0" borderId="10" xfId="1" applyFont="1" applyBorder="1" applyAlignment="1">
      <alignment horizontal="center"/>
    </xf>
    <xf numFmtId="164" fontId="2" fillId="0" borderId="10" xfId="4" applyNumberFormat="1" applyFont="1" applyBorder="1"/>
    <xf numFmtId="164" fontId="2" fillId="0" borderId="12" xfId="4" applyNumberFormat="1" applyFont="1" applyBorder="1"/>
    <xf numFmtId="0" fontId="3" fillId="3" borderId="3" xfId="0" applyFont="1" applyFill="1" applyBorder="1" applyAlignment="1">
      <alignment horizontal="center"/>
    </xf>
    <xf numFmtId="0" fontId="3" fillId="3" borderId="4" xfId="5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164" fontId="3" fillId="3" borderId="4" xfId="4" applyNumberFormat="1" applyFont="1" applyFill="1" applyBorder="1"/>
    <xf numFmtId="43" fontId="3" fillId="3" borderId="5" xfId="1" applyFont="1" applyFill="1" applyBorder="1"/>
    <xf numFmtId="0" fontId="3" fillId="0" borderId="13" xfId="0" applyFont="1" applyBorder="1" applyAlignment="1">
      <alignment horizontal="center"/>
    </xf>
    <xf numFmtId="0" fontId="3" fillId="0" borderId="14" xfId="5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3" fontId="3" fillId="0" borderId="14" xfId="1" applyFont="1" applyFill="1" applyBorder="1" applyAlignment="1">
      <alignment horizontal="center"/>
    </xf>
    <xf numFmtId="164" fontId="3" fillId="0" borderId="14" xfId="4" applyNumberFormat="1" applyFont="1" applyFill="1" applyBorder="1"/>
    <xf numFmtId="164" fontId="3" fillId="0" borderId="15" xfId="4" applyNumberFormat="1" applyFont="1" applyFill="1" applyBorder="1"/>
    <xf numFmtId="0" fontId="0" fillId="0" borderId="1" xfId="5" applyFont="1" applyBorder="1"/>
    <xf numFmtId="0" fontId="3" fillId="0" borderId="1" xfId="0" applyFont="1" applyBorder="1"/>
    <xf numFmtId="43" fontId="2" fillId="0" borderId="1" xfId="1" applyFont="1" applyFill="1" applyBorder="1" applyAlignment="1">
      <alignment horizontal="center"/>
    </xf>
    <xf numFmtId="164" fontId="2" fillId="0" borderId="1" xfId="4" applyNumberFormat="1" applyFont="1" applyFill="1" applyBorder="1"/>
    <xf numFmtId="43" fontId="2" fillId="0" borderId="16" xfId="1" applyFont="1" applyBorder="1"/>
    <xf numFmtId="164" fontId="2" fillId="0" borderId="16" xfId="4" applyNumberFormat="1" applyFont="1" applyFill="1" applyBorder="1"/>
    <xf numFmtId="0" fontId="0" fillId="0" borderId="17" xfId="0" applyBorder="1" applyAlignment="1">
      <alignment horizontal="center"/>
    </xf>
    <xf numFmtId="0" fontId="2" fillId="0" borderId="18" xfId="5" applyBorder="1"/>
    <xf numFmtId="0" fontId="0" fillId="0" borderId="18" xfId="0" applyBorder="1"/>
    <xf numFmtId="0" fontId="0" fillId="0" borderId="18" xfId="0" applyBorder="1" applyAlignment="1">
      <alignment horizontal="center"/>
    </xf>
    <xf numFmtId="43" fontId="2" fillId="0" borderId="18" xfId="1" applyFont="1" applyFill="1" applyBorder="1" applyAlignment="1">
      <alignment horizontal="center"/>
    </xf>
    <xf numFmtId="164" fontId="2" fillId="0" borderId="18" xfId="4" applyNumberFormat="1" applyFont="1" applyFill="1" applyBorder="1"/>
    <xf numFmtId="164" fontId="2" fillId="0" borderId="19" xfId="4" applyNumberFormat="1" applyFont="1" applyFill="1" applyBorder="1"/>
    <xf numFmtId="0" fontId="0" fillId="0" borderId="20" xfId="0" applyBorder="1" applyAlignment="1">
      <alignment horizontal="center"/>
    </xf>
    <xf numFmtId="0" fontId="3" fillId="0" borderId="21" xfId="5" applyFont="1" applyBorder="1"/>
    <xf numFmtId="0" fontId="0" fillId="0" borderId="21" xfId="0" applyBorder="1"/>
    <xf numFmtId="0" fontId="0" fillId="0" borderId="21" xfId="0" applyBorder="1" applyAlignment="1">
      <alignment horizontal="center"/>
    </xf>
    <xf numFmtId="43" fontId="2" fillId="0" borderId="21" xfId="1" applyFont="1" applyBorder="1" applyAlignment="1">
      <alignment horizontal="center"/>
    </xf>
    <xf numFmtId="164" fontId="3" fillId="0" borderId="22" xfId="4" applyNumberFormat="1" applyFont="1" applyBorder="1"/>
    <xf numFmtId="43" fontId="3" fillId="0" borderId="22" xfId="1" applyFont="1" applyBorder="1"/>
    <xf numFmtId="0" fontId="0" fillId="0" borderId="0" xfId="5" applyFont="1"/>
    <xf numFmtId="164" fontId="2" fillId="0" borderId="0" xfId="4" applyNumberFormat="1" applyFont="1" applyBorder="1"/>
    <xf numFmtId="164" fontId="3" fillId="0" borderId="1" xfId="0" applyNumberFormat="1" applyFont="1" applyBorder="1"/>
    <xf numFmtId="43" fontId="0" fillId="0" borderId="0" xfId="0" applyNumberFormat="1"/>
    <xf numFmtId="0" fontId="0" fillId="0" borderId="23" xfId="0" applyBorder="1"/>
    <xf numFmtId="164" fontId="0" fillId="0" borderId="0" xfId="0" applyNumberFormat="1"/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0" borderId="13" xfId="0" applyFont="1" applyBorder="1"/>
    <xf numFmtId="0" fontId="3" fillId="0" borderId="15" xfId="0" applyFont="1" applyBorder="1" applyAlignment="1">
      <alignment horizontal="center"/>
    </xf>
    <xf numFmtId="0" fontId="3" fillId="0" borderId="9" xfId="0" applyFont="1" applyBorder="1"/>
    <xf numFmtId="170" fontId="3" fillId="0" borderId="16" xfId="1" applyNumberFormat="1" applyFont="1" applyFill="1" applyBorder="1"/>
    <xf numFmtId="0" fontId="3" fillId="0" borderId="11" xfId="0" applyFont="1" applyBorder="1"/>
    <xf numFmtId="170" fontId="3" fillId="0" borderId="12" xfId="1" applyNumberFormat="1" applyFont="1" applyFill="1" applyBorder="1"/>
    <xf numFmtId="0" fontId="3" fillId="0" borderId="3" xfId="0" applyFont="1" applyBorder="1"/>
    <xf numFmtId="170" fontId="3" fillId="0" borderId="5" xfId="1" applyNumberFormat="1" applyFont="1" applyFill="1" applyBorder="1"/>
    <xf numFmtId="170" fontId="3" fillId="0" borderId="28" xfId="1" applyNumberFormat="1" applyFont="1" applyBorder="1"/>
    <xf numFmtId="0" fontId="3" fillId="0" borderId="20" xfId="0" applyFont="1" applyBorder="1"/>
    <xf numFmtId="0" fontId="0" fillId="0" borderId="0" xfId="0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9" xfId="0" applyBorder="1"/>
    <xf numFmtId="0" fontId="0" fillId="0" borderId="1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0" borderId="31" xfId="0" applyBorder="1"/>
    <xf numFmtId="0" fontId="3" fillId="0" borderId="8" xfId="0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32" xfId="0" applyBorder="1"/>
    <xf numFmtId="168" fontId="0" fillId="0" borderId="1" xfId="1" applyNumberFormat="1" applyFont="1" applyBorder="1" applyAlignment="1">
      <alignment horizontal="right" vertical="center"/>
    </xf>
    <xf numFmtId="168" fontId="0" fillId="0" borderId="16" xfId="1" applyNumberFormat="1" applyFont="1" applyBorder="1" applyAlignment="1">
      <alignment horizontal="center" vertical="center"/>
    </xf>
    <xf numFmtId="168" fontId="0" fillId="0" borderId="9" xfId="1" applyNumberFormat="1" applyFont="1" applyBorder="1" applyAlignment="1">
      <alignment horizontal="center" vertical="center"/>
    </xf>
    <xf numFmtId="168" fontId="0" fillId="8" borderId="9" xfId="1" applyNumberFormat="1" applyFont="1" applyFill="1" applyBorder="1" applyAlignment="1">
      <alignment horizontal="center" vertical="center"/>
    </xf>
    <xf numFmtId="168" fontId="0" fillId="8" borderId="16" xfId="1" applyNumberFormat="1" applyFont="1" applyFill="1" applyBorder="1" applyAlignment="1">
      <alignment horizontal="center" vertical="center"/>
    </xf>
    <xf numFmtId="168" fontId="0" fillId="0" borderId="9" xfId="1" applyNumberFormat="1" applyFont="1" applyFill="1" applyBorder="1" applyAlignment="1">
      <alignment horizontal="center" vertical="center"/>
    </xf>
    <xf numFmtId="168" fontId="0" fillId="0" borderId="16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170" fontId="0" fillId="0" borderId="16" xfId="1" applyNumberFormat="1" applyFont="1" applyFill="1" applyBorder="1" applyAlignment="1">
      <alignment vertical="center"/>
    </xf>
    <xf numFmtId="168" fontId="2" fillId="0" borderId="9" xfId="1" applyNumberFormat="1" applyFont="1" applyBorder="1" applyAlignment="1">
      <alignment horizontal="center" vertical="center"/>
    </xf>
    <xf numFmtId="168" fontId="2" fillId="0" borderId="16" xfId="1" applyNumberFormat="1" applyFont="1" applyFill="1" applyBorder="1" applyAlignment="1">
      <alignment horizontal="right" vertical="center"/>
    </xf>
    <xf numFmtId="170" fontId="2" fillId="0" borderId="16" xfId="1" applyNumberFormat="1" applyFont="1" applyFill="1" applyBorder="1" applyAlignment="1">
      <alignment vertical="center"/>
    </xf>
    <xf numFmtId="168" fontId="2" fillId="0" borderId="33" xfId="1" applyNumberFormat="1" applyFont="1" applyBorder="1"/>
    <xf numFmtId="168" fontId="2" fillId="0" borderId="32" xfId="1" applyNumberFormat="1" applyFont="1" applyFill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6" xfId="4" applyNumberFormat="1" applyFont="1" applyBorder="1" applyAlignment="1">
      <alignment horizontal="right" vertical="center"/>
    </xf>
    <xf numFmtId="2" fontId="0" fillId="8" borderId="9" xfId="0" applyNumberForma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170" fontId="2" fillId="0" borderId="16" xfId="1" applyNumberFormat="1" applyFont="1" applyFill="1" applyBorder="1" applyAlignment="1"/>
    <xf numFmtId="0" fontId="0" fillId="0" borderId="33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right" vertical="center"/>
    </xf>
    <xf numFmtId="168" fontId="7" fillId="0" borderId="16" xfId="1" applyNumberFormat="1" applyFont="1" applyFill="1" applyBorder="1" applyAlignment="1"/>
    <xf numFmtId="2" fontId="0" fillId="0" borderId="16" xfId="0" applyNumberFormat="1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9" xfId="0" applyBorder="1" applyAlignment="1">
      <alignment horizontal="center" vertical="center"/>
    </xf>
    <xf numFmtId="168" fontId="3" fillId="0" borderId="26" xfId="1" applyNumberFormat="1" applyFont="1" applyBorder="1" applyAlignment="1">
      <alignment horizontal="center" vertical="center"/>
    </xf>
    <xf numFmtId="168" fontId="3" fillId="0" borderId="5" xfId="1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3" fillId="0" borderId="2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2" fontId="3" fillId="0" borderId="5" xfId="0" applyNumberFormat="1" applyFont="1" applyBorder="1"/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1" fontId="10" fillId="0" borderId="28" xfId="0" applyNumberFormat="1" applyFont="1" applyBorder="1" applyAlignment="1">
      <alignment horizontal="center" vertical="center"/>
    </xf>
    <xf numFmtId="44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1" fillId="0" borderId="0" xfId="6"/>
    <xf numFmtId="168" fontId="0" fillId="0" borderId="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70" fontId="0" fillId="0" borderId="25" xfId="1" applyNumberFormat="1" applyFont="1" applyFill="1" applyBorder="1" applyAlignment="1">
      <alignment vertical="center"/>
    </xf>
    <xf numFmtId="170" fontId="2" fillId="0" borderId="25" xfId="1" applyNumberFormat="1" applyFont="1" applyFill="1" applyBorder="1" applyAlignment="1">
      <alignment vertical="center"/>
    </xf>
    <xf numFmtId="170" fontId="2" fillId="0" borderId="25" xfId="1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8" fontId="0" fillId="0" borderId="1" xfId="1" applyNumberFormat="1" applyFont="1" applyFill="1" applyBorder="1" applyAlignment="1">
      <alignment horizontal="right" vertical="center"/>
    </xf>
    <xf numFmtId="168" fontId="0" fillId="0" borderId="1" xfId="1" applyNumberFormat="1" applyFont="1" applyBorder="1" applyAlignment="1">
      <alignment horizontal="center" vertical="center"/>
    </xf>
    <xf numFmtId="170" fontId="0" fillId="0" borderId="1" xfId="1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/>
    <xf numFmtId="168" fontId="0" fillId="0" borderId="1" xfId="1" applyNumberFormat="1" applyFont="1" applyFill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8" fontId="9" fillId="0" borderId="1" xfId="1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/>
    <xf numFmtId="170" fontId="2" fillId="0" borderId="0" xfId="1" applyNumberFormat="1" applyFont="1" applyFill="1" applyBorder="1" applyAlignment="1"/>
    <xf numFmtId="170" fontId="0" fillId="0" borderId="0" xfId="0" applyNumberFormat="1" applyAlignment="1">
      <alignment horizontal="center" vertical="center"/>
    </xf>
    <xf numFmtId="168" fontId="0" fillId="0" borderId="0" xfId="0" applyNumberFormat="1"/>
    <xf numFmtId="43" fontId="3" fillId="0" borderId="9" xfId="0" applyNumberFormat="1" applyFont="1" applyBorder="1" applyAlignment="1">
      <alignment horizontal="center" vertical="center"/>
    </xf>
    <xf numFmtId="169" fontId="0" fillId="0" borderId="0" xfId="3" applyNumberFormat="1" applyFont="1"/>
    <xf numFmtId="170" fontId="0" fillId="0" borderId="0" xfId="0" applyNumberFormat="1"/>
    <xf numFmtId="4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9" fontId="0" fillId="0" borderId="1" xfId="3" applyNumberFormat="1" applyFont="1" applyBorder="1" applyAlignment="1">
      <alignment horizontal="center" vertical="center" wrapText="1"/>
    </xf>
    <xf numFmtId="169" fontId="0" fillId="0" borderId="1" xfId="3" applyNumberFormat="1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" fontId="0" fillId="0" borderId="0" xfId="0" applyNumberFormat="1" applyAlignment="1">
      <alignment vertical="center"/>
    </xf>
    <xf numFmtId="43" fontId="0" fillId="0" borderId="1" xfId="0" applyNumberFormat="1" applyBorder="1" applyAlignment="1">
      <alignment vertical="center"/>
    </xf>
    <xf numFmtId="4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169" fontId="0" fillId="0" borderId="1" xfId="3" applyNumberFormat="1" applyFont="1" applyFill="1" applyBorder="1" applyAlignment="1">
      <alignment horizontal="center" vertical="center" wrapText="1"/>
    </xf>
    <xf numFmtId="169" fontId="0" fillId="0" borderId="1" xfId="3" applyNumberFormat="1" applyFont="1" applyFill="1" applyBorder="1" applyAlignment="1">
      <alignment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 wrapText="1"/>
    </xf>
    <xf numFmtId="169" fontId="0" fillId="11" borderId="1" xfId="3" applyNumberFormat="1" applyFont="1" applyFill="1" applyBorder="1" applyAlignment="1">
      <alignment horizontal="center" vertical="center" wrapText="1"/>
    </xf>
    <xf numFmtId="169" fontId="0" fillId="11" borderId="1" xfId="3" applyNumberFormat="1" applyFont="1" applyFill="1" applyBorder="1" applyAlignment="1">
      <alignment vertical="center" wrapText="1"/>
    </xf>
    <xf numFmtId="1" fontId="0" fillId="11" borderId="1" xfId="0" applyNumberFormat="1" applyFill="1" applyBorder="1" applyAlignment="1">
      <alignment horizontal="center" vertical="center" wrapText="1"/>
    </xf>
    <xf numFmtId="43" fontId="0" fillId="11" borderId="1" xfId="0" applyNumberFormat="1" applyFill="1" applyBorder="1" applyAlignment="1">
      <alignment vertical="center"/>
    </xf>
    <xf numFmtId="43" fontId="0" fillId="11" borderId="0" xfId="0" applyNumberFormat="1" applyFill="1" applyAlignment="1">
      <alignment vertical="center"/>
    </xf>
    <xf numFmtId="44" fontId="0" fillId="11" borderId="0" xfId="0" applyNumberFormat="1" applyFill="1" applyAlignment="1">
      <alignment vertical="center"/>
    </xf>
    <xf numFmtId="0" fontId="0" fillId="11" borderId="0" xfId="0" applyFill="1" applyAlignment="1">
      <alignment vertical="center"/>
    </xf>
    <xf numFmtId="169" fontId="3" fillId="0" borderId="1" xfId="3" applyNumberFormat="1" applyFont="1" applyBorder="1" applyAlignment="1">
      <alignment vertical="center" wrapText="1"/>
    </xf>
    <xf numFmtId="169" fontId="0" fillId="0" borderId="0" xfId="3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9" fontId="3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3" fillId="5" borderId="25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11" borderId="1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1" fontId="0" fillId="0" borderId="1" xfId="0" applyNumberFormat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9" fontId="3" fillId="5" borderId="25" xfId="0" applyNumberFormat="1" applyFont="1" applyFill="1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8" borderId="2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10" borderId="26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8" fontId="0" fillId="0" borderId="1" xfId="1" applyNumberFormat="1" applyFont="1" applyBorder="1" applyAlignment="1">
      <alignment horizontal="right" vertical="center"/>
    </xf>
    <xf numFmtId="168" fontId="0" fillId="0" borderId="1" xfId="1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7">
    <cellStyle name="Comma" xfId="1" builtinId="3"/>
    <cellStyle name="Comma 2" xfId="4" xr:uid="{00000000-0005-0000-0000-000001000000}"/>
    <cellStyle name="Currency" xfId="3" builtinId="4"/>
    <cellStyle name="Hyperlink" xfId="6" builtinId="8"/>
    <cellStyle name="Normal" xfId="0" builtinId="0"/>
    <cellStyle name="Normal 2 10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99acres.com/commercial-office-space-in-sector-94-noida-ff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9"/>
  <sheetViews>
    <sheetView workbookViewId="0">
      <selection activeCell="D28" sqref="D28"/>
    </sheetView>
  </sheetViews>
  <sheetFormatPr defaultRowHeight="15" x14ac:dyDescent="0.25"/>
  <cols>
    <col min="4" max="4" width="31.5703125" bestFit="1" customWidth="1"/>
    <col min="5" max="5" width="16.85546875" bestFit="1" customWidth="1"/>
    <col min="6" max="6" width="15.28515625" bestFit="1" customWidth="1"/>
    <col min="7" max="15" width="16.85546875" bestFit="1" customWidth="1"/>
    <col min="16" max="16" width="10.42578125" bestFit="1" customWidth="1"/>
    <col min="19" max="19" width="23.5703125" bestFit="1" customWidth="1"/>
    <col min="21" max="21" width="21.42578125" bestFit="1" customWidth="1"/>
  </cols>
  <sheetData>
    <row r="2" spans="2:22" x14ac:dyDescent="0.25">
      <c r="B2">
        <f>59*1.15</f>
        <v>67.849999999999994</v>
      </c>
      <c r="E2">
        <v>100</v>
      </c>
    </row>
    <row r="3" spans="2:22" x14ac:dyDescent="0.25">
      <c r="E3">
        <v>20</v>
      </c>
      <c r="F3">
        <f>E3*15%</f>
        <v>3</v>
      </c>
      <c r="G3" t="s">
        <v>7</v>
      </c>
      <c r="J3" t="s">
        <v>6</v>
      </c>
      <c r="K3" t="s">
        <v>7</v>
      </c>
    </row>
    <row r="4" spans="2:22" x14ac:dyDescent="0.25">
      <c r="F4" s="5">
        <v>0.2</v>
      </c>
      <c r="G4" s="5">
        <v>0.02</v>
      </c>
      <c r="J4" s="5">
        <v>0.05</v>
      </c>
      <c r="K4" s="5">
        <v>2.5000000000000001E-2</v>
      </c>
      <c r="L4" s="7"/>
    </row>
    <row r="5" spans="2:22" x14ac:dyDescent="0.25">
      <c r="D5" s="2" t="s">
        <v>2</v>
      </c>
      <c r="E5" s="26">
        <v>44900</v>
      </c>
      <c r="F5" s="26">
        <v>45265</v>
      </c>
      <c r="G5" s="26">
        <v>45631</v>
      </c>
      <c r="H5" s="26">
        <v>45996</v>
      </c>
      <c r="I5" s="26">
        <v>46361</v>
      </c>
      <c r="J5" s="26">
        <v>46726</v>
      </c>
      <c r="K5" s="26">
        <v>47092</v>
      </c>
      <c r="L5" s="26">
        <v>47457</v>
      </c>
      <c r="M5" s="26">
        <v>47822</v>
      </c>
      <c r="N5" s="26">
        <v>48187</v>
      </c>
      <c r="O5" s="26">
        <v>48553</v>
      </c>
      <c r="P5" s="3"/>
    </row>
    <row r="6" spans="2:22" x14ac:dyDescent="0.25">
      <c r="D6" s="10" t="s">
        <v>3</v>
      </c>
      <c r="E6" s="14">
        <v>0.59</v>
      </c>
      <c r="F6" s="14">
        <v>0.79</v>
      </c>
      <c r="G6" s="14">
        <v>0.95</v>
      </c>
      <c r="H6" s="14">
        <v>0.95</v>
      </c>
      <c r="I6" s="14">
        <v>0.95</v>
      </c>
      <c r="J6" s="14">
        <f>I6-J4</f>
        <v>0.89999999999999991</v>
      </c>
      <c r="K6" s="14">
        <f>J6+$K$4</f>
        <v>0.92499999999999993</v>
      </c>
      <c r="L6" s="14">
        <v>0.95</v>
      </c>
      <c r="M6" s="14">
        <v>0.95</v>
      </c>
      <c r="N6" s="14">
        <v>0.95</v>
      </c>
      <c r="O6" s="1"/>
    </row>
    <row r="7" spans="2:22" x14ac:dyDescent="0.25">
      <c r="D7" s="10" t="s">
        <v>4</v>
      </c>
      <c r="E7" s="21">
        <v>686308</v>
      </c>
      <c r="F7" s="21">
        <v>686308</v>
      </c>
      <c r="G7" s="21">
        <v>686308</v>
      </c>
      <c r="H7" s="21">
        <v>686308</v>
      </c>
      <c r="I7" s="21">
        <v>686308</v>
      </c>
      <c r="J7" s="21">
        <v>686308</v>
      </c>
      <c r="K7" s="21">
        <v>686308</v>
      </c>
      <c r="L7" s="21">
        <v>686308</v>
      </c>
      <c r="M7" s="21">
        <v>686308</v>
      </c>
      <c r="N7" s="21">
        <v>686308</v>
      </c>
      <c r="O7" s="22"/>
    </row>
    <row r="8" spans="2:22" x14ac:dyDescent="0.25">
      <c r="D8" s="10" t="s">
        <v>5</v>
      </c>
      <c r="E8" s="23">
        <f>E7*E6</f>
        <v>404921.72</v>
      </c>
      <c r="F8" s="23">
        <f t="shared" ref="F8:N8" si="0">F7*F6</f>
        <v>542183.32000000007</v>
      </c>
      <c r="G8" s="23">
        <f t="shared" si="0"/>
        <v>651992.6</v>
      </c>
      <c r="H8" s="23">
        <f t="shared" si="0"/>
        <v>651992.6</v>
      </c>
      <c r="I8" s="23">
        <f t="shared" si="0"/>
        <v>651992.6</v>
      </c>
      <c r="J8" s="23">
        <f t="shared" si="0"/>
        <v>617677.19999999995</v>
      </c>
      <c r="K8" s="23">
        <f t="shared" si="0"/>
        <v>634834.89999999991</v>
      </c>
      <c r="L8" s="23">
        <f t="shared" si="0"/>
        <v>651992.6</v>
      </c>
      <c r="M8" s="23">
        <f t="shared" si="0"/>
        <v>651992.6</v>
      </c>
      <c r="N8" s="23">
        <f t="shared" si="0"/>
        <v>651992.6</v>
      </c>
      <c r="O8" s="1"/>
    </row>
    <row r="9" spans="2:22" x14ac:dyDescent="0.25">
      <c r="D9" s="10" t="s">
        <v>9</v>
      </c>
      <c r="E9" s="1">
        <v>72</v>
      </c>
      <c r="F9" s="1">
        <v>72</v>
      </c>
      <c r="G9" s="1">
        <v>72</v>
      </c>
      <c r="H9" s="1">
        <v>72</v>
      </c>
      <c r="I9" s="1">
        <v>72</v>
      </c>
      <c r="J9" s="1">
        <v>72</v>
      </c>
      <c r="K9" s="1">
        <v>72</v>
      </c>
      <c r="L9" s="1">
        <v>72</v>
      </c>
      <c r="M9" s="1">
        <v>72</v>
      </c>
      <c r="N9" s="1">
        <v>72</v>
      </c>
      <c r="O9" s="1"/>
    </row>
    <row r="10" spans="2:22" x14ac:dyDescent="0.25">
      <c r="D10" s="10" t="s">
        <v>10</v>
      </c>
      <c r="E10" s="1">
        <f>ROUND(E9*20%,0)</f>
        <v>14</v>
      </c>
      <c r="F10" s="1">
        <f t="shared" ref="F10:N10" si="1">ROUND(F9*20%,0)</f>
        <v>14</v>
      </c>
      <c r="G10" s="1">
        <f t="shared" si="1"/>
        <v>14</v>
      </c>
      <c r="H10" s="1">
        <f t="shared" si="1"/>
        <v>14</v>
      </c>
      <c r="I10" s="1">
        <f t="shared" si="1"/>
        <v>14</v>
      </c>
      <c r="J10" s="1">
        <f t="shared" si="1"/>
        <v>14</v>
      </c>
      <c r="K10" s="1">
        <f t="shared" si="1"/>
        <v>14</v>
      </c>
      <c r="L10" s="1">
        <f t="shared" si="1"/>
        <v>14</v>
      </c>
      <c r="M10" s="1">
        <f t="shared" si="1"/>
        <v>14</v>
      </c>
      <c r="N10" s="1">
        <f t="shared" si="1"/>
        <v>14</v>
      </c>
      <c r="O10" s="1"/>
      <c r="U10" s="1" t="s">
        <v>24</v>
      </c>
      <c r="V10" s="14">
        <v>0.13</v>
      </c>
    </row>
    <row r="11" spans="2:22" x14ac:dyDescent="0.25">
      <c r="D11" s="10" t="s">
        <v>8</v>
      </c>
      <c r="E11" s="1">
        <v>0</v>
      </c>
      <c r="F11" s="1">
        <v>0</v>
      </c>
      <c r="G11" s="14">
        <f>15%*E6</f>
        <v>8.8499999999999995E-2</v>
      </c>
      <c r="H11" s="14">
        <v>0.12</v>
      </c>
      <c r="I11" s="14">
        <v>0.14000000000000001</v>
      </c>
      <c r="J11" s="14">
        <v>0.15</v>
      </c>
      <c r="K11" s="14">
        <v>0.18</v>
      </c>
      <c r="L11" s="14">
        <f>K11+$G$4</f>
        <v>0.19999999999999998</v>
      </c>
      <c r="M11" s="14">
        <v>0.245</v>
      </c>
      <c r="N11" s="14">
        <v>0.3</v>
      </c>
      <c r="O11" s="1"/>
      <c r="P11" s="18"/>
      <c r="Q11" s="2" t="s">
        <v>20</v>
      </c>
      <c r="R11" s="2" t="s">
        <v>19</v>
      </c>
      <c r="U11" s="1" t="s">
        <v>25</v>
      </c>
      <c r="V11" s="15">
        <v>7.3499999999999996E-2</v>
      </c>
    </row>
    <row r="12" spans="2:22" x14ac:dyDescent="0.25">
      <c r="D12" s="10" t="s">
        <v>11</v>
      </c>
      <c r="E12" s="1">
        <f>(E10+E9)*(1+E11)</f>
        <v>86</v>
      </c>
      <c r="F12" s="1">
        <f t="shared" ref="F12:N12" si="2">(F10+F9)*(1+F11)</f>
        <v>86</v>
      </c>
      <c r="G12" s="1">
        <f t="shared" si="2"/>
        <v>93.611000000000004</v>
      </c>
      <c r="H12" s="1">
        <f t="shared" si="2"/>
        <v>96.320000000000007</v>
      </c>
      <c r="I12" s="1">
        <f t="shared" si="2"/>
        <v>98.04</v>
      </c>
      <c r="J12" s="1">
        <f t="shared" si="2"/>
        <v>98.899999999999991</v>
      </c>
      <c r="K12" s="1">
        <f t="shared" si="2"/>
        <v>101.47999999999999</v>
      </c>
      <c r="L12" s="1">
        <f t="shared" si="2"/>
        <v>103.2</v>
      </c>
      <c r="M12" s="1">
        <f t="shared" si="2"/>
        <v>107.07000000000001</v>
      </c>
      <c r="N12" s="1">
        <f t="shared" si="2"/>
        <v>111.8</v>
      </c>
      <c r="O12" s="1"/>
      <c r="P12" s="19" t="s">
        <v>21</v>
      </c>
      <c r="Q12" s="11">
        <v>0.5</v>
      </c>
      <c r="R12" s="11">
        <v>0.5</v>
      </c>
      <c r="S12" s="5">
        <f>R12/Q12</f>
        <v>1</v>
      </c>
      <c r="U12" s="1" t="s">
        <v>26</v>
      </c>
      <c r="V12" s="1">
        <v>1.58</v>
      </c>
    </row>
    <row r="13" spans="2:22" x14ac:dyDescent="0.25">
      <c r="D13" s="10" t="s">
        <v>12</v>
      </c>
      <c r="E13" s="24">
        <f>E12*E8</f>
        <v>34823267.919999994</v>
      </c>
      <c r="F13" s="24">
        <f t="shared" ref="F13:N13" si="3">F12*F8</f>
        <v>46627765.520000003</v>
      </c>
      <c r="G13" s="24">
        <f t="shared" si="3"/>
        <v>61033679.2786</v>
      </c>
      <c r="H13" s="24">
        <f t="shared" si="3"/>
        <v>62799927.232000001</v>
      </c>
      <c r="I13" s="24">
        <f t="shared" si="3"/>
        <v>63921354.504000001</v>
      </c>
      <c r="J13" s="24">
        <f t="shared" si="3"/>
        <v>61088275.079999991</v>
      </c>
      <c r="K13" s="24">
        <f t="shared" si="3"/>
        <v>64423045.651999988</v>
      </c>
      <c r="L13" s="24">
        <f t="shared" si="3"/>
        <v>67285636.319999993</v>
      </c>
      <c r="M13" s="24">
        <f t="shared" si="3"/>
        <v>69808847.681999996</v>
      </c>
      <c r="N13" s="24">
        <f t="shared" si="3"/>
        <v>72892772.679999992</v>
      </c>
      <c r="O13" s="24"/>
      <c r="P13" s="20" t="s">
        <v>22</v>
      </c>
      <c r="Q13" s="12">
        <f>V15</f>
        <v>0.18270002748888992</v>
      </c>
      <c r="R13" s="13">
        <v>0.12</v>
      </c>
      <c r="U13" s="16" t="s">
        <v>17</v>
      </c>
      <c r="V13" s="1">
        <v>0.56000000000000005</v>
      </c>
    </row>
    <row r="14" spans="2:22" x14ac:dyDescent="0.25">
      <c r="D14" s="10"/>
      <c r="E14" s="24">
        <f>E13*12</f>
        <v>417879215.03999996</v>
      </c>
      <c r="F14" s="24">
        <f t="shared" ref="F14:N14" si="4">F13*12</f>
        <v>559533186.24000001</v>
      </c>
      <c r="G14" s="24">
        <f t="shared" si="4"/>
        <v>732404151.34319997</v>
      </c>
      <c r="H14" s="24">
        <f t="shared" si="4"/>
        <v>753599126.78400004</v>
      </c>
      <c r="I14" s="24">
        <f t="shared" si="4"/>
        <v>767056254.04799998</v>
      </c>
      <c r="J14" s="24">
        <f t="shared" si="4"/>
        <v>733059300.95999992</v>
      </c>
      <c r="K14" s="24">
        <f t="shared" si="4"/>
        <v>773076547.82399988</v>
      </c>
      <c r="L14" s="24">
        <f t="shared" si="4"/>
        <v>807427635.83999991</v>
      </c>
      <c r="M14" s="24">
        <f t="shared" si="4"/>
        <v>837706172.18400002</v>
      </c>
      <c r="N14" s="24">
        <f t="shared" si="4"/>
        <v>874713272.15999985</v>
      </c>
      <c r="O14" s="1"/>
      <c r="P14" s="19" t="s">
        <v>23</v>
      </c>
      <c r="Q14" s="11">
        <f>SUMPRODUCT(Q12:R12,Q13:R13)</f>
        <v>0.15135001374444496</v>
      </c>
      <c r="R14" s="10"/>
      <c r="U14" s="16" t="s">
        <v>18</v>
      </c>
      <c r="V14" s="1">
        <f>V12/(1+(1-29.12%)*V13)</f>
        <v>1.1310532826316031</v>
      </c>
    </row>
    <row r="15" spans="2:22" x14ac:dyDescent="0.25">
      <c r="D15" s="10" t="s">
        <v>29</v>
      </c>
      <c r="E15" s="23">
        <f>E9*E8*6</f>
        <v>174926183.03999996</v>
      </c>
      <c r="F15" s="23">
        <f>((20%*F7*F9*6)+E17+E15)</f>
        <v>246293100.86975998</v>
      </c>
      <c r="G15" s="23">
        <f>((16%*G7*G9*6)+F17+F15)</f>
        <v>310724933.7897734</v>
      </c>
      <c r="H15" s="23">
        <f>G15+G17</f>
        <v>332164954.22126776</v>
      </c>
      <c r="I15" s="23">
        <f>H15+H17</f>
        <v>355084336.06253523</v>
      </c>
      <c r="J15" s="23">
        <f>((54%*J7*J9*6)+I17+I15)</f>
        <v>539687085.49085021</v>
      </c>
      <c r="K15" s="23">
        <f t="shared" ref="K15:N15" si="5">((20%*K7*K9*6)*10%)</f>
        <v>5929701.120000001</v>
      </c>
      <c r="L15" s="23">
        <f t="shared" si="5"/>
        <v>5929701.120000001</v>
      </c>
      <c r="M15" s="23">
        <f t="shared" si="5"/>
        <v>5929701.120000001</v>
      </c>
      <c r="N15" s="23">
        <f t="shared" si="5"/>
        <v>5929701.120000001</v>
      </c>
      <c r="O15" s="1"/>
      <c r="Q15" s="6"/>
      <c r="T15" s="9"/>
      <c r="U15" s="1" t="s">
        <v>27</v>
      </c>
      <c r="V15" s="17">
        <f>V11+V19*(V10-V11)</f>
        <v>0.18270002748888992</v>
      </c>
    </row>
    <row r="16" spans="2:22" x14ac:dyDescent="0.25">
      <c r="D16" s="10"/>
      <c r="E16" s="25">
        <v>6.9000000000000006E-2</v>
      </c>
      <c r="F16" s="25">
        <v>6.9000000000000006E-2</v>
      </c>
      <c r="G16" s="25">
        <v>6.9000000000000006E-2</v>
      </c>
      <c r="H16" s="25">
        <v>6.9000000000000006E-2</v>
      </c>
      <c r="I16" s="25">
        <v>6.9000000000000006E-2</v>
      </c>
      <c r="J16" s="25">
        <v>6.9000000000000006E-2</v>
      </c>
      <c r="K16" s="25">
        <v>6.9000000000000006E-2</v>
      </c>
      <c r="L16" s="25">
        <v>6.9000000000000006E-2</v>
      </c>
      <c r="M16" s="25">
        <v>6.9000000000000006E-2</v>
      </c>
      <c r="N16" s="25">
        <v>6.9000000000000006E-2</v>
      </c>
      <c r="O16" s="1"/>
      <c r="Q16" s="6"/>
      <c r="T16" s="9"/>
      <c r="U16" s="1"/>
      <c r="V16" s="17"/>
    </row>
    <row r="17" spans="1:22" x14ac:dyDescent="0.25">
      <c r="D17" s="10"/>
      <c r="E17" s="23">
        <f>E16*E15</f>
        <v>12069906.629759999</v>
      </c>
      <c r="F17" s="23">
        <f t="shared" ref="F17:N17" si="6">F16*F15</f>
        <v>16994223.960013438</v>
      </c>
      <c r="G17" s="23">
        <f t="shared" si="6"/>
        <v>21440020.431494366</v>
      </c>
      <c r="H17" s="23">
        <f t="shared" si="6"/>
        <v>22919381.841267478</v>
      </c>
      <c r="I17" s="23">
        <f t="shared" si="6"/>
        <v>24500819.188314933</v>
      </c>
      <c r="J17" s="23">
        <f t="shared" si="6"/>
        <v>37238408.898868665</v>
      </c>
      <c r="K17" s="23">
        <f t="shared" si="6"/>
        <v>409149.37728000013</v>
      </c>
      <c r="L17" s="23">
        <f t="shared" si="6"/>
        <v>409149.37728000013</v>
      </c>
      <c r="M17" s="23">
        <f t="shared" si="6"/>
        <v>409149.37728000013</v>
      </c>
      <c r="N17" s="23">
        <f t="shared" si="6"/>
        <v>409149.37728000013</v>
      </c>
      <c r="O17" s="1"/>
      <c r="Q17" s="6"/>
      <c r="T17" s="9"/>
      <c r="U17" s="1"/>
      <c r="V17" s="17"/>
    </row>
    <row r="18" spans="1:22" x14ac:dyDescent="0.25">
      <c r="D18" s="27" t="s">
        <v>13</v>
      </c>
      <c r="E18" s="24"/>
      <c r="F18" s="1"/>
      <c r="G18" s="1"/>
      <c r="H18" s="1"/>
      <c r="I18" s="1"/>
      <c r="J18" s="1"/>
      <c r="K18" s="1"/>
      <c r="L18" s="1"/>
      <c r="M18" s="1"/>
      <c r="N18" s="1"/>
      <c r="O18" s="1"/>
      <c r="R18" s="7"/>
      <c r="U18" s="1"/>
      <c r="V18" s="1">
        <f>1+(1-29.12%)</f>
        <v>1.7088000000000001</v>
      </c>
    </row>
    <row r="19" spans="1:22" x14ac:dyDescent="0.25">
      <c r="D19" s="10" t="s">
        <v>15</v>
      </c>
      <c r="E19" s="24">
        <f>E13*10%</f>
        <v>3482326.7919999994</v>
      </c>
      <c r="F19" s="24">
        <f t="shared" ref="F19:N19" si="7">F13*10%</f>
        <v>4662776.5520000001</v>
      </c>
      <c r="G19" s="24">
        <f t="shared" si="7"/>
        <v>6103367.9278600002</v>
      </c>
      <c r="H19" s="24">
        <f t="shared" si="7"/>
        <v>6279992.7232000008</v>
      </c>
      <c r="I19" s="24">
        <f t="shared" si="7"/>
        <v>6392135.4504000004</v>
      </c>
      <c r="J19" s="24">
        <f t="shared" si="7"/>
        <v>6108827.5079999994</v>
      </c>
      <c r="K19" s="24">
        <f t="shared" si="7"/>
        <v>6442304.5651999991</v>
      </c>
      <c r="L19" s="24">
        <f t="shared" si="7"/>
        <v>6728563.6319999993</v>
      </c>
      <c r="M19" s="24">
        <f t="shared" si="7"/>
        <v>6980884.7681999998</v>
      </c>
      <c r="N19" s="24">
        <f t="shared" si="7"/>
        <v>7289277.2679999992</v>
      </c>
      <c r="O19" s="1"/>
      <c r="R19" s="8"/>
      <c r="U19" s="1" t="s">
        <v>28</v>
      </c>
      <c r="V19" s="1">
        <f>V18*V14*S12</f>
        <v>1.9327438493608835</v>
      </c>
    </row>
    <row r="20" spans="1:22" x14ac:dyDescent="0.25">
      <c r="D20" s="10" t="s">
        <v>8</v>
      </c>
      <c r="E20" s="24">
        <v>0</v>
      </c>
      <c r="F20" s="24">
        <v>0</v>
      </c>
      <c r="G20" s="14">
        <v>0.02</v>
      </c>
      <c r="H20" s="25">
        <f>G20+1%</f>
        <v>0.03</v>
      </c>
      <c r="I20" s="25">
        <f t="shared" ref="I20:N20" si="8">H20+1%</f>
        <v>0.04</v>
      </c>
      <c r="J20" s="25">
        <f t="shared" si="8"/>
        <v>0.05</v>
      </c>
      <c r="K20" s="25">
        <f t="shared" si="8"/>
        <v>6.0000000000000005E-2</v>
      </c>
      <c r="L20" s="25">
        <f t="shared" si="8"/>
        <v>7.0000000000000007E-2</v>
      </c>
      <c r="M20" s="25">
        <f t="shared" si="8"/>
        <v>0.08</v>
      </c>
      <c r="N20" s="25">
        <f t="shared" si="8"/>
        <v>0.09</v>
      </c>
      <c r="O20" s="1"/>
    </row>
    <row r="21" spans="1:22" x14ac:dyDescent="0.25">
      <c r="D21" s="10" t="s">
        <v>15</v>
      </c>
      <c r="E21" s="24">
        <f t="shared" ref="E21:N21" si="9">E19*(1+E20)</f>
        <v>3482326.7919999994</v>
      </c>
      <c r="F21" s="24">
        <f t="shared" si="9"/>
        <v>4662776.5520000001</v>
      </c>
      <c r="G21" s="24">
        <f t="shared" si="9"/>
        <v>6225435.2864172002</v>
      </c>
      <c r="H21" s="24">
        <f t="shared" si="9"/>
        <v>6468392.504896001</v>
      </c>
      <c r="I21" s="24">
        <f t="shared" si="9"/>
        <v>6647820.8684160011</v>
      </c>
      <c r="J21" s="24">
        <f t="shared" si="9"/>
        <v>6414268.8833999997</v>
      </c>
      <c r="K21" s="24">
        <f t="shared" si="9"/>
        <v>6828842.8391119996</v>
      </c>
      <c r="L21" s="24">
        <f t="shared" si="9"/>
        <v>7199563.0862400001</v>
      </c>
      <c r="M21" s="24">
        <f t="shared" si="9"/>
        <v>7539355.549656</v>
      </c>
      <c r="N21" s="24">
        <f t="shared" si="9"/>
        <v>7945312.22212</v>
      </c>
      <c r="O21" s="1"/>
      <c r="P21" s="6">
        <f>Q14</f>
        <v>0.15135001374444496</v>
      </c>
    </row>
    <row r="22" spans="1:22" x14ac:dyDescent="0.25">
      <c r="D22" s="10"/>
      <c r="E22" s="24">
        <f>E21*12</f>
        <v>41787921.503999993</v>
      </c>
      <c r="F22" s="24">
        <f t="shared" ref="F22:N22" si="10">F21*12</f>
        <v>55953318.623999998</v>
      </c>
      <c r="G22" s="24">
        <f t="shared" si="10"/>
        <v>74705223.437006399</v>
      </c>
      <c r="H22" s="24">
        <f t="shared" si="10"/>
        <v>77620710.058752015</v>
      </c>
      <c r="I22" s="24">
        <f t="shared" si="10"/>
        <v>79773850.420992017</v>
      </c>
      <c r="J22" s="24">
        <f t="shared" si="10"/>
        <v>76971226.600799993</v>
      </c>
      <c r="K22" s="24">
        <f t="shared" si="10"/>
        <v>81946114.069343999</v>
      </c>
      <c r="L22" s="24">
        <f t="shared" si="10"/>
        <v>86394757.034879997</v>
      </c>
      <c r="M22" s="24">
        <f t="shared" si="10"/>
        <v>90472266.595872</v>
      </c>
      <c r="N22" s="24">
        <f t="shared" si="10"/>
        <v>95343746.665439993</v>
      </c>
      <c r="O22" s="1"/>
      <c r="P22" s="6"/>
    </row>
    <row r="23" spans="1:22" x14ac:dyDescent="0.25">
      <c r="D23" s="10"/>
      <c r="E23" s="24" t="s">
        <v>14</v>
      </c>
      <c r="F23" s="24"/>
      <c r="G23" s="24"/>
      <c r="H23" s="24"/>
      <c r="I23" s="24"/>
      <c r="J23" s="24"/>
      <c r="K23" s="24"/>
      <c r="L23" s="24"/>
      <c r="M23" s="24"/>
      <c r="N23" s="24"/>
      <c r="O23" s="1"/>
      <c r="P23" s="5">
        <v>0.03</v>
      </c>
    </row>
    <row r="24" spans="1:22" x14ac:dyDescent="0.25">
      <c r="D24" s="10" t="s">
        <v>16</v>
      </c>
      <c r="E24" s="23">
        <f>E14-E22</f>
        <v>376091293.53599995</v>
      </c>
      <c r="F24" s="23">
        <f t="shared" ref="F24:N24" si="11">F14-F22</f>
        <v>503579867.616</v>
      </c>
      <c r="G24" s="23">
        <f t="shared" si="11"/>
        <v>657698927.90619361</v>
      </c>
      <c r="H24" s="23">
        <f t="shared" si="11"/>
        <v>675978416.72524798</v>
      </c>
      <c r="I24" s="23">
        <f t="shared" si="11"/>
        <v>687282403.62700796</v>
      </c>
      <c r="J24" s="23">
        <f t="shared" si="11"/>
        <v>656088074.35919988</v>
      </c>
      <c r="K24" s="23">
        <f t="shared" si="11"/>
        <v>691130433.75465584</v>
      </c>
      <c r="L24" s="23">
        <f t="shared" si="11"/>
        <v>721032878.80511987</v>
      </c>
      <c r="M24" s="23">
        <f t="shared" si="11"/>
        <v>747233905.58812797</v>
      </c>
      <c r="N24" s="23">
        <f t="shared" si="11"/>
        <v>779369525.49455988</v>
      </c>
      <c r="O24" s="22">
        <f>N24*(1+3%)/(P21-P23)</f>
        <v>6615167040.2768641</v>
      </c>
    </row>
    <row r="25" spans="1:22" x14ac:dyDescent="0.25">
      <c r="E25" s="4">
        <f>XNPV(P21,E24:O24,E5:O5)</f>
        <v>5107474657.1283607</v>
      </c>
    </row>
    <row r="29" spans="1:22" x14ac:dyDescent="0.25">
      <c r="A29">
        <f>E8/E7</f>
        <v>0.59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2"/>
  <sheetViews>
    <sheetView workbookViewId="0">
      <selection activeCell="D19" sqref="D19"/>
    </sheetView>
  </sheetViews>
  <sheetFormatPr defaultRowHeight="15" x14ac:dyDescent="0.25"/>
  <cols>
    <col min="2" max="2" width="6.85546875" bestFit="1" customWidth="1"/>
    <col min="3" max="3" width="32.85546875" bestFit="1" customWidth="1"/>
    <col min="4" max="4" width="31" bestFit="1" customWidth="1"/>
    <col min="5" max="5" width="25" bestFit="1" customWidth="1"/>
    <col min="6" max="6" width="17.42578125" bestFit="1" customWidth="1"/>
    <col min="7" max="7" width="21.42578125" bestFit="1" customWidth="1"/>
    <col min="8" max="8" width="9.85546875" bestFit="1" customWidth="1"/>
    <col min="9" max="9" width="14.28515625" bestFit="1" customWidth="1"/>
    <col min="10" max="10" width="12.140625" bestFit="1" customWidth="1"/>
  </cols>
  <sheetData>
    <row r="2" spans="2:11" ht="15.75" thickBot="1" x14ac:dyDescent="0.3"/>
    <row r="3" spans="2:11" ht="26.25" thickBot="1" x14ac:dyDescent="0.3">
      <c r="B3" s="28" t="s">
        <v>0</v>
      </c>
      <c r="C3" s="29" t="s">
        <v>30</v>
      </c>
      <c r="D3" s="29" t="s">
        <v>31</v>
      </c>
      <c r="E3" s="29" t="s">
        <v>32</v>
      </c>
      <c r="F3" s="29" t="s">
        <v>33</v>
      </c>
      <c r="G3" s="29" t="s">
        <v>1</v>
      </c>
      <c r="H3" s="29" t="s">
        <v>34</v>
      </c>
      <c r="I3" s="29" t="s">
        <v>35</v>
      </c>
      <c r="J3" s="30" t="s">
        <v>36</v>
      </c>
    </row>
    <row r="4" spans="2:11" ht="30" x14ac:dyDescent="0.25">
      <c r="B4" s="31">
        <v>1</v>
      </c>
      <c r="C4" s="32" t="s">
        <v>37</v>
      </c>
      <c r="D4" s="32" t="s">
        <v>38</v>
      </c>
      <c r="E4" s="33" t="s">
        <v>39</v>
      </c>
      <c r="F4" s="32" t="s">
        <v>40</v>
      </c>
      <c r="G4" s="34">
        <v>9</v>
      </c>
      <c r="H4" s="35">
        <v>72</v>
      </c>
      <c r="I4" s="36">
        <v>46383</v>
      </c>
      <c r="J4" s="37">
        <f>(H4*I4*12)/10^7</f>
        <v>4.0074911999999996</v>
      </c>
    </row>
    <row r="5" spans="2:11" ht="30" x14ac:dyDescent="0.25">
      <c r="B5" s="38"/>
      <c r="C5" s="1"/>
      <c r="D5" s="1" t="s">
        <v>41</v>
      </c>
      <c r="E5" s="33" t="s">
        <v>39</v>
      </c>
      <c r="F5" s="1" t="s">
        <v>42</v>
      </c>
      <c r="G5" s="10">
        <v>10</v>
      </c>
      <c r="H5" s="39">
        <v>70</v>
      </c>
      <c r="I5" s="40">
        <v>46383</v>
      </c>
      <c r="J5" s="37">
        <f t="shared" ref="J5:J19" si="0">(H5*I5*12)/10^7</f>
        <v>3.896172</v>
      </c>
    </row>
    <row r="6" spans="2:11" x14ac:dyDescent="0.25">
      <c r="B6" s="38"/>
      <c r="C6" s="1"/>
      <c r="D6" s="1" t="s">
        <v>43</v>
      </c>
      <c r="E6" s="1" t="s">
        <v>44</v>
      </c>
      <c r="F6" s="1"/>
      <c r="G6" s="10">
        <v>11</v>
      </c>
      <c r="H6" s="39">
        <v>77.5</v>
      </c>
      <c r="I6" s="40">
        <v>48244</v>
      </c>
      <c r="J6" s="37">
        <f t="shared" si="0"/>
        <v>4.4866919999999997</v>
      </c>
    </row>
    <row r="7" spans="2:11" x14ac:dyDescent="0.25">
      <c r="B7" s="38"/>
      <c r="C7" s="1"/>
      <c r="D7" s="1" t="s">
        <v>45</v>
      </c>
      <c r="E7" s="1" t="s">
        <v>44</v>
      </c>
      <c r="F7" s="1"/>
      <c r="G7" s="10">
        <v>12</v>
      </c>
      <c r="H7" s="39">
        <v>77.5</v>
      </c>
      <c r="I7" s="40">
        <v>45504</v>
      </c>
      <c r="J7" s="37">
        <f t="shared" si="0"/>
        <v>4.2318720000000001</v>
      </c>
    </row>
    <row r="8" spans="2:11" x14ac:dyDescent="0.25">
      <c r="B8" s="38"/>
      <c r="C8" s="1"/>
      <c r="D8" s="1" t="s">
        <v>46</v>
      </c>
      <c r="E8" s="1" t="s">
        <v>44</v>
      </c>
      <c r="F8" s="1"/>
      <c r="G8" s="10">
        <v>13</v>
      </c>
      <c r="H8" s="39">
        <v>77.5</v>
      </c>
      <c r="I8" s="40">
        <v>46396</v>
      </c>
      <c r="J8" s="37">
        <f t="shared" si="0"/>
        <v>4.3148280000000003</v>
      </c>
    </row>
    <row r="9" spans="2:11" x14ac:dyDescent="0.25">
      <c r="B9" s="38"/>
      <c r="C9" s="1"/>
      <c r="D9" s="1"/>
      <c r="E9" s="1"/>
      <c r="F9" s="1"/>
      <c r="G9" s="10"/>
      <c r="H9" s="39"/>
      <c r="I9" s="40"/>
      <c r="J9" s="37"/>
    </row>
    <row r="10" spans="2:11" x14ac:dyDescent="0.25">
      <c r="B10" s="38">
        <v>2</v>
      </c>
      <c r="C10" s="1" t="s">
        <v>47</v>
      </c>
      <c r="D10" s="1" t="str">
        <f>C10</f>
        <v>Swiss Singapore Overseas Pte Ltd</v>
      </c>
      <c r="E10" s="1" t="s">
        <v>44</v>
      </c>
      <c r="F10" s="1"/>
      <c r="G10" s="10">
        <v>2</v>
      </c>
      <c r="H10" s="41">
        <v>79</v>
      </c>
      <c r="I10" s="42">
        <v>11147</v>
      </c>
      <c r="J10" s="37">
        <f t="shared" si="0"/>
        <v>1.0567356000000001</v>
      </c>
      <c r="K10" s="90">
        <f>I18+I19+I10</f>
        <v>25347</v>
      </c>
    </row>
    <row r="11" spans="2:11" x14ac:dyDescent="0.25">
      <c r="B11" s="38"/>
      <c r="C11" s="1"/>
      <c r="D11" s="1"/>
      <c r="E11" s="1"/>
      <c r="F11" s="1"/>
      <c r="G11" s="10"/>
      <c r="H11" s="41"/>
      <c r="I11" s="42"/>
      <c r="J11" s="37"/>
    </row>
    <row r="12" spans="2:11" x14ac:dyDescent="0.25">
      <c r="B12" s="38">
        <v>3</v>
      </c>
      <c r="C12" s="1" t="s">
        <v>37</v>
      </c>
      <c r="D12" s="1" t="s">
        <v>48</v>
      </c>
      <c r="E12" s="1" t="s">
        <v>44</v>
      </c>
      <c r="F12" s="1"/>
      <c r="G12" s="10" t="s">
        <v>49</v>
      </c>
      <c r="H12" s="41">
        <v>80</v>
      </c>
      <c r="I12" s="40">
        <v>94638</v>
      </c>
      <c r="J12" s="37">
        <f t="shared" si="0"/>
        <v>9.085248</v>
      </c>
      <c r="K12" s="90">
        <f>I12/2</f>
        <v>47319</v>
      </c>
    </row>
    <row r="13" spans="2:11" x14ac:dyDescent="0.25">
      <c r="B13" s="38"/>
      <c r="C13" s="1"/>
      <c r="D13" s="1"/>
      <c r="E13" s="1"/>
      <c r="F13" s="1"/>
      <c r="G13" s="10"/>
      <c r="H13" s="41"/>
      <c r="I13" s="40"/>
      <c r="J13" s="37"/>
    </row>
    <row r="14" spans="2:11" x14ac:dyDescent="0.25">
      <c r="B14" s="38">
        <v>4</v>
      </c>
      <c r="C14" s="1" t="s">
        <v>50</v>
      </c>
      <c r="D14" s="1" t="s">
        <v>50</v>
      </c>
      <c r="E14" s="1" t="s">
        <v>44</v>
      </c>
      <c r="F14" s="1"/>
      <c r="G14" s="10" t="s">
        <v>51</v>
      </c>
      <c r="H14" s="41">
        <v>90</v>
      </c>
      <c r="I14" s="40">
        <v>44600</v>
      </c>
      <c r="J14" s="37">
        <f t="shared" si="0"/>
        <v>4.8167999999999997</v>
      </c>
    </row>
    <row r="15" spans="2:11" x14ac:dyDescent="0.25">
      <c r="B15" s="38"/>
      <c r="C15" s="1"/>
      <c r="D15" s="1"/>
      <c r="E15" s="1"/>
      <c r="F15" s="1"/>
      <c r="G15" s="10"/>
      <c r="H15" s="41"/>
      <c r="I15" s="40"/>
      <c r="J15" s="37"/>
    </row>
    <row r="16" spans="2:11" x14ac:dyDescent="0.25">
      <c r="B16" s="38">
        <v>5</v>
      </c>
      <c r="C16" s="1" t="s">
        <v>52</v>
      </c>
      <c r="D16" s="1" t="s">
        <v>52</v>
      </c>
      <c r="E16" s="1" t="s">
        <v>44</v>
      </c>
      <c r="F16" s="1"/>
      <c r="G16" s="1" t="s">
        <v>53</v>
      </c>
      <c r="H16" s="41">
        <v>130</v>
      </c>
      <c r="I16" s="40">
        <v>7500</v>
      </c>
      <c r="J16" s="37">
        <f t="shared" si="0"/>
        <v>1.17</v>
      </c>
      <c r="K16" s="90">
        <f>I18+I19+I10</f>
        <v>25347</v>
      </c>
    </row>
    <row r="17" spans="2:10" x14ac:dyDescent="0.25">
      <c r="B17" s="38"/>
      <c r="C17" s="1"/>
      <c r="D17" s="1"/>
      <c r="E17" s="1"/>
      <c r="F17" s="1"/>
      <c r="G17" s="10"/>
      <c r="H17" s="41"/>
      <c r="I17" s="40"/>
      <c r="J17" s="37"/>
    </row>
    <row r="18" spans="2:10" x14ac:dyDescent="0.25">
      <c r="B18" s="38">
        <v>6</v>
      </c>
      <c r="C18" s="43" t="s">
        <v>54</v>
      </c>
      <c r="D18" s="1" t="s">
        <v>55</v>
      </c>
      <c r="E18" s="241" t="s">
        <v>56</v>
      </c>
      <c r="F18" s="1"/>
      <c r="G18" s="10"/>
      <c r="H18" s="41">
        <v>82</v>
      </c>
      <c r="I18" s="40">
        <v>9000</v>
      </c>
      <c r="J18" s="37">
        <f t="shared" si="0"/>
        <v>0.88560000000000005</v>
      </c>
    </row>
    <row r="19" spans="2:10" x14ac:dyDescent="0.25">
      <c r="B19" s="38"/>
      <c r="C19" s="43"/>
      <c r="D19" s="1" t="s">
        <v>57</v>
      </c>
      <c r="E19" s="242"/>
      <c r="F19" s="1"/>
      <c r="G19" s="10"/>
      <c r="H19" s="41">
        <v>82</v>
      </c>
      <c r="I19" s="40">
        <v>5200</v>
      </c>
      <c r="J19" s="37">
        <f t="shared" si="0"/>
        <v>0.51168000000000002</v>
      </c>
    </row>
    <row r="20" spans="2:10" ht="15.75" thickBot="1" x14ac:dyDescent="0.3">
      <c r="B20" s="44"/>
      <c r="C20" s="45"/>
      <c r="D20" s="46"/>
      <c r="E20" s="46"/>
      <c r="F20" s="46"/>
      <c r="G20" s="47"/>
      <c r="H20" s="48"/>
      <c r="I20" s="49"/>
      <c r="J20" s="50"/>
    </row>
    <row r="21" spans="2:10" ht="15.75" thickBot="1" x14ac:dyDescent="0.3">
      <c r="B21" s="51"/>
      <c r="C21" s="52"/>
      <c r="D21" s="53"/>
      <c r="E21" s="53"/>
      <c r="F21" s="53"/>
      <c r="G21" s="54"/>
      <c r="H21" s="55"/>
      <c r="I21" s="56">
        <f>SUM(I4:I20)</f>
        <v>404995</v>
      </c>
      <c r="J21" s="57">
        <f>SUM(J4:J20)</f>
        <v>38.46311879999999</v>
      </c>
    </row>
    <row r="22" spans="2:10" x14ac:dyDescent="0.25">
      <c r="B22" s="58"/>
      <c r="C22" s="59"/>
      <c r="D22" s="60"/>
      <c r="E22" s="60"/>
      <c r="F22" s="60"/>
      <c r="G22" s="61"/>
      <c r="H22" s="62"/>
      <c r="I22" s="63"/>
      <c r="J22" s="64"/>
    </row>
    <row r="23" spans="2:10" x14ac:dyDescent="0.25">
      <c r="B23" s="38">
        <v>7</v>
      </c>
      <c r="C23" s="65" t="s">
        <v>58</v>
      </c>
      <c r="D23" s="66"/>
      <c r="E23" s="66"/>
      <c r="F23" s="66"/>
      <c r="G23" s="27"/>
      <c r="H23" s="67">
        <v>90</v>
      </c>
      <c r="I23" s="68">
        <v>94638</v>
      </c>
      <c r="J23" s="69">
        <f t="shared" ref="J23:J25" si="1">(H23*I23*12)/10^7</f>
        <v>10.220904000000001</v>
      </c>
    </row>
    <row r="24" spans="2:10" x14ac:dyDescent="0.25">
      <c r="B24" s="38"/>
      <c r="C24" s="43"/>
      <c r="D24" s="1"/>
      <c r="E24" s="1"/>
      <c r="F24" s="1"/>
      <c r="G24" s="10"/>
      <c r="H24" s="67"/>
      <c r="I24" s="68"/>
      <c r="J24" s="70"/>
    </row>
    <row r="25" spans="2:10" x14ac:dyDescent="0.25">
      <c r="B25" s="38">
        <v>8</v>
      </c>
      <c r="C25" s="65" t="s">
        <v>59</v>
      </c>
      <c r="D25" s="1"/>
      <c r="E25" s="1"/>
      <c r="F25" s="1"/>
      <c r="G25" s="10"/>
      <c r="H25" s="67">
        <v>130</v>
      </c>
      <c r="I25" s="68">
        <f>46800-7500</f>
        <v>39300</v>
      </c>
      <c r="J25" s="69">
        <f t="shared" si="1"/>
        <v>6.1307999999999998</v>
      </c>
    </row>
    <row r="26" spans="2:10" x14ac:dyDescent="0.25">
      <c r="B26" s="38"/>
      <c r="C26" s="43"/>
      <c r="D26" s="1"/>
      <c r="E26" s="1"/>
      <c r="F26" s="1"/>
      <c r="G26" s="10"/>
      <c r="H26" s="67"/>
      <c r="I26" s="68"/>
      <c r="J26" s="70"/>
    </row>
    <row r="27" spans="2:10" x14ac:dyDescent="0.25">
      <c r="B27" s="38">
        <v>9</v>
      </c>
      <c r="C27" s="43" t="s">
        <v>60</v>
      </c>
      <c r="D27" s="1"/>
      <c r="E27" s="1"/>
      <c r="F27" s="1"/>
      <c r="G27" s="10"/>
      <c r="H27" s="67">
        <v>95</v>
      </c>
      <c r="I27" s="68">
        <f>D41-I23-I25</f>
        <v>147375</v>
      </c>
      <c r="J27" s="69">
        <f t="shared" ref="J27" si="2">(H27*I27*12)/10^7</f>
        <v>16.800750000000001</v>
      </c>
    </row>
    <row r="28" spans="2:10" ht="15.75" thickBot="1" x14ac:dyDescent="0.3">
      <c r="B28" s="71"/>
      <c r="C28" s="72"/>
      <c r="D28" s="73"/>
      <c r="E28" s="73"/>
      <c r="F28" s="73"/>
      <c r="G28" s="74"/>
      <c r="H28" s="75"/>
      <c r="I28" s="76"/>
      <c r="J28" s="77"/>
    </row>
    <row r="29" spans="2:10" ht="15.75" thickBot="1" x14ac:dyDescent="0.3">
      <c r="B29" s="78"/>
      <c r="C29" s="79" t="s">
        <v>61</v>
      </c>
      <c r="D29" s="80"/>
      <c r="E29" s="80"/>
      <c r="F29" s="80"/>
      <c r="G29" s="81"/>
      <c r="H29" s="82"/>
      <c r="I29" s="83">
        <f>I21+I23+I27+I25</f>
        <v>686308</v>
      </c>
      <c r="J29" s="84">
        <f>J21+J23+J27+J25</f>
        <v>71.615572799999995</v>
      </c>
    </row>
    <row r="30" spans="2:10" x14ac:dyDescent="0.25">
      <c r="C30" s="85" t="s">
        <v>62</v>
      </c>
      <c r="I30" s="86"/>
      <c r="J30" s="86"/>
    </row>
    <row r="31" spans="2:10" x14ac:dyDescent="0.25">
      <c r="C31" s="85" t="s">
        <v>63</v>
      </c>
      <c r="I31" s="86"/>
      <c r="J31" s="86"/>
    </row>
    <row r="33" spans="3:8" x14ac:dyDescent="0.25">
      <c r="C33" s="66" t="s">
        <v>64</v>
      </c>
      <c r="D33" s="87">
        <v>781601</v>
      </c>
    </row>
    <row r="34" spans="3:8" x14ac:dyDescent="0.25">
      <c r="C34" s="66"/>
      <c r="D34" s="87"/>
      <c r="H34" s="88">
        <f>D37*0.092903</f>
        <v>63760.072123999998</v>
      </c>
    </row>
    <row r="35" spans="3:8" x14ac:dyDescent="0.25">
      <c r="C35" s="1" t="s">
        <v>65</v>
      </c>
      <c r="D35" s="42">
        <v>95293</v>
      </c>
    </row>
    <row r="36" spans="3:8" x14ac:dyDescent="0.25">
      <c r="C36" s="1"/>
      <c r="D36" s="1"/>
    </row>
    <row r="37" spans="3:8" x14ac:dyDescent="0.25">
      <c r="C37" s="66" t="s">
        <v>66</v>
      </c>
      <c r="D37" s="87">
        <f>D33-D35</f>
        <v>686308</v>
      </c>
    </row>
    <row r="38" spans="3:8" x14ac:dyDescent="0.25">
      <c r="C38" s="1"/>
      <c r="D38" s="1"/>
    </row>
    <row r="39" spans="3:8" x14ac:dyDescent="0.25">
      <c r="C39" s="1" t="s">
        <v>67</v>
      </c>
      <c r="D39" s="23">
        <f>I21</f>
        <v>404995</v>
      </c>
      <c r="E39" s="90">
        <f>D39+D41</f>
        <v>686308</v>
      </c>
    </row>
    <row r="40" spans="3:8" x14ac:dyDescent="0.25">
      <c r="C40" s="1"/>
      <c r="D40" s="1"/>
      <c r="E40" s="90">
        <f>E39+D35</f>
        <v>781601</v>
      </c>
    </row>
    <row r="41" spans="3:8" x14ac:dyDescent="0.25">
      <c r="C41" s="66" t="s">
        <v>68</v>
      </c>
      <c r="D41" s="87">
        <f>D37-D39</f>
        <v>281313</v>
      </c>
    </row>
    <row r="42" spans="3:8" x14ac:dyDescent="0.25">
      <c r="C42" s="89" t="s">
        <v>69</v>
      </c>
    </row>
  </sheetData>
  <mergeCells count="1">
    <mergeCell ref="E18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W44"/>
  <sheetViews>
    <sheetView tabSelected="1" topLeftCell="O19" workbookViewId="0">
      <selection activeCell="AD32" sqref="AD32"/>
    </sheetView>
  </sheetViews>
  <sheetFormatPr defaultRowHeight="15" x14ac:dyDescent="0.25"/>
  <cols>
    <col min="1" max="1" width="18.5703125" bestFit="1" customWidth="1"/>
    <col min="2" max="2" width="10.42578125" bestFit="1" customWidth="1"/>
    <col min="4" max="4" width="22.140625" bestFit="1" customWidth="1"/>
    <col min="5" max="5" width="27.7109375" bestFit="1" customWidth="1"/>
    <col min="6" max="6" width="12.7109375" bestFit="1" customWidth="1"/>
    <col min="7" max="7" width="11.5703125" bestFit="1" customWidth="1"/>
    <col min="8" max="9" width="11.5703125" customWidth="1"/>
    <col min="11" max="11" width="9.5703125" bestFit="1" customWidth="1"/>
    <col min="17" max="17" width="9.5703125" bestFit="1" customWidth="1"/>
    <col min="18" max="18" width="9.5703125" customWidth="1"/>
    <col min="20" max="20" width="15" bestFit="1" customWidth="1"/>
    <col min="21" max="21" width="12.5703125" bestFit="1" customWidth="1"/>
    <col min="23" max="23" width="11.5703125" bestFit="1" customWidth="1"/>
  </cols>
  <sheetData>
    <row r="3" spans="1:21" ht="15.75" thickBot="1" x14ac:dyDescent="0.3"/>
    <row r="4" spans="1:21" ht="15.75" thickBot="1" x14ac:dyDescent="0.3">
      <c r="E4" s="248" t="s">
        <v>95</v>
      </c>
      <c r="F4" s="249"/>
    </row>
    <row r="5" spans="1:21" x14ac:dyDescent="0.25">
      <c r="E5" s="94"/>
      <c r="F5" s="95" t="s">
        <v>96</v>
      </c>
    </row>
    <row r="6" spans="1:21" x14ac:dyDescent="0.25">
      <c r="E6" s="96" t="s">
        <v>97</v>
      </c>
      <c r="F6" s="97">
        <f>U34+U31</f>
        <v>49460</v>
      </c>
    </row>
    <row r="7" spans="1:21" x14ac:dyDescent="0.25">
      <c r="E7" s="96" t="s">
        <v>98</v>
      </c>
      <c r="F7" s="97">
        <f>F9-F6</f>
        <v>732141.41870588216</v>
      </c>
      <c r="G7" s="88"/>
      <c r="H7" s="88"/>
      <c r="I7" s="88"/>
    </row>
    <row r="8" spans="1:21" ht="15.75" thickBot="1" x14ac:dyDescent="0.3">
      <c r="E8" s="98"/>
      <c r="F8" s="99"/>
    </row>
    <row r="9" spans="1:21" ht="15.75" thickBot="1" x14ac:dyDescent="0.3">
      <c r="E9" s="100" t="s">
        <v>99</v>
      </c>
      <c r="F9" s="101">
        <f>U39</f>
        <v>781601.41870588216</v>
      </c>
      <c r="G9" s="88">
        <f>F9-(U33+U27+U26)</f>
        <v>650072.20447058813</v>
      </c>
      <c r="H9" s="88"/>
      <c r="I9" s="88"/>
    </row>
    <row r="10" spans="1:21" ht="15.75" thickBot="1" x14ac:dyDescent="0.3">
      <c r="E10" s="100" t="s">
        <v>100</v>
      </c>
      <c r="F10" s="102">
        <f>F40</f>
        <v>866851.07651999989</v>
      </c>
    </row>
    <row r="11" spans="1:21" ht="15.75" thickBot="1" x14ac:dyDescent="0.3">
      <c r="E11" s="103" t="s">
        <v>101</v>
      </c>
      <c r="F11" s="102">
        <f>K39</f>
        <v>506671.49051999993</v>
      </c>
    </row>
    <row r="12" spans="1:21" ht="15.75" thickBot="1" x14ac:dyDescent="0.3">
      <c r="J12" s="250" t="s">
        <v>102</v>
      </c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</row>
    <row r="13" spans="1:21" ht="60.75" thickBot="1" x14ac:dyDescent="0.3">
      <c r="D13" s="180" t="s">
        <v>1</v>
      </c>
      <c r="E13" s="180" t="s">
        <v>158</v>
      </c>
      <c r="F13" s="181" t="s">
        <v>159</v>
      </c>
      <c r="G13" s="181" t="s">
        <v>160</v>
      </c>
      <c r="H13" s="104"/>
      <c r="I13" s="104"/>
      <c r="J13" s="105" t="s">
        <v>104</v>
      </c>
      <c r="K13" s="106" t="s">
        <v>105</v>
      </c>
      <c r="L13" s="107"/>
      <c r="M13" s="108" t="s">
        <v>106</v>
      </c>
      <c r="N13" s="109"/>
      <c r="O13" s="107"/>
      <c r="P13" s="110" t="s">
        <v>107</v>
      </c>
      <c r="Q13" s="111" t="s">
        <v>107</v>
      </c>
      <c r="R13" s="107"/>
      <c r="S13" s="6" t="s">
        <v>70</v>
      </c>
      <c r="T13" s="251" t="s">
        <v>108</v>
      </c>
      <c r="U13" s="252"/>
    </row>
    <row r="14" spans="1:21" ht="15.75" hidden="1" thickBot="1" x14ac:dyDescent="0.3">
      <c r="D14" s="1"/>
      <c r="E14" s="92"/>
      <c r="F14" s="92"/>
      <c r="G14" s="182"/>
      <c r="H14" s="193"/>
      <c r="I14" s="104"/>
      <c r="J14" s="112"/>
      <c r="K14" s="113"/>
      <c r="L14" s="104"/>
      <c r="M14" s="114"/>
      <c r="N14" s="115"/>
      <c r="O14" s="104"/>
      <c r="P14" s="112"/>
      <c r="Q14" s="113"/>
      <c r="R14" s="104"/>
      <c r="T14" s="116" t="s">
        <v>103</v>
      </c>
      <c r="U14" s="117" t="s">
        <v>109</v>
      </c>
    </row>
    <row r="15" spans="1:21" hidden="1" x14ac:dyDescent="0.25">
      <c r="D15" s="1"/>
      <c r="E15" s="119" t="s">
        <v>110</v>
      </c>
      <c r="F15" s="92" t="s">
        <v>111</v>
      </c>
      <c r="G15" s="92"/>
      <c r="H15" s="104"/>
      <c r="I15" s="104"/>
      <c r="J15" s="121" t="s">
        <v>112</v>
      </c>
      <c r="K15" s="120"/>
      <c r="L15" s="104"/>
      <c r="M15" s="122" t="s">
        <v>113</v>
      </c>
      <c r="N15" s="123" t="s">
        <v>114</v>
      </c>
      <c r="O15" s="104"/>
      <c r="P15" s="121" t="s">
        <v>113</v>
      </c>
      <c r="Q15" s="120" t="s">
        <v>114</v>
      </c>
      <c r="R15" s="104"/>
      <c r="T15" s="124"/>
      <c r="U15" s="125" t="s">
        <v>115</v>
      </c>
    </row>
    <row r="16" spans="1:21" x14ac:dyDescent="0.25">
      <c r="A16">
        <f>200/1.3</f>
        <v>153.84615384615384</v>
      </c>
      <c r="D16" s="92" t="s">
        <v>116</v>
      </c>
      <c r="E16" s="183">
        <v>2011.85</v>
      </c>
      <c r="F16" s="184">
        <v>21655.553399999997</v>
      </c>
      <c r="G16" s="1"/>
      <c r="H16" s="194"/>
      <c r="I16" s="177"/>
      <c r="J16" s="121"/>
      <c r="K16" s="120"/>
      <c r="L16" s="104"/>
      <c r="M16" s="122"/>
      <c r="N16" s="123"/>
      <c r="O16" s="104"/>
      <c r="P16" s="126"/>
      <c r="Q16" s="120"/>
      <c r="R16" s="104"/>
      <c r="T16" s="118"/>
      <c r="U16" s="127"/>
    </row>
    <row r="17" spans="1:23" x14ac:dyDescent="0.25">
      <c r="A17" s="199">
        <f>A16*10^7</f>
        <v>1538461538.4615383</v>
      </c>
      <c r="D17" s="92" t="s">
        <v>117</v>
      </c>
      <c r="E17" s="128">
        <v>3146.18</v>
      </c>
      <c r="F17" s="184">
        <v>33865.481519999994</v>
      </c>
      <c r="G17" s="185">
        <v>48244.247999999985</v>
      </c>
      <c r="H17" s="177"/>
      <c r="I17" s="177"/>
      <c r="J17" s="130">
        <v>2726</v>
      </c>
      <c r="K17" s="129">
        <f>J17*10.764</f>
        <v>29342.663999999997</v>
      </c>
      <c r="L17" s="253"/>
      <c r="M17" s="131">
        <v>3047.7599999999998</v>
      </c>
      <c r="N17" s="132">
        <v>32806.088639999994</v>
      </c>
      <c r="O17" s="104"/>
      <c r="P17" s="133">
        <v>3047.7599999999998</v>
      </c>
      <c r="Q17" s="134">
        <v>32806.088639999994</v>
      </c>
      <c r="R17" s="171"/>
      <c r="T17" s="135" t="s">
        <v>117</v>
      </c>
      <c r="U17" s="136">
        <v>48244.247999999985</v>
      </c>
      <c r="W17" s="135"/>
    </row>
    <row r="18" spans="1:23" x14ac:dyDescent="0.25">
      <c r="A18" s="168">
        <f>A17/4046</f>
        <v>380242.59477546671</v>
      </c>
      <c r="D18" s="92" t="s">
        <v>118</v>
      </c>
      <c r="E18" s="128">
        <v>3029.2799999999997</v>
      </c>
      <c r="F18" s="184">
        <v>32607.169919999997</v>
      </c>
      <c r="G18" s="185">
        <v>46393.789764705871</v>
      </c>
      <c r="H18" s="177"/>
      <c r="I18" s="177"/>
      <c r="J18" s="130">
        <f>J19</f>
        <v>2726</v>
      </c>
      <c r="K18" s="129">
        <f t="shared" ref="K18:K31" si="0">J18*10.764</f>
        <v>29342.663999999997</v>
      </c>
      <c r="L18" s="254"/>
      <c r="M18" s="131">
        <v>2930.8599999999997</v>
      </c>
      <c r="N18" s="132">
        <v>31547.777039999994</v>
      </c>
      <c r="O18" s="104"/>
      <c r="P18" s="133">
        <v>2930.8599999999997</v>
      </c>
      <c r="Q18" s="134">
        <v>31547.777039999994</v>
      </c>
      <c r="R18" s="171"/>
      <c r="T18" s="135" t="s">
        <v>118</v>
      </c>
      <c r="U18" s="136">
        <v>46393.789764705871</v>
      </c>
      <c r="W18" s="135"/>
    </row>
    <row r="19" spans="1:23" x14ac:dyDescent="0.25">
      <c r="D19" s="92" t="s">
        <v>119</v>
      </c>
      <c r="E19" s="128">
        <v>3029.2799999999997</v>
      </c>
      <c r="F19" s="184">
        <v>32607.169919999997</v>
      </c>
      <c r="G19" s="185">
        <v>46393.789764705871</v>
      </c>
      <c r="H19" s="177"/>
      <c r="I19" s="177"/>
      <c r="J19" s="130">
        <f>J21</f>
        <v>2726</v>
      </c>
      <c r="K19" s="129">
        <f t="shared" si="0"/>
        <v>29342.663999999997</v>
      </c>
      <c r="L19" s="254"/>
      <c r="M19" s="131">
        <v>2930.8599999999997</v>
      </c>
      <c r="N19" s="132">
        <v>31547.777039999994</v>
      </c>
      <c r="O19" s="104"/>
      <c r="P19" s="133">
        <v>2930.8599999999997</v>
      </c>
      <c r="Q19" s="134">
        <v>31547.777039999994</v>
      </c>
      <c r="R19" s="171"/>
      <c r="T19" s="135" t="s">
        <v>119</v>
      </c>
      <c r="U19" s="136">
        <v>46393.789764705871</v>
      </c>
      <c r="W19" s="135"/>
    </row>
    <row r="20" spans="1:23" x14ac:dyDescent="0.25">
      <c r="D20" s="92" t="s">
        <v>120</v>
      </c>
      <c r="E20" s="128">
        <v>3146.18</v>
      </c>
      <c r="F20" s="184">
        <v>33865.481519999994</v>
      </c>
      <c r="G20" s="185">
        <v>45503.701941176463</v>
      </c>
      <c r="H20" s="177"/>
      <c r="I20" s="177"/>
      <c r="J20" s="130">
        <f>J24</f>
        <v>2544.21</v>
      </c>
      <c r="K20" s="129">
        <f t="shared" si="0"/>
        <v>27385.87644</v>
      </c>
      <c r="L20" s="254"/>
      <c r="M20" s="131">
        <v>2874.6299999999997</v>
      </c>
      <c r="N20" s="132">
        <v>30942.517319999995</v>
      </c>
      <c r="O20" s="104"/>
      <c r="P20" s="133">
        <v>2874.6299999999997</v>
      </c>
      <c r="Q20" s="134">
        <v>30942.517319999995</v>
      </c>
      <c r="R20" s="171"/>
      <c r="T20" s="135" t="s">
        <v>120</v>
      </c>
      <c r="U20" s="136">
        <v>45503.701941176463</v>
      </c>
      <c r="W20" s="135"/>
    </row>
    <row r="21" spans="1:23" x14ac:dyDescent="0.25">
      <c r="D21" s="92" t="s">
        <v>121</v>
      </c>
      <c r="E21" s="128">
        <v>3146.18</v>
      </c>
      <c r="F21" s="184">
        <v>33865.481519999994</v>
      </c>
      <c r="G21" s="185">
        <v>48244.247999999985</v>
      </c>
      <c r="H21" s="177"/>
      <c r="I21" s="177"/>
      <c r="J21" s="130">
        <v>2726</v>
      </c>
      <c r="K21" s="129">
        <f t="shared" si="0"/>
        <v>29342.663999999997</v>
      </c>
      <c r="L21" s="254"/>
      <c r="M21" s="131">
        <v>3047.7599999999998</v>
      </c>
      <c r="N21" s="132">
        <v>32806.088639999994</v>
      </c>
      <c r="O21" s="104"/>
      <c r="P21" s="133">
        <v>3047.7599999999998</v>
      </c>
      <c r="Q21" s="134">
        <v>32806.088639999994</v>
      </c>
      <c r="R21" s="171"/>
      <c r="T21" s="135" t="s">
        <v>121</v>
      </c>
      <c r="U21" s="136">
        <v>48244.247999999985</v>
      </c>
      <c r="W21" s="135"/>
    </row>
    <row r="22" spans="1:23" x14ac:dyDescent="0.25">
      <c r="D22" s="92" t="s">
        <v>122</v>
      </c>
      <c r="E22" s="128">
        <v>3029.2799999999997</v>
      </c>
      <c r="F22" s="184">
        <v>32607.169919999997</v>
      </c>
      <c r="G22" s="185">
        <v>46393.789764705871</v>
      </c>
      <c r="H22" s="177"/>
      <c r="I22" s="177"/>
      <c r="J22" s="130">
        <v>2726</v>
      </c>
      <c r="K22" s="129">
        <f t="shared" si="0"/>
        <v>29342.663999999997</v>
      </c>
      <c r="L22" s="254"/>
      <c r="M22" s="131">
        <v>2930.8599999999997</v>
      </c>
      <c r="N22" s="132">
        <v>31547.777039999994</v>
      </c>
      <c r="O22" s="104"/>
      <c r="P22" s="133">
        <v>2930.8599999999997</v>
      </c>
      <c r="Q22" s="134">
        <v>31547.777039999994</v>
      </c>
      <c r="R22" s="171"/>
      <c r="T22" s="135" t="s">
        <v>122</v>
      </c>
      <c r="U22" s="136">
        <v>46393.789764705871</v>
      </c>
      <c r="W22" s="135"/>
    </row>
    <row r="23" spans="1:23" x14ac:dyDescent="0.25">
      <c r="D23" s="92" t="s">
        <v>123</v>
      </c>
      <c r="E23" s="128">
        <v>3029.2799999999997</v>
      </c>
      <c r="F23" s="184">
        <v>32607.169919999997</v>
      </c>
      <c r="G23" s="185">
        <v>46393.789764705871</v>
      </c>
      <c r="H23" s="177"/>
      <c r="I23" s="177"/>
      <c r="J23" s="130">
        <v>2726</v>
      </c>
      <c r="K23" s="129">
        <f t="shared" si="0"/>
        <v>29342.663999999997</v>
      </c>
      <c r="L23" s="254"/>
      <c r="M23" s="131">
        <v>2930.8599999999997</v>
      </c>
      <c r="N23" s="132">
        <v>31547.777039999994</v>
      </c>
      <c r="O23" s="104"/>
      <c r="P23" s="133">
        <v>2930.8599999999997</v>
      </c>
      <c r="Q23" s="134">
        <v>31547.777039999994</v>
      </c>
      <c r="R23" s="171"/>
      <c r="T23" s="135" t="s">
        <v>123</v>
      </c>
      <c r="U23" s="136">
        <v>46393.789764705871</v>
      </c>
      <c r="W23" s="135"/>
    </row>
    <row r="24" spans="1:23" x14ac:dyDescent="0.25">
      <c r="D24" s="92" t="s">
        <v>124</v>
      </c>
      <c r="E24" s="128">
        <v>3146.18</v>
      </c>
      <c r="F24" s="184">
        <v>33865.481519999994</v>
      </c>
      <c r="G24" s="185">
        <v>45503.701941176463</v>
      </c>
      <c r="H24" s="177"/>
      <c r="I24" s="177"/>
      <c r="J24" s="130">
        <f>J28</f>
        <v>2544.21</v>
      </c>
      <c r="K24" s="129">
        <f t="shared" si="0"/>
        <v>27385.87644</v>
      </c>
      <c r="L24" s="254"/>
      <c r="M24" s="131">
        <v>2874.6299999999997</v>
      </c>
      <c r="N24" s="132">
        <v>30942.517319999995</v>
      </c>
      <c r="O24" s="104"/>
      <c r="P24" s="133">
        <v>2874.6299999999997</v>
      </c>
      <c r="Q24" s="134">
        <v>30942.517319999995</v>
      </c>
      <c r="R24" s="171"/>
      <c r="T24" s="135" t="s">
        <v>124</v>
      </c>
      <c r="U24" s="136">
        <v>45503.701941176463</v>
      </c>
      <c r="W24" s="135"/>
    </row>
    <row r="25" spans="1:23" x14ac:dyDescent="0.25">
      <c r="D25" s="92" t="s">
        <v>125</v>
      </c>
      <c r="E25" s="128">
        <v>3146.18</v>
      </c>
      <c r="F25" s="184">
        <v>33865.481519999994</v>
      </c>
      <c r="G25" s="185">
        <v>48244.247999999985</v>
      </c>
      <c r="H25" s="177"/>
      <c r="I25" s="177"/>
      <c r="J25" s="130">
        <v>2726</v>
      </c>
      <c r="K25" s="129">
        <f t="shared" si="0"/>
        <v>29342.663999999997</v>
      </c>
      <c r="L25" s="254"/>
      <c r="M25" s="131">
        <v>3047.7599999999998</v>
      </c>
      <c r="N25" s="132">
        <v>32806.088639999994</v>
      </c>
      <c r="O25" s="104"/>
      <c r="P25" s="133">
        <v>3047.7599999999998</v>
      </c>
      <c r="Q25" s="134">
        <v>32806.088639999994</v>
      </c>
      <c r="R25" s="171"/>
      <c r="T25" s="135" t="s">
        <v>125</v>
      </c>
      <c r="U25" s="136">
        <v>48244.247999999985</v>
      </c>
      <c r="W25" s="135"/>
    </row>
    <row r="26" spans="1:23" x14ac:dyDescent="0.25">
      <c r="D26" s="92" t="s">
        <v>126</v>
      </c>
      <c r="E26" s="128">
        <v>0</v>
      </c>
      <c r="F26" s="184">
        <v>32607.169919999997</v>
      </c>
      <c r="G26" s="185">
        <v>46393.789764705871</v>
      </c>
      <c r="H26" s="177"/>
      <c r="I26" s="177"/>
      <c r="J26" s="130">
        <v>2726</v>
      </c>
      <c r="K26" s="129">
        <f t="shared" si="0"/>
        <v>29342.663999999997</v>
      </c>
      <c r="L26" s="254"/>
      <c r="M26" s="131">
        <v>2930.8599999999997</v>
      </c>
      <c r="N26" s="132">
        <v>31547.777039999994</v>
      </c>
      <c r="O26" s="104"/>
      <c r="P26" s="133">
        <v>2930.8599999999997</v>
      </c>
      <c r="Q26" s="134">
        <v>31547.777039999994</v>
      </c>
      <c r="R26" s="171"/>
      <c r="T26" s="135" t="s">
        <v>126</v>
      </c>
      <c r="U26" s="136">
        <v>46393.789764705871</v>
      </c>
      <c r="W26" s="135"/>
    </row>
    <row r="27" spans="1:23" x14ac:dyDescent="0.25">
      <c r="D27" s="92" t="s">
        <v>127</v>
      </c>
      <c r="E27" s="128">
        <v>0</v>
      </c>
      <c r="F27" s="184">
        <v>33865.481519999994</v>
      </c>
      <c r="G27" s="185">
        <v>48244.247999999985</v>
      </c>
      <c r="H27" s="177"/>
      <c r="I27" s="177"/>
      <c r="J27" s="130">
        <v>2726</v>
      </c>
      <c r="K27" s="129">
        <f t="shared" si="0"/>
        <v>29342.663999999997</v>
      </c>
      <c r="L27" s="254"/>
      <c r="M27" s="131">
        <v>3047.7599999999998</v>
      </c>
      <c r="N27" s="132">
        <v>32806.088639999994</v>
      </c>
      <c r="O27" s="104"/>
      <c r="P27" s="133">
        <v>3047.7599999999998</v>
      </c>
      <c r="Q27" s="134">
        <v>32806.088639999994</v>
      </c>
      <c r="R27" s="171"/>
      <c r="T27" s="135" t="s">
        <v>127</v>
      </c>
      <c r="U27" s="136">
        <v>48244.247999999985</v>
      </c>
      <c r="W27" s="198">
        <f>U27+U26</f>
        <v>94638.037764705863</v>
      </c>
    </row>
    <row r="28" spans="1:23" x14ac:dyDescent="0.25">
      <c r="D28" s="92" t="s">
        <v>128</v>
      </c>
      <c r="E28" s="128">
        <v>3146.18</v>
      </c>
      <c r="F28" s="184">
        <v>33865.481519999994</v>
      </c>
      <c r="G28" s="185">
        <v>45503.701941176463</v>
      </c>
      <c r="H28" s="177"/>
      <c r="I28" s="177"/>
      <c r="J28" s="130">
        <f>2562.85-18.64</f>
        <v>2544.21</v>
      </c>
      <c r="K28" s="129">
        <f t="shared" si="0"/>
        <v>27385.87644</v>
      </c>
      <c r="L28" s="254"/>
      <c r="M28" s="131">
        <v>2874.6299999999997</v>
      </c>
      <c r="N28" s="132">
        <v>30942.517319999995</v>
      </c>
      <c r="O28" s="104"/>
      <c r="P28" s="133">
        <v>2874.6299999999997</v>
      </c>
      <c r="Q28" s="134">
        <v>30942.517319999995</v>
      </c>
      <c r="R28" s="171"/>
      <c r="T28" s="135" t="s">
        <v>128</v>
      </c>
      <c r="U28" s="136">
        <v>45503.701941176463</v>
      </c>
      <c r="W28" s="135"/>
    </row>
    <row r="29" spans="1:23" x14ac:dyDescent="0.25">
      <c r="A29" s="197">
        <f>SUM(E17:E33)</f>
        <v>42354.159999999996</v>
      </c>
      <c r="D29" s="92" t="s">
        <v>129</v>
      </c>
      <c r="E29" s="128">
        <v>2887.2799999999997</v>
      </c>
      <c r="F29" s="184">
        <v>31078.681919999995</v>
      </c>
      <c r="G29" s="185">
        <v>44146.013294117642</v>
      </c>
      <c r="H29" s="177"/>
      <c r="I29" s="178"/>
      <c r="J29" s="130">
        <f>2256+237.53-18.64</f>
        <v>2474.8900000000003</v>
      </c>
      <c r="K29" s="129">
        <f t="shared" si="0"/>
        <v>26639.715960000001</v>
      </c>
      <c r="L29" s="254"/>
      <c r="M29" s="131">
        <v>2788.86</v>
      </c>
      <c r="N29" s="132">
        <v>30019.28904</v>
      </c>
      <c r="O29" s="104"/>
      <c r="P29" s="130">
        <v>2788.86</v>
      </c>
      <c r="Q29" s="134">
        <v>30019.28904</v>
      </c>
      <c r="R29" s="171"/>
      <c r="T29" s="135" t="s">
        <v>129</v>
      </c>
      <c r="U29" s="136">
        <v>44146.013294117642</v>
      </c>
      <c r="W29" s="135"/>
    </row>
    <row r="30" spans="1:23" x14ac:dyDescent="0.25">
      <c r="A30" s="197">
        <f>A29*231100</f>
        <v>9788046376</v>
      </c>
      <c r="D30" s="255" t="s">
        <v>130</v>
      </c>
      <c r="E30" s="256">
        <v>3071.99</v>
      </c>
      <c r="F30" s="257">
        <v>33066.900359999992</v>
      </c>
      <c r="G30" s="186">
        <v>45053.513235294115</v>
      </c>
      <c r="H30" s="178"/>
      <c r="I30" s="178"/>
      <c r="J30" s="130">
        <f>2766-18.64</f>
        <v>2747.36</v>
      </c>
      <c r="K30" s="129">
        <f t="shared" si="0"/>
        <v>29572.583040000001</v>
      </c>
      <c r="L30" s="254"/>
      <c r="M30" s="131">
        <v>2969.7499999999995</v>
      </c>
      <c r="N30" s="132">
        <v>30636.388999999999</v>
      </c>
      <c r="O30" s="104"/>
      <c r="P30" s="137">
        <v>2969.7499999999995</v>
      </c>
      <c r="Q30" s="138">
        <v>30636.388999999999</v>
      </c>
      <c r="R30" s="172"/>
      <c r="T30" s="135" t="s">
        <v>131</v>
      </c>
      <c r="U30" s="139">
        <v>45053.513235294115</v>
      </c>
      <c r="W30" s="135"/>
    </row>
    <row r="31" spans="1:23" x14ac:dyDescent="0.25">
      <c r="D31" s="255"/>
      <c r="E31" s="256"/>
      <c r="F31" s="257"/>
      <c r="G31" s="186">
        <v>2660</v>
      </c>
      <c r="H31" s="178"/>
      <c r="I31" s="178"/>
      <c r="J31" s="130">
        <f>2468.3-18.64</f>
        <v>2449.6600000000003</v>
      </c>
      <c r="K31" s="129">
        <f t="shared" si="0"/>
        <v>26368.140240000001</v>
      </c>
      <c r="L31" s="254"/>
      <c r="M31" s="131"/>
      <c r="N31" s="132">
        <v>1330</v>
      </c>
      <c r="O31" s="104"/>
      <c r="P31" s="140"/>
      <c r="Q31" s="141">
        <v>1330</v>
      </c>
      <c r="R31" s="173"/>
      <c r="T31" s="135" t="s">
        <v>132</v>
      </c>
      <c r="U31" s="139">
        <v>2660</v>
      </c>
      <c r="W31" s="135"/>
    </row>
    <row r="32" spans="1:23" x14ac:dyDescent="0.25">
      <c r="D32" s="92" t="s">
        <v>133</v>
      </c>
      <c r="E32" s="128">
        <v>2967.89</v>
      </c>
      <c r="F32" s="184">
        <v>31946.367959999996</v>
      </c>
      <c r="G32" s="186">
        <v>44593.669058823514</v>
      </c>
      <c r="H32" s="178"/>
      <c r="I32" s="178"/>
      <c r="J32" s="130">
        <f>1759.21-18.64</f>
        <v>1740.57</v>
      </c>
      <c r="K32" s="129">
        <f>J32*10.764</f>
        <v>18735.495479999998</v>
      </c>
      <c r="L32" s="254"/>
      <c r="M32" s="131">
        <v>2817.1399999999994</v>
      </c>
      <c r="N32" s="132">
        <v>30323.694959999993</v>
      </c>
      <c r="O32" s="104"/>
      <c r="P32" s="137">
        <v>2817.1399999999994</v>
      </c>
      <c r="Q32" s="138">
        <v>30323.694959999993</v>
      </c>
      <c r="R32" s="172"/>
      <c r="T32" s="135" t="s">
        <v>133</v>
      </c>
      <c r="U32" s="139">
        <v>44593.669058823514</v>
      </c>
      <c r="W32" s="198">
        <f>U31+U30+U29</f>
        <v>91859.526529411756</v>
      </c>
    </row>
    <row r="33" spans="1:23" x14ac:dyDescent="0.25">
      <c r="D33" s="92" t="s">
        <v>134</v>
      </c>
      <c r="E33" s="128">
        <v>2432.8000000000002</v>
      </c>
      <c r="F33" s="184">
        <v>26186.659200000002</v>
      </c>
      <c r="G33" s="186">
        <v>36891.176470588231</v>
      </c>
      <c r="H33" s="178"/>
      <c r="I33" s="179"/>
      <c r="J33" s="130">
        <v>2068.8200000000002</v>
      </c>
      <c r="K33" s="129">
        <f>J33*10.764</f>
        <v>22268.778480000001</v>
      </c>
      <c r="L33" s="142"/>
      <c r="M33" s="131">
        <f>N33/10.764</f>
        <v>2330.5462653288741</v>
      </c>
      <c r="N33" s="132">
        <v>25086</v>
      </c>
      <c r="O33" s="104"/>
      <c r="P33" s="137">
        <f>Q33/10.764</f>
        <v>2330.5462653288741</v>
      </c>
      <c r="Q33" s="138">
        <v>25086</v>
      </c>
      <c r="R33" s="172"/>
      <c r="T33" s="135" t="s">
        <v>134</v>
      </c>
      <c r="U33" s="139">
        <v>36891.176470588231</v>
      </c>
      <c r="W33" s="135"/>
    </row>
    <row r="34" spans="1:23" x14ac:dyDescent="0.25">
      <c r="D34" s="92" t="s">
        <v>135</v>
      </c>
      <c r="E34" s="128">
        <v>4185.1400000000003</v>
      </c>
      <c r="F34" s="184">
        <v>45048.846960000003</v>
      </c>
      <c r="G34" s="187">
        <v>46800</v>
      </c>
      <c r="H34" s="195"/>
      <c r="I34" s="104"/>
      <c r="J34" s="126">
        <v>3423</v>
      </c>
      <c r="K34" s="144">
        <f>J34*10.764</f>
        <v>36845.171999999999</v>
      </c>
      <c r="L34" s="104"/>
      <c r="M34" s="145">
        <v>4078</v>
      </c>
      <c r="N34" s="123">
        <v>24305</v>
      </c>
      <c r="O34" s="104"/>
      <c r="P34" s="146">
        <v>4078</v>
      </c>
      <c r="Q34" s="147">
        <v>24305</v>
      </c>
      <c r="R34" s="174"/>
      <c r="T34" s="135" t="s">
        <v>135</v>
      </c>
      <c r="U34" s="148">
        <v>46800</v>
      </c>
      <c r="W34" s="135"/>
    </row>
    <row r="35" spans="1:23" x14ac:dyDescent="0.25">
      <c r="A35" s="197">
        <f>E34*296300</f>
        <v>1240056982</v>
      </c>
      <c r="B35" t="s">
        <v>165</v>
      </c>
      <c r="D35" s="243" t="s">
        <v>162</v>
      </c>
      <c r="E35" s="244"/>
      <c r="F35" s="188">
        <f>SUM(F16:F34)</f>
        <v>589077.23003999982</v>
      </c>
      <c r="G35" s="189">
        <f>SUM(G17:G34)</f>
        <v>781601.41870588216</v>
      </c>
      <c r="H35" s="196">
        <f>F35/G35</f>
        <v>0.75367983724409093</v>
      </c>
      <c r="I35" s="104"/>
      <c r="J35" s="126"/>
      <c r="K35" s="120"/>
      <c r="L35" s="104"/>
      <c r="M35" s="150"/>
      <c r="N35" s="120"/>
      <c r="O35" s="104"/>
      <c r="P35" s="151"/>
      <c r="Q35" s="152"/>
      <c r="R35" s="175"/>
      <c r="T35" s="135"/>
      <c r="U35" s="153"/>
    </row>
    <row r="36" spans="1:23" x14ac:dyDescent="0.25">
      <c r="A36" s="197">
        <f>SUM(E17:E33)*231100</f>
        <v>9788046376</v>
      </c>
      <c r="B36" t="s">
        <v>166</v>
      </c>
      <c r="D36" s="92" t="s">
        <v>136</v>
      </c>
      <c r="E36" s="188">
        <f>F36/10.764</f>
        <v>8955.11</v>
      </c>
      <c r="F36" s="191">
        <v>96392.804040000003</v>
      </c>
      <c r="G36" s="245"/>
      <c r="H36" s="201">
        <f>F35*0.15</f>
        <v>88361.58450599997</v>
      </c>
      <c r="I36" s="104"/>
      <c r="J36" s="126"/>
      <c r="K36" s="120"/>
      <c r="L36" s="104"/>
      <c r="M36" s="150"/>
      <c r="N36" s="120"/>
      <c r="O36" s="104"/>
      <c r="P36" s="150"/>
      <c r="Q36" s="120"/>
      <c r="R36" s="104"/>
      <c r="T36" s="135"/>
      <c r="U36" s="154"/>
      <c r="W36" s="200">
        <f>SUM(U17:U34)</f>
        <v>781601.41870588216</v>
      </c>
    </row>
    <row r="37" spans="1:23" x14ac:dyDescent="0.25">
      <c r="A37" s="197">
        <f>SUM(A35:A36)</f>
        <v>11028103358</v>
      </c>
      <c r="D37" s="92" t="s">
        <v>137</v>
      </c>
      <c r="E37" s="188">
        <f t="shared" ref="E37:E38" si="1">F37/10.764</f>
        <v>8538.44</v>
      </c>
      <c r="F37" s="188">
        <v>91907.768160000007</v>
      </c>
      <c r="G37" s="246"/>
      <c r="H37" s="104">
        <v>192524</v>
      </c>
      <c r="I37" s="104"/>
      <c r="J37" s="118"/>
      <c r="K37" s="155"/>
      <c r="M37" s="118"/>
      <c r="N37" s="155"/>
      <c r="P37" s="118"/>
      <c r="Q37" s="155"/>
      <c r="T37" s="118"/>
      <c r="U37" s="155"/>
      <c r="W37" s="90">
        <f>W36-(U27+U26)</f>
        <v>686963.38094117632</v>
      </c>
    </row>
    <row r="38" spans="1:23" ht="15.75" thickBot="1" x14ac:dyDescent="0.3">
      <c r="D38" s="92" t="s">
        <v>138</v>
      </c>
      <c r="E38" s="188">
        <f t="shared" si="1"/>
        <v>8312.27</v>
      </c>
      <c r="F38" s="188">
        <f>8312.27*10.764</f>
        <v>89473.274279999998</v>
      </c>
      <c r="G38" s="246"/>
      <c r="H38" s="201">
        <f>H36+H37</f>
        <v>280885.58450599998</v>
      </c>
      <c r="I38" s="104"/>
      <c r="J38" s="156"/>
      <c r="K38" s="157"/>
      <c r="L38" s="142"/>
      <c r="M38" s="143"/>
      <c r="N38" s="158"/>
      <c r="O38" s="104"/>
      <c r="P38" s="143"/>
      <c r="Q38" s="158"/>
      <c r="R38" s="104"/>
      <c r="T38" s="156"/>
      <c r="U38" s="157"/>
    </row>
    <row r="39" spans="1:23" ht="15.75" thickBot="1" x14ac:dyDescent="0.3">
      <c r="D39" s="243" t="s">
        <v>163</v>
      </c>
      <c r="E39" s="244"/>
      <c r="F39" s="192">
        <f>SUM(F36:F38)</f>
        <v>277773.84648000001</v>
      </c>
      <c r="G39" s="246"/>
      <c r="H39" s="104"/>
      <c r="I39" s="104"/>
      <c r="J39" s="159">
        <f>SUM(J17:J33)</f>
        <v>43647.93</v>
      </c>
      <c r="K39" s="160">
        <f>SUM(K17:K34)</f>
        <v>506671.49051999993</v>
      </c>
      <c r="L39" s="104"/>
      <c r="M39" s="114"/>
      <c r="N39" s="115"/>
      <c r="O39" s="104"/>
      <c r="P39" s="161"/>
      <c r="Q39" s="162">
        <f>SUM(Q17:Q34)</f>
        <v>523491.16471999988</v>
      </c>
      <c r="R39" s="176"/>
      <c r="S39" s="93"/>
      <c r="T39" s="163" t="s">
        <v>139</v>
      </c>
      <c r="U39" s="164">
        <f>SUM(U17:U34)</f>
        <v>781601.41870588216</v>
      </c>
      <c r="V39">
        <f>U39/10.7639</f>
        <v>72613.218137095493</v>
      </c>
    </row>
    <row r="40" spans="1:23" x14ac:dyDescent="0.25">
      <c r="D40" s="243" t="s">
        <v>161</v>
      </c>
      <c r="E40" s="244"/>
      <c r="F40" s="190">
        <f>F35+F39</f>
        <v>866851.07651999989</v>
      </c>
      <c r="G40" s="247"/>
      <c r="H40" s="104"/>
      <c r="I40" s="104"/>
      <c r="U40" s="88">
        <f>U39+F40</f>
        <v>1648452.4952258822</v>
      </c>
    </row>
    <row r="41" spans="1:23" x14ac:dyDescent="0.25">
      <c r="D41" s="104"/>
      <c r="E41" s="149"/>
      <c r="F41" s="165"/>
      <c r="G41" s="104"/>
      <c r="H41" s="104"/>
      <c r="I41" s="104"/>
      <c r="U41" s="88">
        <f>U40/10.7639</f>
        <v>153146.39630857611</v>
      </c>
    </row>
    <row r="42" spans="1:23" ht="18" thickBot="1" x14ac:dyDescent="0.3">
      <c r="D42" s="104"/>
      <c r="E42" s="166"/>
      <c r="F42" s="167"/>
      <c r="G42" s="197">
        <f>F40-F16</f>
        <v>845195.52311999991</v>
      </c>
      <c r="H42" s="88">
        <f>G42/10.7639</f>
        <v>78521.309480764408</v>
      </c>
      <c r="K42" s="197">
        <f>SUM(E17:E34)</f>
        <v>46539.299999999996</v>
      </c>
    </row>
    <row r="43" spans="1:23" x14ac:dyDescent="0.25">
      <c r="K43" s="197">
        <f>SUM(E36:E38)</f>
        <v>25805.820000000003</v>
      </c>
    </row>
    <row r="44" spans="1:23" x14ac:dyDescent="0.25">
      <c r="K44" s="197">
        <f>K43+K42</f>
        <v>72345.119999999995</v>
      </c>
    </row>
  </sheetData>
  <mergeCells count="11">
    <mergeCell ref="J12:U12"/>
    <mergeCell ref="T13:U13"/>
    <mergeCell ref="L17:L32"/>
    <mergeCell ref="D30:D31"/>
    <mergeCell ref="E30:E31"/>
    <mergeCell ref="F30:F31"/>
    <mergeCell ref="D40:E40"/>
    <mergeCell ref="D35:E35"/>
    <mergeCell ref="D39:E39"/>
    <mergeCell ref="G36:G40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A27"/>
  <sheetViews>
    <sheetView zoomScaleNormal="100" workbookViewId="0">
      <selection activeCell="B3" sqref="B3:U21"/>
    </sheetView>
  </sheetViews>
  <sheetFormatPr defaultRowHeight="15" x14ac:dyDescent="0.25"/>
  <cols>
    <col min="1" max="1" width="9.140625" style="208"/>
    <col min="2" max="2" width="4.42578125" style="104" customWidth="1"/>
    <col min="3" max="3" width="10.85546875" style="104" customWidth="1"/>
    <col min="4" max="4" width="26.28515625" style="104" hidden="1" customWidth="1"/>
    <col min="5" max="5" width="13.140625" style="104" hidden="1" customWidth="1"/>
    <col min="6" max="6" width="11.28515625" style="104" hidden="1" customWidth="1"/>
    <col min="7" max="7" width="8.42578125" style="104" hidden="1" customWidth="1"/>
    <col min="8" max="8" width="9.7109375" style="104" hidden="1" customWidth="1"/>
    <col min="9" max="9" width="9.85546875" style="104" customWidth="1"/>
    <col min="10" max="10" width="14.7109375" style="104" hidden="1" customWidth="1"/>
    <col min="11" max="11" width="13.28515625" style="208" hidden="1" customWidth="1"/>
    <col min="12" max="12" width="15.5703125" style="208" hidden="1" customWidth="1"/>
    <col min="13" max="13" width="13.85546875" style="104" hidden="1" customWidth="1"/>
    <col min="14" max="14" width="14.7109375" style="208" hidden="1" customWidth="1"/>
    <col min="15" max="15" width="14.42578125" style="208" hidden="1" customWidth="1"/>
    <col min="16" max="16" width="14.28515625" style="208" hidden="1" customWidth="1"/>
    <col min="17" max="17" width="14.7109375" style="240" hidden="1" customWidth="1"/>
    <col min="18" max="18" width="6.85546875" style="104" hidden="1" customWidth="1"/>
    <col min="19" max="19" width="9.140625" style="208" hidden="1" customWidth="1"/>
    <col min="20" max="20" width="15.5703125" style="208" customWidth="1"/>
    <col min="21" max="21" width="10" style="208" hidden="1" customWidth="1"/>
    <col min="22" max="23" width="10" style="208" customWidth="1"/>
    <col min="24" max="24" width="12.5703125" style="208" bestFit="1" customWidth="1"/>
    <col min="25" max="25" width="10" style="208" customWidth="1"/>
    <col min="26" max="26" width="11.5703125" style="208" bestFit="1" customWidth="1"/>
    <col min="27" max="27" width="18.5703125" style="208" bestFit="1" customWidth="1"/>
    <col min="28" max="16384" width="9.140625" style="208"/>
  </cols>
  <sheetData>
    <row r="3" spans="1:27" x14ac:dyDescent="0.25">
      <c r="B3" s="260" t="s">
        <v>94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2"/>
      <c r="V3" s="235"/>
      <c r="W3" s="235"/>
      <c r="X3" s="235"/>
      <c r="Y3" s="193"/>
    </row>
    <row r="4" spans="1:27" ht="60" x14ac:dyDescent="0.25">
      <c r="B4" s="169" t="s">
        <v>167</v>
      </c>
      <c r="C4" s="169" t="s">
        <v>1</v>
      </c>
      <c r="D4" s="169" t="s">
        <v>86</v>
      </c>
      <c r="E4" s="169" t="s">
        <v>87</v>
      </c>
      <c r="F4" s="169" t="s">
        <v>91</v>
      </c>
      <c r="G4" s="169" t="s">
        <v>80</v>
      </c>
      <c r="H4" s="169" t="s">
        <v>81</v>
      </c>
      <c r="I4" s="169" t="s">
        <v>142</v>
      </c>
      <c r="J4" s="169" t="s">
        <v>172</v>
      </c>
      <c r="K4" s="169" t="s">
        <v>92</v>
      </c>
      <c r="L4" s="169" t="s">
        <v>93</v>
      </c>
      <c r="M4" s="169" t="s">
        <v>169</v>
      </c>
      <c r="N4" s="169" t="s">
        <v>145</v>
      </c>
      <c r="O4" s="169" t="s">
        <v>144</v>
      </c>
      <c r="P4" s="169" t="s">
        <v>173</v>
      </c>
      <c r="Q4" s="238" t="s">
        <v>170</v>
      </c>
      <c r="R4" s="169" t="s">
        <v>171</v>
      </c>
      <c r="S4" s="169" t="s">
        <v>82</v>
      </c>
      <c r="T4" s="169" t="s">
        <v>71</v>
      </c>
      <c r="U4" s="91"/>
      <c r="V4" s="236"/>
      <c r="W4" s="236"/>
      <c r="X4" s="236"/>
      <c r="Y4" s="209"/>
      <c r="AA4" s="210">
        <v>44873</v>
      </c>
    </row>
    <row r="5" spans="1:27" ht="30" x14ac:dyDescent="0.25">
      <c r="B5" s="202">
        <v>1</v>
      </c>
      <c r="C5" s="202" t="s">
        <v>146</v>
      </c>
      <c r="D5" s="207" t="s">
        <v>72</v>
      </c>
      <c r="E5" s="202" t="s">
        <v>77</v>
      </c>
      <c r="F5" s="202">
        <v>46383</v>
      </c>
      <c r="G5" s="202">
        <v>7500</v>
      </c>
      <c r="H5" s="202">
        <f>F5-G5</f>
        <v>38883</v>
      </c>
      <c r="I5" s="232">
        <v>7552</v>
      </c>
      <c r="J5" s="203">
        <f>130+31</f>
        <v>161</v>
      </c>
      <c r="K5" s="204">
        <f>I5*J5</f>
        <v>1215872</v>
      </c>
      <c r="L5" s="204">
        <f>K5*12</f>
        <v>14590464</v>
      </c>
      <c r="M5" s="205">
        <f>J5*0.12</f>
        <v>19.32</v>
      </c>
      <c r="N5" s="204">
        <f>I5*M5</f>
        <v>145904.64000000001</v>
      </c>
      <c r="O5" s="204">
        <f>N5*12</f>
        <v>1750855.6800000002</v>
      </c>
      <c r="P5" s="204">
        <f>L5-O5</f>
        <v>12839608.32</v>
      </c>
      <c r="Q5" s="237">
        <v>8.5000000000000006E-2</v>
      </c>
      <c r="R5" s="202">
        <v>10</v>
      </c>
      <c r="S5" s="206">
        <f>1/Q5</f>
        <v>11.76470588235294</v>
      </c>
      <c r="T5" s="204">
        <f>P5*S5</f>
        <v>151054215.52941176</v>
      </c>
      <c r="U5" s="211">
        <f>T5/I6</f>
        <v>3848.7111580058031</v>
      </c>
      <c r="V5" s="212">
        <f>1/Q5</f>
        <v>11.76470588235294</v>
      </c>
      <c r="W5" s="212">
        <f>(1-(1/(1+Q5)^R5))</f>
        <v>0.55771458496310466</v>
      </c>
      <c r="X5" s="212">
        <f>(1/(Q5*(1-(1/(1+Q5)^R5))))</f>
        <v>21.094492056597783</v>
      </c>
      <c r="Y5" s="212"/>
      <c r="Z5" s="213">
        <f>T5/I5</f>
        <v>20001.882352941175</v>
      </c>
    </row>
    <row r="6" spans="1:27" ht="30" x14ac:dyDescent="0.25">
      <c r="B6" s="202">
        <v>2</v>
      </c>
      <c r="C6" s="202" t="s">
        <v>146</v>
      </c>
      <c r="D6" s="207" t="s">
        <v>88</v>
      </c>
      <c r="E6" s="202" t="s">
        <v>77</v>
      </c>
      <c r="F6" s="202"/>
      <c r="G6" s="202"/>
      <c r="H6" s="202"/>
      <c r="I6" s="233">
        <f>46800-7552</f>
        <v>39248</v>
      </c>
      <c r="J6" s="203">
        <f>130+31</f>
        <v>161</v>
      </c>
      <c r="K6" s="204">
        <f>I6*J6</f>
        <v>6318928</v>
      </c>
      <c r="L6" s="204">
        <f>K6*12</f>
        <v>75827136</v>
      </c>
      <c r="M6" s="205">
        <f>J6*0.12</f>
        <v>19.32</v>
      </c>
      <c r="N6" s="204">
        <f>I6*M6</f>
        <v>758271.36</v>
      </c>
      <c r="O6" s="204">
        <f>N6*12</f>
        <v>9099256.3200000003</v>
      </c>
      <c r="P6" s="204">
        <f>L6-O6</f>
        <v>66727879.68</v>
      </c>
      <c r="Q6" s="237">
        <v>8.5000000000000006E-2</v>
      </c>
      <c r="R6" s="202">
        <v>10</v>
      </c>
      <c r="S6" s="206">
        <f t="shared" ref="S6:S20" si="0">1/Q6</f>
        <v>11.76470588235294</v>
      </c>
      <c r="T6" s="204">
        <f t="shared" ref="T6:T20" si="1">P6*S6</f>
        <v>785033878.58823526</v>
      </c>
      <c r="U6" s="211"/>
      <c r="V6" s="212"/>
      <c r="W6" s="212"/>
      <c r="X6" s="212">
        <f>X5*P5</f>
        <v>270845015.71606684</v>
      </c>
      <c r="Y6" s="212"/>
      <c r="Z6" s="213">
        <f>T6/I6</f>
        <v>20001.882352941175</v>
      </c>
    </row>
    <row r="7" spans="1:27" ht="30" x14ac:dyDescent="0.25">
      <c r="B7" s="202">
        <v>3</v>
      </c>
      <c r="C7" s="202" t="s">
        <v>147</v>
      </c>
      <c r="D7" s="207" t="s">
        <v>141</v>
      </c>
      <c r="E7" s="202" t="s">
        <v>77</v>
      </c>
      <c r="F7" s="202">
        <v>46383</v>
      </c>
      <c r="G7" s="202"/>
      <c r="H7" s="202">
        <f t="shared" ref="H7:H20" si="2">F7-G7</f>
        <v>46383</v>
      </c>
      <c r="I7" s="233">
        <v>36891</v>
      </c>
      <c r="J7" s="214">
        <f>90+15</f>
        <v>105</v>
      </c>
      <c r="K7" s="215">
        <f t="shared" ref="K7:K20" si="3">I7*J7</f>
        <v>3873555</v>
      </c>
      <c r="L7" s="215">
        <f t="shared" ref="L7:L20" si="4">K7*12</f>
        <v>46482660</v>
      </c>
      <c r="M7" s="205">
        <f t="shared" ref="M7:M20" si="5">J7*0.12</f>
        <v>12.6</v>
      </c>
      <c r="N7" s="215">
        <f t="shared" ref="N7:N20" si="6">I7*M7</f>
        <v>464826.6</v>
      </c>
      <c r="O7" s="215">
        <f t="shared" ref="O7:O20" si="7">N7*12</f>
        <v>5577919.1999999993</v>
      </c>
      <c r="P7" s="215">
        <f t="shared" ref="P7:P20" si="8">L7-O7</f>
        <v>40904740.799999997</v>
      </c>
      <c r="Q7" s="237">
        <v>8.5000000000000006E-2</v>
      </c>
      <c r="R7" s="202">
        <v>10</v>
      </c>
      <c r="S7" s="206">
        <f t="shared" si="0"/>
        <v>11.76470588235294</v>
      </c>
      <c r="T7" s="204">
        <f t="shared" si="1"/>
        <v>481232244.70588225</v>
      </c>
      <c r="U7" s="211">
        <f t="shared" ref="U7:U20" si="9">T7/I7</f>
        <v>13044.705882352939</v>
      </c>
      <c r="V7" s="212"/>
      <c r="W7" s="212"/>
      <c r="X7" s="212"/>
      <c r="Y7" s="212"/>
      <c r="Z7" s="213">
        <f t="shared" ref="Z7:Z20" si="10">T7/I7</f>
        <v>13044.705882352939</v>
      </c>
    </row>
    <row r="8" spans="1:27" ht="75" x14ac:dyDescent="0.25">
      <c r="B8" s="202">
        <v>4</v>
      </c>
      <c r="C8" s="202" t="s">
        <v>148</v>
      </c>
      <c r="D8" s="207" t="s">
        <v>79</v>
      </c>
      <c r="E8" s="202" t="s">
        <v>78</v>
      </c>
      <c r="F8" s="202">
        <v>46383</v>
      </c>
      <c r="G8" s="202">
        <v>25347</v>
      </c>
      <c r="H8" s="202">
        <f t="shared" si="2"/>
        <v>21036</v>
      </c>
      <c r="I8" s="233">
        <v>44593</v>
      </c>
      <c r="J8" s="203">
        <f>79+21</f>
        <v>100</v>
      </c>
      <c r="K8" s="204">
        <f t="shared" si="3"/>
        <v>4459300</v>
      </c>
      <c r="L8" s="204">
        <f t="shared" si="4"/>
        <v>53511600</v>
      </c>
      <c r="M8" s="205">
        <f t="shared" si="5"/>
        <v>12</v>
      </c>
      <c r="N8" s="204">
        <f t="shared" si="6"/>
        <v>535116</v>
      </c>
      <c r="O8" s="204">
        <f t="shared" si="7"/>
        <v>6421392</v>
      </c>
      <c r="P8" s="204">
        <f t="shared" si="8"/>
        <v>47090208</v>
      </c>
      <c r="Q8" s="237">
        <v>8.5000000000000006E-2</v>
      </c>
      <c r="R8" s="202">
        <v>10</v>
      </c>
      <c r="S8" s="206">
        <f t="shared" si="0"/>
        <v>11.76470588235294</v>
      </c>
      <c r="T8" s="204">
        <f t="shared" si="1"/>
        <v>554002447.05882347</v>
      </c>
      <c r="U8" s="211">
        <f t="shared" si="9"/>
        <v>12423.529411764704</v>
      </c>
      <c r="V8" s="212"/>
      <c r="W8" s="212"/>
      <c r="X8" s="212"/>
      <c r="Y8" s="212"/>
      <c r="Z8" s="213">
        <f t="shared" si="10"/>
        <v>12423.529411764704</v>
      </c>
    </row>
    <row r="9" spans="1:27" ht="45" x14ac:dyDescent="0.25">
      <c r="B9" s="202">
        <v>5</v>
      </c>
      <c r="C9" s="202" t="s">
        <v>164</v>
      </c>
      <c r="D9" s="207" t="s">
        <v>73</v>
      </c>
      <c r="E9" s="202" t="s">
        <v>78</v>
      </c>
      <c r="F9" s="202">
        <v>46383</v>
      </c>
      <c r="G9" s="202">
        <v>44600</v>
      </c>
      <c r="H9" s="202">
        <f t="shared" si="2"/>
        <v>1783</v>
      </c>
      <c r="I9" s="233">
        <v>91859</v>
      </c>
      <c r="J9" s="203">
        <f>90+21</f>
        <v>111</v>
      </c>
      <c r="K9" s="204">
        <f t="shared" si="3"/>
        <v>10196349</v>
      </c>
      <c r="L9" s="204">
        <f t="shared" si="4"/>
        <v>122356188</v>
      </c>
      <c r="M9" s="205">
        <f t="shared" si="5"/>
        <v>13.32</v>
      </c>
      <c r="N9" s="204">
        <f t="shared" si="6"/>
        <v>1223561.8800000001</v>
      </c>
      <c r="O9" s="204">
        <f t="shared" si="7"/>
        <v>14682742.560000002</v>
      </c>
      <c r="P9" s="204">
        <f t="shared" si="8"/>
        <v>107673445.44</v>
      </c>
      <c r="Q9" s="237">
        <v>8.5000000000000006E-2</v>
      </c>
      <c r="R9" s="202">
        <v>10</v>
      </c>
      <c r="S9" s="206">
        <f t="shared" si="0"/>
        <v>11.76470588235294</v>
      </c>
      <c r="T9" s="204">
        <f t="shared" si="1"/>
        <v>1266746416.9411764</v>
      </c>
      <c r="U9" s="211">
        <f t="shared" si="9"/>
        <v>13790.117647058823</v>
      </c>
      <c r="V9" s="212"/>
      <c r="W9" s="212"/>
      <c r="X9" s="212"/>
      <c r="Y9" s="212"/>
      <c r="Z9" s="213">
        <f t="shared" si="10"/>
        <v>13790.117647058823</v>
      </c>
    </row>
    <row r="10" spans="1:27" x14ac:dyDescent="0.25">
      <c r="B10" s="202">
        <v>6</v>
      </c>
      <c r="C10" s="202" t="s">
        <v>149</v>
      </c>
      <c r="D10" s="207" t="s">
        <v>88</v>
      </c>
      <c r="E10" s="202" t="s">
        <v>78</v>
      </c>
      <c r="F10" s="202">
        <v>46383</v>
      </c>
      <c r="G10" s="202"/>
      <c r="H10" s="202">
        <f t="shared" si="2"/>
        <v>46383</v>
      </c>
      <c r="I10" s="233">
        <v>45503</v>
      </c>
      <c r="J10" s="203">
        <v>100</v>
      </c>
      <c r="K10" s="204">
        <f t="shared" si="3"/>
        <v>4550300</v>
      </c>
      <c r="L10" s="204">
        <f t="shared" si="4"/>
        <v>54603600</v>
      </c>
      <c r="M10" s="205">
        <f t="shared" si="5"/>
        <v>12</v>
      </c>
      <c r="N10" s="204">
        <f t="shared" si="6"/>
        <v>546036</v>
      </c>
      <c r="O10" s="204">
        <f t="shared" si="7"/>
        <v>6552432</v>
      </c>
      <c r="P10" s="204">
        <f t="shared" si="8"/>
        <v>48051168</v>
      </c>
      <c r="Q10" s="237">
        <v>8.5000000000000006E-2</v>
      </c>
      <c r="R10" s="202">
        <v>10</v>
      </c>
      <c r="S10" s="206">
        <f t="shared" si="0"/>
        <v>11.76470588235294</v>
      </c>
      <c r="T10" s="204">
        <f t="shared" si="1"/>
        <v>565307858.82352936</v>
      </c>
      <c r="U10" s="211">
        <f t="shared" si="9"/>
        <v>12423.529411764704</v>
      </c>
      <c r="V10" s="212"/>
      <c r="W10" s="212"/>
      <c r="X10" s="212"/>
      <c r="Y10" s="212"/>
      <c r="Z10" s="213">
        <f t="shared" si="10"/>
        <v>12423.529411764704</v>
      </c>
    </row>
    <row r="11" spans="1:27" s="224" customFormat="1" ht="30" hidden="1" x14ac:dyDescent="0.25">
      <c r="A11" s="208"/>
      <c r="B11" s="202">
        <v>7</v>
      </c>
      <c r="C11" s="216" t="s">
        <v>89</v>
      </c>
      <c r="D11" s="217" t="s">
        <v>85</v>
      </c>
      <c r="E11" s="216"/>
      <c r="F11" s="216"/>
      <c r="G11" s="216"/>
      <c r="H11" s="216">
        <f t="shared" si="2"/>
        <v>0</v>
      </c>
      <c r="I11" s="234">
        <f t="shared" ref="I11:I12" si="11">F11</f>
        <v>0</v>
      </c>
      <c r="J11" s="218">
        <v>0</v>
      </c>
      <c r="K11" s="219">
        <f t="shared" si="3"/>
        <v>0</v>
      </c>
      <c r="L11" s="219">
        <f t="shared" si="4"/>
        <v>0</v>
      </c>
      <c r="M11" s="220">
        <f t="shared" si="5"/>
        <v>0</v>
      </c>
      <c r="N11" s="219">
        <f t="shared" si="6"/>
        <v>0</v>
      </c>
      <c r="O11" s="219">
        <f t="shared" si="7"/>
        <v>0</v>
      </c>
      <c r="P11" s="219">
        <f t="shared" si="8"/>
        <v>0</v>
      </c>
      <c r="Q11" s="237">
        <v>8.5000000000000006E-2</v>
      </c>
      <c r="R11" s="216">
        <v>10</v>
      </c>
      <c r="S11" s="206">
        <f t="shared" si="0"/>
        <v>11.76470588235294</v>
      </c>
      <c r="T11" s="204">
        <f t="shared" si="1"/>
        <v>0</v>
      </c>
      <c r="U11" s="221" t="e">
        <f t="shared" si="9"/>
        <v>#DIV/0!</v>
      </c>
      <c r="V11" s="222"/>
      <c r="W11" s="222"/>
      <c r="X11" s="222"/>
      <c r="Y11" s="222"/>
      <c r="Z11" s="223">
        <v>0</v>
      </c>
    </row>
    <row r="12" spans="1:27" s="224" customFormat="1" ht="30" hidden="1" x14ac:dyDescent="0.25">
      <c r="A12" s="208"/>
      <c r="B12" s="202">
        <v>8</v>
      </c>
      <c r="C12" s="216" t="s">
        <v>90</v>
      </c>
      <c r="D12" s="217" t="s">
        <v>85</v>
      </c>
      <c r="E12" s="216"/>
      <c r="F12" s="216"/>
      <c r="G12" s="216"/>
      <c r="H12" s="216">
        <f t="shared" si="2"/>
        <v>0</v>
      </c>
      <c r="I12" s="234">
        <f t="shared" si="11"/>
        <v>0</v>
      </c>
      <c r="J12" s="218"/>
      <c r="K12" s="219">
        <f t="shared" si="3"/>
        <v>0</v>
      </c>
      <c r="L12" s="219">
        <f t="shared" si="4"/>
        <v>0</v>
      </c>
      <c r="M12" s="220">
        <f t="shared" si="5"/>
        <v>0</v>
      </c>
      <c r="N12" s="219">
        <f t="shared" si="6"/>
        <v>0</v>
      </c>
      <c r="O12" s="219">
        <f t="shared" si="7"/>
        <v>0</v>
      </c>
      <c r="P12" s="219">
        <f t="shared" si="8"/>
        <v>0</v>
      </c>
      <c r="Q12" s="237">
        <v>8.5000000000000006E-2</v>
      </c>
      <c r="R12" s="216">
        <v>10</v>
      </c>
      <c r="S12" s="206">
        <f t="shared" si="0"/>
        <v>11.76470588235294</v>
      </c>
      <c r="T12" s="204">
        <f t="shared" si="1"/>
        <v>0</v>
      </c>
      <c r="U12" s="221" t="e">
        <f t="shared" si="9"/>
        <v>#DIV/0!</v>
      </c>
      <c r="V12" s="222"/>
      <c r="W12" s="222"/>
      <c r="X12" s="222"/>
      <c r="Y12" s="222"/>
      <c r="Z12" s="223">
        <v>0</v>
      </c>
    </row>
    <row r="13" spans="1:27" x14ac:dyDescent="0.25">
      <c r="B13" s="202">
        <v>9</v>
      </c>
      <c r="C13" s="202" t="s">
        <v>150</v>
      </c>
      <c r="D13" s="207" t="s">
        <v>88</v>
      </c>
      <c r="E13" s="202" t="s">
        <v>78</v>
      </c>
      <c r="F13" s="202">
        <v>46383</v>
      </c>
      <c r="G13" s="202"/>
      <c r="H13" s="202">
        <f t="shared" si="2"/>
        <v>46383</v>
      </c>
      <c r="I13" s="233">
        <v>48244</v>
      </c>
      <c r="J13" s="203">
        <v>100</v>
      </c>
      <c r="K13" s="204">
        <f t="shared" si="3"/>
        <v>4824400</v>
      </c>
      <c r="L13" s="204">
        <f t="shared" si="4"/>
        <v>57892800</v>
      </c>
      <c r="M13" s="205">
        <f t="shared" si="5"/>
        <v>12</v>
      </c>
      <c r="N13" s="204">
        <f t="shared" si="6"/>
        <v>578928</v>
      </c>
      <c r="O13" s="204">
        <f t="shared" si="7"/>
        <v>6947136</v>
      </c>
      <c r="P13" s="204">
        <f t="shared" si="8"/>
        <v>50945664</v>
      </c>
      <c r="Q13" s="237">
        <v>8.5000000000000006E-2</v>
      </c>
      <c r="R13" s="202">
        <v>10</v>
      </c>
      <c r="S13" s="206">
        <f t="shared" si="0"/>
        <v>11.76470588235294</v>
      </c>
      <c r="T13" s="204">
        <f t="shared" si="1"/>
        <v>599360752.94117641</v>
      </c>
      <c r="U13" s="211">
        <f t="shared" si="9"/>
        <v>12423.529411764704</v>
      </c>
      <c r="V13" s="212"/>
      <c r="W13" s="212"/>
      <c r="X13" s="212"/>
      <c r="Y13" s="212"/>
      <c r="Z13" s="213">
        <f t="shared" si="10"/>
        <v>12423.529411764704</v>
      </c>
    </row>
    <row r="14" spans="1:27" x14ac:dyDescent="0.25">
      <c r="B14" s="202">
        <v>10</v>
      </c>
      <c r="C14" s="202" t="s">
        <v>151</v>
      </c>
      <c r="D14" s="207" t="s">
        <v>88</v>
      </c>
      <c r="E14" s="202" t="s">
        <v>78</v>
      </c>
      <c r="F14" s="202">
        <v>46383</v>
      </c>
      <c r="G14" s="202"/>
      <c r="H14" s="202">
        <f t="shared" si="2"/>
        <v>46383</v>
      </c>
      <c r="I14" s="233">
        <v>45503</v>
      </c>
      <c r="J14" s="203">
        <v>100</v>
      </c>
      <c r="K14" s="204">
        <f t="shared" si="3"/>
        <v>4550300</v>
      </c>
      <c r="L14" s="204">
        <f t="shared" si="4"/>
        <v>54603600</v>
      </c>
      <c r="M14" s="205">
        <f t="shared" si="5"/>
        <v>12</v>
      </c>
      <c r="N14" s="204">
        <f t="shared" si="6"/>
        <v>546036</v>
      </c>
      <c r="O14" s="204">
        <f t="shared" si="7"/>
        <v>6552432</v>
      </c>
      <c r="P14" s="204">
        <f t="shared" si="8"/>
        <v>48051168</v>
      </c>
      <c r="Q14" s="237">
        <v>8.5000000000000006E-2</v>
      </c>
      <c r="R14" s="202">
        <v>10</v>
      </c>
      <c r="S14" s="206">
        <f t="shared" si="0"/>
        <v>11.76470588235294</v>
      </c>
      <c r="T14" s="204">
        <f t="shared" si="1"/>
        <v>565307858.82352936</v>
      </c>
      <c r="U14" s="211">
        <f t="shared" si="9"/>
        <v>12423.529411764704</v>
      </c>
      <c r="V14" s="212"/>
      <c r="W14" s="212"/>
      <c r="X14" s="212"/>
      <c r="Y14" s="212"/>
      <c r="Z14" s="213">
        <f t="shared" si="10"/>
        <v>12423.529411764704</v>
      </c>
    </row>
    <row r="15" spans="1:27" ht="45" x14ac:dyDescent="0.25">
      <c r="B15" s="202">
        <v>11</v>
      </c>
      <c r="C15" s="202" t="s">
        <v>152</v>
      </c>
      <c r="D15" s="207" t="s">
        <v>74</v>
      </c>
      <c r="E15" s="202" t="s">
        <v>78</v>
      </c>
      <c r="F15" s="202">
        <v>46383</v>
      </c>
      <c r="G15" s="202">
        <v>46383</v>
      </c>
      <c r="H15" s="202">
        <f t="shared" si="2"/>
        <v>0</v>
      </c>
      <c r="I15" s="233">
        <v>46393</v>
      </c>
      <c r="J15" s="203">
        <f>72+15</f>
        <v>87</v>
      </c>
      <c r="K15" s="204">
        <f t="shared" si="3"/>
        <v>4036191</v>
      </c>
      <c r="L15" s="204">
        <f t="shared" si="4"/>
        <v>48434292</v>
      </c>
      <c r="M15" s="205">
        <f t="shared" si="5"/>
        <v>10.44</v>
      </c>
      <c r="N15" s="204">
        <f t="shared" si="6"/>
        <v>484342.92</v>
      </c>
      <c r="O15" s="204">
        <f t="shared" si="7"/>
        <v>5812115.04</v>
      </c>
      <c r="P15" s="204">
        <f t="shared" si="8"/>
        <v>42622176.960000001</v>
      </c>
      <c r="Q15" s="237">
        <v>8.5000000000000006E-2</v>
      </c>
      <c r="R15" s="202">
        <v>10</v>
      </c>
      <c r="S15" s="206">
        <f t="shared" si="0"/>
        <v>11.76470588235294</v>
      </c>
      <c r="T15" s="204">
        <f t="shared" si="1"/>
        <v>501437376</v>
      </c>
      <c r="U15" s="211">
        <f t="shared" si="9"/>
        <v>10808.470588235294</v>
      </c>
      <c r="V15" s="212"/>
      <c r="W15" s="212"/>
      <c r="X15" s="212"/>
      <c r="Y15" s="212"/>
      <c r="Z15" s="213">
        <f t="shared" si="10"/>
        <v>10808.470588235294</v>
      </c>
    </row>
    <row r="16" spans="1:27" ht="45" x14ac:dyDescent="0.25">
      <c r="B16" s="202">
        <v>12</v>
      </c>
      <c r="C16" s="202" t="s">
        <v>153</v>
      </c>
      <c r="D16" s="207" t="s">
        <v>75</v>
      </c>
      <c r="E16" s="202" t="s">
        <v>78</v>
      </c>
      <c r="F16" s="202">
        <v>46383</v>
      </c>
      <c r="G16" s="202">
        <v>46383</v>
      </c>
      <c r="H16" s="202">
        <f t="shared" si="2"/>
        <v>0</v>
      </c>
      <c r="I16" s="233">
        <v>46393</v>
      </c>
      <c r="J16" s="203">
        <f>70+15</f>
        <v>85</v>
      </c>
      <c r="K16" s="204">
        <f t="shared" si="3"/>
        <v>3943405</v>
      </c>
      <c r="L16" s="204">
        <f t="shared" si="4"/>
        <v>47320860</v>
      </c>
      <c r="M16" s="205">
        <f t="shared" si="5"/>
        <v>10.199999999999999</v>
      </c>
      <c r="N16" s="204">
        <f t="shared" si="6"/>
        <v>473208.6</v>
      </c>
      <c r="O16" s="204">
        <f t="shared" si="7"/>
        <v>5678503.1999999993</v>
      </c>
      <c r="P16" s="204">
        <f t="shared" si="8"/>
        <v>41642356.799999997</v>
      </c>
      <c r="Q16" s="237">
        <v>8.5000000000000006E-2</v>
      </c>
      <c r="R16" s="202">
        <v>10</v>
      </c>
      <c r="S16" s="206">
        <f t="shared" si="0"/>
        <v>11.76470588235294</v>
      </c>
      <c r="T16" s="204">
        <f t="shared" si="1"/>
        <v>489910079.99999994</v>
      </c>
      <c r="U16" s="211">
        <f t="shared" si="9"/>
        <v>10559.999999999998</v>
      </c>
      <c r="V16" s="212"/>
      <c r="W16" s="212"/>
      <c r="X16" s="212"/>
      <c r="Y16" s="212"/>
      <c r="Z16" s="213">
        <f t="shared" si="10"/>
        <v>10559.999999999998</v>
      </c>
    </row>
    <row r="17" spans="2:27" ht="30" x14ac:dyDescent="0.25">
      <c r="B17" s="202">
        <v>13</v>
      </c>
      <c r="C17" s="202" t="s">
        <v>154</v>
      </c>
      <c r="D17" s="207" t="s">
        <v>76</v>
      </c>
      <c r="E17" s="202" t="s">
        <v>78</v>
      </c>
      <c r="F17" s="202">
        <v>46383</v>
      </c>
      <c r="G17" s="202">
        <v>46383</v>
      </c>
      <c r="H17" s="202">
        <f t="shared" si="2"/>
        <v>0</v>
      </c>
      <c r="I17" s="233">
        <v>48244</v>
      </c>
      <c r="J17" s="203">
        <f>77.5+15</f>
        <v>92.5</v>
      </c>
      <c r="K17" s="204">
        <f t="shared" si="3"/>
        <v>4462570</v>
      </c>
      <c r="L17" s="204">
        <f t="shared" si="4"/>
        <v>53550840</v>
      </c>
      <c r="M17" s="205">
        <f t="shared" si="5"/>
        <v>11.1</v>
      </c>
      <c r="N17" s="204">
        <f t="shared" si="6"/>
        <v>535508.4</v>
      </c>
      <c r="O17" s="204">
        <f t="shared" si="7"/>
        <v>6426100.8000000007</v>
      </c>
      <c r="P17" s="204">
        <f t="shared" si="8"/>
        <v>47124739.200000003</v>
      </c>
      <c r="Q17" s="237">
        <v>8.5000000000000006E-2</v>
      </c>
      <c r="R17" s="202">
        <v>10</v>
      </c>
      <c r="S17" s="206">
        <f t="shared" si="0"/>
        <v>11.76470588235294</v>
      </c>
      <c r="T17" s="204">
        <f t="shared" si="1"/>
        <v>554408696.47058821</v>
      </c>
      <c r="U17" s="211">
        <f t="shared" si="9"/>
        <v>11491.764705882353</v>
      </c>
      <c r="V17" s="212"/>
      <c r="W17" s="212"/>
      <c r="X17" s="212"/>
      <c r="Y17" s="212"/>
      <c r="Z17" s="213">
        <f t="shared" si="10"/>
        <v>11491.764705882353</v>
      </c>
    </row>
    <row r="18" spans="2:27" x14ac:dyDescent="0.25">
      <c r="B18" s="202">
        <v>14</v>
      </c>
      <c r="C18" s="202" t="s">
        <v>155</v>
      </c>
      <c r="D18" s="207" t="s">
        <v>45</v>
      </c>
      <c r="E18" s="202" t="s">
        <v>78</v>
      </c>
      <c r="F18" s="202">
        <v>46383</v>
      </c>
      <c r="G18" s="202">
        <v>45504</v>
      </c>
      <c r="H18" s="202">
        <f t="shared" si="2"/>
        <v>879</v>
      </c>
      <c r="I18" s="233">
        <v>45503</v>
      </c>
      <c r="J18" s="203">
        <f>77.5+15</f>
        <v>92.5</v>
      </c>
      <c r="K18" s="204">
        <f t="shared" si="3"/>
        <v>4209027.5</v>
      </c>
      <c r="L18" s="204">
        <f t="shared" si="4"/>
        <v>50508330</v>
      </c>
      <c r="M18" s="205">
        <f t="shared" si="5"/>
        <v>11.1</v>
      </c>
      <c r="N18" s="204">
        <f t="shared" si="6"/>
        <v>505083.3</v>
      </c>
      <c r="O18" s="204">
        <f t="shared" si="7"/>
        <v>6060999.5999999996</v>
      </c>
      <c r="P18" s="204">
        <f t="shared" si="8"/>
        <v>44447330.399999999</v>
      </c>
      <c r="Q18" s="237">
        <v>8.5000000000000006E-2</v>
      </c>
      <c r="R18" s="202">
        <v>10</v>
      </c>
      <c r="S18" s="206">
        <f t="shared" si="0"/>
        <v>11.76470588235294</v>
      </c>
      <c r="T18" s="204">
        <f t="shared" si="1"/>
        <v>522909769.41176462</v>
      </c>
      <c r="U18" s="211">
        <f t="shared" si="9"/>
        <v>11491.764705882351</v>
      </c>
      <c r="V18" s="212"/>
      <c r="W18" s="212"/>
      <c r="X18" s="212"/>
      <c r="Y18" s="212"/>
      <c r="Z18" s="213">
        <f t="shared" si="10"/>
        <v>11491.764705882351</v>
      </c>
    </row>
    <row r="19" spans="2:27" x14ac:dyDescent="0.25">
      <c r="B19" s="202">
        <v>15</v>
      </c>
      <c r="C19" s="202" t="s">
        <v>156</v>
      </c>
      <c r="D19" s="207" t="s">
        <v>83</v>
      </c>
      <c r="E19" s="202" t="s">
        <v>78</v>
      </c>
      <c r="F19" s="202">
        <v>46383</v>
      </c>
      <c r="G19" s="202">
        <v>46383</v>
      </c>
      <c r="H19" s="202">
        <f t="shared" si="2"/>
        <v>0</v>
      </c>
      <c r="I19" s="233">
        <v>46393</v>
      </c>
      <c r="J19" s="203">
        <f>77.5+15</f>
        <v>92.5</v>
      </c>
      <c r="K19" s="204">
        <f t="shared" si="3"/>
        <v>4291352.5</v>
      </c>
      <c r="L19" s="204">
        <f t="shared" si="4"/>
        <v>51496230</v>
      </c>
      <c r="M19" s="205">
        <f t="shared" si="5"/>
        <v>11.1</v>
      </c>
      <c r="N19" s="204">
        <f t="shared" si="6"/>
        <v>514962.3</v>
      </c>
      <c r="O19" s="204">
        <f t="shared" si="7"/>
        <v>6179547.5999999996</v>
      </c>
      <c r="P19" s="204">
        <f t="shared" si="8"/>
        <v>45316682.399999999</v>
      </c>
      <c r="Q19" s="237">
        <v>8.5000000000000006E-2</v>
      </c>
      <c r="R19" s="202">
        <v>10</v>
      </c>
      <c r="S19" s="206">
        <f t="shared" si="0"/>
        <v>11.76470588235294</v>
      </c>
      <c r="T19" s="204">
        <f t="shared" si="1"/>
        <v>533137439.99999994</v>
      </c>
      <c r="U19" s="211">
        <f t="shared" si="9"/>
        <v>11491.764705882351</v>
      </c>
      <c r="V19" s="212"/>
      <c r="W19" s="212"/>
      <c r="X19" s="212"/>
      <c r="Y19" s="212"/>
      <c r="Z19" s="213">
        <f t="shared" si="10"/>
        <v>11491.764705882351</v>
      </c>
    </row>
    <row r="20" spans="2:27" ht="30" x14ac:dyDescent="0.25">
      <c r="B20" s="202">
        <v>16</v>
      </c>
      <c r="C20" s="202" t="s">
        <v>157</v>
      </c>
      <c r="D20" s="207" t="s">
        <v>84</v>
      </c>
      <c r="E20" s="202" t="s">
        <v>78</v>
      </c>
      <c r="F20" s="202">
        <v>92766</v>
      </c>
      <c r="G20" s="202"/>
      <c r="H20" s="202">
        <f t="shared" si="2"/>
        <v>92766</v>
      </c>
      <c r="I20" s="233">
        <v>94638</v>
      </c>
      <c r="J20" s="203">
        <f>77.5+15</f>
        <v>92.5</v>
      </c>
      <c r="K20" s="204">
        <f t="shared" si="3"/>
        <v>8754015</v>
      </c>
      <c r="L20" s="204">
        <f t="shared" si="4"/>
        <v>105048180</v>
      </c>
      <c r="M20" s="205">
        <f t="shared" si="5"/>
        <v>11.1</v>
      </c>
      <c r="N20" s="204">
        <f t="shared" si="6"/>
        <v>1050481.8</v>
      </c>
      <c r="O20" s="204">
        <f t="shared" si="7"/>
        <v>12605781.600000001</v>
      </c>
      <c r="P20" s="204">
        <f t="shared" si="8"/>
        <v>92442398.400000006</v>
      </c>
      <c r="Q20" s="237">
        <v>8.5000000000000006E-2</v>
      </c>
      <c r="R20" s="202">
        <v>10</v>
      </c>
      <c r="S20" s="206">
        <f t="shared" si="0"/>
        <v>11.76470588235294</v>
      </c>
      <c r="T20" s="204">
        <f t="shared" si="1"/>
        <v>1087557628.2352941</v>
      </c>
      <c r="U20" s="211">
        <f t="shared" si="9"/>
        <v>11491.764705882353</v>
      </c>
      <c r="V20" s="212"/>
      <c r="W20" s="212"/>
      <c r="X20" s="212"/>
      <c r="Y20" s="212"/>
      <c r="Z20" s="213">
        <f t="shared" si="10"/>
        <v>11491.764705882353</v>
      </c>
    </row>
    <row r="21" spans="2:27" ht="15" customHeight="1" x14ac:dyDescent="0.25">
      <c r="B21" s="258" t="s">
        <v>168</v>
      </c>
      <c r="C21" s="259"/>
      <c r="D21" s="259"/>
      <c r="E21" s="259"/>
      <c r="F21" s="259"/>
      <c r="G21" s="259"/>
      <c r="H21" s="259"/>
      <c r="I21" s="263"/>
      <c r="J21" s="259"/>
      <c r="K21" s="259"/>
      <c r="L21" s="259"/>
      <c r="M21" s="259"/>
      <c r="N21" s="259"/>
      <c r="O21" s="259"/>
      <c r="P21" s="259"/>
      <c r="Q21" s="239"/>
      <c r="R21" s="230"/>
      <c r="S21" s="231"/>
      <c r="T21" s="225">
        <f>SUM(T5:T20)</f>
        <v>8657406663.5294113</v>
      </c>
      <c r="Z21" s="213"/>
    </row>
    <row r="22" spans="2:27" x14ac:dyDescent="0.25"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AA22" s="226">
        <v>8094700000</v>
      </c>
    </row>
    <row r="23" spans="2:27" x14ac:dyDescent="0.25"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AA23" s="227">
        <f>AA22*0.85</f>
        <v>6880495000</v>
      </c>
    </row>
    <row r="24" spans="2:27" x14ac:dyDescent="0.25">
      <c r="S24" s="104" t="s">
        <v>140</v>
      </c>
      <c r="T24" s="228">
        <f>(Z5+Z7+Z8+Z9+Z10+Z13+Z14+Z15+Z16+Z17+Z18+Z19+Z20)/13</f>
        <v>12605.104072398188</v>
      </c>
      <c r="AA24" s="227">
        <f>AA22*0.75</f>
        <v>6071025000</v>
      </c>
    </row>
    <row r="26" spans="2:27" x14ac:dyDescent="0.25">
      <c r="E26" s="229"/>
      <c r="K26" s="208">
        <f>686957/10.764</f>
        <v>63819.86250464512</v>
      </c>
    </row>
    <row r="27" spans="2:27" x14ac:dyDescent="0.25">
      <c r="E27" s="104">
        <f>686957/10.764</f>
        <v>63819.86250464512</v>
      </c>
    </row>
  </sheetData>
  <mergeCells count="5">
    <mergeCell ref="B3:U3"/>
    <mergeCell ref="B22:T22"/>
    <mergeCell ref="B23:T23"/>
    <mergeCell ref="J21:P21"/>
    <mergeCell ref="B21:I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4"/>
  <sheetViews>
    <sheetView workbookViewId="0">
      <selection activeCell="E4" sqref="E4"/>
    </sheetView>
  </sheetViews>
  <sheetFormatPr defaultRowHeight="15" x14ac:dyDescent="0.25"/>
  <cols>
    <col min="5" max="5" width="69.5703125" bestFit="1" customWidth="1"/>
  </cols>
  <sheetData>
    <row r="4" spans="5:5" x14ac:dyDescent="0.25">
      <c r="E4" s="170" t="s">
        <v>143</v>
      </c>
    </row>
  </sheetData>
  <hyperlinks>
    <hyperlink ref="E4" r:id="rId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DCF</vt:lpstr>
      <vt:lpstr>Provided_sheet</vt:lpstr>
      <vt:lpstr>Area_statement</vt:lpstr>
      <vt:lpstr>Capital_Value</vt:lpstr>
      <vt:lpstr>Rate_Ref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2022-11-30T06:04:28Z</dcterms:created>
  <dcterms:modified xsi:type="dcterms:W3CDTF">2022-12-12T13:51:56Z</dcterms:modified>
</cp:coreProperties>
</file>