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In Progress Files\Babul\BPTP\"/>
    </mc:Choice>
  </mc:AlternateContent>
  <bookViews>
    <workbookView xWindow="0" yWindow="0" windowWidth="21600" windowHeight="9735" activeTab="1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2" i="2" l="1"/>
  <c r="D61" i="2"/>
  <c r="D60" i="2"/>
  <c r="I29" i="1"/>
  <c r="K33" i="2"/>
  <c r="K45" i="2"/>
  <c r="N14" i="2"/>
  <c r="H11" i="2"/>
  <c r="E32" i="2"/>
  <c r="K43" i="2"/>
  <c r="K44" i="2" s="1"/>
  <c r="K39" i="2"/>
  <c r="H12" i="2"/>
  <c r="F29" i="1"/>
  <c r="J27" i="1"/>
  <c r="K27" i="1"/>
  <c r="E22" i="1"/>
  <c r="K32" i="2" l="1"/>
  <c r="K34" i="2" s="1"/>
  <c r="Q19" i="2"/>
  <c r="H13" i="2"/>
  <c r="E7" i="2"/>
  <c r="G22" i="1"/>
  <c r="G21" i="1"/>
  <c r="M16" i="2" l="1"/>
  <c r="E33" i="2" s="1"/>
  <c r="H16" i="2"/>
  <c r="H20" i="2" s="1"/>
  <c r="H22" i="2" s="1"/>
  <c r="F26" i="1"/>
  <c r="F27" i="1" s="1"/>
  <c r="G27" i="1" s="1"/>
  <c r="F25" i="1"/>
  <c r="K18" i="1"/>
  <c r="F23" i="1"/>
  <c r="F13" i="1"/>
  <c r="F14" i="1" s="1"/>
  <c r="K5" i="1"/>
  <c r="K4" i="1"/>
  <c r="H7" i="1"/>
  <c r="H3" i="1"/>
  <c r="F7" i="1"/>
  <c r="K36" i="2" l="1"/>
  <c r="K40" i="2"/>
  <c r="K41" i="2" s="1"/>
  <c r="E34" i="2"/>
  <c r="G25" i="1"/>
  <c r="G29" i="1"/>
  <c r="H15" i="1"/>
  <c r="H18" i="1"/>
  <c r="E23" i="1"/>
  <c r="F24" i="1"/>
  <c r="F28" i="1"/>
  <c r="G28" i="1" s="1"/>
  <c r="G26" i="1"/>
  <c r="Q20" i="2"/>
  <c r="O27" i="1"/>
  <c r="L34" i="1"/>
  <c r="K12" i="1"/>
  <c r="K13" i="1" s="1"/>
  <c r="M41" i="2" l="1"/>
  <c r="M48" i="2" s="1"/>
  <c r="E25" i="1"/>
  <c r="E24" i="1"/>
  <c r="E29" i="1" s="1"/>
</calcChain>
</file>

<file path=xl/sharedStrings.xml><?xml version="1.0" encoding="utf-8"?>
<sst xmlns="http://schemas.openxmlformats.org/spreadsheetml/2006/main" count="70" uniqueCount="62">
  <si>
    <t>total land area</t>
  </si>
  <si>
    <t>sqm.</t>
  </si>
  <si>
    <t>permissible</t>
  </si>
  <si>
    <t>existing (FAR)</t>
  </si>
  <si>
    <t>NON FAR</t>
  </si>
  <si>
    <t>FAR+NON FAR</t>
  </si>
  <si>
    <t xml:space="preserve">BPTP LAND </t>
  </si>
  <si>
    <t xml:space="preserve">permissible </t>
  </si>
  <si>
    <t>Permissible</t>
  </si>
  <si>
    <t>Extra</t>
  </si>
  <si>
    <t xml:space="preserve">Vacant land </t>
  </si>
  <si>
    <t>Can be constructed as per existing Land Area (Ground Coverage) (sq. mtr.)</t>
  </si>
  <si>
    <t>in sq. mtr.</t>
  </si>
  <si>
    <t>in acres</t>
  </si>
  <si>
    <t xml:space="preserve">Description </t>
  </si>
  <si>
    <t xml:space="preserve">Construction Cost of Exisiting Building </t>
  </si>
  <si>
    <t xml:space="preserve">Total Cost of Project </t>
  </si>
  <si>
    <t>Land Value</t>
  </si>
  <si>
    <t>FAR</t>
  </si>
  <si>
    <t>Infra &amp; Site Dev Cost</t>
  </si>
  <si>
    <t>TOTAL COST</t>
  </si>
  <si>
    <t>Vacant Land (60%)</t>
  </si>
  <si>
    <t>Balance FAR</t>
  </si>
  <si>
    <t>NA</t>
  </si>
  <si>
    <t>in percentage</t>
  </si>
  <si>
    <t>Total Proposed FAR</t>
  </si>
  <si>
    <t>FAR consumed in the existing building</t>
  </si>
  <si>
    <t>Existing Site Area of the building</t>
  </si>
  <si>
    <t xml:space="preserve">Remaining Area for vacant land </t>
  </si>
  <si>
    <t>Balance Land Area considered for valaution (59.51% of total land )</t>
  </si>
  <si>
    <t>Total Land area</t>
  </si>
  <si>
    <t>Land Area consumed in North-West Tower (as per proportion of FAR)</t>
  </si>
  <si>
    <t>Market Rates considered</t>
  </si>
  <si>
    <t xml:space="preserve">Total Land Value @1,67,000 / sq. mtr. </t>
  </si>
  <si>
    <t>Value of Building + proportinate land underneath (Built up unit method)</t>
  </si>
  <si>
    <t>Note:</t>
  </si>
  <si>
    <t>1. On comparable rates of Rs.1.59 Lacs per sq.mtr got from the references, additional 7.5% premium, 2.5% for time gap as the references are of ~6 months and older and currently property market is up and therefore for approx. half yearly rate escalation and 5% is taken since the Map and other approvals are in place for the land.</t>
  </si>
  <si>
    <t>2. As per the arrived value approx. rate comes out to be Rs.1.20 Lacs per sq.mtr for the balance portion of the land Rs.1.70 Lacs per sq.mtr for the total land area @14.17 acres</t>
  </si>
  <si>
    <t>Cost of Remaining Proportionate of Vacant Land (@1,20,000 per sq. mtr.)</t>
  </si>
  <si>
    <t>SL. NO.</t>
  </si>
  <si>
    <t>A</t>
  </si>
  <si>
    <t>B</t>
  </si>
  <si>
    <t>C</t>
  </si>
  <si>
    <t>D</t>
  </si>
  <si>
    <t>E</t>
  </si>
  <si>
    <t>F</t>
  </si>
  <si>
    <t>G</t>
  </si>
  <si>
    <t>Proportion of Land Value (A-B)</t>
  </si>
  <si>
    <t>Expected total value of complete Land (DxE)</t>
  </si>
  <si>
    <t>Value</t>
  </si>
  <si>
    <t>Fair Value of Balance Land (34,125.47 sq. mtr.) (F-C)</t>
  </si>
  <si>
    <t>Total Value given for North-West Tower and proportionate land underneath it (23,218.63 sq. mtr.)(Taken from 1st part of report)</t>
  </si>
  <si>
    <t xml:space="preserve">Calculation </t>
  </si>
  <si>
    <t>Taken from 1st part of the report</t>
  </si>
  <si>
    <t>cosiderimng average plinth area rates</t>
  </si>
  <si>
    <t>Refer to the note below</t>
  </si>
  <si>
    <t>As per approved map</t>
  </si>
  <si>
    <t xml:space="preserve"> (57,344 sq. mtr. X 1,70,000 per sq. mtr.)</t>
  </si>
  <si>
    <t>(9,74,84,97,000 - 5,65,64,25,160)</t>
  </si>
  <si>
    <t>(847,40,95,000 - 281,76,69,840)</t>
  </si>
  <si>
    <t>Complete Land Area (in sq. mtr.)</t>
  </si>
  <si>
    <t>Construction cost of the existing tower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</si>
</sst>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 * #,##0_ ;_ * \-#,##0_ ;_ * &quot;-&quot;??_ ;_ @_ "/>
    <numFmt numFmtId="165" formatCode="_ [$₹-4009]\ * #,##0.00_ ;_ [$₹-4009]\ * \-#,##0.00_ ;_ [$₹-4009]\ * &quot;-&quot;??_ ;_ @_ "/>
    <numFmt numFmtId="166" formatCode="_ [$₹-4009]\ * #,##0_ ;_ [$₹-4009]\ * \-#,##0_ ;_ [$₹-4009]\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43" fontId="0" fillId="0" borderId="0" xfId="1" applyFont="1"/>
    <xf numFmtId="164" fontId="0" fillId="0" borderId="0" xfId="1" applyNumberFormat="1" applyFont="1"/>
    <xf numFmtId="0" fontId="0" fillId="0" borderId="0" xfId="0" applyAlignment="1">
      <alignment horizontal="center"/>
    </xf>
    <xf numFmtId="164" fontId="0" fillId="0" borderId="0" xfId="0" applyNumberFormat="1"/>
    <xf numFmtId="43" fontId="0" fillId="0" borderId="0" xfId="0" applyNumberFormat="1"/>
    <xf numFmtId="2" fontId="0" fillId="0" borderId="0" xfId="0" applyNumberFormat="1"/>
    <xf numFmtId="0" fontId="0" fillId="0" borderId="1" xfId="0" applyBorder="1"/>
    <xf numFmtId="164" fontId="0" fillId="0" borderId="1" xfId="1" applyNumberFormat="1" applyFont="1" applyBorder="1"/>
    <xf numFmtId="166" fontId="0" fillId="0" borderId="0" xfId="1" applyNumberFormat="1" applyFont="1"/>
    <xf numFmtId="165" fontId="0" fillId="0" borderId="0" xfId="0" applyNumberFormat="1"/>
    <xf numFmtId="9" fontId="0" fillId="0" borderId="0" xfId="0" applyNumberFormat="1"/>
    <xf numFmtId="9" fontId="0" fillId="0" borderId="0" xfId="2" applyFont="1"/>
    <xf numFmtId="10" fontId="0" fillId="0" borderId="0" xfId="0" applyNumberFormat="1"/>
    <xf numFmtId="10" fontId="0" fillId="0" borderId="1" xfId="0" applyNumberFormat="1" applyBorder="1" applyAlignment="1">
      <alignment horizontal="righ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wrapText="1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66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16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1" xfId="1" applyNumberFormat="1" applyFont="1" applyBorder="1" applyAlignment="1">
      <alignment vertical="center"/>
    </xf>
    <xf numFmtId="166" fontId="0" fillId="0" borderId="1" xfId="0" applyNumberFormat="1" applyBorder="1"/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vertical="center"/>
    </xf>
    <xf numFmtId="166" fontId="0" fillId="0" borderId="0" xfId="0" applyNumberFormat="1"/>
    <xf numFmtId="43" fontId="0" fillId="0" borderId="1" xfId="0" applyNumberFormat="1" applyBorder="1" applyAlignment="1">
      <alignment horizontal="right" vertical="center"/>
    </xf>
    <xf numFmtId="164" fontId="0" fillId="0" borderId="2" xfId="1" applyNumberFormat="1" applyFont="1" applyBorder="1" applyAlignment="1">
      <alignment horizontal="right" vertical="center"/>
    </xf>
    <xf numFmtId="164" fontId="0" fillId="0" borderId="1" xfId="1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164" fontId="0" fillId="0" borderId="0" xfId="0" applyNumberFormat="1" applyAlignment="1">
      <alignment horizontal="right"/>
    </xf>
    <xf numFmtId="43" fontId="0" fillId="0" borderId="1" xfId="0" applyNumberFormat="1" applyBorder="1" applyAlignment="1">
      <alignment horizontal="right"/>
    </xf>
    <xf numFmtId="164" fontId="0" fillId="0" borderId="2" xfId="1" applyNumberFormat="1" applyFont="1" applyBorder="1" applyAlignment="1">
      <alignment horizontal="right"/>
    </xf>
    <xf numFmtId="43" fontId="0" fillId="0" borderId="1" xfId="1" applyFont="1" applyBorder="1" applyAlignment="1">
      <alignment horizontal="right"/>
    </xf>
    <xf numFmtId="0" fontId="2" fillId="3" borderId="1" xfId="0" applyFont="1" applyFill="1" applyBorder="1" applyAlignment="1">
      <alignment horizontal="center" vertical="center" wrapText="1"/>
    </xf>
    <xf numFmtId="9" fontId="0" fillId="0" borderId="2" xfId="2" applyFont="1" applyBorder="1" applyAlignment="1">
      <alignment horizontal="right" vertical="center"/>
    </xf>
    <xf numFmtId="10" fontId="0" fillId="0" borderId="2" xfId="2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left" wrapText="1"/>
    </xf>
    <xf numFmtId="43" fontId="3" fillId="0" borderId="1" xfId="1" applyFont="1" applyBorder="1" applyAlignment="1">
      <alignment horizontal="right"/>
    </xf>
    <xf numFmtId="43" fontId="3" fillId="0" borderId="1" xfId="0" applyNumberFormat="1" applyFont="1" applyBorder="1" applyAlignment="1">
      <alignment horizontal="right"/>
    </xf>
    <xf numFmtId="10" fontId="0" fillId="0" borderId="2" xfId="1" applyNumberFormat="1" applyFont="1" applyBorder="1" applyAlignment="1">
      <alignment horizontal="right"/>
    </xf>
    <xf numFmtId="10" fontId="3" fillId="0" borderId="2" xfId="1" applyNumberFormat="1" applyFont="1" applyBorder="1" applyAlignment="1">
      <alignment horizontal="right"/>
    </xf>
    <xf numFmtId="164" fontId="0" fillId="0" borderId="1" xfId="1" applyNumberFormat="1" applyFont="1" applyBorder="1" applyAlignment="1">
      <alignment vertical="center"/>
    </xf>
    <xf numFmtId="166" fontId="0" fillId="0" borderId="0" xfId="0" applyNumberFormat="1" applyBorder="1" applyAlignment="1">
      <alignment vertical="center"/>
    </xf>
    <xf numFmtId="166" fontId="0" fillId="0" borderId="0" xfId="0" applyNumberFormat="1" applyBorder="1" applyAlignment="1">
      <alignment horizontal="center" vertical="center"/>
    </xf>
    <xf numFmtId="166" fontId="0" fillId="0" borderId="0" xfId="0" applyNumberFormat="1" applyBorder="1"/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Font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O34"/>
  <sheetViews>
    <sheetView topLeftCell="A25" workbookViewId="0">
      <selection activeCell="I29" sqref="I29"/>
    </sheetView>
  </sheetViews>
  <sheetFormatPr defaultRowHeight="15" x14ac:dyDescent="0.25"/>
  <cols>
    <col min="4" max="4" width="28.7109375" customWidth="1"/>
    <col min="5" max="5" width="10.85546875" customWidth="1"/>
    <col min="6" max="6" width="17.7109375" bestFit="1" customWidth="1"/>
    <col min="7" max="7" width="12.28515625" bestFit="1" customWidth="1"/>
    <col min="8" max="8" width="12" customWidth="1"/>
    <col min="9" max="9" width="16.85546875" bestFit="1" customWidth="1"/>
    <col min="10" max="10" width="11.85546875" bestFit="1" customWidth="1"/>
    <col min="11" max="11" width="11.5703125" bestFit="1" customWidth="1"/>
    <col min="12" max="12" width="15.140625" customWidth="1"/>
    <col min="13" max="13" width="16.85546875" bestFit="1" customWidth="1"/>
    <col min="14" max="14" width="12.5703125" bestFit="1" customWidth="1"/>
  </cols>
  <sheetData>
    <row r="3" spans="4:13" x14ac:dyDescent="0.25">
      <c r="F3" s="3" t="s">
        <v>1</v>
      </c>
      <c r="H3" s="5">
        <f>F4/4047</f>
        <v>14.169532987398073</v>
      </c>
    </row>
    <row r="4" spans="4:13" x14ac:dyDescent="0.25">
      <c r="D4" s="7" t="s">
        <v>0</v>
      </c>
      <c r="E4" s="7"/>
      <c r="F4" s="8">
        <v>57344.1</v>
      </c>
      <c r="J4" t="s">
        <v>7</v>
      </c>
      <c r="K4">
        <f>F5/F4</f>
        <v>2</v>
      </c>
      <c r="L4" s="5"/>
    </row>
    <row r="5" spans="4:13" x14ac:dyDescent="0.25">
      <c r="D5" s="7" t="s">
        <v>2</v>
      </c>
      <c r="E5" s="7"/>
      <c r="F5" s="8">
        <v>114688.2</v>
      </c>
      <c r="K5" s="6">
        <f>F6/F4</f>
        <v>0.80847026982723591</v>
      </c>
    </row>
    <row r="6" spans="4:13" x14ac:dyDescent="0.25">
      <c r="D6" s="7" t="s">
        <v>3</v>
      </c>
      <c r="E6" s="7"/>
      <c r="F6" s="8">
        <v>46361</v>
      </c>
      <c r="L6" s="5"/>
      <c r="M6" s="5"/>
    </row>
    <row r="7" spans="4:13" x14ac:dyDescent="0.25">
      <c r="D7" s="7" t="s">
        <v>4</v>
      </c>
      <c r="E7" s="7"/>
      <c r="F7" s="8">
        <f>F8-F6</f>
        <v>32160.990000000005</v>
      </c>
      <c r="H7" s="4">
        <f>F8*10.764</f>
        <v>845210.70036000002</v>
      </c>
    </row>
    <row r="8" spans="4:13" x14ac:dyDescent="0.25">
      <c r="D8" s="7" t="s">
        <v>5</v>
      </c>
      <c r="E8" s="7"/>
      <c r="F8" s="8">
        <v>78521.990000000005</v>
      </c>
    </row>
    <row r="11" spans="4:13" x14ac:dyDescent="0.25">
      <c r="F11" s="12"/>
    </row>
    <row r="12" spans="4:13" x14ac:dyDescent="0.25">
      <c r="H12">
        <v>2.81</v>
      </c>
      <c r="J12" t="s">
        <v>8</v>
      </c>
      <c r="K12" s="2">
        <f>F13*K4</f>
        <v>22744.14</v>
      </c>
    </row>
    <row r="13" spans="4:13" x14ac:dyDescent="0.25">
      <c r="D13" t="s">
        <v>6</v>
      </c>
      <c r="F13" s="2">
        <f>H12*4047</f>
        <v>11372.07</v>
      </c>
      <c r="J13" t="s">
        <v>9</v>
      </c>
      <c r="K13" s="4">
        <f>F6-K12</f>
        <v>23616.86</v>
      </c>
      <c r="L13" s="4"/>
    </row>
    <row r="14" spans="4:13" x14ac:dyDescent="0.25">
      <c r="D14" t="s">
        <v>10</v>
      </c>
      <c r="F14" s="4">
        <f>F4-F13</f>
        <v>45972.03</v>
      </c>
    </row>
    <row r="15" spans="4:13" x14ac:dyDescent="0.25">
      <c r="H15" s="5">
        <f>F14/4047</f>
        <v>11.359532987398072</v>
      </c>
    </row>
    <row r="18" spans="4:15" x14ac:dyDescent="0.25">
      <c r="H18" s="6">
        <f>L13/F14</f>
        <v>0</v>
      </c>
      <c r="J18" s="5"/>
      <c r="K18" s="5">
        <f>J18*0.4</f>
        <v>0</v>
      </c>
      <c r="N18" s="5"/>
    </row>
    <row r="20" spans="4:15" ht="45" x14ac:dyDescent="0.25">
      <c r="D20" s="17" t="s">
        <v>14</v>
      </c>
      <c r="E20" s="37" t="s">
        <v>24</v>
      </c>
      <c r="F20" s="17" t="s">
        <v>12</v>
      </c>
      <c r="G20" s="17" t="s">
        <v>13</v>
      </c>
      <c r="L20" s="5"/>
    </row>
    <row r="21" spans="4:15" x14ac:dyDescent="0.25">
      <c r="D21" s="15" t="s">
        <v>30</v>
      </c>
      <c r="E21" s="30" t="s">
        <v>23</v>
      </c>
      <c r="F21" s="30">
        <v>57344.1</v>
      </c>
      <c r="G21" s="29">
        <f>F21/4047</f>
        <v>14.169532987398073</v>
      </c>
    </row>
    <row r="22" spans="4:15" x14ac:dyDescent="0.25">
      <c r="D22" s="15" t="s">
        <v>25</v>
      </c>
      <c r="E22" s="38">
        <f>F22/F21</f>
        <v>1.9968924440352189</v>
      </c>
      <c r="F22" s="31">
        <v>114510</v>
      </c>
      <c r="G22" s="29">
        <f>F22/4047</f>
        <v>28.295033358042996</v>
      </c>
      <c r="L22" s="5"/>
    </row>
    <row r="23" spans="4:15" ht="30" x14ac:dyDescent="0.25">
      <c r="D23" s="16" t="s">
        <v>26</v>
      </c>
      <c r="E23" s="39">
        <f>F23/F22</f>
        <v>0.40486420399965067</v>
      </c>
      <c r="F23" s="32">
        <f>F6</f>
        <v>46361</v>
      </c>
      <c r="G23" s="29" t="s">
        <v>23</v>
      </c>
      <c r="H23" s="6"/>
      <c r="I23" s="2"/>
      <c r="J23" s="5"/>
    </row>
    <row r="24" spans="4:15" x14ac:dyDescent="0.25">
      <c r="D24" s="16" t="s">
        <v>22</v>
      </c>
      <c r="E24" s="14">
        <f>1-E23</f>
        <v>0.59513579600034938</v>
      </c>
      <c r="F24" s="33">
        <f>F22-F23</f>
        <v>68149</v>
      </c>
      <c r="G24" s="34" t="s">
        <v>23</v>
      </c>
      <c r="I24" s="2"/>
    </row>
    <row r="25" spans="4:15" ht="45" x14ac:dyDescent="0.25">
      <c r="D25" s="16" t="s">
        <v>31</v>
      </c>
      <c r="E25" s="43">
        <f>E23</f>
        <v>0.40486420399965067</v>
      </c>
      <c r="F25" s="34">
        <f>F4*40.49%</f>
        <v>23218.626090000002</v>
      </c>
      <c r="G25" s="34">
        <f>F25/4047</f>
        <v>5.7372439065974801</v>
      </c>
      <c r="H25" s="5"/>
    </row>
    <row r="26" spans="4:15" ht="30" hidden="1" x14ac:dyDescent="0.25">
      <c r="D26" s="16" t="s">
        <v>27</v>
      </c>
      <c r="E26" s="35" t="s">
        <v>23</v>
      </c>
      <c r="F26" s="36">
        <f>2.81*4046.85</f>
        <v>11371.648499999999</v>
      </c>
      <c r="G26" s="34">
        <f>F26/4047</f>
        <v>2.8098958487768715</v>
      </c>
      <c r="J26" s="13"/>
    </row>
    <row r="27" spans="4:15" ht="28.5" hidden="1" customHeight="1" x14ac:dyDescent="0.25">
      <c r="D27" s="16" t="s">
        <v>11</v>
      </c>
      <c r="E27" s="35" t="s">
        <v>23</v>
      </c>
      <c r="F27" s="36">
        <f>F26*25%</f>
        <v>2842.9121249999998</v>
      </c>
      <c r="G27" s="34">
        <f>F27/4047</f>
        <v>0.70247396219421787</v>
      </c>
      <c r="J27" s="5">
        <f>F21*J26</f>
        <v>0</v>
      </c>
      <c r="K27" s="5">
        <f>J27/4047</f>
        <v>0</v>
      </c>
      <c r="O27" s="13" t="e">
        <f>1-#REF!</f>
        <v>#REF!</v>
      </c>
    </row>
    <row r="28" spans="4:15" ht="16.5" hidden="1" customHeight="1" x14ac:dyDescent="0.25">
      <c r="D28" s="16" t="s">
        <v>28</v>
      </c>
      <c r="E28" s="35" t="s">
        <v>23</v>
      </c>
      <c r="F28" s="34">
        <f>F21-F26</f>
        <v>45972.451499999996</v>
      </c>
      <c r="G28" s="34">
        <f>F28/4047</f>
        <v>11.359637138621199</v>
      </c>
    </row>
    <row r="29" spans="4:15" ht="43.5" customHeight="1" x14ac:dyDescent="0.25">
      <c r="D29" s="40" t="s">
        <v>29</v>
      </c>
      <c r="E29" s="44">
        <f>E24</f>
        <v>0.59513579600034938</v>
      </c>
      <c r="F29" s="41">
        <f>F21-F25</f>
        <v>34125.473910000001</v>
      </c>
      <c r="G29" s="42">
        <f>F29/4047</f>
        <v>8.4322890808005937</v>
      </c>
      <c r="I29" s="5">
        <f>F29*159000</f>
        <v>5425950351.6900005</v>
      </c>
      <c r="L29" s="11"/>
    </row>
    <row r="30" spans="4:15" x14ac:dyDescent="0.25">
      <c r="L30" s="2"/>
      <c r="M30" s="4"/>
      <c r="N30" s="4"/>
    </row>
    <row r="31" spans="4:15" x14ac:dyDescent="0.25">
      <c r="D31" s="9"/>
      <c r="E31" s="9"/>
      <c r="G31" s="10"/>
    </row>
    <row r="34" spans="4:12" x14ac:dyDescent="0.25">
      <c r="D34" s="2"/>
      <c r="E34" s="2"/>
      <c r="H34" s="1"/>
      <c r="I34" s="6"/>
      <c r="K34" s="2"/>
      <c r="L34" s="2">
        <f>K34*H34</f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7:Q62"/>
  <sheetViews>
    <sheetView tabSelected="1" topLeftCell="A35" workbookViewId="0">
      <selection activeCell="H45" sqref="H45"/>
    </sheetView>
  </sheetViews>
  <sheetFormatPr defaultRowHeight="15" x14ac:dyDescent="0.25"/>
  <cols>
    <col min="4" max="4" width="20" customWidth="1"/>
    <col min="5" max="6" width="17" customWidth="1"/>
    <col min="7" max="7" width="5" customWidth="1"/>
    <col min="8" max="8" width="37.28515625" customWidth="1"/>
    <col min="9" max="9" width="23.7109375" hidden="1" customWidth="1"/>
    <col min="10" max="10" width="22.7109375" customWidth="1"/>
    <col min="11" max="11" width="18.140625" customWidth="1"/>
    <col min="13" max="13" width="17.140625" customWidth="1"/>
    <col min="14" max="14" width="14.28515625" customWidth="1"/>
    <col min="17" max="17" width="15.28515625" bestFit="1" customWidth="1"/>
  </cols>
  <sheetData>
    <row r="7" spans="4:14" x14ac:dyDescent="0.25">
      <c r="D7" t="s">
        <v>17</v>
      </c>
      <c r="E7" s="2">
        <f>14.17*4047*159000</f>
        <v>9118012410</v>
      </c>
      <c r="F7" s="2"/>
    </row>
    <row r="11" spans="4:14" x14ac:dyDescent="0.25">
      <c r="E11" t="s">
        <v>18</v>
      </c>
      <c r="G11" s="2">
        <v>781601</v>
      </c>
      <c r="H11" s="9">
        <f>G11*2400</f>
        <v>1875842400</v>
      </c>
      <c r="I11" s="9"/>
      <c r="J11" s="9"/>
    </row>
    <row r="12" spans="4:14" x14ac:dyDescent="0.25">
      <c r="E12" t="s">
        <v>4</v>
      </c>
      <c r="G12" s="2">
        <v>277774</v>
      </c>
      <c r="H12" s="9">
        <f>G12*1700</f>
        <v>472215800</v>
      </c>
      <c r="I12" s="9"/>
      <c r="J12" s="9"/>
    </row>
    <row r="13" spans="4:14" x14ac:dyDescent="0.25">
      <c r="G13" s="2"/>
      <c r="H13" s="9">
        <f>SUM(H11:H12)</f>
        <v>2348058200</v>
      </c>
      <c r="I13" s="9"/>
      <c r="J13" s="9"/>
    </row>
    <row r="14" spans="4:14" ht="30" x14ac:dyDescent="0.25">
      <c r="G14" s="2"/>
      <c r="M14" s="26" t="s">
        <v>19</v>
      </c>
      <c r="N14" s="27">
        <f>H13*0.2</f>
        <v>469611640</v>
      </c>
    </row>
    <row r="15" spans="4:14" x14ac:dyDescent="0.25">
      <c r="G15" s="2"/>
    </row>
    <row r="16" spans="4:14" x14ac:dyDescent="0.25">
      <c r="E16" t="s">
        <v>20</v>
      </c>
      <c r="G16" s="2"/>
      <c r="H16" s="28">
        <f>H13+E7+N14</f>
        <v>11935682250</v>
      </c>
      <c r="I16" s="28"/>
      <c r="J16" s="28"/>
      <c r="M16" s="28">
        <f>H13+N14</f>
        <v>2817669840</v>
      </c>
    </row>
    <row r="17" spans="4:17" x14ac:dyDescent="0.25">
      <c r="G17" s="2"/>
    </row>
    <row r="18" spans="4:17" x14ac:dyDescent="0.25">
      <c r="G18" s="2"/>
    </row>
    <row r="19" spans="4:17" x14ac:dyDescent="0.25">
      <c r="G19" s="2"/>
      <c r="H19" s="9">
        <v>8474095000</v>
      </c>
      <c r="I19" s="9"/>
      <c r="J19" s="9"/>
      <c r="M19" t="s">
        <v>21</v>
      </c>
      <c r="N19" s="2">
        <v>4607200000</v>
      </c>
      <c r="Q19" s="4">
        <f>N19+H19</f>
        <v>13081295000</v>
      </c>
    </row>
    <row r="20" spans="4:17" x14ac:dyDescent="0.25">
      <c r="G20" s="2"/>
      <c r="H20" s="28">
        <f>H16-H19</f>
        <v>3461587250</v>
      </c>
      <c r="I20" s="28"/>
      <c r="J20" s="28"/>
      <c r="Q20" s="4">
        <f>Q19-M16</f>
        <v>10263625160</v>
      </c>
    </row>
    <row r="21" spans="4:17" x14ac:dyDescent="0.25">
      <c r="G21" s="2"/>
    </row>
    <row r="22" spans="4:17" x14ac:dyDescent="0.25">
      <c r="G22" s="2">
        <v>34125.47</v>
      </c>
      <c r="H22" s="10">
        <f>H20/G22</f>
        <v>101437.05713064171</v>
      </c>
      <c r="I22" s="10"/>
      <c r="J22" s="10"/>
    </row>
    <row r="32" spans="4:17" ht="30" x14ac:dyDescent="0.25">
      <c r="D32" s="18" t="s">
        <v>33</v>
      </c>
      <c r="E32" s="19">
        <f>14.17*170000*4047</f>
        <v>9748818300</v>
      </c>
      <c r="F32" s="46"/>
      <c r="H32" s="18" t="s">
        <v>34</v>
      </c>
      <c r="I32" s="18"/>
      <c r="J32" s="18"/>
      <c r="K32" s="19">
        <f>H19</f>
        <v>8474095000</v>
      </c>
    </row>
    <row r="33" spans="4:13" ht="30" x14ac:dyDescent="0.25">
      <c r="D33" s="20" t="s">
        <v>15</v>
      </c>
      <c r="E33" s="21">
        <f>M16</f>
        <v>2817669840</v>
      </c>
      <c r="F33" s="47"/>
      <c r="G33" s="22"/>
      <c r="H33" s="18" t="s">
        <v>38</v>
      </c>
      <c r="I33" s="18"/>
      <c r="J33" s="18"/>
      <c r="K33" s="23">
        <f>Sheet1!F29*120000</f>
        <v>4095056869.2000003</v>
      </c>
    </row>
    <row r="34" spans="4:13" x14ac:dyDescent="0.25">
      <c r="D34" s="7" t="s">
        <v>16</v>
      </c>
      <c r="E34" s="24">
        <f>E32+E33</f>
        <v>12566488140</v>
      </c>
      <c r="F34" s="48"/>
      <c r="H34" s="25" t="s">
        <v>16</v>
      </c>
      <c r="I34" s="25"/>
      <c r="J34" s="25"/>
      <c r="K34" s="19">
        <f>SUM(K32:K33)</f>
        <v>12569151869.200001</v>
      </c>
    </row>
    <row r="36" spans="4:13" x14ac:dyDescent="0.25">
      <c r="K36" s="28">
        <f>K34-E33</f>
        <v>9751482029.2000008</v>
      </c>
    </row>
    <row r="38" spans="4:13" ht="30.75" customHeight="1" x14ac:dyDescent="0.25">
      <c r="G38" s="54" t="s">
        <v>39</v>
      </c>
      <c r="H38" s="55" t="s">
        <v>14</v>
      </c>
      <c r="I38" s="55"/>
      <c r="J38" s="55" t="s">
        <v>52</v>
      </c>
      <c r="K38" s="55" t="s">
        <v>49</v>
      </c>
    </row>
    <row r="39" spans="4:13" ht="57.75" customHeight="1" x14ac:dyDescent="0.25">
      <c r="G39" s="52" t="s">
        <v>40</v>
      </c>
      <c r="H39" s="49" t="s">
        <v>51</v>
      </c>
      <c r="I39" s="18"/>
      <c r="J39" s="51" t="s">
        <v>53</v>
      </c>
      <c r="K39" s="19">
        <f>K32</f>
        <v>8474095000</v>
      </c>
    </row>
    <row r="40" spans="4:13" ht="30" x14ac:dyDescent="0.25">
      <c r="G40" s="52" t="s">
        <v>41</v>
      </c>
      <c r="H40" s="49" t="s">
        <v>61</v>
      </c>
      <c r="I40" s="18"/>
      <c r="J40" s="51" t="s">
        <v>54</v>
      </c>
      <c r="K40" s="19">
        <f>E33</f>
        <v>2817669840</v>
      </c>
    </row>
    <row r="41" spans="4:13" ht="32.25" customHeight="1" x14ac:dyDescent="0.25">
      <c r="G41" s="52" t="s">
        <v>42</v>
      </c>
      <c r="H41" s="50" t="s">
        <v>47</v>
      </c>
      <c r="I41" s="25"/>
      <c r="J41" s="51" t="s">
        <v>59</v>
      </c>
      <c r="K41" s="19">
        <f>K39-K40</f>
        <v>5656425160</v>
      </c>
      <c r="M41" s="2">
        <f>K41/Sheet1!F25</f>
        <v>243615.84264609689</v>
      </c>
    </row>
    <row r="42" spans="4:13" ht="18.75" customHeight="1" x14ac:dyDescent="0.25">
      <c r="G42" s="52" t="s">
        <v>43</v>
      </c>
      <c r="H42" s="50" t="s">
        <v>32</v>
      </c>
      <c r="I42" s="25"/>
      <c r="J42" s="52" t="s">
        <v>55</v>
      </c>
      <c r="K42" s="19">
        <v>170000</v>
      </c>
    </row>
    <row r="43" spans="4:13" ht="18.75" customHeight="1" x14ac:dyDescent="0.25">
      <c r="G43" s="52" t="s">
        <v>44</v>
      </c>
      <c r="H43" s="50" t="s">
        <v>60</v>
      </c>
      <c r="I43" s="25"/>
      <c r="J43" s="52" t="s">
        <v>56</v>
      </c>
      <c r="K43" s="45">
        <f>Sheet1!F21</f>
        <v>57344.1</v>
      </c>
    </row>
    <row r="44" spans="4:13" ht="30" x14ac:dyDescent="0.25">
      <c r="G44" s="52" t="s">
        <v>45</v>
      </c>
      <c r="H44" s="49" t="s">
        <v>48</v>
      </c>
      <c r="I44" s="25"/>
      <c r="J44" s="51" t="s">
        <v>57</v>
      </c>
      <c r="K44" s="19">
        <f>K43*K42</f>
        <v>9748497000</v>
      </c>
    </row>
    <row r="45" spans="4:13" ht="31.5" customHeight="1" x14ac:dyDescent="0.25">
      <c r="G45" s="52" t="s">
        <v>46</v>
      </c>
      <c r="H45" s="53" t="s">
        <v>50</v>
      </c>
      <c r="I45" s="18"/>
      <c r="J45" s="51" t="s">
        <v>58</v>
      </c>
      <c r="K45" s="19">
        <f>M45*34125.47</f>
        <v>4095056400</v>
      </c>
      <c r="M45" s="28">
        <v>120000</v>
      </c>
    </row>
    <row r="46" spans="4:13" hidden="1" x14ac:dyDescent="0.25">
      <c r="G46" s="56"/>
      <c r="H46" s="56"/>
      <c r="I46" s="56"/>
      <c r="J46" s="56"/>
      <c r="K46" s="56"/>
    </row>
    <row r="47" spans="4:13" x14ac:dyDescent="0.25">
      <c r="G47" s="57" t="s">
        <v>35</v>
      </c>
      <c r="H47" s="57"/>
      <c r="I47" s="57"/>
      <c r="J47" s="57"/>
      <c r="K47" s="57"/>
      <c r="M47" s="2">
        <v>115000</v>
      </c>
    </row>
    <row r="48" spans="4:13" ht="66" customHeight="1" x14ac:dyDescent="0.25">
      <c r="G48" s="58" t="s">
        <v>36</v>
      </c>
      <c r="H48" s="58"/>
      <c r="I48" s="58"/>
      <c r="J48" s="58"/>
      <c r="K48" s="58"/>
      <c r="M48" s="4">
        <f>AVERAGE(M47,M41)</f>
        <v>179307.92132304845</v>
      </c>
    </row>
    <row r="49" spans="4:11" ht="37.5" customHeight="1" x14ac:dyDescent="0.25">
      <c r="G49" s="59" t="s">
        <v>37</v>
      </c>
      <c r="H49" s="59"/>
      <c r="I49" s="59"/>
      <c r="J49" s="59"/>
      <c r="K49" s="59"/>
    </row>
    <row r="60" spans="4:11" x14ac:dyDescent="0.25">
      <c r="D60" s="28">
        <f>ROUND(K45,-7)</f>
        <v>4100000000</v>
      </c>
    </row>
    <row r="61" spans="4:11" x14ac:dyDescent="0.25">
      <c r="D61" s="28">
        <f>D60*0.85</f>
        <v>3485000000</v>
      </c>
    </row>
    <row r="62" spans="4:11" x14ac:dyDescent="0.25">
      <c r="D62" s="28">
        <f>D60*0.75</f>
        <v>3075000000</v>
      </c>
    </row>
  </sheetData>
  <mergeCells count="4">
    <mergeCell ref="G46:K46"/>
    <mergeCell ref="G47:K47"/>
    <mergeCell ref="G48:K48"/>
    <mergeCell ref="G49:K4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Babul</dc:creator>
  <cp:lastModifiedBy>Babul</cp:lastModifiedBy>
  <dcterms:created xsi:type="dcterms:W3CDTF">2023-03-28T10:18:06Z</dcterms:created>
  <dcterms:modified xsi:type="dcterms:W3CDTF">2023-04-11T09:26:40Z</dcterms:modified>
</cp:coreProperties>
</file>