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In Progress Files\Rahul Gupta\In progress\VIS(2022-23)-PL472-376-653 Plot no. 112,113,112,123\"/>
    </mc:Choice>
  </mc:AlternateContent>
  <bookViews>
    <workbookView xWindow="0" yWindow="0" windowWidth="20490" windowHeight="7755"/>
  </bookViews>
  <sheets>
    <sheet name="working" sheetId="2" r:id="rId1"/>
    <sheet name="Sheet2" sheetId="3" r:id="rId2"/>
    <sheet name="Sheet3" sheetId="4"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6" i="2" l="1"/>
  <c r="I7" i="2" s="1"/>
  <c r="I19" i="2"/>
  <c r="H19" i="2"/>
  <c r="I4" i="2"/>
  <c r="Q4" i="2" s="1"/>
  <c r="Q5" i="2"/>
  <c r="L5" i="2"/>
  <c r="O5" i="2"/>
  <c r="L6" i="2"/>
  <c r="O6" i="2"/>
  <c r="H20" i="2"/>
  <c r="Q6" i="2" l="1"/>
  <c r="R6" i="2"/>
  <c r="S6" i="2" s="1"/>
  <c r="U6" i="2" s="1"/>
  <c r="R5" i="2"/>
  <c r="S5" i="2" s="1"/>
  <c r="U5" i="2" s="1"/>
  <c r="H7" i="2"/>
  <c r="G5" i="2"/>
  <c r="G6" i="2"/>
  <c r="G4" i="2"/>
  <c r="G7" i="2" l="1"/>
  <c r="F4" i="4"/>
  <c r="F7" i="4" l="1"/>
  <c r="F9" i="4" s="1"/>
  <c r="F10" i="4" s="1"/>
  <c r="F11" i="4" s="1"/>
  <c r="AA10" i="2" l="1"/>
  <c r="Q7" i="2" l="1"/>
  <c r="O4" i="2" l="1"/>
  <c r="L4" i="2"/>
  <c r="I3" i="3" l="1"/>
  <c r="G3" i="3"/>
  <c r="D3" i="3"/>
  <c r="R4" i="2" l="1"/>
  <c r="S4" i="2" s="1"/>
  <c r="S7" i="2" s="1"/>
  <c r="J3" i="3"/>
  <c r="K3" i="3" s="1"/>
  <c r="M3" i="3" s="1"/>
  <c r="U4" i="2" l="1"/>
  <c r="U7" i="2" s="1"/>
  <c r="X12" i="2" s="1"/>
  <c r="X13" i="2" s="1"/>
  <c r="W7" i="2" l="1"/>
</calcChain>
</file>

<file path=xl/sharedStrings.xml><?xml version="1.0" encoding="utf-8"?>
<sst xmlns="http://schemas.openxmlformats.org/spreadsheetml/2006/main" count="63" uniqueCount="50">
  <si>
    <t>SR. No.</t>
  </si>
  <si>
    <t>Type of Structure</t>
  </si>
  <si>
    <t xml:space="preserve">Year of Valuation </t>
  </si>
  <si>
    <t>Total Life Consumed 
(In year)</t>
  </si>
  <si>
    <t>Total Economical Life
(In year)</t>
  </si>
  <si>
    <t>Salvage value</t>
  </si>
  <si>
    <t>Depreciation Rate</t>
  </si>
  <si>
    <t>Plinth Area  Rate 
(In per sq ft)</t>
  </si>
  <si>
    <t>Gross Replacement Value
(INR)</t>
  </si>
  <si>
    <t xml:space="preserve">Depreciation
(INR) </t>
  </si>
  <si>
    <t>Depreciated Value
(INR)</t>
  </si>
  <si>
    <t>Depreciated Replacement Market Value
(INR)</t>
  </si>
  <si>
    <t>TOTAL</t>
  </si>
  <si>
    <t>Remarks:</t>
  </si>
  <si>
    <t>3. The valuation is done by considering the depreciated replacement cost approach.</t>
  </si>
  <si>
    <t>Detoration</t>
  </si>
  <si>
    <t>CoveredArea 
(in sq ft)</t>
  </si>
  <si>
    <t>Details of Building</t>
  </si>
  <si>
    <t>4.We have taken the year of construction from information provided to us during the survey.</t>
  </si>
  <si>
    <t>Floor</t>
  </si>
  <si>
    <t>Covered Area (in sq.mtr)</t>
  </si>
  <si>
    <t>Boundary wall valuation</t>
  </si>
  <si>
    <r>
      <t xml:space="preserve">Wall
</t>
    </r>
    <r>
      <rPr>
        <b/>
        <i/>
        <sz val="10"/>
        <rFont val="Calibri"/>
        <family val="2"/>
        <scheme val="minor"/>
      </rPr>
      <t>(in Running ft.)As per approved plan approx.</t>
    </r>
  </si>
  <si>
    <t>Year of Construction</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</si>
  <si>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</si>
  <si>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</si>
  <si>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running ft.)</t>
    </r>
  </si>
  <si>
    <t>Discounting Factor</t>
  </si>
  <si>
    <t>RCC framed pillar beam column on RCC slab</t>
  </si>
  <si>
    <t>Main Building</t>
  </si>
  <si>
    <t>, Iron Pillar Truss</t>
  </si>
  <si>
    <t>Iron Pillar Truss</t>
  </si>
  <si>
    <t>Permissible Covered area (in sq.ft)</t>
  </si>
  <si>
    <t>No Boundary Wall considered .</t>
  </si>
  <si>
    <t xml:space="preserve">BUILDING VALUATION OF PROPERTY OF M/S. EBIX CASH LIMITED | SITUATED AT PLOT NO. 118, NOIDA SPECIAL ECONOMIC ZONE, NOIDA, DISTRICT GAUTAM BUDDHA NAGAR, UTTAR PRADESH
</t>
  </si>
  <si>
    <t>1. All the details pertaing to the building area statement such as area, floor, etc has been taken from the physical measurement on the site during the survey only.</t>
  </si>
  <si>
    <t>2.The subject property is consturcted with RCC type of structures..</t>
  </si>
  <si>
    <t>Assuming Year of Construction</t>
  </si>
  <si>
    <t>Height in Ft.</t>
  </si>
  <si>
    <t>As per circle rate</t>
  </si>
  <si>
    <t xml:space="preserve">Ground Floor level </t>
  </si>
  <si>
    <t>First Floor  level</t>
  </si>
  <si>
    <t>Second Floor</t>
  </si>
  <si>
    <t>FAR</t>
  </si>
  <si>
    <t/>
  </si>
  <si>
    <t>PLOT AREA</t>
  </si>
  <si>
    <t>SQ.MTR</t>
  </si>
  <si>
    <t>5.As per our site survey we have observed the maintenance of the building is excellent.</t>
  </si>
  <si>
    <t>6.During the course of our site visit the subject property was in operational condition.</t>
  </si>
  <si>
    <t xml:space="preserve">7.We have  provided the  bulding map of the subject property.However the building was not constructed as per the building map provided to us.Therfore, As per site measurement during the survey the  total permissible covered area considered for the valuation i.e 55972 sq.ft only as per the building bye laws.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</si>
</sst>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0.0000"/>
    <numFmt numFmtId="165" formatCode="_ &quot;₹&quot;\ * #,##0_ ;_ &quot;₹&quot;\ * \-#,##0_ ;_ &quot;₹&quot;\ * &quot;-&quot;??_ ;_ @_ "/>
    <numFmt numFmtId="166" formatCode="_ * #,##0_ ;_ * \-#,##0_ ;_ * &quot;-&quot;??_ ;_ @_ "/>
    <numFmt numFmtId="167" formatCode="0.0%"/>
    <numFmt numFmtId="168" formatCode="_ * #,##0.0_ ;_ * \-#,##0.0_ ;_ * &quot;-&quot;?_ ;_ @_ "/>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i/>
      <sz val="10"/>
      <name val="Calibri"/>
      <family val="2"/>
      <scheme val="minor"/>
    </font>
  </fonts>
  <fills count="6">
    <fill>
      <patternFill patternType="none"/>
    </fill>
    <fill>
      <patternFill patternType="gray125"/>
    </fill>
    <fill>
      <patternFill patternType="solid">
        <fgColor theme="4" tint="0.59999389629810485"/>
        <bgColor indexed="65"/>
      </patternFill>
    </fill>
    <fill>
      <patternFill patternType="solid">
        <fgColor rgb="FF1E3661"/>
        <bgColor indexed="64"/>
      </patternFill>
    </fill>
    <fill>
      <patternFill patternType="solid">
        <fgColor theme="4" tint="0.399975585192419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44">
    <xf numFmtId="0" fontId="0" fillId="0" borderId="0" xfId="0"/>
    <xf numFmtId="0" fontId="2" fillId="2" borderId="1" xfId="3" applyFont="1" applyBorder="1" applyAlignment="1">
      <alignment horizontal="center" vertical="center" wrapText="1"/>
    </xf>
    <xf numFmtId="9" fontId="2" fillId="2" borderId="1" xfId="3" applyNumberFormat="1" applyFont="1" applyBorder="1" applyAlignment="1">
      <alignment horizontal="center" vertical="center" wrapText="1"/>
    </xf>
    <xf numFmtId="0" fontId="0" fillId="0" borderId="1" xfId="0" applyBorder="1" applyAlignment="1">
      <alignment horizontal="center" vertical="center" wrapText="1"/>
    </xf>
    <xf numFmtId="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65" fontId="0" fillId="0" borderId="1" xfId="1" applyNumberFormat="1" applyFont="1" applyBorder="1" applyAlignment="1">
      <alignment horizontal="center" vertical="center" wrapText="1"/>
    </xf>
    <xf numFmtId="165" fontId="2" fillId="0" borderId="1" xfId="1" applyNumberFormat="1" applyFont="1" applyBorder="1" applyAlignment="1">
      <alignment horizontal="center" vertical="center" wrapText="1"/>
    </xf>
    <xf numFmtId="9" fontId="2" fillId="0" borderId="1" xfId="2" applyFont="1" applyBorder="1" applyAlignment="1">
      <alignment horizontal="center" vertical="center" wrapText="1"/>
    </xf>
    <xf numFmtId="165" fontId="0" fillId="0" borderId="0" xfId="0" applyNumberFormat="1"/>
    <xf numFmtId="43" fontId="0" fillId="0" borderId="0" xfId="0" applyNumberFormat="1"/>
    <xf numFmtId="166" fontId="0" fillId="0" borderId="0" xfId="6" applyNumberFormat="1" applyFont="1"/>
    <xf numFmtId="0" fontId="6" fillId="4" borderId="1" xfId="0" applyFont="1" applyFill="1" applyBorder="1" applyAlignment="1">
      <alignment horizontal="center" vertical="center" wrapText="1"/>
    </xf>
    <xf numFmtId="1" fontId="0" fillId="0" borderId="1" xfId="0" applyNumberFormat="1" applyBorder="1" applyAlignment="1">
      <alignment horizontal="center"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165" fontId="0" fillId="0" borderId="1" xfId="1" applyNumberFormat="1" applyFont="1" applyBorder="1" applyAlignment="1">
      <alignment horizontal="center" vertical="center"/>
    </xf>
    <xf numFmtId="9" fontId="0" fillId="0" borderId="1" xfId="2" applyFont="1" applyBorder="1" applyAlignment="1">
      <alignment horizontal="center" vertical="center"/>
    </xf>
    <xf numFmtId="9" fontId="0" fillId="5" borderId="1" xfId="2" applyFont="1" applyFill="1" applyBorder="1" applyAlignment="1">
      <alignment horizontal="center" vertical="center" wrapText="1"/>
    </xf>
    <xf numFmtId="165" fontId="0" fillId="5" borderId="1" xfId="1" applyNumberFormat="1" applyFont="1" applyFill="1" applyBorder="1" applyAlignment="1">
      <alignment horizontal="center" vertical="center" wrapText="1"/>
    </xf>
    <xf numFmtId="166" fontId="0" fillId="0" borderId="1" xfId="6" applyNumberFormat="1" applyFont="1" applyBorder="1" applyAlignment="1">
      <alignment horizontal="center" vertical="center" wrapText="1"/>
    </xf>
    <xf numFmtId="166" fontId="2" fillId="0" borderId="1" xfId="6" applyNumberFormat="1" applyFont="1" applyBorder="1" applyAlignment="1">
      <alignment horizontal="center" vertical="center" wrapText="1"/>
    </xf>
    <xf numFmtId="166" fontId="0" fillId="0" borderId="0" xfId="0" applyNumberFormat="1"/>
    <xf numFmtId="43" fontId="0" fillId="0" borderId="1" xfId="6" applyFont="1" applyBorder="1" applyAlignment="1">
      <alignment horizontal="center" vertical="center" wrapText="1"/>
    </xf>
    <xf numFmtId="167" fontId="0" fillId="0" borderId="0" xfId="2" applyNumberFormat="1" applyFont="1"/>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3" fontId="0" fillId="0" borderId="0" xfId="0" applyNumberFormat="1"/>
    <xf numFmtId="0" fontId="0" fillId="5" borderId="0" xfId="0" applyFill="1"/>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2" fillId="0" borderId="1" xfId="0" applyFont="1" applyBorder="1" applyAlignment="1">
      <alignment horizontal="center" vertical="center" wrapText="1"/>
    </xf>
    <xf numFmtId="0" fontId="4" fillId="0" borderId="1" xfId="0" applyFont="1" applyBorder="1" applyAlignment="1">
      <alignment horizontal="left" vertical="center"/>
    </xf>
    <xf numFmtId="0" fontId="3" fillId="3" borderId="2" xfId="0" applyFont="1" applyFill="1" applyBorder="1" applyAlignment="1">
      <alignment horizontal="center" vertical="center" wrapText="1"/>
    </xf>
    <xf numFmtId="0" fontId="0" fillId="0" borderId="0" xfId="0" quotePrefix="1"/>
    <xf numFmtId="168" fontId="0" fillId="0" borderId="1" xfId="0" applyNumberFormat="1" applyBorder="1" applyAlignment="1">
      <alignment horizontal="center" vertical="center"/>
    </xf>
    <xf numFmtId="0" fontId="3" fillId="3" borderId="1" xfId="0" applyFont="1" applyFill="1" applyBorder="1" applyAlignment="1">
      <alignment horizontal="center" wrapText="1"/>
    </xf>
  </cellXfs>
  <cellStyles count="13">
    <cellStyle name="40% - Accent1" xfId="3" builtinId="31"/>
    <cellStyle name="Comma" xfId="6" builtinId="3"/>
    <cellStyle name="Comma 2" xfId="4"/>
    <cellStyle name="Comma 2 2" xfId="10"/>
    <cellStyle name="Comma 3" xfId="12"/>
    <cellStyle name="Comma 4" xfId="8"/>
    <cellStyle name="Currency" xfId="1" builtinId="4"/>
    <cellStyle name="Currency 2" xfId="5"/>
    <cellStyle name="Currency 2 2" xfId="9"/>
    <cellStyle name="Currency 3" xfId="11"/>
    <cellStyle name="Currency 4" xf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24"/>
  <sheetViews>
    <sheetView tabSelected="1" topLeftCell="B1" workbookViewId="0">
      <selection activeCell="B15" sqref="B15:U15"/>
    </sheetView>
  </sheetViews>
  <sheetFormatPr defaultRowHeight="15" x14ac:dyDescent="0.25"/>
  <cols>
    <col min="2" max="2" width="7.28515625" customWidth="1"/>
    <col min="3" max="3" width="13.28515625" customWidth="1"/>
    <col min="4" max="4" width="11" customWidth="1"/>
    <col min="5" max="5" width="9" bestFit="1" customWidth="1"/>
    <col min="6" max="6" width="19.7109375" customWidth="1"/>
    <col min="7" max="7" width="11.5703125" bestFit="1" customWidth="1"/>
    <col min="8" max="8" width="8.42578125" bestFit="1" customWidth="1"/>
    <col min="9" max="9" width="11.7109375" customWidth="1"/>
    <col min="10" max="10" width="11.140625" customWidth="1"/>
    <col min="11" max="11" width="5.5703125" hidden="1" customWidth="1"/>
    <col min="12" max="12" width="10.42578125" hidden="1" customWidth="1"/>
    <col min="13" max="13" width="9.42578125" hidden="1" customWidth="1"/>
    <col min="14" max="14" width="7.7109375" hidden="1" customWidth="1"/>
    <col min="15" max="15" width="6.5703125" hidden="1" customWidth="1"/>
    <col min="16" max="16" width="9" hidden="1" customWidth="1"/>
    <col min="17" max="17" width="14.140625" hidden="1" customWidth="1"/>
    <col min="18" max="18" width="14.28515625" hidden="1" customWidth="1"/>
    <col min="19" max="19" width="13.28515625" hidden="1" customWidth="1"/>
    <col min="20" max="20" width="10.85546875" hidden="1" customWidth="1"/>
    <col min="21" max="21" width="13.140625" hidden="1" customWidth="1"/>
    <col min="23" max="23" width="5.85546875" bestFit="1" customWidth="1"/>
    <col min="24" max="24" width="15.7109375" bestFit="1" customWidth="1"/>
    <col min="26" max="26" width="3" bestFit="1" customWidth="1"/>
    <col min="27" max="27" width="9" bestFit="1" customWidth="1"/>
    <col min="28" max="28" width="8" bestFit="1" customWidth="1"/>
    <col min="29" max="29" width="9" bestFit="1" customWidth="1"/>
  </cols>
  <sheetData>
    <row r="2" spans="2:28" ht="52.5" customHeight="1" x14ac:dyDescent="0.25">
      <c r="B2" s="43" t="s">
        <v>34</v>
      </c>
      <c r="C2" s="43"/>
      <c r="D2" s="43"/>
      <c r="E2" s="43"/>
      <c r="F2" s="43"/>
      <c r="G2" s="43"/>
      <c r="H2" s="43"/>
      <c r="I2" s="43"/>
      <c r="J2" s="43"/>
      <c r="K2" s="43"/>
      <c r="L2" s="43"/>
      <c r="M2" s="43"/>
      <c r="N2" s="43"/>
      <c r="O2" s="43"/>
      <c r="P2" s="43"/>
      <c r="Q2" s="43"/>
      <c r="R2" s="43"/>
      <c r="S2" s="43"/>
      <c r="T2" s="43"/>
      <c r="U2" s="43"/>
    </row>
    <row r="3" spans="2:28" ht="75" x14ac:dyDescent="0.25">
      <c r="B3" s="1" t="s">
        <v>0</v>
      </c>
      <c r="C3" s="1" t="s">
        <v>17</v>
      </c>
      <c r="D3" s="1" t="s">
        <v>19</v>
      </c>
      <c r="E3" s="1" t="s">
        <v>38</v>
      </c>
      <c r="F3" s="1" t="s">
        <v>1</v>
      </c>
      <c r="G3" s="1" t="s">
        <v>20</v>
      </c>
      <c r="H3" s="1" t="s">
        <v>16</v>
      </c>
      <c r="I3" s="1" t="s">
        <v>32</v>
      </c>
      <c r="J3" s="1" t="s">
        <v>37</v>
      </c>
      <c r="K3" s="1" t="s">
        <v>2</v>
      </c>
      <c r="L3" s="1" t="s">
        <v>3</v>
      </c>
      <c r="M3" s="1" t="s">
        <v>4</v>
      </c>
      <c r="N3" s="1" t="s">
        <v>5</v>
      </c>
      <c r="O3" s="1" t="s">
        <v>6</v>
      </c>
      <c r="P3" s="1" t="s">
        <v>7</v>
      </c>
      <c r="Q3" s="1" t="s">
        <v>8</v>
      </c>
      <c r="R3" s="1" t="s">
        <v>9</v>
      </c>
      <c r="S3" s="1" t="s">
        <v>10</v>
      </c>
      <c r="T3" s="2" t="s">
        <v>15</v>
      </c>
      <c r="U3" s="1" t="s">
        <v>11</v>
      </c>
      <c r="X3" t="s">
        <v>30</v>
      </c>
    </row>
    <row r="4" spans="2:28" ht="45" x14ac:dyDescent="0.25">
      <c r="B4" s="3">
        <v>1</v>
      </c>
      <c r="C4" s="3" t="s">
        <v>29</v>
      </c>
      <c r="D4" s="3" t="s">
        <v>40</v>
      </c>
      <c r="E4" s="3">
        <v>15</v>
      </c>
      <c r="F4" s="3" t="s">
        <v>28</v>
      </c>
      <c r="G4" s="24">
        <f>H4/10.7639</f>
        <v>2922.7324668568085</v>
      </c>
      <c r="H4" s="21">
        <v>31460</v>
      </c>
      <c r="I4" s="42">
        <f>4000*0.6*10.7639</f>
        <v>25833.360000000001</v>
      </c>
      <c r="J4" s="3">
        <v>2012</v>
      </c>
      <c r="K4" s="3">
        <v>2022</v>
      </c>
      <c r="L4" s="3">
        <f t="shared" ref="L4" si="0">K4-J4</f>
        <v>10</v>
      </c>
      <c r="M4" s="3">
        <v>60</v>
      </c>
      <c r="N4" s="4">
        <v>0.1</v>
      </c>
      <c r="O4" s="5">
        <f t="shared" ref="O4" si="1">(1-N4)/M4</f>
        <v>1.5000000000000001E-2</v>
      </c>
      <c r="P4" s="6">
        <v>1700</v>
      </c>
      <c r="Q4" s="6">
        <f>P4*I4</f>
        <v>43916712</v>
      </c>
      <c r="R4" s="6">
        <f t="shared" ref="R4" si="2">Q4*O4*L4</f>
        <v>6587506.8000000007</v>
      </c>
      <c r="S4" s="6">
        <f t="shared" ref="S4" si="3">MAX(Q4-R4,0)</f>
        <v>37329205.200000003</v>
      </c>
      <c r="T4" s="19">
        <v>0</v>
      </c>
      <c r="U4" s="20">
        <f t="shared" ref="U4" si="4">IF(S4&gt;N4*Q4,S4*(1-T4),Q4*N4)</f>
        <v>37329205.200000003</v>
      </c>
      <c r="X4" t="s">
        <v>31</v>
      </c>
      <c r="AB4">
        <v>1288.8800000000001</v>
      </c>
    </row>
    <row r="5" spans="2:28" ht="45" x14ac:dyDescent="0.25">
      <c r="B5" s="3">
        <v>2</v>
      </c>
      <c r="C5" s="3" t="s">
        <v>29</v>
      </c>
      <c r="D5" s="3" t="s">
        <v>41</v>
      </c>
      <c r="E5" s="3">
        <v>15</v>
      </c>
      <c r="F5" s="3" t="s">
        <v>28</v>
      </c>
      <c r="G5" s="24">
        <f>H5/10.7639</f>
        <v>2922.7324668568085</v>
      </c>
      <c r="H5" s="21">
        <v>31460</v>
      </c>
      <c r="I5" s="42">
        <v>25833</v>
      </c>
      <c r="J5" s="3">
        <v>2012</v>
      </c>
      <c r="K5" s="3">
        <v>2022</v>
      </c>
      <c r="L5" s="3">
        <f t="shared" ref="L5:L6" si="5">K5-J5</f>
        <v>10</v>
      </c>
      <c r="M5" s="3">
        <v>60</v>
      </c>
      <c r="N5" s="4">
        <v>0.1</v>
      </c>
      <c r="O5" s="5">
        <f t="shared" ref="O5:O6" si="6">(1-N5)/M5</f>
        <v>1.5000000000000001E-2</v>
      </c>
      <c r="P5" s="6">
        <v>1700</v>
      </c>
      <c r="Q5" s="6">
        <f t="shared" ref="Q5:Q6" si="7">P5*I5</f>
        <v>43916100</v>
      </c>
      <c r="R5" s="6">
        <f t="shared" ref="R5:R6" si="8">Q5*O5*L5</f>
        <v>6587415</v>
      </c>
      <c r="S5" s="6">
        <f t="shared" ref="S5:S6" si="9">MAX(Q5-R5,0)</f>
        <v>37328685</v>
      </c>
      <c r="T5" s="19">
        <v>0</v>
      </c>
      <c r="U5" s="20">
        <f t="shared" ref="U5:U6" si="10">IF(S5&gt;N5*Q5,S5*(1-T5),Q5*N5)</f>
        <v>37328685</v>
      </c>
    </row>
    <row r="6" spans="2:28" ht="45" x14ac:dyDescent="0.25">
      <c r="B6" s="3">
        <v>3</v>
      </c>
      <c r="C6" s="3" t="s">
        <v>29</v>
      </c>
      <c r="D6" s="3" t="s">
        <v>42</v>
      </c>
      <c r="E6" s="3">
        <v>15</v>
      </c>
      <c r="F6" s="3" t="s">
        <v>28</v>
      </c>
      <c r="G6" s="24">
        <f>H6/10.7639</f>
        <v>2922.7324668568085</v>
      </c>
      <c r="H6" s="21">
        <v>31460</v>
      </c>
      <c r="I6" s="42">
        <f>55972.28-(I5+I4)</f>
        <v>4305.9199999999983</v>
      </c>
      <c r="J6" s="3">
        <v>2012</v>
      </c>
      <c r="K6" s="3">
        <v>2022</v>
      </c>
      <c r="L6" s="3">
        <f t="shared" si="5"/>
        <v>10</v>
      </c>
      <c r="M6" s="3">
        <v>60</v>
      </c>
      <c r="N6" s="4">
        <v>0.1</v>
      </c>
      <c r="O6" s="5">
        <f t="shared" si="6"/>
        <v>1.5000000000000001E-2</v>
      </c>
      <c r="P6" s="6">
        <v>1700</v>
      </c>
      <c r="Q6" s="6">
        <f t="shared" si="7"/>
        <v>7320063.9999999972</v>
      </c>
      <c r="R6" s="6">
        <f t="shared" si="8"/>
        <v>1098009.5999999996</v>
      </c>
      <c r="S6" s="6">
        <f t="shared" si="9"/>
        <v>6222054.3999999976</v>
      </c>
      <c r="T6" s="19">
        <v>0</v>
      </c>
      <c r="U6" s="20">
        <f t="shared" si="10"/>
        <v>6222054.3999999976</v>
      </c>
    </row>
    <row r="7" spans="2:28" x14ac:dyDescent="0.25">
      <c r="B7" s="38" t="s">
        <v>12</v>
      </c>
      <c r="C7" s="38"/>
      <c r="D7" s="38"/>
      <c r="E7" s="38"/>
      <c r="F7" s="38"/>
      <c r="G7" s="22">
        <f>SUM(G4:G6)</f>
        <v>8768.1974005704251</v>
      </c>
      <c r="H7" s="22">
        <f>SUM(H4:H6)</f>
        <v>94380</v>
      </c>
      <c r="I7" s="22">
        <f>SUM(I4:I6)</f>
        <v>55972.28</v>
      </c>
      <c r="J7" s="38"/>
      <c r="K7" s="38"/>
      <c r="L7" s="38"/>
      <c r="M7" s="38"/>
      <c r="N7" s="38"/>
      <c r="O7" s="38"/>
      <c r="P7" s="38"/>
      <c r="Q7" s="7">
        <f>SUM(Q4:Q6)</f>
        <v>95152876</v>
      </c>
      <c r="R7" s="7"/>
      <c r="S7" s="7">
        <f>SUM(S4:S6)</f>
        <v>80879944.599999994</v>
      </c>
      <c r="T7" s="8"/>
      <c r="U7" s="7">
        <f>SUM(U4:U6)</f>
        <v>80879944.599999994</v>
      </c>
      <c r="W7" t="e">
        <f>U7/#REF!</f>
        <v>#REF!</v>
      </c>
    </row>
    <row r="8" spans="2:28" x14ac:dyDescent="0.25">
      <c r="B8" s="39" t="s">
        <v>13</v>
      </c>
      <c r="C8" s="39"/>
      <c r="D8" s="39"/>
      <c r="E8" s="39"/>
      <c r="F8" s="39"/>
      <c r="G8" s="39"/>
      <c r="H8" s="39"/>
      <c r="I8" s="39"/>
      <c r="J8" s="39"/>
      <c r="K8" s="39"/>
      <c r="L8" s="39"/>
      <c r="M8" s="39"/>
      <c r="N8" s="39"/>
      <c r="O8" s="39"/>
      <c r="P8" s="39"/>
      <c r="Q8" s="39"/>
      <c r="R8" s="39"/>
      <c r="S8" s="39"/>
      <c r="T8" s="39"/>
      <c r="U8" s="39"/>
    </row>
    <row r="9" spans="2:28" x14ac:dyDescent="0.25">
      <c r="B9" s="34" t="s">
        <v>35</v>
      </c>
      <c r="C9" s="34"/>
      <c r="D9" s="34"/>
      <c r="E9" s="34"/>
      <c r="F9" s="34"/>
      <c r="G9" s="34"/>
      <c r="H9" s="34"/>
      <c r="I9" s="34"/>
      <c r="J9" s="34"/>
      <c r="K9" s="34"/>
      <c r="L9" s="34"/>
      <c r="M9" s="34"/>
      <c r="N9" s="34"/>
      <c r="O9" s="34"/>
      <c r="P9" s="34"/>
      <c r="Q9" s="34"/>
      <c r="R9" s="34"/>
      <c r="S9" s="34"/>
      <c r="T9" s="34"/>
      <c r="U9" s="34"/>
      <c r="AA9">
        <v>1288</v>
      </c>
    </row>
    <row r="10" spans="2:28" x14ac:dyDescent="0.25">
      <c r="B10" s="34" t="s">
        <v>36</v>
      </c>
      <c r="C10" s="34"/>
      <c r="D10" s="34"/>
      <c r="E10" s="34"/>
      <c r="F10" s="34"/>
      <c r="G10" s="34"/>
      <c r="H10" s="34"/>
      <c r="I10" s="34"/>
      <c r="J10" s="34"/>
      <c r="K10" s="34"/>
      <c r="L10" s="34"/>
      <c r="M10" s="34"/>
      <c r="N10" s="34"/>
      <c r="O10" s="34"/>
      <c r="P10" s="34"/>
      <c r="Q10" s="34"/>
      <c r="R10" s="34"/>
      <c r="S10" s="34"/>
      <c r="T10" s="34"/>
      <c r="U10" s="34"/>
      <c r="AA10">
        <f>AA9*33000</f>
        <v>42504000</v>
      </c>
    </row>
    <row r="11" spans="2:28" x14ac:dyDescent="0.25">
      <c r="B11" s="34" t="s">
        <v>14</v>
      </c>
      <c r="C11" s="34"/>
      <c r="D11" s="34"/>
      <c r="E11" s="34"/>
      <c r="F11" s="34"/>
      <c r="G11" s="34"/>
      <c r="H11" s="34"/>
      <c r="I11" s="34"/>
      <c r="J11" s="34"/>
      <c r="K11" s="34"/>
      <c r="L11" s="34"/>
      <c r="M11" s="34"/>
      <c r="N11" s="34"/>
      <c r="O11" s="34"/>
      <c r="P11" s="34"/>
      <c r="Q11" s="34"/>
      <c r="R11" s="34"/>
      <c r="S11" s="34"/>
      <c r="T11" s="34"/>
      <c r="U11" s="34"/>
      <c r="X11">
        <v>567232000</v>
      </c>
    </row>
    <row r="12" spans="2:28" x14ac:dyDescent="0.25">
      <c r="B12" s="34" t="s">
        <v>18</v>
      </c>
      <c r="C12" s="34"/>
      <c r="D12" s="34"/>
      <c r="E12" s="34"/>
      <c r="F12" s="34"/>
      <c r="G12" s="34"/>
      <c r="H12" s="34"/>
      <c r="I12" s="34"/>
      <c r="J12" s="34"/>
      <c r="K12" s="34"/>
      <c r="L12" s="34"/>
      <c r="M12" s="34"/>
      <c r="N12" s="34"/>
      <c r="O12" s="34"/>
      <c r="P12" s="34"/>
      <c r="Q12" s="34"/>
      <c r="R12" s="34"/>
      <c r="S12" s="34"/>
      <c r="T12" s="34"/>
      <c r="U12" s="34"/>
      <c r="X12" s="9">
        <f>U7</f>
        <v>80879944.599999994</v>
      </c>
    </row>
    <row r="13" spans="2:28" x14ac:dyDescent="0.25">
      <c r="B13" s="35" t="s">
        <v>47</v>
      </c>
      <c r="C13" s="36"/>
      <c r="D13" s="36"/>
      <c r="E13" s="36"/>
      <c r="F13" s="36"/>
      <c r="G13" s="36"/>
      <c r="H13" s="36"/>
      <c r="I13" s="36"/>
      <c r="J13" s="36"/>
      <c r="K13" s="36"/>
      <c r="L13" s="36"/>
      <c r="M13" s="36"/>
      <c r="N13" s="36"/>
      <c r="O13" s="36"/>
      <c r="P13" s="36"/>
      <c r="Q13" s="36"/>
      <c r="R13" s="36"/>
      <c r="S13" s="36"/>
      <c r="T13" s="36"/>
      <c r="U13" s="37"/>
      <c r="X13" s="9">
        <f>X11+X12</f>
        <v>648111944.60000002</v>
      </c>
    </row>
    <row r="14" spans="2:28" x14ac:dyDescent="0.25">
      <c r="B14" s="26" t="s">
        <v>48</v>
      </c>
      <c r="C14" s="27"/>
      <c r="D14" s="27"/>
      <c r="E14" s="27"/>
      <c r="F14" s="27"/>
      <c r="G14" s="27"/>
      <c r="H14" s="27"/>
      <c r="I14" s="27"/>
      <c r="J14" s="27"/>
      <c r="K14" s="27"/>
      <c r="L14" s="27"/>
      <c r="M14" s="27"/>
      <c r="N14" s="27"/>
      <c r="O14" s="27"/>
      <c r="P14" s="27"/>
      <c r="Q14" s="27"/>
      <c r="R14" s="27"/>
      <c r="S14" s="27"/>
      <c r="T14" s="27"/>
      <c r="U14" s="28"/>
    </row>
    <row r="15" spans="2:28" s="30" customFormat="1" ht="60.75" customHeight="1" x14ac:dyDescent="0.25">
      <c r="B15" s="31" t="s">
        <v>49</v>
      </c>
      <c r="C15" s="32"/>
      <c r="D15" s="32"/>
      <c r="E15" s="32"/>
      <c r="F15" s="32"/>
      <c r="G15" s="32"/>
      <c r="H15" s="32"/>
      <c r="I15" s="32"/>
      <c r="J15" s="32"/>
      <c r="K15" s="32"/>
      <c r="L15" s="32"/>
      <c r="M15" s="32"/>
      <c r="N15" s="32"/>
      <c r="O15" s="32"/>
      <c r="P15" s="32"/>
      <c r="Q15" s="32"/>
      <c r="R15" s="32"/>
      <c r="S15" s="32"/>
      <c r="T15" s="32"/>
      <c r="U15" s="33"/>
    </row>
    <row r="16" spans="2:28" x14ac:dyDescent="0.25">
      <c r="I16" s="10"/>
    </row>
    <row r="17" spans="4:18" x14ac:dyDescent="0.25">
      <c r="H17" t="s">
        <v>43</v>
      </c>
      <c r="I17" s="10"/>
    </row>
    <row r="18" spans="4:18" x14ac:dyDescent="0.25">
      <c r="G18" t="s">
        <v>46</v>
      </c>
      <c r="H18" t="s">
        <v>46</v>
      </c>
      <c r="I18" s="10"/>
    </row>
    <row r="19" spans="4:18" x14ac:dyDescent="0.25">
      <c r="E19" t="s">
        <v>43</v>
      </c>
      <c r="F19" t="s">
        <v>45</v>
      </c>
      <c r="G19">
        <v>4000</v>
      </c>
      <c r="H19">
        <f>G19*1.3</f>
        <v>5200</v>
      </c>
      <c r="I19">
        <f>H19*10.7639</f>
        <v>55972.28</v>
      </c>
    </row>
    <row r="20" spans="4:18" x14ac:dyDescent="0.25">
      <c r="D20" s="10"/>
      <c r="E20" s="41" t="s">
        <v>44</v>
      </c>
      <c r="H20">
        <f>G20*1.5</f>
        <v>0</v>
      </c>
      <c r="J20" s="25"/>
      <c r="R20" s="11"/>
    </row>
    <row r="21" spans="4:18" x14ac:dyDescent="0.25">
      <c r="N21" s="9"/>
      <c r="Q21" s="29"/>
    </row>
    <row r="22" spans="4:18" x14ac:dyDescent="0.25">
      <c r="G22" s="11"/>
      <c r="J22" s="23"/>
    </row>
    <row r="23" spans="4:18" x14ac:dyDescent="0.25">
      <c r="G23" s="23"/>
      <c r="J23" s="10"/>
    </row>
    <row r="24" spans="4:18" x14ac:dyDescent="0.25">
      <c r="J24" s="10"/>
    </row>
  </sheetData>
  <mergeCells count="10">
    <mergeCell ref="B15:U15"/>
    <mergeCell ref="B2:U2"/>
    <mergeCell ref="B11:U11"/>
    <mergeCell ref="B12:U12"/>
    <mergeCell ref="B13:U13"/>
    <mergeCell ref="B7:F7"/>
    <mergeCell ref="J7:P7"/>
    <mergeCell ref="B8:U8"/>
    <mergeCell ref="B9:U9"/>
    <mergeCell ref="B10:U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workbookViewId="0">
      <selection activeCell="A7" sqref="A7"/>
    </sheetView>
  </sheetViews>
  <sheetFormatPr defaultRowHeight="15" x14ac:dyDescent="0.25"/>
  <cols>
    <col min="1" max="2" width="8.7109375" bestFit="1" customWidth="1"/>
    <col min="3" max="3" width="8.42578125" bestFit="1" customWidth="1"/>
    <col min="5" max="5" width="8.5703125" bestFit="1" customWidth="1"/>
    <col min="6" max="6" width="7.7109375" bestFit="1" customWidth="1"/>
    <col min="7" max="7" width="9" bestFit="1" customWidth="1"/>
    <col min="8" max="8" width="8" bestFit="1" customWidth="1"/>
    <col min="9" max="9" width="11.5703125" bestFit="1" customWidth="1"/>
    <col min="10" max="10" width="10.5703125" bestFit="1" customWidth="1"/>
    <col min="11" max="11" width="11.5703125" bestFit="1" customWidth="1"/>
    <col min="12" max="12" width="8.7109375" bestFit="1" customWidth="1"/>
    <col min="13" max="13" width="11.5703125" bestFit="1" customWidth="1"/>
  </cols>
  <sheetData>
    <row r="1" spans="1:13" ht="15.75" x14ac:dyDescent="0.25">
      <c r="A1" s="40" t="s">
        <v>21</v>
      </c>
      <c r="B1" s="40"/>
      <c r="C1" s="40"/>
      <c r="D1" s="40"/>
      <c r="E1" s="40"/>
      <c r="F1" s="40"/>
      <c r="G1" s="40"/>
      <c r="H1" s="40"/>
      <c r="I1" s="40"/>
      <c r="J1" s="40"/>
      <c r="K1" s="40"/>
      <c r="L1" s="40"/>
      <c r="M1" s="40"/>
    </row>
    <row r="2" spans="1:13" ht="105" x14ac:dyDescent="0.25">
      <c r="A2" s="12" t="s">
        <v>22</v>
      </c>
      <c r="B2" s="12" t="s">
        <v>23</v>
      </c>
      <c r="C2" s="12" t="s">
        <v>2</v>
      </c>
      <c r="D2" s="12" t="s">
        <v>24</v>
      </c>
      <c r="E2" s="12" t="s">
        <v>25</v>
      </c>
      <c r="F2" s="12" t="s">
        <v>5</v>
      </c>
      <c r="G2" s="12" t="s">
        <v>6</v>
      </c>
      <c r="H2" s="12" t="s">
        <v>26</v>
      </c>
      <c r="I2" s="12" t="s">
        <v>8</v>
      </c>
      <c r="J2" s="12" t="s">
        <v>9</v>
      </c>
      <c r="K2" s="12" t="s">
        <v>10</v>
      </c>
      <c r="L2" s="12" t="s">
        <v>27</v>
      </c>
      <c r="M2" s="12" t="s">
        <v>11</v>
      </c>
    </row>
    <row r="3" spans="1:13" x14ac:dyDescent="0.25">
      <c r="A3" s="13"/>
      <c r="B3" s="14">
        <v>2021</v>
      </c>
      <c r="C3" s="14">
        <v>2022</v>
      </c>
      <c r="D3" s="14">
        <f>C3-B3</f>
        <v>1</v>
      </c>
      <c r="E3" s="14">
        <v>60</v>
      </c>
      <c r="F3" s="15">
        <v>0.1</v>
      </c>
      <c r="G3" s="16">
        <f>(1-F3)/E3</f>
        <v>1.5000000000000001E-2</v>
      </c>
      <c r="H3" s="17">
        <v>1200</v>
      </c>
      <c r="I3" s="17">
        <f>H3*A3</f>
        <v>0</v>
      </c>
      <c r="J3" s="17">
        <f>I3*G3*D3</f>
        <v>0</v>
      </c>
      <c r="K3" s="17">
        <f>MAX(I3-J3,0)</f>
        <v>0</v>
      </c>
      <c r="L3" s="18">
        <v>0</v>
      </c>
      <c r="M3" s="17">
        <f>IF(K3&gt;F3*I3,K3*(1-L3),I3*F3)</f>
        <v>0</v>
      </c>
    </row>
    <row r="5" spans="1:13" x14ac:dyDescent="0.25">
      <c r="C5" t="s">
        <v>33</v>
      </c>
    </row>
  </sheetData>
  <mergeCells count="1">
    <mergeCell ref="A1:M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F11"/>
  <sheetViews>
    <sheetView workbookViewId="0">
      <selection activeCell="I20" sqref="I20"/>
    </sheetView>
  </sheetViews>
  <sheetFormatPr defaultRowHeight="15" x14ac:dyDescent="0.25"/>
  <cols>
    <col min="4" max="4" width="15.85546875" bestFit="1" customWidth="1"/>
    <col min="6" max="6" width="11" bestFit="1" customWidth="1"/>
    <col min="9" max="9" width="10" bestFit="1" customWidth="1"/>
  </cols>
  <sheetData>
    <row r="4" spans="4:6" x14ac:dyDescent="0.25">
      <c r="D4" t="s">
        <v>39</v>
      </c>
      <c r="F4">
        <f>14000*508</f>
        <v>7112000</v>
      </c>
    </row>
    <row r="7" spans="4:6" x14ac:dyDescent="0.25">
      <c r="F7">
        <f>F4*27*9</f>
        <v>1728216000</v>
      </c>
    </row>
    <row r="9" spans="4:6" x14ac:dyDescent="0.25">
      <c r="F9">
        <f>F7/80</f>
        <v>21602700</v>
      </c>
    </row>
    <row r="10" spans="4:6" x14ac:dyDescent="0.25">
      <c r="F10">
        <f>F9/10</f>
        <v>2160270</v>
      </c>
    </row>
    <row r="11" spans="4:6" x14ac:dyDescent="0.25">
      <c r="F11">
        <f>F4-F10</f>
        <v>4951730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working</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Gupta</dc:creator>
  <cp:lastModifiedBy>Rahul Gupta</cp:lastModifiedBy>
  <dcterms:created xsi:type="dcterms:W3CDTF">2022-07-28T09:17:09Z</dcterms:created>
  <dcterms:modified xsi:type="dcterms:W3CDTF">2022-12-19T10:36:31Z</dcterms:modified>
</cp:coreProperties>
</file>