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Manas Upmanyu\Cost_Vet_Gaurav_Updated\"/>
    </mc:Choice>
  </mc:AlternateContent>
  <xr:revisionPtr revIDLastSave="0" documentId="13_ncr:1_{167A5286-D474-4C95-8BA1-6B10C1589070}" xr6:coauthVersionLast="47" xr6:coauthVersionMax="47" xr10:uidLastSave="{00000000-0000-0000-0000-000000000000}"/>
  <bookViews>
    <workbookView xWindow="-120" yWindow="-120" windowWidth="21840" windowHeight="13140" firstSheet="2" activeTab="4" xr2:uid="{74A79F97-8249-48D5-B397-28145EDD3F20}"/>
  </bookViews>
  <sheets>
    <sheet name="Sheet1" sheetId="1" r:id="rId1"/>
    <sheet name="Sheet2" sheetId="2" r:id="rId2"/>
    <sheet name="Summary" sheetId="11" r:id="rId3"/>
    <sheet name="Buildings" sheetId="3" r:id="rId4"/>
    <sheet name="Road, Dewatering work, Plants" sheetId="4" r:id="rId5"/>
    <sheet name="Main Machines" sheetId="9" r:id="rId6"/>
    <sheet name="Mis. Assets" sheetId="5" r:id="rId7"/>
    <sheet name="Contin., Margin Money, Prelimn " sheetId="10" r:id="rId8"/>
    <sheet name="Sheet6" sheetId="6" r:id="rId9"/>
    <sheet name="Sheet7" sheetId="7" r:id="rId10"/>
    <sheet name="Sheet8" sheetId="8" r:id="rId11"/>
  </sheets>
  <definedNames>
    <definedName name="_xlnm._FilterDatabase" localSheetId="1" hidden="1">Sheet2!$A$1:$C$18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5" l="1"/>
  <c r="C33" i="5"/>
  <c r="C32" i="5"/>
  <c r="L23" i="5"/>
  <c r="F7" i="11"/>
  <c r="L15" i="5" l="1"/>
  <c r="F5" i="11"/>
  <c r="J15" i="4"/>
  <c r="L12" i="5"/>
  <c r="H5" i="11"/>
  <c r="M13" i="5"/>
  <c r="L6" i="5"/>
  <c r="F26" i="5"/>
  <c r="G16" i="5"/>
  <c r="H16" i="5"/>
  <c r="F12" i="5"/>
  <c r="D36" i="9"/>
  <c r="D35" i="9"/>
  <c r="D34" i="9"/>
  <c r="D33" i="9"/>
  <c r="D32" i="9"/>
  <c r="D31" i="9"/>
  <c r="D30" i="9"/>
  <c r="D29" i="9"/>
  <c r="D28" i="9"/>
  <c r="D27" i="9"/>
  <c r="D26" i="9"/>
  <c r="D25" i="9"/>
  <c r="D24" i="9"/>
  <c r="D23" i="9"/>
  <c r="D22" i="9"/>
  <c r="D21" i="9"/>
  <c r="D37" i="9" s="1"/>
  <c r="F10" i="9"/>
  <c r="F6" i="11"/>
  <c r="D6" i="10"/>
  <c r="E8" i="11" s="1"/>
  <c r="E9" i="11" s="1"/>
  <c r="E5" i="10"/>
  <c r="E4" i="10"/>
  <c r="E3" i="10"/>
  <c r="H3" i="4"/>
  <c r="E11" i="4"/>
  <c r="L22" i="4"/>
  <c r="I16" i="5" l="1"/>
  <c r="E6" i="10"/>
  <c r="F8" i="11" s="1"/>
  <c r="O6" i="5"/>
  <c r="O5" i="5"/>
  <c r="O4" i="5"/>
  <c r="K30" i="5"/>
  <c r="M25" i="5"/>
  <c r="M27" i="5"/>
  <c r="O16" i="5"/>
  <c r="I18" i="5"/>
  <c r="J18" i="5" s="1"/>
  <c r="H25" i="5"/>
  <c r="I25" i="5" s="1"/>
  <c r="H24" i="5"/>
  <c r="I24" i="5" s="1"/>
  <c r="H23" i="5"/>
  <c r="H19" i="5"/>
  <c r="I19" i="5" s="1"/>
  <c r="J19" i="5" s="1"/>
  <c r="G24" i="5"/>
  <c r="G23" i="5"/>
  <c r="G22" i="5"/>
  <c r="G21" i="5"/>
  <c r="G20" i="5"/>
  <c r="H22" i="5"/>
  <c r="I22" i="5" s="1"/>
  <c r="H21" i="5"/>
  <c r="H20" i="5"/>
  <c r="H17" i="5"/>
  <c r="H11" i="5"/>
  <c r="I11" i="5" s="1"/>
  <c r="H10" i="5"/>
  <c r="I10" i="5" s="1"/>
  <c r="H9" i="5"/>
  <c r="H8" i="5"/>
  <c r="G9" i="5"/>
  <c r="G8" i="5"/>
  <c r="G6" i="5"/>
  <c r="G5" i="5"/>
  <c r="H7" i="5"/>
  <c r="I7" i="5" s="1"/>
  <c r="J7" i="5" s="1"/>
  <c r="H6" i="5"/>
  <c r="M34" i="7"/>
  <c r="M18" i="5"/>
  <c r="M19" i="5" s="1"/>
  <c r="H5" i="5"/>
  <c r="H4" i="5"/>
  <c r="G4" i="5"/>
  <c r="J21" i="4"/>
  <c r="J22" i="4" s="1"/>
  <c r="E7" i="4"/>
  <c r="F7" i="4" s="1"/>
  <c r="F3" i="4"/>
  <c r="G6" i="3"/>
  <c r="I6" i="3" s="1"/>
  <c r="G5" i="3"/>
  <c r="I5" i="3" s="1"/>
  <c r="F4" i="3"/>
  <c r="G4" i="3" s="1"/>
  <c r="I4" i="3" s="1"/>
  <c r="F3" i="3"/>
  <c r="G3" i="3" s="1"/>
  <c r="I3" i="3" s="1"/>
  <c r="C2" i="2"/>
  <c r="C12" i="2"/>
  <c r="C3" i="2"/>
  <c r="C17" i="2"/>
  <c r="C15" i="2"/>
  <c r="C14" i="2"/>
  <c r="C18" i="2"/>
  <c r="C13" i="2"/>
  <c r="C16" i="2"/>
  <c r="C7" i="2"/>
  <c r="K28" i="1"/>
  <c r="L23" i="1"/>
  <c r="N19" i="1"/>
  <c r="S4" i="1" s="1"/>
  <c r="C10" i="1" s="1"/>
  <c r="A6" i="1"/>
  <c r="B8" i="1" s="1"/>
  <c r="G21" i="1"/>
  <c r="K10" i="1"/>
  <c r="J9" i="1"/>
  <c r="K9" i="1" s="1"/>
  <c r="I2" i="1"/>
  <c r="J12" i="1" s="1"/>
  <c r="K12" i="1" s="1"/>
  <c r="I1" i="1"/>
  <c r="I4" i="1" s="1"/>
  <c r="M5" i="1"/>
  <c r="L5" i="1" s="1"/>
  <c r="C12" i="1" s="1"/>
  <c r="N2" i="1"/>
  <c r="N5" i="1" s="1"/>
  <c r="K5" i="1" s="1"/>
  <c r="O18" i="1"/>
  <c r="O19" i="1" s="1"/>
  <c r="R4" i="1" s="1"/>
  <c r="B10" i="1" s="1"/>
  <c r="B2" i="1"/>
  <c r="B3" i="1" s="1"/>
  <c r="C8" i="1" s="1"/>
  <c r="I17" i="5" l="1"/>
  <c r="J17" i="5" s="1"/>
  <c r="H26" i="5"/>
  <c r="G26" i="5"/>
  <c r="I26" i="5"/>
  <c r="G12" i="5"/>
  <c r="I20" i="5"/>
  <c r="I21" i="5"/>
  <c r="H12" i="5"/>
  <c r="I6" i="5"/>
  <c r="I5" i="5"/>
  <c r="J5" i="5" s="1"/>
  <c r="J12" i="5" s="1"/>
  <c r="I8" i="5"/>
  <c r="J16" i="5"/>
  <c r="J26" i="5" s="1"/>
  <c r="I23" i="5"/>
  <c r="I9" i="5"/>
  <c r="I4" i="5"/>
  <c r="F6" i="3"/>
  <c r="F7" i="3" s="1"/>
  <c r="G7" i="3"/>
  <c r="I7" i="3"/>
  <c r="D8" i="1"/>
  <c r="E8" i="1" s="1"/>
  <c r="G8" i="1" s="1"/>
  <c r="K6" i="1"/>
  <c r="B12" i="1"/>
  <c r="J16" i="1"/>
  <c r="J17" i="1" s="1"/>
  <c r="J18" i="1" s="1"/>
  <c r="I3" i="1"/>
  <c r="I5" i="1" s="1"/>
  <c r="I6" i="1" s="1"/>
  <c r="D10" i="1"/>
  <c r="E10" i="1" s="1"/>
  <c r="G10" i="1" s="1"/>
  <c r="I12" i="5" l="1"/>
  <c r="F9" i="11"/>
  <c r="G15" i="4"/>
  <c r="D14" i="1"/>
  <c r="D12" i="1"/>
  <c r="E12" i="1" s="1"/>
  <c r="G12" i="1" s="1"/>
  <c r="E14" i="1" l="1"/>
  <c r="D15" i="1"/>
  <c r="E15" i="1" l="1"/>
  <c r="G14" i="1"/>
  <c r="G15" i="1" s="1"/>
  <c r="G22" i="1" s="1"/>
  <c r="G23" i="1" s="1"/>
</calcChain>
</file>

<file path=xl/sharedStrings.xml><?xml version="1.0" encoding="utf-8"?>
<sst xmlns="http://schemas.openxmlformats.org/spreadsheetml/2006/main" count="237" uniqueCount="168">
  <si>
    <t>HP 90 Moulding, Sand Plant, Vertical HP Line, Hand Moulding, Raw Material, Storage Area &amp; Furnance Shed</t>
  </si>
  <si>
    <t>Ground Floor</t>
  </si>
  <si>
    <t>h</t>
  </si>
  <si>
    <t>38`</t>
  </si>
  <si>
    <t>per</t>
  </si>
  <si>
    <t>a</t>
  </si>
  <si>
    <t>b</t>
  </si>
  <si>
    <t>First Floor</t>
  </si>
  <si>
    <t>Ware House</t>
  </si>
  <si>
    <t xml:space="preserve">Store Room, Pattern Store, Pattern Maintenance Room, Rest Room, Electrical Building &amp; Sand Store </t>
  </si>
  <si>
    <t>Total</t>
  </si>
  <si>
    <t>road</t>
  </si>
  <si>
    <t>ok</t>
  </si>
  <si>
    <t>tree plantation</t>
  </si>
  <si>
    <t>dewatering</t>
  </si>
  <si>
    <t>Rest Room</t>
  </si>
  <si>
    <t>Fume &amp; Dust Extraction System</t>
  </si>
  <si>
    <t>Weigh Bridge</t>
  </si>
  <si>
    <t>Gateral Store Room</t>
  </si>
  <si>
    <t>Electrical Building</t>
  </si>
  <si>
    <t>HP 90 Moulding &amp; Sand Plant</t>
  </si>
  <si>
    <t>Vertical HP Line &amp; Hand Moulding</t>
  </si>
  <si>
    <t>Sand Store</t>
  </si>
  <si>
    <t>Raw Material Storage Area &amp; Furnace Shed</t>
  </si>
  <si>
    <t>Fire water tank with Fire Pump House</t>
  </si>
  <si>
    <t>Finished Product Storage Shed</t>
  </si>
  <si>
    <t>Hand Wash &amp; Eye Wash Center</t>
  </si>
  <si>
    <t>Latrine Block</t>
  </si>
  <si>
    <t>Occupational Health Center</t>
  </si>
  <si>
    <t>Septic Tank &amp; Septic Pit</t>
  </si>
  <si>
    <t>Canteen</t>
  </si>
  <si>
    <t>Sr. No.</t>
  </si>
  <si>
    <t>Particulars</t>
  </si>
  <si>
    <t>24,24A</t>
  </si>
  <si>
    <t>Area (sq.mtr.)</t>
  </si>
  <si>
    <t>Type of structure</t>
  </si>
  <si>
    <t>GI Shed</t>
  </si>
  <si>
    <t>Area in (sq.mtr.)</t>
  </si>
  <si>
    <t>Area in (sq.ft.)</t>
  </si>
  <si>
    <t xml:space="preserve">Floor </t>
  </si>
  <si>
    <t>Ground</t>
  </si>
  <si>
    <t>First</t>
  </si>
  <si>
    <t>WareHouse</t>
  </si>
  <si>
    <t>RCC</t>
  </si>
  <si>
    <t>RCC Road</t>
  </si>
  <si>
    <t>-</t>
  </si>
  <si>
    <t>Rates adopted (INR/sq.ft.))</t>
  </si>
  <si>
    <t>Description</t>
  </si>
  <si>
    <t>Unit of Measurement (UOM)</t>
  </si>
  <si>
    <t>Quantity (Proposed by Company)</t>
  </si>
  <si>
    <t>Estimated Rates (INR/UOM) (Proposed by Company)</t>
  </si>
  <si>
    <t>Estimated Rates (INR/UOM) (By RKA)</t>
  </si>
  <si>
    <t>Sq. Mtr.</t>
  </si>
  <si>
    <t>Tree Plantation</t>
  </si>
  <si>
    <t xml:space="preserve">No. of Trees </t>
  </si>
  <si>
    <t>Rates adopted (INR/Trees)</t>
  </si>
  <si>
    <t>Dewatering work</t>
  </si>
  <si>
    <t>Approved</t>
  </si>
  <si>
    <t>Building Description</t>
  </si>
  <si>
    <t>Notes:-</t>
  </si>
  <si>
    <t>Diesel Generator</t>
  </si>
  <si>
    <t>Specification</t>
  </si>
  <si>
    <t>250 KVA</t>
  </si>
  <si>
    <t>Freight Charges (2% charges)</t>
  </si>
  <si>
    <t>GST (18%)</t>
  </si>
  <si>
    <t>Cables</t>
  </si>
  <si>
    <t>LT Panels</t>
  </si>
  <si>
    <t>1.5 Ton Capacity Battery Operated Stacker Model ES 15</t>
  </si>
  <si>
    <t>1.50 Ton</t>
  </si>
  <si>
    <t>HT Cables</t>
  </si>
  <si>
    <t>Installation Charges</t>
  </si>
  <si>
    <t>Starer, Switches, Electrical Fittings, AC Machines with Fittings, etc (Lot)</t>
  </si>
  <si>
    <t>Factory Shed , Offices and General Lightings (Lot)</t>
  </si>
  <si>
    <t>Air Compressor</t>
  </si>
  <si>
    <t>Air Compressor Pipe Line</t>
  </si>
  <si>
    <t>Pumps</t>
  </si>
  <si>
    <t>Grinder Machine</t>
  </si>
  <si>
    <t>HT &amp; LT Cables</t>
  </si>
  <si>
    <t>Cable , Electric Wire, Starer, Switches, Electrical Fittings, AC Machines with Fittings, etc (Lot)</t>
  </si>
  <si>
    <t>De-dusting systems for Sand Plant+Shakeout, Sand Colout &amp; Fume Exhaust System for Pouring &amp; Mould Cooling Line</t>
  </si>
  <si>
    <t>Note</t>
  </si>
  <si>
    <t>Note:-</t>
  </si>
  <si>
    <t>Capacity (MTPA)</t>
  </si>
  <si>
    <t>Price (INR)</t>
  </si>
  <si>
    <t>Remarks</t>
  </si>
  <si>
    <t>Details</t>
  </si>
  <si>
    <t>Estimated Cost (INR/sq.ft.)</t>
  </si>
  <si>
    <t>Estimated Cost (INR)                 (By RKA)</t>
  </si>
  <si>
    <t>Estimated Cost (INR/UOM) (By RKA)</t>
  </si>
  <si>
    <t>Proposed cost (INR)</t>
  </si>
  <si>
    <t xml:space="preserve">As per an advertisement this foundry is available for sale in Gujarat. This foundry is approx. 5 Years old. Reasonable negotiation has been considered on the asking price. A premium on account of age of the foundry so as to eleminate the depriciation factor has also been considered while comparing it with the subject project. </t>
  </si>
  <si>
    <t>This investment was made in recent past by TATA Metaliks for expansion of their existing foundry units. A premium has been added on account of large size of the project as compared to the subject project.</t>
  </si>
  <si>
    <t>Contingency</t>
  </si>
  <si>
    <t>Margin Money for working capital</t>
  </si>
  <si>
    <t>Preliminary &amp; Pre-Operative Expenses</t>
  </si>
  <si>
    <t>Proposed Cost (INR)</t>
  </si>
  <si>
    <t>Estimated Cost (INR)</t>
  </si>
  <si>
    <t xml:space="preserve">Construction / Civil work </t>
  </si>
  <si>
    <t>Miscellaneous Fixed Assets</t>
  </si>
  <si>
    <t>Contingency, Margin Money for working capital, Preliminary &amp; Pre-Operative Expenses</t>
  </si>
  <si>
    <t>Estimated Cost (INR/UOM) (Proposed by Company)</t>
  </si>
  <si>
    <t>Verticle Mouldig Line</t>
  </si>
  <si>
    <t>Belt Conveyors, Sensors and Shake out</t>
  </si>
  <si>
    <t>Casting Cooling Conveyour</t>
  </si>
  <si>
    <t xml:space="preserve">Induction Melting Furnace </t>
  </si>
  <si>
    <t>Tundish Pouring System</t>
  </si>
  <si>
    <t>Shot Blasting Machine with Dust Collector</t>
  </si>
  <si>
    <t>Magmasoft autonomous engineering software</t>
  </si>
  <si>
    <t>Patter Making</t>
  </si>
  <si>
    <t>Spectro Meter</t>
  </si>
  <si>
    <t>Patter Plate Carrier, Vent Hole &amp; Cooling Conveyor</t>
  </si>
  <si>
    <t>Flask Assembly / Pallet Car</t>
  </si>
  <si>
    <t>Tool Presetter Model  STP MAGIS 500 Basic</t>
  </si>
  <si>
    <t>CNC CMM Model Altera 20.10.8</t>
  </si>
  <si>
    <t>CNC CMM Model Altera SL 8.7.6</t>
  </si>
  <si>
    <t>Vertical Profile Projector Model V20B</t>
  </si>
  <si>
    <t>Granite Surface Plate : 1800 x 1200 x 200 mm</t>
  </si>
  <si>
    <t>Roundness &amp; Cylindricity measuring Instrument Talyrond 565T</t>
  </si>
  <si>
    <t>Controur cum Roughness Measuring Equipment Form Talysurf® WRi PRO</t>
  </si>
  <si>
    <t>Portable Roughness Tester Model Surtronic S-128</t>
  </si>
  <si>
    <t>Doosan Korea make CNC Lathe Model LEO 1600</t>
  </si>
  <si>
    <t>Doosan Korea make CNC Lathe Model Lynx 2100MA</t>
  </si>
  <si>
    <t>Doosan Korea make CNC Lathe Model Lynx 2100 LMB</t>
  </si>
  <si>
    <t>Doosan Korea make CNC Lathe Model Lynx 220 LB</t>
  </si>
  <si>
    <t>Doosan Korea make CNC Lathe Model Lynx 300M</t>
  </si>
  <si>
    <t>Doosan Korea make CNC Lathe Model PUMA 2100LM</t>
  </si>
  <si>
    <t>Doosan Korea make CNC Lathe Model PUMA 3100M</t>
  </si>
  <si>
    <t>Misc Parts</t>
  </si>
  <si>
    <t xml:space="preserve">Total </t>
  </si>
  <si>
    <t>3.The range of such type of plant &amp; machineries has been verified as per the information available on public domain. Transaction (sale/purchase) of similar kind of foundries has been taken into consideration with respect to their production capacity and further compared them with the proposed subject plant while arriving at the conclusion.</t>
  </si>
  <si>
    <t xml:space="preserve">1.Total cost of miscellaneous fixed assets is given as Rs. 5.65 Crore. We have estimated the cost of few items having primary specification for doing market research. Out of the total proposed cost we have estimated the proposed cost of machines of Rs. 1,03,80,000/- only,  through which our estimated cost comes out to be Rs. 1,01,30,000/- </t>
  </si>
  <si>
    <t>Sr.No.</t>
  </si>
  <si>
    <t xml:space="preserve">1.Cost of Contingency, Margin Money for working capital, Preliminary &amp; Pre-Operative Expenses is proposed as Rs. 3.15 Crore, Rs. 5.25 Crore, Rs. 3.65 Crore respectively which is around 4%, 7% &amp; 5% respectively of the project cost. </t>
  </si>
  <si>
    <t>Note :-</t>
  </si>
  <si>
    <t>1. Project cost is referred from the TEV report provided to us.</t>
  </si>
  <si>
    <t>2. Building details like area and type of structure is referred from the maps/ architect drawings provided to us by the client.</t>
  </si>
  <si>
    <t>3. Cost vetting is based upon the plinth area rates calculation since no details of Bill of Quantity (BOQ) is made available to us.</t>
  </si>
  <si>
    <t xml:space="preserve">5. Cost vetting of only those structure was possible whose sectional drawing along with the dimensions was mentioned in the drawings. Cost of rest of the structures is vetted on lumpsum basis. </t>
  </si>
  <si>
    <t>4. Area statement chart was not available in the drawings, therefore individual structure area is calculated from the drawings.The accuracy may vary 5-10%.</t>
  </si>
  <si>
    <t xml:space="preserve">6. As per the site plan, drawings of all the structure was not made available to us. </t>
  </si>
  <si>
    <t>Rates have been adopted as per market trend.</t>
  </si>
  <si>
    <t>This cost is approved based on the size told us by the company representative which is around 2 acres.</t>
  </si>
  <si>
    <t>1. The proposed subject plant is having a capacity of 16,200 MTPA and cost of machines claimed corresponding to it is Rs 49.07 Crore i.e., Rs. 30,290/- per MTPA.</t>
  </si>
  <si>
    <t>2. As per our market research, cost for setting up ductile cast iron foundry varies within the range of Rs. 28,000/- per MTPA – Rs. 30,000/- per MTPA which majorly depends upon the brand value of the machines.</t>
  </si>
  <si>
    <t>Proposed Cost by Company</t>
  </si>
  <si>
    <r>
      <t xml:space="preserve">Estimated cost (By RKA)
</t>
    </r>
    <r>
      <rPr>
        <b/>
        <i/>
        <sz val="11"/>
        <color theme="0"/>
        <rFont val="Calibri"/>
        <family val="2"/>
        <scheme val="minor"/>
      </rPr>
      <t>(In INR)</t>
    </r>
  </si>
  <si>
    <t>TOTAL</t>
  </si>
  <si>
    <t>Misc. Fixed Assets - CNC</t>
  </si>
  <si>
    <t>Misc. Fixed Assets - 2nd Line</t>
  </si>
  <si>
    <t>Factory Shed , Offices and General Lightenings (Lot)</t>
  </si>
  <si>
    <t>Plant &amp; Machinery</t>
  </si>
  <si>
    <t>SUMMARY</t>
  </si>
  <si>
    <t>2. Vetting is done based on market trend for similar kind of foundry through which we have found that price quoted for the subject machines are reasonable with minor scope of negotiation.</t>
  </si>
  <si>
    <t>3. This cost vetting is done only on the basis of Quotations, Bills and Purchase Orders provided to us by the company.</t>
  </si>
  <si>
    <t>4. This cost vetting is based on general estimation of similar works and may have certain margin of negotiation when the deal is finalized. So actual purchase cost may vary 5-10%.</t>
  </si>
  <si>
    <t>7. There can be variation in the estimated price if the specification &amp; make of any items procured is different from the list provided to us during assessment.</t>
  </si>
  <si>
    <t>9. The estimated cost verification is made based on the third-party information which has been replied upon in good faith.</t>
  </si>
  <si>
    <t>10. This certificate doesn’t include any work related to drawing, design, sketch plan, procurement of the machines.</t>
  </si>
  <si>
    <t>11. Ownership and other legal point of view in respect of the asset is not considered in this report as same is out of scope of this certificate.</t>
  </si>
  <si>
    <t>12. This certificate is made at the request of the Bank.</t>
  </si>
  <si>
    <t>The above cost is vetted of Rs.75,57,04,000/- against cost shown by the company of Rs.xxx for the items vet by us. Items which couldn’t be vetted due to unavailability of technical specification is of Rs.5,10,34,000/-.Vetting is done based on market trend for similar kind of foundry through which we have found that price quoted for the subject machines are reasonable with minor scope of negotiation. This cost vetting is done only on the basis of Quotations, Bills and Purchase Orders provided to us by the company. This cost vetting is based on general estimation of similar works and may have certain margin of negotiation when the deal is finalized. So actual purchase cost may vary 5-10%.On referring the TEV report provided to us, detailed specification of civil construction work was not mentioned. As per our analysis details like quantity and rates adopted in the TEV report seems to be typed wrong as quantity of Reinforcement Work (TMT) is given as 1,220 MT which is a very high quantity &amp; rates adopted for the same is Rs. 74,00,000/- or Rs. 6,100/- per MT which is very less and the same applies on MS Structure. Ongoing rates for Reinforcement Work (TMT) varies within the range of Rs. 52,000/- - Rs. 55,000/- per MT whereas for Mild Steel structure it is around Rs. 65,700/- per MT.The subject machines/ infrastructure is proposed to be installed at site and have not installed yet as per information provided by the company.There can be variation in the estimated price if the specification &amp; make of any items procured is different from the list provided to us during assessment.</t>
  </si>
  <si>
    <t>1. The above cost is vetted of Rs.70,15,93,316/- against cost shown by the company of Rs.75,57,04,000/- for the items vet by us. Items which couldn’t be vetted due to unavailability of technical specification is of Rs.5,10,34,000/-.</t>
  </si>
  <si>
    <t>8. The estimated price may vary at the time of actual procurement because of change in prices in the market for such kind of machinery/items for which we will not have any control. The cost vetting is only limited to the date of Certificate issued. Any change and variation of prices post the date of certificate is not covered in this certificate.</t>
  </si>
  <si>
    <t>Vetted Cost (INR)</t>
  </si>
  <si>
    <t>As per TEV</t>
  </si>
  <si>
    <t>As per RKA</t>
  </si>
  <si>
    <t>5. On referring the TEV report provided to us, detailed specification of civil construction work was not mentioned. As per our analysis details like quantity and rates adopted in the TEV report seems to be wrongly typed as quantity of Reinforcement Work (TMT) is given as 1,220 MT which is a very high quantity &amp; rates adopted for the same is Rs. 74,00,000/- or Rs. 6,100/- per MT which is very less and the same applies on MS Structure. Ongoing rates for Reinforcement Work (TMT) varies within the range of Rs. 52,000/- - Rs. 55,000/- per MT whereas for Mild Steel structure it is around Rs. 65,700/- per MT.</t>
  </si>
  <si>
    <t>6. The subject machines/ infrastructure is proposed to be installed at site and are not installed yet as per information provided by the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</si>
</sst>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s>
  <fonts count="11"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9"/>
      <name val="Calibri"/>
      <family val="2"/>
      <scheme val="minor"/>
    </font>
    <font>
      <i/>
      <sz val="9"/>
      <color theme="1"/>
      <name val="Arial"/>
      <family val="2"/>
    </font>
    <font>
      <b/>
      <sz val="11"/>
      <name val="Calibri"/>
      <family val="2"/>
      <scheme val="minor"/>
    </font>
    <font>
      <i/>
      <sz val="11"/>
      <color theme="1"/>
      <name val="Calibri"/>
      <family val="2"/>
      <scheme val="minor"/>
    </font>
    <font>
      <b/>
      <i/>
      <sz val="11"/>
      <color theme="0"/>
      <name val="Calibri"/>
      <family val="2"/>
      <scheme val="minor"/>
    </font>
    <font>
      <b/>
      <i/>
      <sz val="11"/>
      <color theme="1"/>
      <name val="Calibri"/>
      <family val="2"/>
      <scheme val="minor"/>
    </font>
  </fonts>
  <fills count="10">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5"/>
        <bgColor indexed="64"/>
      </patternFill>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0" fillId="0" borderId="0" xfId="0" applyAlignment="1">
      <alignment horizontal="center"/>
    </xf>
    <xf numFmtId="43" fontId="0" fillId="0" borderId="0" xfId="1" applyFont="1" applyAlignment="1">
      <alignment horizontal="center"/>
    </xf>
    <xf numFmtId="164" fontId="0" fillId="0" borderId="0" xfId="1" applyNumberFormat="1" applyFont="1" applyAlignment="1">
      <alignment horizontal="center"/>
    </xf>
    <xf numFmtId="2" fontId="0" fillId="0" borderId="0" xfId="0" applyNumberFormat="1"/>
    <xf numFmtId="0" fontId="0" fillId="0" borderId="0" xfId="0" applyAlignment="1">
      <alignment horizontal="right"/>
    </xf>
    <xf numFmtId="0" fontId="0" fillId="0" borderId="0" xfId="0" applyAlignment="1">
      <alignment vertical="center"/>
    </xf>
    <xf numFmtId="0" fontId="4" fillId="0" borderId="0" xfId="0" applyFont="1"/>
    <xf numFmtId="164" fontId="0" fillId="0" borderId="0" xfId="1" applyNumberFormat="1" applyFont="1"/>
    <xf numFmtId="164" fontId="0" fillId="0" borderId="0" xfId="0" applyNumberFormat="1"/>
    <xf numFmtId="164" fontId="4" fillId="0" borderId="0" xfId="0" applyNumberFormat="1" applyFont="1"/>
    <xf numFmtId="164" fontId="3" fillId="0" borderId="0" xfId="0" applyNumberFormat="1" applyFont="1"/>
    <xf numFmtId="164" fontId="5" fillId="0" borderId="0" xfId="1" applyNumberFormat="1" applyFont="1"/>
    <xf numFmtId="0" fontId="4" fillId="0" borderId="0" xfId="0" applyFont="1" applyAlignment="1">
      <alignment horizontal="center"/>
    </xf>
    <xf numFmtId="0" fontId="0" fillId="3" borderId="0" xfId="0" applyFill="1"/>
    <xf numFmtId="0" fontId="0" fillId="4" borderId="0" xfId="0" applyFill="1"/>
    <xf numFmtId="0" fontId="0" fillId="0" borderId="1" xfId="0" applyBorder="1" applyAlignment="1">
      <alignment horizontal="center" vertical="center"/>
    </xf>
    <xf numFmtId="0" fontId="0" fillId="0" borderId="1" xfId="0" applyBorder="1" applyAlignment="1">
      <alignment vertical="top" wrapText="1"/>
    </xf>
    <xf numFmtId="43" fontId="0" fillId="0" borderId="1" xfId="0" applyNumberFormat="1" applyBorder="1" applyAlignment="1">
      <alignment horizontal="center" vertical="center"/>
    </xf>
    <xf numFmtId="164" fontId="0" fillId="0" borderId="1" xfId="1" applyNumberFormat="1" applyFont="1" applyBorder="1" applyAlignment="1">
      <alignment horizontal="center" vertical="center"/>
    </xf>
    <xf numFmtId="43" fontId="0" fillId="0" borderId="1" xfId="0" applyNumberFormat="1" applyBorder="1" applyAlignment="1">
      <alignment horizontal="center"/>
    </xf>
    <xf numFmtId="0" fontId="0" fillId="0" borderId="1" xfId="0" applyBorder="1" applyAlignment="1">
      <alignment horizontal="center"/>
    </xf>
    <xf numFmtId="0" fontId="0" fillId="0" borderId="1" xfId="0" applyBorder="1"/>
    <xf numFmtId="164" fontId="0" fillId="0" borderId="1" xfId="0" applyNumberFormat="1" applyBorder="1" applyAlignment="1">
      <alignment horizontal="center" vertical="center"/>
    </xf>
    <xf numFmtId="43" fontId="0" fillId="0" borderId="1" xfId="0" applyNumberFormat="1" applyBorder="1"/>
    <xf numFmtId="164" fontId="2" fillId="5" borderId="1" xfId="1" applyNumberFormat="1" applyFont="1" applyFill="1" applyBorder="1" applyAlignment="1">
      <alignment vertical="center"/>
    </xf>
    <xf numFmtId="164" fontId="2" fillId="5" borderId="1" xfId="0" applyNumberFormat="1" applyFont="1" applyFill="1" applyBorder="1"/>
    <xf numFmtId="0" fontId="2" fillId="5" borderId="1" xfId="0" applyFont="1" applyFill="1" applyBorder="1"/>
    <xf numFmtId="0" fontId="2" fillId="6" borderId="1" xfId="0" applyFont="1" applyFill="1" applyBorder="1" applyAlignment="1">
      <alignment horizontal="center" vertical="center" wrapText="1"/>
    </xf>
    <xf numFmtId="0" fontId="0" fillId="0" borderId="2" xfId="0" applyBorder="1"/>
    <xf numFmtId="0" fontId="0" fillId="0" borderId="1" xfId="0"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wrapText="1"/>
    </xf>
    <xf numFmtId="164" fontId="0" fillId="0" borderId="1" xfId="1" applyNumberFormat="1" applyFont="1" applyBorder="1" applyAlignment="1">
      <alignment horizontal="center"/>
    </xf>
    <xf numFmtId="9" fontId="0" fillId="0" borderId="0" xfId="2" applyFont="1"/>
    <xf numFmtId="0" fontId="2" fillId="6" borderId="1" xfId="0" applyFont="1" applyFill="1" applyBorder="1" applyAlignment="1">
      <alignment horizontal="center"/>
    </xf>
    <xf numFmtId="0" fontId="2" fillId="6" borderId="1" xfId="0" applyFont="1" applyFill="1" applyBorder="1" applyAlignment="1">
      <alignment horizontal="center" vertical="center"/>
    </xf>
    <xf numFmtId="0" fontId="0" fillId="0" borderId="1" xfId="0" applyBorder="1" applyAlignment="1">
      <alignment horizontal="left" vertical="top" wrapText="1"/>
    </xf>
    <xf numFmtId="0" fontId="2" fillId="6" borderId="1" xfId="0" applyFont="1" applyFill="1" applyBorder="1" applyAlignment="1">
      <alignment horizontal="center" wrapText="1"/>
    </xf>
    <xf numFmtId="165" fontId="0" fillId="0" borderId="1" xfId="3" applyNumberFormat="1" applyFont="1" applyBorder="1" applyAlignment="1">
      <alignment horizontal="center" vertical="center" wrapText="1"/>
    </xf>
    <xf numFmtId="165" fontId="0" fillId="0" borderId="1" xfId="3" applyNumberFormat="1" applyFont="1" applyBorder="1" applyAlignment="1">
      <alignment horizontal="center" vertical="center"/>
    </xf>
    <xf numFmtId="165" fontId="0" fillId="0" borderId="1" xfId="3" applyNumberFormat="1" applyFont="1" applyBorder="1" applyAlignment="1">
      <alignment vertical="center"/>
    </xf>
    <xf numFmtId="165" fontId="2" fillId="5" borderId="1" xfId="3" applyNumberFormat="1" applyFont="1" applyFill="1" applyBorder="1"/>
    <xf numFmtId="0" fontId="0" fillId="0" borderId="0" xfId="0" applyAlignment="1">
      <alignment horizontal="center" vertical="center"/>
    </xf>
    <xf numFmtId="164" fontId="0" fillId="0" borderId="0" xfId="1" applyNumberFormat="1" applyFont="1" applyBorder="1" applyAlignment="1">
      <alignment horizontal="center" vertical="center"/>
    </xf>
    <xf numFmtId="165" fontId="0" fillId="0" borderId="0" xfId="3" applyNumberFormat="1" applyFont="1" applyBorder="1" applyAlignment="1">
      <alignment horizontal="center" vertical="center"/>
    </xf>
    <xf numFmtId="165" fontId="0" fillId="0" borderId="0" xfId="3" applyNumberFormat="1" applyFont="1" applyBorder="1" applyAlignment="1">
      <alignment horizontal="center" vertical="center" wrapText="1"/>
    </xf>
    <xf numFmtId="165" fontId="0" fillId="0" borderId="1" xfId="3" applyNumberFormat="1" applyFont="1" applyBorder="1" applyAlignment="1">
      <alignment horizontal="center"/>
    </xf>
    <xf numFmtId="165" fontId="0" fillId="0" borderId="1" xfId="3" applyNumberFormat="1" applyFont="1" applyBorder="1"/>
    <xf numFmtId="44" fontId="0" fillId="0" borderId="0" xfId="3" applyFont="1"/>
    <xf numFmtId="0" fontId="8" fillId="0" borderId="1" xfId="0" applyFont="1" applyBorder="1" applyAlignment="1">
      <alignment vertical="top" wrapText="1"/>
    </xf>
    <xf numFmtId="0" fontId="8" fillId="0" borderId="1" xfId="0" applyFont="1" applyBorder="1" applyAlignment="1">
      <alignment horizontal="left" wrapText="1"/>
    </xf>
    <xf numFmtId="165" fontId="2" fillId="6" borderId="1" xfId="3" applyNumberFormat="1" applyFont="1" applyFill="1" applyBorder="1" applyAlignment="1">
      <alignment horizontal="center"/>
    </xf>
    <xf numFmtId="0" fontId="2" fillId="6" borderId="7" xfId="0" applyFont="1" applyFill="1" applyBorder="1" applyAlignment="1">
      <alignment horizontal="center" vertical="center" wrapText="1"/>
    </xf>
    <xf numFmtId="165" fontId="2" fillId="6" borderId="7" xfId="3" applyNumberFormat="1" applyFont="1" applyFill="1" applyBorder="1" applyAlignment="1">
      <alignment horizontal="center" vertical="center" wrapText="1"/>
    </xf>
    <xf numFmtId="165" fontId="2" fillId="6" borderId="7" xfId="3" applyNumberFormat="1" applyFont="1" applyFill="1" applyBorder="1" applyAlignment="1">
      <alignment horizontal="center" vertical="center"/>
    </xf>
    <xf numFmtId="165" fontId="0" fillId="0" borderId="1" xfId="3" applyNumberFormat="1" applyFont="1" applyFill="1" applyBorder="1" applyAlignment="1">
      <alignment horizontal="center" vertical="center"/>
    </xf>
    <xf numFmtId="0" fontId="0" fillId="0" borderId="1" xfId="0" applyBorder="1" applyAlignment="1">
      <alignment horizontal="left"/>
    </xf>
    <xf numFmtId="165" fontId="0" fillId="0" borderId="1" xfId="3" applyNumberFormat="1" applyFont="1" applyFill="1" applyBorder="1" applyAlignment="1">
      <alignment vertical="center"/>
    </xf>
    <xf numFmtId="0" fontId="0" fillId="0" borderId="1" xfId="0" applyBorder="1" applyAlignment="1">
      <alignment horizontal="left" vertical="center" wrapText="1"/>
    </xf>
    <xf numFmtId="165" fontId="2" fillId="6" borderId="7" xfId="3" applyNumberFormat="1" applyFont="1" applyFill="1" applyBorder="1" applyAlignment="1">
      <alignment vertical="center"/>
    </xf>
    <xf numFmtId="0" fontId="2" fillId="6" borderId="10" xfId="0" applyFont="1" applyFill="1" applyBorder="1" applyAlignment="1">
      <alignment horizontal="center" vertical="center" wrapText="1"/>
    </xf>
    <xf numFmtId="0" fontId="4" fillId="0" borderId="0" xfId="0" applyFont="1" applyAlignment="1">
      <alignment horizontal="center" vertical="center"/>
    </xf>
    <xf numFmtId="165" fontId="4" fillId="0" borderId="0" xfId="3" applyNumberFormat="1" applyFont="1" applyFill="1" applyBorder="1" applyAlignment="1">
      <alignment vertical="center"/>
    </xf>
    <xf numFmtId="165" fontId="0" fillId="0" borderId="0" xfId="3" applyNumberFormat="1" applyFont="1" applyFill="1" applyBorder="1" applyAlignment="1">
      <alignment horizontal="center" vertical="center"/>
    </xf>
    <xf numFmtId="165" fontId="0" fillId="0" borderId="0" xfId="0" applyNumberFormat="1"/>
    <xf numFmtId="164" fontId="4" fillId="8" borderId="1" xfId="0" applyNumberFormat="1" applyFont="1" applyFill="1" applyBorder="1"/>
    <xf numFmtId="0" fontId="4" fillId="9" borderId="1" xfId="0"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xf>
    <xf numFmtId="0" fontId="4" fillId="0" borderId="0" xfId="0" applyFont="1" applyAlignment="1">
      <alignment horizontal="center"/>
    </xf>
    <xf numFmtId="0" fontId="4" fillId="8" borderId="1" xfId="0" applyFont="1" applyFill="1" applyBorder="1" applyAlignment="1">
      <alignment horizontal="center"/>
    </xf>
    <xf numFmtId="0" fontId="10" fillId="0" borderId="1" xfId="0" applyFont="1" applyBorder="1" applyAlignment="1">
      <alignment horizontal="left"/>
    </xf>
    <xf numFmtId="0" fontId="8" fillId="0" borderId="1" xfId="0" applyFont="1" applyBorder="1" applyAlignment="1">
      <alignment horizontal="left" vertical="top" wrapText="1"/>
    </xf>
    <xf numFmtId="0" fontId="0" fillId="0" borderId="0" xfId="0" applyAlignment="1">
      <alignment horizontal="center"/>
    </xf>
    <xf numFmtId="0" fontId="2" fillId="5" borderId="1" xfId="0" applyFont="1" applyFill="1" applyBorder="1" applyAlignment="1">
      <alignment horizontal="center" vertical="center"/>
    </xf>
    <xf numFmtId="0" fontId="6" fillId="0" borderId="1" xfId="0" applyFont="1" applyBorder="1" applyAlignment="1">
      <alignment vertical="center"/>
    </xf>
    <xf numFmtId="0" fontId="7" fillId="7" borderId="1" xfId="0" applyFont="1" applyFill="1" applyBorder="1" applyAlignment="1">
      <alignment horizontal="left" vertical="center"/>
    </xf>
    <xf numFmtId="0" fontId="6" fillId="0" borderId="1" xfId="0" applyFont="1" applyBorder="1" applyAlignment="1">
      <alignment vertical="center" wrapText="1"/>
    </xf>
    <xf numFmtId="0" fontId="8" fillId="7" borderId="1" xfId="0" applyFont="1" applyFill="1" applyBorder="1" applyAlignment="1">
      <alignment horizontal="left" vertical="top" wrapText="1"/>
    </xf>
    <xf numFmtId="0" fontId="0" fillId="7" borderId="1" xfId="0" applyFill="1" applyBorder="1" applyAlignment="1">
      <alignment horizontal="left" vertical="top" wrapText="1"/>
    </xf>
    <xf numFmtId="0" fontId="4" fillId="0" borderId="1" xfId="0" applyFont="1" applyBorder="1" applyAlignment="1">
      <alignment horizontal="left"/>
    </xf>
    <xf numFmtId="0" fontId="8" fillId="0" borderId="1" xfId="0" applyFont="1" applyBorder="1" applyAlignment="1">
      <alignment horizontal="left"/>
    </xf>
    <xf numFmtId="0" fontId="2" fillId="6" borderId="4" xfId="0" applyFont="1" applyFill="1" applyBorder="1" applyAlignment="1">
      <alignment horizontal="center"/>
    </xf>
    <xf numFmtId="0" fontId="2" fillId="6" borderId="5" xfId="0" applyFont="1" applyFill="1" applyBorder="1" applyAlignment="1">
      <alignment horizontal="center"/>
    </xf>
    <xf numFmtId="0" fontId="4" fillId="0" borderId="1" xfId="0" applyFont="1" applyBorder="1" applyAlignment="1">
      <alignment horizontal="center" vertical="center"/>
    </xf>
    <xf numFmtId="0" fontId="4" fillId="8" borderId="1" xfId="0" applyFont="1" applyFill="1" applyBorder="1" applyAlignment="1">
      <alignment horizontal="center" vertical="center"/>
    </xf>
    <xf numFmtId="0" fontId="2" fillId="6" borderId="0" xfId="0" applyFont="1" applyFill="1" applyAlignment="1">
      <alignment horizontal="center" vertical="center" wrapText="1"/>
    </xf>
    <xf numFmtId="0" fontId="2" fillId="6" borderId="6" xfId="0" applyFont="1" applyFill="1" applyBorder="1" applyAlignment="1">
      <alignment horizontal="center" vertical="center" wrapText="1"/>
    </xf>
    <xf numFmtId="0" fontId="8" fillId="3" borderId="1" xfId="0" applyFont="1" applyFill="1" applyBorder="1" applyAlignment="1">
      <alignment horizontal="left" vertical="top" wrapText="1"/>
    </xf>
    <xf numFmtId="0" fontId="2" fillId="6" borderId="9"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8" xfId="0" applyFont="1" applyFill="1" applyBorder="1" applyAlignment="1">
      <alignment horizontal="center" vertical="center"/>
    </xf>
    <xf numFmtId="0" fontId="8" fillId="0" borderId="1" xfId="0" applyFont="1" applyBorder="1" applyAlignment="1">
      <alignment vertical="top"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180975</xdr:colOff>
      <xdr:row>28</xdr:row>
      <xdr:rowOff>133350</xdr:rowOff>
    </xdr:to>
    <xdr:pic>
      <xdr:nvPicPr>
        <xdr:cNvPr id="3" name="Picture 2">
          <a:extLst>
            <a:ext uri="{FF2B5EF4-FFF2-40B4-BE49-F238E27FC236}">
              <a16:creationId xmlns:a16="http://schemas.microsoft.com/office/drawing/2014/main" id="{DE48A0D4-017E-ABB5-4F0B-7D9FC8078B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153775" cy="54673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466725</xdr:colOff>
      <xdr:row>30</xdr:row>
      <xdr:rowOff>48429</xdr:rowOff>
    </xdr:to>
    <xdr:pic>
      <xdr:nvPicPr>
        <xdr:cNvPr id="3" name="Picture 2">
          <a:extLst>
            <a:ext uri="{FF2B5EF4-FFF2-40B4-BE49-F238E27FC236}">
              <a16:creationId xmlns:a16="http://schemas.microsoft.com/office/drawing/2014/main" id="{CCAAF042-39B4-823F-7590-6C4EBEFDA9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58725" cy="5763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48993</xdr:colOff>
      <xdr:row>40</xdr:row>
      <xdr:rowOff>86801</xdr:rowOff>
    </xdr:to>
    <xdr:pic>
      <xdr:nvPicPr>
        <xdr:cNvPr id="3" name="Picture 2">
          <a:extLst>
            <a:ext uri="{FF2B5EF4-FFF2-40B4-BE49-F238E27FC236}">
              <a16:creationId xmlns:a16="http://schemas.microsoft.com/office/drawing/2014/main" id="{0C6D1307-02C9-475C-C2A8-B7BB4AA4D9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802593" cy="7706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27402-4F1B-48C7-8B12-C477C2FA29BA}">
  <dimension ref="A1:T28"/>
  <sheetViews>
    <sheetView workbookViewId="0">
      <selection activeCell="B16" sqref="B16"/>
    </sheetView>
  </sheetViews>
  <sheetFormatPr defaultRowHeight="15" x14ac:dyDescent="0.25"/>
  <cols>
    <col min="1" max="1" width="12.5703125" bestFit="1" customWidth="1"/>
    <col min="4" max="4" width="9.28515625" bestFit="1" customWidth="1"/>
    <col min="5" max="5" width="10" bestFit="1" customWidth="1"/>
    <col min="6" max="6" width="14" customWidth="1"/>
    <col min="7" max="8" width="14.28515625" bestFit="1" customWidth="1"/>
  </cols>
  <sheetData>
    <row r="1" spans="1:20" x14ac:dyDescent="0.25">
      <c r="A1">
        <v>6400</v>
      </c>
      <c r="B1">
        <v>17750</v>
      </c>
      <c r="I1">
        <f>7500+8000</f>
        <v>15500</v>
      </c>
      <c r="J1">
        <v>2820</v>
      </c>
      <c r="N1">
        <v>2685</v>
      </c>
      <c r="O1" s="6">
        <v>7000</v>
      </c>
    </row>
    <row r="2" spans="1:20" x14ac:dyDescent="0.25">
      <c r="A2">
        <v>7500</v>
      </c>
      <c r="B2">
        <f>7500*14</f>
        <v>105000</v>
      </c>
      <c r="I2">
        <f>4812+5000+5000+5270+4730+5000+3950+2820</f>
        <v>36582</v>
      </c>
      <c r="J2">
        <v>3950</v>
      </c>
      <c r="N2">
        <f>4250*3</f>
        <v>12750</v>
      </c>
      <c r="O2" s="6">
        <v>5232</v>
      </c>
    </row>
    <row r="3" spans="1:20" x14ac:dyDescent="0.25">
      <c r="A3">
        <v>4100</v>
      </c>
      <c r="B3">
        <f>B2+B1</f>
        <v>122750</v>
      </c>
      <c r="I3">
        <f>I2/1000</f>
        <v>36.582000000000001</v>
      </c>
      <c r="J3">
        <v>5000</v>
      </c>
      <c r="N3">
        <v>2673</v>
      </c>
      <c r="O3" s="6">
        <v>5232</v>
      </c>
    </row>
    <row r="4" spans="1:20" x14ac:dyDescent="0.25">
      <c r="A4">
        <v>12000</v>
      </c>
      <c r="I4">
        <f>I1/1000</f>
        <v>15.5</v>
      </c>
      <c r="J4">
        <v>4730</v>
      </c>
      <c r="N4">
        <v>2685</v>
      </c>
      <c r="O4" s="6">
        <v>2685</v>
      </c>
      <c r="R4">
        <f>O19/1000</f>
        <v>80.004000000000005</v>
      </c>
      <c r="S4">
        <f>N19/1000</f>
        <v>6.9240000000000004</v>
      </c>
    </row>
    <row r="5" spans="1:20" x14ac:dyDescent="0.25">
      <c r="A5">
        <v>12000</v>
      </c>
      <c r="I5" s="7">
        <f>I4*I3</f>
        <v>567.02099999999996</v>
      </c>
      <c r="J5">
        <v>5270</v>
      </c>
      <c r="K5">
        <f>N5/1000</f>
        <v>20.792999999999999</v>
      </c>
      <c r="L5">
        <f>M5/1000</f>
        <v>6.9240000000000004</v>
      </c>
      <c r="M5">
        <f>3462*2</f>
        <v>6924</v>
      </c>
      <c r="N5">
        <f>N4+N3+N2+N1</f>
        <v>20793</v>
      </c>
      <c r="O5" s="6">
        <v>4250</v>
      </c>
    </row>
    <row r="6" spans="1:20" x14ac:dyDescent="0.25">
      <c r="A6">
        <f>SUM(A1:A5)</f>
        <v>42000</v>
      </c>
      <c r="I6" s="7">
        <f>I5*10.764</f>
        <v>6103.4140439999992</v>
      </c>
      <c r="J6">
        <v>5000</v>
      </c>
      <c r="K6">
        <f>K5*L5</f>
        <v>143.970732</v>
      </c>
      <c r="O6" s="6">
        <v>4250</v>
      </c>
    </row>
    <row r="7" spans="1:20" ht="46.5" customHeight="1" x14ac:dyDescent="0.25">
      <c r="A7" s="68" t="s">
        <v>0</v>
      </c>
      <c r="B7" s="68"/>
      <c r="C7" s="68"/>
      <c r="D7" s="68"/>
      <c r="E7" s="68"/>
      <c r="F7" s="68"/>
      <c r="G7" s="68"/>
      <c r="J7">
        <v>5000</v>
      </c>
      <c r="O7" s="6">
        <v>4250</v>
      </c>
    </row>
    <row r="8" spans="1:20" x14ac:dyDescent="0.25">
      <c r="A8" t="s">
        <v>1</v>
      </c>
      <c r="B8" s="5">
        <f>A6/1000</f>
        <v>42</v>
      </c>
      <c r="C8" s="5">
        <f>B3/1000</f>
        <v>122.75</v>
      </c>
      <c r="D8" s="2">
        <f>C8*B8</f>
        <v>5155.5</v>
      </c>
      <c r="E8" s="2">
        <f>D8*10.764</f>
        <v>55493.801999999996</v>
      </c>
      <c r="F8" s="1">
        <v>700</v>
      </c>
      <c r="G8" s="3">
        <f>F8*E8</f>
        <v>38845661.399999999</v>
      </c>
      <c r="J8">
        <v>4812</v>
      </c>
      <c r="O8" s="6">
        <v>2673</v>
      </c>
    </row>
    <row r="9" spans="1:20" ht="32.25" customHeight="1" x14ac:dyDescent="0.25">
      <c r="A9" s="69" t="s">
        <v>9</v>
      </c>
      <c r="B9" s="69"/>
      <c r="C9" s="69"/>
      <c r="D9" s="69"/>
      <c r="E9" s="69"/>
      <c r="F9" s="69"/>
      <c r="G9" s="69"/>
      <c r="I9" t="s">
        <v>2</v>
      </c>
      <c r="J9">
        <f>5400+6244</f>
        <v>11644</v>
      </c>
      <c r="K9">
        <f>J9/1000</f>
        <v>11.644</v>
      </c>
      <c r="O9" s="6"/>
      <c r="R9" t="s">
        <v>3</v>
      </c>
      <c r="S9">
        <v>5</v>
      </c>
      <c r="T9" t="s">
        <v>4</v>
      </c>
    </row>
    <row r="10" spans="1:20" x14ac:dyDescent="0.25">
      <c r="A10" t="s">
        <v>1</v>
      </c>
      <c r="B10" s="4">
        <f>R4</f>
        <v>80.004000000000005</v>
      </c>
      <c r="C10" s="4">
        <f>S4</f>
        <v>6.9240000000000004</v>
      </c>
      <c r="D10" s="2">
        <f>C10*B10</f>
        <v>553.94769600000006</v>
      </c>
      <c r="E10" s="2">
        <f>D10*10.764</f>
        <v>5962.6929997440002</v>
      </c>
      <c r="F10" s="1">
        <v>700</v>
      </c>
      <c r="G10" s="3">
        <f>F10*E10</f>
        <v>4173885.0998208001</v>
      </c>
      <c r="I10" t="s">
        <v>5</v>
      </c>
      <c r="J10">
        <v>16500</v>
      </c>
      <c r="K10">
        <f t="shared" ref="K10:K12" si="0">J10/1000</f>
        <v>16.5</v>
      </c>
      <c r="O10" s="6">
        <v>2685</v>
      </c>
    </row>
    <row r="11" spans="1:20" x14ac:dyDescent="0.25">
      <c r="A11" s="70" t="s">
        <v>15</v>
      </c>
      <c r="B11" s="70"/>
      <c r="C11" s="70"/>
      <c r="D11" s="70"/>
      <c r="E11" s="70"/>
      <c r="F11" s="70"/>
      <c r="G11" s="70"/>
      <c r="O11" s="6"/>
    </row>
    <row r="12" spans="1:20" x14ac:dyDescent="0.25">
      <c r="A12" t="s">
        <v>7</v>
      </c>
      <c r="B12" s="4">
        <f>K5</f>
        <v>20.792999999999999</v>
      </c>
      <c r="C12" s="4">
        <f>L5</f>
        <v>6.9240000000000004</v>
      </c>
      <c r="D12" s="2">
        <f>C12*B12</f>
        <v>143.970732</v>
      </c>
      <c r="E12" s="2">
        <f>D12*10.764</f>
        <v>1549.7009592479999</v>
      </c>
      <c r="F12" s="1">
        <v>700</v>
      </c>
      <c r="G12" s="3">
        <f>F12*E12</f>
        <v>1084790.6714736</v>
      </c>
      <c r="I12" t="s">
        <v>6</v>
      </c>
      <c r="J12">
        <f>I2</f>
        <v>36582</v>
      </c>
      <c r="K12">
        <f t="shared" si="0"/>
        <v>36.582000000000001</v>
      </c>
      <c r="O12" s="6">
        <v>5250</v>
      </c>
    </row>
    <row r="13" spans="1:20" x14ac:dyDescent="0.25">
      <c r="A13" s="70" t="s">
        <v>8</v>
      </c>
      <c r="B13" s="70"/>
      <c r="C13" s="70"/>
      <c r="D13" s="70"/>
      <c r="E13" s="70"/>
      <c r="F13" s="70"/>
      <c r="G13" s="70"/>
      <c r="O13" s="6"/>
    </row>
    <row r="14" spans="1:20" x14ac:dyDescent="0.25">
      <c r="A14" t="s">
        <v>1</v>
      </c>
      <c r="D14">
        <f>J18+I5</f>
        <v>876.06440399999997</v>
      </c>
      <c r="E14" s="2">
        <f>D14*10.764 +(I6)</f>
        <v>15533.371288655999</v>
      </c>
      <c r="F14" s="1">
        <v>1350</v>
      </c>
      <c r="G14" s="8">
        <f>F14*E14</f>
        <v>20970051.239685599</v>
      </c>
      <c r="O14" s="6">
        <v>4250</v>
      </c>
    </row>
    <row r="15" spans="1:20" x14ac:dyDescent="0.25">
      <c r="A15" s="71" t="s">
        <v>10</v>
      </c>
      <c r="B15" s="71"/>
      <c r="C15" s="71"/>
      <c r="D15" s="10">
        <f t="shared" ref="D15:E15" si="1">D14+D12+D10+D8</f>
        <v>6729.4828319999997</v>
      </c>
      <c r="E15" s="10">
        <f t="shared" si="1"/>
        <v>78539.567247647996</v>
      </c>
      <c r="G15" s="10">
        <f>G14+G12+G10+G8</f>
        <v>65074388.410980001</v>
      </c>
      <c r="O15" s="6">
        <v>7684</v>
      </c>
    </row>
    <row r="16" spans="1:20" x14ac:dyDescent="0.25">
      <c r="J16">
        <f>K10+K12</f>
        <v>53.082000000000001</v>
      </c>
      <c r="O16" s="6">
        <v>5250</v>
      </c>
    </row>
    <row r="17" spans="6:15" x14ac:dyDescent="0.25">
      <c r="J17">
        <f>J16/2</f>
        <v>26.541</v>
      </c>
      <c r="O17" s="6">
        <v>6125</v>
      </c>
    </row>
    <row r="18" spans="6:15" x14ac:dyDescent="0.25">
      <c r="F18" t="s">
        <v>11</v>
      </c>
      <c r="G18" s="8">
        <v>7900000</v>
      </c>
      <c r="H18" t="s">
        <v>12</v>
      </c>
      <c r="J18">
        <f>J17*K9</f>
        <v>309.04340400000001</v>
      </c>
      <c r="O18" s="6">
        <f>6594*2</f>
        <v>13188</v>
      </c>
    </row>
    <row r="19" spans="6:15" x14ac:dyDescent="0.25">
      <c r="F19" t="s">
        <v>13</v>
      </c>
      <c r="G19" s="8">
        <v>400000</v>
      </c>
      <c r="H19" t="s">
        <v>12</v>
      </c>
      <c r="N19">
        <f>3462*2</f>
        <v>6924</v>
      </c>
      <c r="O19" s="6">
        <f>SUM(O1:O18)</f>
        <v>80004</v>
      </c>
    </row>
    <row r="20" spans="6:15" x14ac:dyDescent="0.25">
      <c r="F20" t="s">
        <v>14</v>
      </c>
      <c r="G20" s="8">
        <v>100000</v>
      </c>
      <c r="H20" t="s">
        <v>12</v>
      </c>
    </row>
    <row r="21" spans="6:15" x14ac:dyDescent="0.25">
      <c r="G21" s="8">
        <f>SUM(G18:G20)</f>
        <v>8400000</v>
      </c>
    </row>
    <row r="22" spans="6:15" x14ac:dyDescent="0.25">
      <c r="G22" s="9">
        <f>G21+G15</f>
        <v>73474388.410980001</v>
      </c>
      <c r="H22" s="12">
        <v>82500000</v>
      </c>
    </row>
    <row r="23" spans="6:15" x14ac:dyDescent="0.25">
      <c r="G23" s="11">
        <f>G22*1.18</f>
        <v>86699778.324956402</v>
      </c>
      <c r="L23">
        <f>2250/3</f>
        <v>750</v>
      </c>
    </row>
    <row r="26" spans="6:15" x14ac:dyDescent="0.25">
      <c r="K26">
        <v>1220</v>
      </c>
    </row>
    <row r="27" spans="6:15" x14ac:dyDescent="0.25">
      <c r="K27">
        <v>6100</v>
      </c>
    </row>
    <row r="28" spans="6:15" x14ac:dyDescent="0.25">
      <c r="K28">
        <f>K27*K26</f>
        <v>7442000</v>
      </c>
    </row>
  </sheetData>
  <mergeCells count="5">
    <mergeCell ref="A7:G7"/>
    <mergeCell ref="A9:G9"/>
    <mergeCell ref="A13:G13"/>
    <mergeCell ref="A11:G11"/>
    <mergeCell ref="A15:C1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405BC-7C5B-40D7-A452-06A80C8F3436}">
  <dimension ref="M34"/>
  <sheetViews>
    <sheetView topLeftCell="A2" workbookViewId="0">
      <selection activeCell="M34" sqref="M34"/>
    </sheetView>
  </sheetViews>
  <sheetFormatPr defaultRowHeight="15" x14ac:dyDescent="0.25"/>
  <sheetData>
    <row r="34" spans="13:13" x14ac:dyDescent="0.25">
      <c r="M34">
        <f>83-57</f>
        <v>26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250B1-2BA0-4D7A-8499-11A7DA943E07}">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00DC9-9A41-4F16-B675-1CF689BD4FB2}">
  <dimension ref="A1:C18"/>
  <sheetViews>
    <sheetView workbookViewId="0">
      <selection activeCell="F27" sqref="F27"/>
    </sheetView>
  </sheetViews>
  <sheetFormatPr defaultRowHeight="15" x14ac:dyDescent="0.25"/>
  <cols>
    <col min="2" max="2" width="39.42578125" bestFit="1" customWidth="1"/>
    <col min="3" max="3" width="13.42578125" bestFit="1" customWidth="1"/>
  </cols>
  <sheetData>
    <row r="1" spans="1:3" x14ac:dyDescent="0.25">
      <c r="A1" s="13" t="s">
        <v>31</v>
      </c>
      <c r="B1" s="13" t="s">
        <v>32</v>
      </c>
      <c r="C1" t="s">
        <v>34</v>
      </c>
    </row>
    <row r="2" spans="1:3" x14ac:dyDescent="0.25">
      <c r="A2" s="1">
        <v>9</v>
      </c>
      <c r="B2" t="s">
        <v>16</v>
      </c>
      <c r="C2" s="4">
        <f>(15100*6460)/10^6+(9700*12600)/10^6</f>
        <v>219.76600000000002</v>
      </c>
    </row>
    <row r="3" spans="1:3" x14ac:dyDescent="0.25">
      <c r="A3" s="1">
        <v>10</v>
      </c>
      <c r="B3" t="s">
        <v>17</v>
      </c>
      <c r="C3" s="4">
        <f>(18300*3350)/10^6</f>
        <v>61.305</v>
      </c>
    </row>
    <row r="4" spans="1:3" x14ac:dyDescent="0.25">
      <c r="A4" s="1">
        <v>11</v>
      </c>
      <c r="B4" s="14" t="s">
        <v>18</v>
      </c>
      <c r="C4" s="4"/>
    </row>
    <row r="5" spans="1:3" x14ac:dyDescent="0.25">
      <c r="A5" s="1">
        <v>12</v>
      </c>
      <c r="B5" s="14" t="s">
        <v>15</v>
      </c>
      <c r="C5" s="4">
        <v>125.37</v>
      </c>
    </row>
    <row r="6" spans="1:3" x14ac:dyDescent="0.25">
      <c r="A6" s="1">
        <v>13</v>
      </c>
      <c r="B6" s="14" t="s">
        <v>19</v>
      </c>
      <c r="C6" s="4"/>
    </row>
    <row r="7" spans="1:3" x14ac:dyDescent="0.25">
      <c r="A7" s="1">
        <v>14</v>
      </c>
      <c r="B7" t="s">
        <v>20</v>
      </c>
      <c r="C7" s="4">
        <f>(24000*30000)/1000000</f>
        <v>720</v>
      </c>
    </row>
    <row r="8" spans="1:3" x14ac:dyDescent="0.25">
      <c r="A8" s="1">
        <v>15</v>
      </c>
      <c r="B8" s="15" t="s">
        <v>21</v>
      </c>
      <c r="C8" s="4"/>
    </row>
    <row r="9" spans="1:3" x14ac:dyDescent="0.25">
      <c r="A9" s="1">
        <v>16</v>
      </c>
      <c r="B9" s="14" t="s">
        <v>22</v>
      </c>
      <c r="C9" s="4"/>
    </row>
    <row r="10" spans="1:3" x14ac:dyDescent="0.25">
      <c r="A10" s="1">
        <v>17</v>
      </c>
      <c r="B10" s="15" t="s">
        <v>23</v>
      </c>
      <c r="C10" s="4"/>
    </row>
    <row r="11" spans="1:3" x14ac:dyDescent="0.25">
      <c r="A11" s="1">
        <v>18</v>
      </c>
      <c r="B11" t="s">
        <v>16</v>
      </c>
      <c r="C11" s="4"/>
    </row>
    <row r="12" spans="1:3" x14ac:dyDescent="0.25">
      <c r="A12" s="1">
        <v>19</v>
      </c>
      <c r="B12" t="s">
        <v>24</v>
      </c>
      <c r="C12" s="4">
        <f>(11127*14000)/10^6</f>
        <v>155.77799999999999</v>
      </c>
    </row>
    <row r="13" spans="1:3" x14ac:dyDescent="0.25">
      <c r="A13" s="1">
        <v>20</v>
      </c>
      <c r="B13" t="s">
        <v>25</v>
      </c>
      <c r="C13" s="4">
        <f>((7518+12548)*(9047*4))/10^6</f>
        <v>726.14840800000002</v>
      </c>
    </row>
    <row r="14" spans="1:3" x14ac:dyDescent="0.25">
      <c r="A14" s="1">
        <v>21</v>
      </c>
      <c r="B14" t="s">
        <v>26</v>
      </c>
      <c r="C14" s="4">
        <f>((2548*2)*(3850))/10^6</f>
        <v>19.619599999999998</v>
      </c>
    </row>
    <row r="15" spans="1:3" x14ac:dyDescent="0.25">
      <c r="A15" s="1">
        <v>22</v>
      </c>
      <c r="B15" t="s">
        <v>27</v>
      </c>
      <c r="C15" s="4">
        <f>((3200+4095)*4567)/10^6</f>
        <v>33.316265000000001</v>
      </c>
    </row>
    <row r="16" spans="1:3" x14ac:dyDescent="0.25">
      <c r="A16" s="1">
        <v>23</v>
      </c>
      <c r="B16" t="s">
        <v>28</v>
      </c>
      <c r="C16" s="4">
        <f>((4136*3)*6080)/10^6</f>
        <v>75.440640000000002</v>
      </c>
    </row>
    <row r="17" spans="1:3" x14ac:dyDescent="0.25">
      <c r="A17" s="1" t="s">
        <v>33</v>
      </c>
      <c r="B17" t="s">
        <v>29</v>
      </c>
      <c r="C17" s="4">
        <f>(1800*5000)/10^6</f>
        <v>9</v>
      </c>
    </row>
    <row r="18" spans="1:3" x14ac:dyDescent="0.25">
      <c r="A18" s="1">
        <v>25</v>
      </c>
      <c r="B18" t="s">
        <v>30</v>
      </c>
      <c r="C18" s="4">
        <f>(15000*9000)/10^6</f>
        <v>135</v>
      </c>
    </row>
  </sheetData>
  <autoFilter ref="A1:C18" xr:uid="{4A400DC9-9A41-4F16-B675-1CF689BD4FB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F9F2E-0D48-4E35-B92D-E4CCA4E377B6}">
  <dimension ref="C2:I25"/>
  <sheetViews>
    <sheetView topLeftCell="A13" workbookViewId="0">
      <selection activeCell="J15" sqref="J15"/>
    </sheetView>
  </sheetViews>
  <sheetFormatPr defaultRowHeight="15" x14ac:dyDescent="0.25"/>
  <cols>
    <col min="4" max="4" width="32.42578125" customWidth="1"/>
    <col min="5" max="5" width="19" bestFit="1" customWidth="1"/>
    <col min="6" max="6" width="19.42578125" bestFit="1" customWidth="1"/>
  </cols>
  <sheetData>
    <row r="2" spans="3:9" x14ac:dyDescent="0.25">
      <c r="C2" s="72" t="s">
        <v>151</v>
      </c>
      <c r="D2" s="72"/>
      <c r="E2" s="72"/>
      <c r="F2" s="72"/>
    </row>
    <row r="3" spans="3:9" x14ac:dyDescent="0.25">
      <c r="C3" s="35" t="s">
        <v>31</v>
      </c>
      <c r="D3" s="35" t="s">
        <v>47</v>
      </c>
      <c r="E3" s="35" t="s">
        <v>95</v>
      </c>
      <c r="F3" s="35" t="s">
        <v>163</v>
      </c>
    </row>
    <row r="4" spans="3:9" x14ac:dyDescent="0.25">
      <c r="C4" s="67"/>
      <c r="D4" s="67"/>
      <c r="E4" s="67" t="s">
        <v>164</v>
      </c>
      <c r="F4" s="67" t="s">
        <v>165</v>
      </c>
    </row>
    <row r="5" spans="3:9" x14ac:dyDescent="0.25">
      <c r="C5" s="16">
        <v>1</v>
      </c>
      <c r="D5" s="22" t="s">
        <v>97</v>
      </c>
      <c r="E5" s="41">
        <v>82500000</v>
      </c>
      <c r="F5" s="41">
        <f>Buildings!I7+'Road, Dewatering work, Plants'!H3+'Road, Dewatering work, Plants'!F7+'Road, Dewatering work, Plants'!M11</f>
        <v>80263315.803913593</v>
      </c>
      <c r="H5">
        <f>71988316+462500+300000</f>
        <v>72750816</v>
      </c>
    </row>
    <row r="6" spans="3:9" x14ac:dyDescent="0.25">
      <c r="C6" s="16">
        <v>2</v>
      </c>
      <c r="D6" s="22" t="s">
        <v>150</v>
      </c>
      <c r="E6" s="41">
        <v>490700000</v>
      </c>
      <c r="F6" s="41">
        <f>E6</f>
        <v>490700000</v>
      </c>
    </row>
    <row r="7" spans="3:9" x14ac:dyDescent="0.25">
      <c r="C7" s="16">
        <v>3</v>
      </c>
      <c r="D7" s="22" t="s">
        <v>98</v>
      </c>
      <c r="E7" s="41">
        <v>62004000</v>
      </c>
      <c r="F7" s="41">
        <f>'Mis. Assets'!J12+'Mis. Assets'!J26</f>
        <v>10130000</v>
      </c>
    </row>
    <row r="8" spans="3:9" ht="47.25" customHeight="1" x14ac:dyDescent="0.25">
      <c r="C8" s="16">
        <v>4</v>
      </c>
      <c r="D8" s="17" t="s">
        <v>99</v>
      </c>
      <c r="E8" s="41">
        <f>'Contin., Margin Money, Prelimn '!D6</f>
        <v>120500000</v>
      </c>
      <c r="F8" s="41">
        <f>'Contin., Margin Money, Prelimn '!E6</f>
        <v>120500000</v>
      </c>
    </row>
    <row r="9" spans="3:9" x14ac:dyDescent="0.25">
      <c r="C9" s="72" t="s">
        <v>146</v>
      </c>
      <c r="D9" s="72"/>
      <c r="E9" s="66">
        <f>SUM(E5:E8)</f>
        <v>755704000</v>
      </c>
      <c r="F9" s="66">
        <f>SUM(F5:F8)</f>
        <v>701593315.80391359</v>
      </c>
    </row>
    <row r="10" spans="3:9" x14ac:dyDescent="0.25">
      <c r="C10" s="73" t="s">
        <v>81</v>
      </c>
      <c r="D10" s="73"/>
      <c r="E10" s="73"/>
      <c r="F10" s="73"/>
    </row>
    <row r="11" spans="3:9" ht="45" customHeight="1" x14ac:dyDescent="0.25">
      <c r="C11" s="74" t="s">
        <v>161</v>
      </c>
      <c r="D11" s="74"/>
      <c r="E11" s="74"/>
      <c r="F11" s="74"/>
      <c r="I11" t="s">
        <v>160</v>
      </c>
    </row>
    <row r="12" spans="3:9" ht="43.5" customHeight="1" x14ac:dyDescent="0.25">
      <c r="C12" s="74" t="s">
        <v>152</v>
      </c>
      <c r="D12" s="74"/>
      <c r="E12" s="74"/>
      <c r="F12" s="74"/>
    </row>
    <row r="13" spans="3:9" ht="31.5" customHeight="1" x14ac:dyDescent="0.25">
      <c r="C13" s="74" t="s">
        <v>153</v>
      </c>
      <c r="D13" s="74"/>
      <c r="E13" s="74"/>
      <c r="F13" s="74"/>
    </row>
    <row r="14" spans="3:9" ht="31.5" customHeight="1" x14ac:dyDescent="0.25">
      <c r="C14" s="74" t="s">
        <v>154</v>
      </c>
      <c r="D14" s="74"/>
      <c r="E14" s="74"/>
      <c r="F14" s="74"/>
      <c r="I14">
        <v>75</v>
      </c>
    </row>
    <row r="15" spans="3:9" ht="104.25" customHeight="1" x14ac:dyDescent="0.25">
      <c r="C15" s="74" t="s">
        <v>166</v>
      </c>
      <c r="D15" s="74"/>
      <c r="E15" s="74"/>
      <c r="F15" s="74"/>
    </row>
    <row r="16" spans="3:9" ht="32.25" customHeight="1" x14ac:dyDescent="0.25">
      <c r="C16" s="74" t="s">
        <v>167</v>
      </c>
      <c r="D16" s="74"/>
      <c r="E16" s="74"/>
      <c r="F16" s="74"/>
    </row>
    <row r="17" spans="3:6" ht="29.25" customHeight="1" x14ac:dyDescent="0.25">
      <c r="C17" s="74" t="s">
        <v>155</v>
      </c>
      <c r="D17" s="74"/>
      <c r="E17" s="74"/>
      <c r="F17" s="74"/>
    </row>
    <row r="18" spans="3:6" ht="60.75" customHeight="1" x14ac:dyDescent="0.25">
      <c r="C18" s="74" t="s">
        <v>162</v>
      </c>
      <c r="D18" s="74"/>
      <c r="E18" s="74"/>
      <c r="F18" s="74"/>
    </row>
    <row r="19" spans="3:6" ht="32.25" customHeight="1" x14ac:dyDescent="0.25">
      <c r="C19" s="74" t="s">
        <v>156</v>
      </c>
      <c r="D19" s="74"/>
      <c r="E19" s="74"/>
      <c r="F19" s="74"/>
    </row>
    <row r="20" spans="3:6" ht="30" customHeight="1" x14ac:dyDescent="0.25">
      <c r="C20" s="74" t="s">
        <v>157</v>
      </c>
      <c r="D20" s="74"/>
      <c r="E20" s="74"/>
      <c r="F20" s="74"/>
    </row>
    <row r="21" spans="3:6" ht="32.25" customHeight="1" x14ac:dyDescent="0.25">
      <c r="C21" s="74" t="s">
        <v>158</v>
      </c>
      <c r="D21" s="74"/>
      <c r="E21" s="74"/>
      <c r="F21" s="74"/>
    </row>
    <row r="22" spans="3:6" ht="18.75" customHeight="1" x14ac:dyDescent="0.25">
      <c r="C22" s="74" t="s">
        <v>159</v>
      </c>
      <c r="D22" s="74"/>
      <c r="E22" s="74"/>
      <c r="F22" s="74"/>
    </row>
    <row r="23" spans="3:6" x14ac:dyDescent="0.25">
      <c r="C23" s="75"/>
      <c r="D23" s="75"/>
      <c r="E23" s="75"/>
      <c r="F23" s="75"/>
    </row>
    <row r="24" spans="3:6" x14ac:dyDescent="0.25">
      <c r="C24" s="75"/>
      <c r="D24" s="75"/>
      <c r="E24" s="75"/>
      <c r="F24" s="75"/>
    </row>
    <row r="25" spans="3:6" x14ac:dyDescent="0.25">
      <c r="C25" s="75"/>
      <c r="D25" s="75"/>
      <c r="E25" s="75"/>
      <c r="F25" s="75"/>
    </row>
  </sheetData>
  <mergeCells count="18">
    <mergeCell ref="C23:F23"/>
    <mergeCell ref="C24:F24"/>
    <mergeCell ref="C25:F25"/>
    <mergeCell ref="C18:F18"/>
    <mergeCell ref="C19:F19"/>
    <mergeCell ref="C20:F20"/>
    <mergeCell ref="C21:F21"/>
    <mergeCell ref="C22:F22"/>
    <mergeCell ref="C13:F13"/>
    <mergeCell ref="C14:F14"/>
    <mergeCell ref="C15:F15"/>
    <mergeCell ref="C16:F16"/>
    <mergeCell ref="C17:F17"/>
    <mergeCell ref="C9:D9"/>
    <mergeCell ref="C2:F2"/>
    <mergeCell ref="C10:F10"/>
    <mergeCell ref="C11:F11"/>
    <mergeCell ref="C12:F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AE099-C923-4ACC-8532-A56C95A80190}">
  <dimension ref="B2:J14"/>
  <sheetViews>
    <sheetView workbookViewId="0">
      <selection activeCell="I7" sqref="I7"/>
    </sheetView>
  </sheetViews>
  <sheetFormatPr defaultRowHeight="15" x14ac:dyDescent="0.25"/>
  <cols>
    <col min="2" max="2" width="7.5703125" customWidth="1"/>
    <col min="3" max="3" width="42" customWidth="1"/>
    <col min="4" max="4" width="15.42578125" customWidth="1"/>
    <col min="5" max="5" width="14" customWidth="1"/>
    <col min="6" max="6" width="9.85546875" customWidth="1"/>
    <col min="7" max="7" width="10.28515625" customWidth="1"/>
    <col min="8" max="8" width="13.42578125" customWidth="1"/>
    <col min="9" max="9" width="16.85546875" customWidth="1"/>
  </cols>
  <sheetData>
    <row r="2" spans="2:10" ht="45" x14ac:dyDescent="0.25">
      <c r="B2" s="28" t="s">
        <v>31</v>
      </c>
      <c r="C2" s="28" t="s">
        <v>58</v>
      </c>
      <c r="D2" s="28" t="s">
        <v>39</v>
      </c>
      <c r="E2" s="28" t="s">
        <v>35</v>
      </c>
      <c r="F2" s="28" t="s">
        <v>37</v>
      </c>
      <c r="G2" s="28" t="s">
        <v>38</v>
      </c>
      <c r="H2" s="28" t="s">
        <v>46</v>
      </c>
      <c r="I2" s="28" t="s">
        <v>86</v>
      </c>
      <c r="J2" s="29"/>
    </row>
    <row r="3" spans="2:10" ht="45" x14ac:dyDescent="0.25">
      <c r="B3" s="16">
        <v>1</v>
      </c>
      <c r="C3" s="17" t="s">
        <v>0</v>
      </c>
      <c r="D3" s="30" t="s">
        <v>40</v>
      </c>
      <c r="E3" s="16" t="s">
        <v>36</v>
      </c>
      <c r="F3" s="18">
        <f>Sheet1!D8</f>
        <v>5155.5</v>
      </c>
      <c r="G3" s="19">
        <f>F3*10.764</f>
        <v>55493.801999999996</v>
      </c>
      <c r="H3" s="41">
        <v>800</v>
      </c>
      <c r="I3" s="41">
        <f>G3*H3</f>
        <v>44395041.599999994</v>
      </c>
      <c r="J3" s="29"/>
    </row>
    <row r="4" spans="2:10" ht="45" x14ac:dyDescent="0.25">
      <c r="B4" s="16">
        <v>2</v>
      </c>
      <c r="C4" s="17" t="s">
        <v>9</v>
      </c>
      <c r="D4" s="30" t="s">
        <v>40</v>
      </c>
      <c r="E4" s="16" t="s">
        <v>36</v>
      </c>
      <c r="F4" s="20">
        <f>Sheet1!D10</f>
        <v>553.94769600000006</v>
      </c>
      <c r="G4" s="19">
        <f t="shared" ref="G4:G5" si="0">F4*10.764</f>
        <v>5962.6929997440002</v>
      </c>
      <c r="H4" s="41">
        <v>800</v>
      </c>
      <c r="I4" s="41">
        <f>G4*H4</f>
        <v>4770154.3997951997</v>
      </c>
      <c r="J4" s="29"/>
    </row>
    <row r="5" spans="2:10" x14ac:dyDescent="0.25">
      <c r="B5" s="21">
        <v>3</v>
      </c>
      <c r="C5" s="22" t="s">
        <v>15</v>
      </c>
      <c r="D5" s="16" t="s">
        <v>41</v>
      </c>
      <c r="E5" s="16" t="s">
        <v>36</v>
      </c>
      <c r="F5" s="23">
        <v>125</v>
      </c>
      <c r="G5" s="19">
        <f t="shared" si="0"/>
        <v>1345.5</v>
      </c>
      <c r="H5" s="41">
        <v>800</v>
      </c>
      <c r="I5" s="41">
        <f>G5*H5</f>
        <v>1076400</v>
      </c>
      <c r="J5" s="29"/>
    </row>
    <row r="6" spans="2:10" x14ac:dyDescent="0.25">
      <c r="B6" s="16">
        <v>4</v>
      </c>
      <c r="C6" s="22" t="s">
        <v>42</v>
      </c>
      <c r="D6" s="30" t="s">
        <v>40</v>
      </c>
      <c r="E6" s="16" t="s">
        <v>43</v>
      </c>
      <c r="F6" s="24">
        <f>G6/10.764</f>
        <v>1443.0854039999999</v>
      </c>
      <c r="G6" s="19">
        <f>Sheet1!E14</f>
        <v>15533.371288655999</v>
      </c>
      <c r="H6" s="41">
        <v>1400</v>
      </c>
      <c r="I6" s="41">
        <f>G6*H6</f>
        <v>21746719.804118399</v>
      </c>
      <c r="J6" s="29"/>
    </row>
    <row r="7" spans="2:10" x14ac:dyDescent="0.25">
      <c r="B7" s="76" t="s">
        <v>10</v>
      </c>
      <c r="C7" s="76"/>
      <c r="D7" s="76"/>
      <c r="E7" s="76"/>
      <c r="F7" s="25">
        <f>SUM(F3:F6)</f>
        <v>7277.5331000000006</v>
      </c>
      <c r="G7" s="26">
        <f>SUM(G3:G6)</f>
        <v>78335.366288399993</v>
      </c>
      <c r="H7" s="27"/>
      <c r="I7" s="42">
        <f>SUM(I3:I6)</f>
        <v>71988315.803913593</v>
      </c>
      <c r="J7" s="29"/>
    </row>
    <row r="8" spans="2:10" x14ac:dyDescent="0.25">
      <c r="B8" s="78" t="s">
        <v>59</v>
      </c>
      <c r="C8" s="78"/>
      <c r="D8" s="78"/>
      <c r="E8" s="78"/>
      <c r="F8" s="78"/>
      <c r="G8" s="78"/>
      <c r="H8" s="78"/>
      <c r="I8" s="78"/>
    </row>
    <row r="9" spans="2:10" x14ac:dyDescent="0.25">
      <c r="B9" s="77" t="s">
        <v>134</v>
      </c>
      <c r="C9" s="77"/>
      <c r="D9" s="77"/>
      <c r="E9" s="77"/>
      <c r="F9" s="77"/>
      <c r="G9" s="77"/>
      <c r="H9" s="77"/>
      <c r="I9" s="77"/>
    </row>
    <row r="10" spans="2:10" x14ac:dyDescent="0.25">
      <c r="B10" s="77" t="s">
        <v>135</v>
      </c>
      <c r="C10" s="77"/>
      <c r="D10" s="77"/>
      <c r="E10" s="77"/>
      <c r="F10" s="77"/>
      <c r="G10" s="77"/>
      <c r="H10" s="77"/>
      <c r="I10" s="77"/>
    </row>
    <row r="11" spans="2:10" x14ac:dyDescent="0.25">
      <c r="B11" s="77" t="s">
        <v>136</v>
      </c>
      <c r="C11" s="77"/>
      <c r="D11" s="77"/>
      <c r="E11" s="77"/>
      <c r="F11" s="77"/>
      <c r="G11" s="77"/>
      <c r="H11" s="77"/>
      <c r="I11" s="77"/>
    </row>
    <row r="12" spans="2:10" x14ac:dyDescent="0.25">
      <c r="B12" s="77" t="s">
        <v>138</v>
      </c>
      <c r="C12" s="77"/>
      <c r="D12" s="77"/>
      <c r="E12" s="77"/>
      <c r="F12" s="77"/>
      <c r="G12" s="77"/>
      <c r="H12" s="77"/>
      <c r="I12" s="77"/>
    </row>
    <row r="13" spans="2:10" ht="29.25" customHeight="1" x14ac:dyDescent="0.25">
      <c r="B13" s="79" t="s">
        <v>137</v>
      </c>
      <c r="C13" s="79"/>
      <c r="D13" s="79"/>
      <c r="E13" s="79"/>
      <c r="F13" s="79"/>
      <c r="G13" s="79"/>
      <c r="H13" s="79"/>
      <c r="I13" s="79"/>
    </row>
    <row r="14" spans="2:10" x14ac:dyDescent="0.25">
      <c r="B14" s="77" t="s">
        <v>139</v>
      </c>
      <c r="C14" s="77"/>
      <c r="D14" s="77"/>
      <c r="E14" s="77"/>
      <c r="F14" s="77"/>
      <c r="G14" s="77"/>
      <c r="H14" s="77"/>
      <c r="I14" s="77"/>
    </row>
  </sheetData>
  <mergeCells count="8">
    <mergeCell ref="B7:E7"/>
    <mergeCell ref="B14:I14"/>
    <mergeCell ref="B8:I8"/>
    <mergeCell ref="B9:I9"/>
    <mergeCell ref="B10:I10"/>
    <mergeCell ref="B11:I11"/>
    <mergeCell ref="B12:I12"/>
    <mergeCell ref="B13:I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F0DA-3D14-4C5C-B42F-6B8CAAFCBFA1}">
  <dimension ref="B2:N22"/>
  <sheetViews>
    <sheetView tabSelected="1" topLeftCell="C1" workbookViewId="0">
      <selection activeCell="K8" sqref="K8"/>
    </sheetView>
  </sheetViews>
  <sheetFormatPr defaultRowHeight="15" x14ac:dyDescent="0.25"/>
  <cols>
    <col min="2" max="2" width="16.28515625" bestFit="1" customWidth="1"/>
    <col min="3" max="3" width="14" customWidth="1"/>
    <col min="4" max="4" width="15.7109375" customWidth="1"/>
    <col min="5" max="5" width="21.28515625" customWidth="1"/>
    <col min="6" max="6" width="15.85546875" customWidth="1"/>
    <col min="7" max="7" width="20.42578125" customWidth="1"/>
    <col min="8" max="8" width="14" customWidth="1"/>
    <col min="10" max="10" width="16.28515625" bestFit="1" customWidth="1"/>
    <col min="11" max="13" width="16.28515625" customWidth="1"/>
    <col min="14" max="14" width="12.85546875" customWidth="1"/>
  </cols>
  <sheetData>
    <row r="2" spans="2:14" ht="45" x14ac:dyDescent="0.25">
      <c r="B2" s="28" t="s">
        <v>47</v>
      </c>
      <c r="C2" s="28" t="s">
        <v>48</v>
      </c>
      <c r="D2" s="28" t="s">
        <v>49</v>
      </c>
      <c r="E2" s="28" t="s">
        <v>50</v>
      </c>
      <c r="F2" s="28" t="s">
        <v>95</v>
      </c>
      <c r="G2" s="28" t="s">
        <v>51</v>
      </c>
      <c r="H2" s="28" t="s">
        <v>87</v>
      </c>
    </row>
    <row r="3" spans="2:14" ht="44.25" customHeight="1" x14ac:dyDescent="0.25">
      <c r="B3" s="16" t="s">
        <v>44</v>
      </c>
      <c r="C3" s="16" t="s">
        <v>52</v>
      </c>
      <c r="D3" s="19">
        <v>2250</v>
      </c>
      <c r="E3" s="40">
        <v>3500</v>
      </c>
      <c r="F3" s="40">
        <f>E3*D3</f>
        <v>7875000</v>
      </c>
      <c r="G3" s="39">
        <v>3500</v>
      </c>
      <c r="H3" s="40">
        <f>G3*D3</f>
        <v>7875000</v>
      </c>
    </row>
    <row r="4" spans="2:14" ht="44.25" customHeight="1" x14ac:dyDescent="0.25">
      <c r="B4" s="43"/>
      <c r="C4" s="43"/>
      <c r="D4" s="44"/>
      <c r="E4" s="45"/>
      <c r="F4" s="45"/>
      <c r="G4" s="46"/>
      <c r="H4" s="45"/>
    </row>
    <row r="6" spans="2:14" ht="45.75" customHeight="1" x14ac:dyDescent="0.25">
      <c r="B6" s="28" t="s">
        <v>47</v>
      </c>
      <c r="C6" s="28" t="s">
        <v>54</v>
      </c>
      <c r="D6" s="28" t="s">
        <v>55</v>
      </c>
      <c r="E6" s="28" t="s">
        <v>50</v>
      </c>
      <c r="F6" s="28" t="s">
        <v>88</v>
      </c>
    </row>
    <row r="7" spans="2:14" x14ac:dyDescent="0.25">
      <c r="B7" s="21" t="s">
        <v>53</v>
      </c>
      <c r="C7" s="33">
        <v>2000</v>
      </c>
      <c r="D7" s="47">
        <v>150</v>
      </c>
      <c r="E7" s="48">
        <f>D7*C7</f>
        <v>300000</v>
      </c>
      <c r="F7" s="48">
        <f>E7</f>
        <v>300000</v>
      </c>
    </row>
    <row r="8" spans="2:14" x14ac:dyDescent="0.25">
      <c r="B8" s="82" t="s">
        <v>81</v>
      </c>
      <c r="C8" s="82"/>
      <c r="D8" s="82"/>
      <c r="E8" s="82"/>
      <c r="F8" s="82"/>
    </row>
    <row r="9" spans="2:14" x14ac:dyDescent="0.25">
      <c r="B9" s="83" t="s">
        <v>140</v>
      </c>
      <c r="C9" s="83"/>
      <c r="D9" s="83"/>
      <c r="E9" s="83"/>
      <c r="F9" s="83"/>
    </row>
    <row r="10" spans="2:14" ht="67.5" customHeight="1" x14ac:dyDescent="0.25">
      <c r="J10" s="28" t="s">
        <v>47</v>
      </c>
      <c r="K10" s="28" t="s">
        <v>48</v>
      </c>
      <c r="L10" s="28" t="s">
        <v>49</v>
      </c>
      <c r="M10" s="28" t="s">
        <v>100</v>
      </c>
      <c r="N10" s="28" t="s">
        <v>88</v>
      </c>
    </row>
    <row r="11" spans="2:14" x14ac:dyDescent="0.25">
      <c r="E11" s="9">
        <f>D3*1850</f>
        <v>4162500</v>
      </c>
      <c r="J11" s="21" t="s">
        <v>56</v>
      </c>
      <c r="K11" s="21" t="s">
        <v>45</v>
      </c>
      <c r="L11" s="21" t="s">
        <v>45</v>
      </c>
      <c r="M11" s="47">
        <v>100000</v>
      </c>
      <c r="N11" s="47">
        <v>100000</v>
      </c>
    </row>
    <row r="12" spans="2:14" x14ac:dyDescent="0.25">
      <c r="J12" s="82" t="s">
        <v>81</v>
      </c>
      <c r="K12" s="82"/>
      <c r="L12" s="82"/>
      <c r="M12" s="82"/>
      <c r="N12" s="82"/>
    </row>
    <row r="13" spans="2:14" ht="30.75" customHeight="1" x14ac:dyDescent="0.25">
      <c r="J13" s="80" t="s">
        <v>141</v>
      </c>
      <c r="K13" s="81"/>
      <c r="L13" s="81"/>
      <c r="M13" s="81"/>
      <c r="N13" s="81"/>
    </row>
    <row r="15" spans="2:14" x14ac:dyDescent="0.25">
      <c r="G15" s="9">
        <f>F7+H3+Buildings!I7</f>
        <v>80163315.803913593</v>
      </c>
      <c r="J15" s="9">
        <f>M11+F7+H3+Buildings!I7</f>
        <v>80263315.803913593</v>
      </c>
    </row>
    <row r="20" spans="10:12" x14ac:dyDescent="0.25">
      <c r="J20">
        <v>10.78</v>
      </c>
    </row>
    <row r="21" spans="10:12" x14ac:dyDescent="0.25">
      <c r="J21">
        <f>J20*1.18</f>
        <v>12.720399999999998</v>
      </c>
      <c r="L21">
        <v>2200</v>
      </c>
    </row>
    <row r="22" spans="10:12" x14ac:dyDescent="0.25">
      <c r="J22">
        <f>J21*1.02</f>
        <v>12.974807999999998</v>
      </c>
      <c r="L22">
        <f>L21*1700</f>
        <v>3740000</v>
      </c>
    </row>
  </sheetData>
  <mergeCells count="4">
    <mergeCell ref="J13:N13"/>
    <mergeCell ref="J12:N12"/>
    <mergeCell ref="B8:F8"/>
    <mergeCell ref="B9:F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91CB9-2DAD-4AC2-BFA1-6A96C5DF04ED}">
  <dimension ref="B2:H41"/>
  <sheetViews>
    <sheetView workbookViewId="0">
      <selection activeCell="D46" sqref="D46"/>
    </sheetView>
  </sheetViews>
  <sheetFormatPr defaultRowHeight="15" x14ac:dyDescent="0.25"/>
  <cols>
    <col min="2" max="2" width="6.85546875" customWidth="1"/>
    <col min="3" max="3" width="22.7109375" customWidth="1"/>
    <col min="4" max="4" width="19" bestFit="1" customWidth="1"/>
    <col min="5" max="5" width="63.5703125" customWidth="1"/>
    <col min="6" max="6" width="10" bestFit="1" customWidth="1"/>
    <col min="9" max="9" width="41.28515625" bestFit="1" customWidth="1"/>
    <col min="12" max="12" width="15.5703125" bestFit="1" customWidth="1"/>
    <col min="13" max="13" width="10.42578125" bestFit="1" customWidth="1"/>
    <col min="14" max="14" width="32.5703125" customWidth="1"/>
  </cols>
  <sheetData>
    <row r="2" spans="2:6" x14ac:dyDescent="0.25">
      <c r="B2" s="35" t="s">
        <v>31</v>
      </c>
      <c r="C2" s="35" t="s">
        <v>82</v>
      </c>
      <c r="D2" s="35" t="s">
        <v>83</v>
      </c>
      <c r="E2" s="35" t="s">
        <v>85</v>
      </c>
    </row>
    <row r="3" spans="2:6" ht="50.25" customHeight="1" x14ac:dyDescent="0.25">
      <c r="B3" s="16">
        <v>1</v>
      </c>
      <c r="C3" s="19">
        <v>200000</v>
      </c>
      <c r="D3" s="40">
        <v>6000000000</v>
      </c>
      <c r="E3" s="50" t="s">
        <v>91</v>
      </c>
    </row>
    <row r="4" spans="2:6" ht="73.5" customHeight="1" x14ac:dyDescent="0.25">
      <c r="B4" s="16">
        <v>2</v>
      </c>
      <c r="C4" s="19">
        <v>9000</v>
      </c>
      <c r="D4" s="40">
        <v>220000000</v>
      </c>
      <c r="E4" s="51" t="s">
        <v>90</v>
      </c>
    </row>
    <row r="9" spans="2:6" x14ac:dyDescent="0.25">
      <c r="B9" s="35" t="s">
        <v>31</v>
      </c>
      <c r="C9" s="35" t="s">
        <v>47</v>
      </c>
      <c r="D9" s="35" t="s">
        <v>95</v>
      </c>
      <c r="E9" s="35" t="s">
        <v>84</v>
      </c>
    </row>
    <row r="10" spans="2:6" ht="18" customHeight="1" x14ac:dyDescent="0.25">
      <c r="B10" s="16">
        <v>1</v>
      </c>
      <c r="C10" s="31" t="s">
        <v>101</v>
      </c>
      <c r="D10" s="41">
        <v>64800000</v>
      </c>
      <c r="E10" s="86" t="s">
        <v>57</v>
      </c>
      <c r="F10">
        <f>29000*16500</f>
        <v>478500000</v>
      </c>
    </row>
    <row r="11" spans="2:6" ht="30" x14ac:dyDescent="0.25">
      <c r="B11" s="16">
        <v>2</v>
      </c>
      <c r="C11" s="31" t="s">
        <v>102</v>
      </c>
      <c r="D11" s="41">
        <v>31400000</v>
      </c>
      <c r="E11" s="86"/>
    </row>
    <row r="12" spans="2:6" ht="30" x14ac:dyDescent="0.25">
      <c r="B12" s="16">
        <v>3</v>
      </c>
      <c r="C12" s="31" t="s">
        <v>103</v>
      </c>
      <c r="D12" s="41">
        <v>3400000</v>
      </c>
      <c r="E12" s="86"/>
    </row>
    <row r="13" spans="2:6" ht="30" x14ac:dyDescent="0.25">
      <c r="B13" s="16">
        <v>4</v>
      </c>
      <c r="C13" s="31" t="s">
        <v>104</v>
      </c>
      <c r="D13" s="41">
        <v>23100000</v>
      </c>
      <c r="E13" s="86"/>
    </row>
    <row r="14" spans="2:6" x14ac:dyDescent="0.25">
      <c r="B14" s="16">
        <v>5</v>
      </c>
      <c r="C14" s="37" t="s">
        <v>105</v>
      </c>
      <c r="D14" s="41">
        <v>29000000</v>
      </c>
      <c r="E14" s="86"/>
    </row>
    <row r="15" spans="2:6" ht="30" x14ac:dyDescent="0.25">
      <c r="B15" s="16">
        <v>6</v>
      </c>
      <c r="C15" s="37" t="s">
        <v>106</v>
      </c>
      <c r="D15" s="41">
        <v>6800000</v>
      </c>
      <c r="E15" s="86"/>
    </row>
    <row r="16" spans="2:6" ht="35.25" customHeight="1" x14ac:dyDescent="0.25">
      <c r="B16" s="16">
        <v>7</v>
      </c>
      <c r="C16" s="37" t="s">
        <v>107</v>
      </c>
      <c r="D16" s="41">
        <v>12900000</v>
      </c>
      <c r="E16" s="86"/>
    </row>
    <row r="17" spans="2:5" x14ac:dyDescent="0.25">
      <c r="B17" s="16">
        <v>8</v>
      </c>
      <c r="C17" s="31" t="s">
        <v>108</v>
      </c>
      <c r="D17" s="41">
        <v>4800000</v>
      </c>
      <c r="E17" s="86"/>
    </row>
    <row r="18" spans="2:5" x14ac:dyDescent="0.25">
      <c r="B18" s="16">
        <v>9</v>
      </c>
      <c r="C18" s="31" t="s">
        <v>109</v>
      </c>
      <c r="D18" s="41">
        <v>11300000</v>
      </c>
      <c r="E18" s="86"/>
    </row>
    <row r="19" spans="2:5" ht="45" x14ac:dyDescent="0.25">
      <c r="B19" s="16">
        <v>10</v>
      </c>
      <c r="C19" s="31" t="s">
        <v>110</v>
      </c>
      <c r="D19" s="41">
        <v>13900000</v>
      </c>
      <c r="E19" s="86"/>
    </row>
    <row r="20" spans="2:5" ht="30" x14ac:dyDescent="0.25">
      <c r="B20" s="16">
        <v>11</v>
      </c>
      <c r="C20" s="31" t="s">
        <v>111</v>
      </c>
      <c r="D20" s="41">
        <v>16900000</v>
      </c>
      <c r="E20" s="86"/>
    </row>
    <row r="21" spans="2:5" ht="30" x14ac:dyDescent="0.25">
      <c r="B21" s="16">
        <v>12</v>
      </c>
      <c r="C21" s="37" t="s">
        <v>112</v>
      </c>
      <c r="D21" s="41">
        <f>0.24*10000000</f>
        <v>2400000</v>
      </c>
      <c r="E21" s="86"/>
    </row>
    <row r="22" spans="2:5" ht="30" x14ac:dyDescent="0.25">
      <c r="B22" s="16">
        <v>13</v>
      </c>
      <c r="C22" s="37" t="s">
        <v>113</v>
      </c>
      <c r="D22" s="41">
        <f>0.84*10^7</f>
        <v>8400000</v>
      </c>
      <c r="E22" s="86"/>
    </row>
    <row r="23" spans="2:5" ht="30" x14ac:dyDescent="0.25">
      <c r="B23" s="16">
        <v>14</v>
      </c>
      <c r="C23" s="37" t="s">
        <v>114</v>
      </c>
      <c r="D23" s="41">
        <f>1.16*10^7</f>
        <v>11600000</v>
      </c>
      <c r="E23" s="86"/>
    </row>
    <row r="24" spans="2:5" ht="30" x14ac:dyDescent="0.25">
      <c r="B24" s="16">
        <v>15</v>
      </c>
      <c r="C24" s="37" t="s">
        <v>115</v>
      </c>
      <c r="D24" s="41">
        <f>0.3*10^7</f>
        <v>3000000</v>
      </c>
      <c r="E24" s="86"/>
    </row>
    <row r="25" spans="2:5" ht="30" x14ac:dyDescent="0.25">
      <c r="B25" s="16">
        <v>16</v>
      </c>
      <c r="C25" s="37" t="s">
        <v>116</v>
      </c>
      <c r="D25" s="41">
        <f>0.02*10^7</f>
        <v>200000</v>
      </c>
      <c r="E25" s="86"/>
    </row>
    <row r="26" spans="2:5" ht="51.75" customHeight="1" x14ac:dyDescent="0.25">
      <c r="B26" s="16">
        <v>17</v>
      </c>
      <c r="C26" s="37" t="s">
        <v>117</v>
      </c>
      <c r="D26" s="41">
        <f>0.76*10^7</f>
        <v>7600000</v>
      </c>
      <c r="E26" s="86"/>
    </row>
    <row r="27" spans="2:5" ht="53.25" customHeight="1" x14ac:dyDescent="0.25">
      <c r="B27" s="16">
        <v>18</v>
      </c>
      <c r="C27" s="37" t="s">
        <v>118</v>
      </c>
      <c r="D27" s="41">
        <f>0.55*10^7</f>
        <v>5500000</v>
      </c>
      <c r="E27" s="86"/>
    </row>
    <row r="28" spans="2:5" ht="45" x14ac:dyDescent="0.25">
      <c r="B28" s="16">
        <v>19</v>
      </c>
      <c r="C28" s="37" t="s">
        <v>119</v>
      </c>
      <c r="D28" s="41">
        <f>0.08*10^7</f>
        <v>800000</v>
      </c>
      <c r="E28" s="86"/>
    </row>
    <row r="29" spans="2:5" ht="36.75" customHeight="1" x14ac:dyDescent="0.25">
      <c r="B29" s="16">
        <v>20</v>
      </c>
      <c r="C29" s="37" t="s">
        <v>120</v>
      </c>
      <c r="D29" s="41">
        <f>1.96*10^7</f>
        <v>19600000</v>
      </c>
      <c r="E29" s="86"/>
    </row>
    <row r="30" spans="2:5" ht="45" x14ac:dyDescent="0.25">
      <c r="B30" s="16">
        <v>21</v>
      </c>
      <c r="C30" s="37" t="s">
        <v>121</v>
      </c>
      <c r="D30" s="41">
        <f>3.56*10^7</f>
        <v>35600000</v>
      </c>
      <c r="E30" s="86"/>
    </row>
    <row r="31" spans="2:5" ht="45" x14ac:dyDescent="0.25">
      <c r="B31" s="16">
        <v>22</v>
      </c>
      <c r="C31" s="37" t="s">
        <v>122</v>
      </c>
      <c r="D31" s="41">
        <f>3.87*10^7</f>
        <v>38700000</v>
      </c>
      <c r="E31" s="86"/>
    </row>
    <row r="32" spans="2:5" ht="30.75" customHeight="1" x14ac:dyDescent="0.25">
      <c r="B32" s="16">
        <v>23</v>
      </c>
      <c r="C32" s="37" t="s">
        <v>123</v>
      </c>
      <c r="D32" s="41">
        <f>2.82*10^7</f>
        <v>28200000</v>
      </c>
      <c r="E32" s="86"/>
    </row>
    <row r="33" spans="2:8" ht="31.5" customHeight="1" x14ac:dyDescent="0.25">
      <c r="B33" s="16">
        <v>24</v>
      </c>
      <c r="C33" s="37" t="s">
        <v>124</v>
      </c>
      <c r="D33" s="41">
        <f>4.57*10^7</f>
        <v>45700000</v>
      </c>
      <c r="E33" s="86"/>
    </row>
    <row r="34" spans="2:8" ht="45" x14ac:dyDescent="0.25">
      <c r="B34" s="16">
        <v>25</v>
      </c>
      <c r="C34" s="37" t="s">
        <v>125</v>
      </c>
      <c r="D34" s="41">
        <f>3.37*10^7</f>
        <v>33700000</v>
      </c>
      <c r="E34" s="86"/>
    </row>
    <row r="35" spans="2:8" ht="45" x14ac:dyDescent="0.25">
      <c r="B35" s="16">
        <v>26</v>
      </c>
      <c r="C35" s="37" t="s">
        <v>126</v>
      </c>
      <c r="D35" s="41">
        <f>2.78*10^7</f>
        <v>27799999.999999996</v>
      </c>
      <c r="E35" s="86"/>
    </row>
    <row r="36" spans="2:8" x14ac:dyDescent="0.25">
      <c r="B36" s="16">
        <v>27</v>
      </c>
      <c r="C36" s="37" t="s">
        <v>127</v>
      </c>
      <c r="D36" s="41">
        <f>0.36*10^7</f>
        <v>3600000</v>
      </c>
      <c r="E36" s="86"/>
    </row>
    <row r="37" spans="2:8" x14ac:dyDescent="0.25">
      <c r="B37" s="84" t="s">
        <v>128</v>
      </c>
      <c r="C37" s="85"/>
      <c r="D37" s="52">
        <f>SUM(D10:D36)</f>
        <v>490700000</v>
      </c>
      <c r="E37" s="86"/>
    </row>
    <row r="38" spans="2:8" x14ac:dyDescent="0.25">
      <c r="B38" s="82" t="s">
        <v>81</v>
      </c>
      <c r="C38" s="82"/>
      <c r="D38" s="82"/>
      <c r="E38" s="82"/>
    </row>
    <row r="39" spans="2:8" ht="30.75" customHeight="1" x14ac:dyDescent="0.25">
      <c r="B39" s="74" t="s">
        <v>142</v>
      </c>
      <c r="C39" s="74"/>
      <c r="D39" s="74"/>
      <c r="E39" s="74"/>
    </row>
    <row r="40" spans="2:8" ht="30" customHeight="1" x14ac:dyDescent="0.25">
      <c r="B40" s="74" t="s">
        <v>143</v>
      </c>
      <c r="C40" s="74"/>
      <c r="D40" s="74"/>
      <c r="E40" s="74"/>
      <c r="H40" s="49"/>
    </row>
    <row r="41" spans="2:8" ht="47.25" customHeight="1" x14ac:dyDescent="0.25">
      <c r="B41" s="74" t="s">
        <v>129</v>
      </c>
      <c r="C41" s="74"/>
      <c r="D41" s="74"/>
      <c r="E41" s="74"/>
    </row>
  </sheetData>
  <mergeCells count="6">
    <mergeCell ref="B38:E38"/>
    <mergeCell ref="B39:E39"/>
    <mergeCell ref="B40:E40"/>
    <mergeCell ref="B41:E41"/>
    <mergeCell ref="B37:C37"/>
    <mergeCell ref="E10:E3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B4DDB-5351-4443-B896-FD0C238F1520}">
  <dimension ref="B2:P34"/>
  <sheetViews>
    <sheetView topLeftCell="A16" zoomScale="85" zoomScaleNormal="85" workbookViewId="0">
      <selection activeCell="I26" activeCellId="1" sqref="I12 I26"/>
    </sheetView>
  </sheetViews>
  <sheetFormatPr defaultRowHeight="15" x14ac:dyDescent="0.25"/>
  <cols>
    <col min="2" max="2" width="7.5703125" customWidth="1"/>
    <col min="3" max="3" width="27.85546875" customWidth="1"/>
    <col min="4" max="4" width="13.28515625" customWidth="1"/>
    <col min="5" max="5" width="13.42578125" customWidth="1"/>
    <col min="6" max="6" width="15.42578125" customWidth="1"/>
    <col min="7" max="7" width="13.5703125" customWidth="1"/>
    <col min="8" max="8" width="12.42578125" customWidth="1"/>
    <col min="9" max="9" width="13.42578125" customWidth="1"/>
    <col min="10" max="10" width="14.28515625" customWidth="1"/>
    <col min="12" max="13" width="13.28515625" bestFit="1" customWidth="1"/>
  </cols>
  <sheetData>
    <row r="2" spans="2:15" x14ac:dyDescent="0.25">
      <c r="B2" s="72" t="s">
        <v>147</v>
      </c>
      <c r="C2" s="72"/>
      <c r="D2" s="72"/>
      <c r="E2" s="72"/>
      <c r="F2" s="72"/>
      <c r="G2" s="72"/>
      <c r="H2" s="72"/>
      <c r="I2" s="72"/>
      <c r="J2" s="72"/>
    </row>
    <row r="3" spans="2:15" ht="75" customHeight="1" x14ac:dyDescent="0.25">
      <c r="B3" s="28" t="s">
        <v>131</v>
      </c>
      <c r="C3" s="28" t="s">
        <v>47</v>
      </c>
      <c r="D3" s="28" t="s">
        <v>61</v>
      </c>
      <c r="E3" s="28" t="s">
        <v>49</v>
      </c>
      <c r="F3" s="28" t="s">
        <v>144</v>
      </c>
      <c r="G3" s="28" t="s">
        <v>63</v>
      </c>
      <c r="H3" s="28" t="s">
        <v>64</v>
      </c>
      <c r="I3" s="28" t="s">
        <v>89</v>
      </c>
      <c r="J3" s="28" t="s">
        <v>145</v>
      </c>
      <c r="N3">
        <v>75.02</v>
      </c>
    </row>
    <row r="4" spans="2:15" x14ac:dyDescent="0.25">
      <c r="B4" s="16">
        <v>1</v>
      </c>
      <c r="C4" s="57" t="s">
        <v>60</v>
      </c>
      <c r="D4" s="21" t="s">
        <v>62</v>
      </c>
      <c r="E4" s="21">
        <v>2</v>
      </c>
      <c r="F4" s="58">
        <v>3200000</v>
      </c>
      <c r="G4" s="58">
        <f>F4*0.02</f>
        <v>64000</v>
      </c>
      <c r="H4" s="58">
        <f>F4*0.18</f>
        <v>576000</v>
      </c>
      <c r="I4" s="58">
        <f>H4+G4+F4</f>
        <v>3840000</v>
      </c>
      <c r="J4" s="58">
        <v>3000000</v>
      </c>
      <c r="N4">
        <v>3.15</v>
      </c>
      <c r="O4" s="34">
        <f>N4/N3</f>
        <v>4.1988802985870433E-2</v>
      </c>
    </row>
    <row r="5" spans="2:15" x14ac:dyDescent="0.25">
      <c r="B5" s="16">
        <v>2</v>
      </c>
      <c r="C5" s="57" t="s">
        <v>65</v>
      </c>
      <c r="D5" s="21" t="s">
        <v>45</v>
      </c>
      <c r="E5" s="21" t="s">
        <v>45</v>
      </c>
      <c r="F5" s="58">
        <v>500000</v>
      </c>
      <c r="G5" s="58">
        <f t="shared" ref="G5:G9" si="0">F5*0.02</f>
        <v>10000</v>
      </c>
      <c r="H5" s="58">
        <f>F5*0.18</f>
        <v>90000</v>
      </c>
      <c r="I5" s="58">
        <f>H5+G5+F5</f>
        <v>600000</v>
      </c>
      <c r="J5" s="58">
        <f>I5</f>
        <v>600000</v>
      </c>
      <c r="N5">
        <v>5.25</v>
      </c>
      <c r="O5" s="34">
        <f>N5/N3</f>
        <v>6.9981338309784064E-2</v>
      </c>
    </row>
    <row r="6" spans="2:15" x14ac:dyDescent="0.25">
      <c r="B6" s="16">
        <v>3</v>
      </c>
      <c r="C6" s="57" t="s">
        <v>66</v>
      </c>
      <c r="D6" s="21" t="s">
        <v>45</v>
      </c>
      <c r="E6" s="21">
        <v>1</v>
      </c>
      <c r="F6" s="58">
        <v>3000000</v>
      </c>
      <c r="G6" s="58">
        <f t="shared" si="0"/>
        <v>60000</v>
      </c>
      <c r="H6" s="58">
        <f>F6*0.18</f>
        <v>540000</v>
      </c>
      <c r="I6" s="58">
        <f>H6+G6+F6</f>
        <v>3600000</v>
      </c>
      <c r="J6" s="56" t="s">
        <v>45</v>
      </c>
      <c r="L6" s="65">
        <f>I6+I8+I9+I10+I11+I20+I21+I22+I23+I24+I25</f>
        <v>51034000</v>
      </c>
      <c r="N6">
        <v>3.65</v>
      </c>
      <c r="O6" s="34">
        <f>N6/N3</f>
        <v>4.8653692348707013E-2</v>
      </c>
    </row>
    <row r="7" spans="2:15" ht="48" customHeight="1" x14ac:dyDescent="0.25">
      <c r="B7" s="16">
        <v>4</v>
      </c>
      <c r="C7" s="59" t="s">
        <v>67</v>
      </c>
      <c r="D7" s="16" t="s">
        <v>68</v>
      </c>
      <c r="E7" s="16">
        <v>1</v>
      </c>
      <c r="F7" s="58">
        <v>500000</v>
      </c>
      <c r="G7" s="58">
        <v>0</v>
      </c>
      <c r="H7" s="58">
        <f>F7*0.18</f>
        <v>90000</v>
      </c>
      <c r="I7" s="58">
        <f>H7+F7</f>
        <v>590000</v>
      </c>
      <c r="J7" s="58">
        <f>I7</f>
        <v>590000</v>
      </c>
      <c r="L7" s="8"/>
    </row>
    <row r="8" spans="2:15" x14ac:dyDescent="0.25">
      <c r="B8" s="16">
        <v>5</v>
      </c>
      <c r="C8" s="57" t="s">
        <v>69</v>
      </c>
      <c r="D8" s="21" t="s">
        <v>45</v>
      </c>
      <c r="E8" s="16">
        <v>1</v>
      </c>
      <c r="F8" s="58">
        <v>3000000</v>
      </c>
      <c r="G8" s="58">
        <f t="shared" si="0"/>
        <v>60000</v>
      </c>
      <c r="H8" s="58">
        <f t="shared" ref="H8:H25" si="1">F8*0.18</f>
        <v>540000</v>
      </c>
      <c r="I8" s="58">
        <f t="shared" ref="I8:I25" si="2">H8+G8+F8</f>
        <v>3600000</v>
      </c>
      <c r="J8" s="56" t="s">
        <v>45</v>
      </c>
    </row>
    <row r="9" spans="2:15" x14ac:dyDescent="0.25">
      <c r="B9" s="16">
        <v>6</v>
      </c>
      <c r="C9" s="57" t="s">
        <v>70</v>
      </c>
      <c r="D9" s="21" t="s">
        <v>45</v>
      </c>
      <c r="E9" s="16">
        <v>1</v>
      </c>
      <c r="F9" s="58">
        <v>5000000</v>
      </c>
      <c r="G9" s="58">
        <f t="shared" si="0"/>
        <v>100000</v>
      </c>
      <c r="H9" s="58">
        <f t="shared" si="1"/>
        <v>900000</v>
      </c>
      <c r="I9" s="58">
        <f t="shared" si="2"/>
        <v>6000000</v>
      </c>
      <c r="J9" s="56" t="s">
        <v>45</v>
      </c>
    </row>
    <row r="10" spans="2:15" ht="47.25" customHeight="1" x14ac:dyDescent="0.25">
      <c r="B10" s="16">
        <v>7</v>
      </c>
      <c r="C10" s="31" t="s">
        <v>71</v>
      </c>
      <c r="D10" s="21" t="s">
        <v>45</v>
      </c>
      <c r="E10" s="16">
        <v>1</v>
      </c>
      <c r="F10" s="58">
        <v>1000000</v>
      </c>
      <c r="G10" s="58">
        <v>0</v>
      </c>
      <c r="H10" s="58">
        <f t="shared" si="1"/>
        <v>180000</v>
      </c>
      <c r="I10" s="58">
        <f t="shared" si="2"/>
        <v>1180000</v>
      </c>
      <c r="J10" s="56" t="s">
        <v>45</v>
      </c>
      <c r="O10">
        <v>24720000</v>
      </c>
    </row>
    <row r="11" spans="2:15" ht="29.25" customHeight="1" x14ac:dyDescent="0.25">
      <c r="B11" s="16">
        <v>8</v>
      </c>
      <c r="C11" s="31" t="s">
        <v>72</v>
      </c>
      <c r="D11" s="21" t="s">
        <v>45</v>
      </c>
      <c r="E11" s="16">
        <v>1</v>
      </c>
      <c r="F11" s="58">
        <v>500000</v>
      </c>
      <c r="G11" s="58">
        <v>0</v>
      </c>
      <c r="H11" s="58">
        <f t="shared" si="1"/>
        <v>90000</v>
      </c>
      <c r="I11" s="58">
        <f t="shared" si="2"/>
        <v>590000</v>
      </c>
      <c r="J11" s="56" t="s">
        <v>45</v>
      </c>
      <c r="O11">
        <v>1920000</v>
      </c>
    </row>
    <row r="12" spans="2:15" ht="15.75" customHeight="1" x14ac:dyDescent="0.25">
      <c r="B12" s="91" t="s">
        <v>146</v>
      </c>
      <c r="C12" s="92"/>
      <c r="D12" s="92"/>
      <c r="E12" s="93"/>
      <c r="F12" s="60">
        <f>SUM(F4:F11)</f>
        <v>16700000</v>
      </c>
      <c r="G12" s="60">
        <f>SUM(G4:G11)</f>
        <v>294000</v>
      </c>
      <c r="H12" s="60">
        <f>SUM(H4:H11)</f>
        <v>3006000</v>
      </c>
      <c r="I12" s="60">
        <f>SUM(I4:I11)</f>
        <v>20000000</v>
      </c>
      <c r="J12" s="55">
        <f>SUM(J7+J5+J4)</f>
        <v>4190000</v>
      </c>
      <c r="L12" s="65">
        <f>J12+J26</f>
        <v>10130000</v>
      </c>
    </row>
    <row r="13" spans="2:15" ht="29.25" customHeight="1" x14ac:dyDescent="0.25">
      <c r="B13" s="62"/>
      <c r="C13" s="62"/>
      <c r="D13" s="62"/>
      <c r="E13" s="62"/>
      <c r="F13" s="63"/>
      <c r="G13" s="63"/>
      <c r="H13" s="63"/>
      <c r="I13" s="63"/>
      <c r="J13" s="64"/>
      <c r="M13" s="65">
        <f>F12+F26</f>
        <v>52400000</v>
      </c>
    </row>
    <row r="14" spans="2:15" ht="29.25" customHeight="1" x14ac:dyDescent="0.25">
      <c r="B14" s="87" t="s">
        <v>148</v>
      </c>
      <c r="C14" s="87"/>
      <c r="D14" s="87"/>
      <c r="E14" s="87"/>
      <c r="F14" s="87"/>
      <c r="G14" s="87"/>
      <c r="H14" s="87"/>
      <c r="I14" s="87"/>
      <c r="J14" s="87"/>
    </row>
    <row r="15" spans="2:15" ht="51.75" customHeight="1" x14ac:dyDescent="0.25">
      <c r="B15" s="61" t="s">
        <v>131</v>
      </c>
      <c r="C15" s="61" t="s">
        <v>47</v>
      </c>
      <c r="D15" s="61" t="s">
        <v>61</v>
      </c>
      <c r="E15" s="61" t="s">
        <v>49</v>
      </c>
      <c r="F15" s="61" t="s">
        <v>144</v>
      </c>
      <c r="G15" s="61" t="s">
        <v>63</v>
      </c>
      <c r="H15" s="61" t="s">
        <v>64</v>
      </c>
      <c r="I15" s="61" t="s">
        <v>89</v>
      </c>
      <c r="J15" s="61" t="s">
        <v>145</v>
      </c>
      <c r="L15" s="65">
        <f>F12+F26</f>
        <v>52400000</v>
      </c>
    </row>
    <row r="16" spans="2:15" x14ac:dyDescent="0.25">
      <c r="B16" s="16">
        <v>1</v>
      </c>
      <c r="C16" s="22" t="s">
        <v>73</v>
      </c>
      <c r="D16" s="22"/>
      <c r="E16" s="16">
        <v>1</v>
      </c>
      <c r="F16" s="41">
        <v>2900000</v>
      </c>
      <c r="G16" s="41">
        <f t="shared" ref="G16" si="3">F16*0.02</f>
        <v>58000</v>
      </c>
      <c r="H16" s="41">
        <f t="shared" si="1"/>
        <v>522000</v>
      </c>
      <c r="I16" s="41">
        <f t="shared" si="2"/>
        <v>3480000</v>
      </c>
      <c r="J16" s="41">
        <f>I16</f>
        <v>3480000</v>
      </c>
      <c r="O16">
        <f>O10-O11</f>
        <v>22800000</v>
      </c>
    </row>
    <row r="17" spans="2:16" x14ac:dyDescent="0.25">
      <c r="B17" s="16">
        <v>2</v>
      </c>
      <c r="C17" s="22" t="s">
        <v>74</v>
      </c>
      <c r="D17" s="22"/>
      <c r="E17" s="16">
        <v>1</v>
      </c>
      <c r="F17" s="41">
        <v>1200000</v>
      </c>
      <c r="G17" s="41">
        <v>0</v>
      </c>
      <c r="H17" s="41">
        <f t="shared" si="1"/>
        <v>216000</v>
      </c>
      <c r="I17" s="41">
        <f t="shared" si="2"/>
        <v>1416000</v>
      </c>
      <c r="J17" s="48">
        <f>I17</f>
        <v>1416000</v>
      </c>
      <c r="M17">
        <v>1655</v>
      </c>
    </row>
    <row r="18" spans="2:16" x14ac:dyDescent="0.25">
      <c r="B18" s="16">
        <v>3</v>
      </c>
      <c r="C18" s="22" t="s">
        <v>75</v>
      </c>
      <c r="D18" s="22"/>
      <c r="E18" s="16">
        <v>2</v>
      </c>
      <c r="F18" s="41">
        <v>100000</v>
      </c>
      <c r="G18" s="41">
        <v>0</v>
      </c>
      <c r="H18" s="41">
        <v>0</v>
      </c>
      <c r="I18" s="41">
        <f t="shared" si="2"/>
        <v>100000</v>
      </c>
      <c r="J18" s="48">
        <f>I18</f>
        <v>100000</v>
      </c>
      <c r="M18">
        <f>M17*1.18</f>
        <v>1952.8999999999999</v>
      </c>
    </row>
    <row r="19" spans="2:16" x14ac:dyDescent="0.25">
      <c r="B19" s="16">
        <v>4</v>
      </c>
      <c r="C19" s="22" t="s">
        <v>76</v>
      </c>
      <c r="D19" s="22"/>
      <c r="E19" s="16">
        <v>1</v>
      </c>
      <c r="F19" s="41">
        <v>800000</v>
      </c>
      <c r="G19" s="41">
        <v>0</v>
      </c>
      <c r="H19" s="41">
        <f t="shared" si="1"/>
        <v>144000</v>
      </c>
      <c r="I19" s="41">
        <f t="shared" si="2"/>
        <v>944000</v>
      </c>
      <c r="J19" s="48">
        <f>I19</f>
        <v>944000</v>
      </c>
      <c r="M19">
        <f>M18*1.02</f>
        <v>1991.9579999999999</v>
      </c>
    </row>
    <row r="20" spans="2:16" x14ac:dyDescent="0.25">
      <c r="B20" s="16">
        <v>5</v>
      </c>
      <c r="C20" s="22" t="s">
        <v>66</v>
      </c>
      <c r="D20" s="22"/>
      <c r="E20" s="16">
        <v>1</v>
      </c>
      <c r="F20" s="41">
        <v>3300000</v>
      </c>
      <c r="G20" s="41">
        <f t="shared" ref="G20:G24" si="4">F20*0.02</f>
        <v>66000</v>
      </c>
      <c r="H20" s="41">
        <f>F19*0.18</f>
        <v>144000</v>
      </c>
      <c r="I20" s="41">
        <f t="shared" si="2"/>
        <v>3510000</v>
      </c>
      <c r="J20" s="40" t="s">
        <v>45</v>
      </c>
    </row>
    <row r="21" spans="2:16" x14ac:dyDescent="0.25">
      <c r="B21" s="16">
        <v>6</v>
      </c>
      <c r="C21" s="22" t="s">
        <v>77</v>
      </c>
      <c r="D21" s="22"/>
      <c r="E21" s="16">
        <v>1</v>
      </c>
      <c r="F21" s="41">
        <v>6000000</v>
      </c>
      <c r="G21" s="41">
        <f t="shared" si="4"/>
        <v>120000</v>
      </c>
      <c r="H21" s="41">
        <f>F20*0.18</f>
        <v>594000</v>
      </c>
      <c r="I21" s="41">
        <f t="shared" si="2"/>
        <v>6714000</v>
      </c>
      <c r="J21" s="40" t="s">
        <v>45</v>
      </c>
    </row>
    <row r="22" spans="2:16" x14ac:dyDescent="0.25">
      <c r="B22" s="16">
        <v>7</v>
      </c>
      <c r="C22" s="22" t="s">
        <v>70</v>
      </c>
      <c r="D22" s="22"/>
      <c r="E22" s="16">
        <v>1</v>
      </c>
      <c r="F22" s="41">
        <v>5000000</v>
      </c>
      <c r="G22" s="41">
        <f t="shared" si="4"/>
        <v>100000</v>
      </c>
      <c r="H22" s="41">
        <f>F21*0.18</f>
        <v>1080000</v>
      </c>
      <c r="I22" s="41">
        <f t="shared" si="2"/>
        <v>6180000</v>
      </c>
      <c r="J22" s="40" t="s">
        <v>45</v>
      </c>
      <c r="L22">
        <v>4000</v>
      </c>
    </row>
    <row r="23" spans="2:16" ht="60" x14ac:dyDescent="0.25">
      <c r="B23" s="16">
        <v>8</v>
      </c>
      <c r="C23" s="32" t="s">
        <v>78</v>
      </c>
      <c r="D23" s="22"/>
      <c r="E23" s="16">
        <v>1</v>
      </c>
      <c r="F23" s="41">
        <v>2500000</v>
      </c>
      <c r="G23" s="41">
        <f t="shared" si="4"/>
        <v>50000</v>
      </c>
      <c r="H23" s="41">
        <f t="shared" si="1"/>
        <v>450000</v>
      </c>
      <c r="I23" s="41">
        <f t="shared" si="2"/>
        <v>3000000</v>
      </c>
      <c r="J23" s="40" t="s">
        <v>45</v>
      </c>
      <c r="L23" s="65">
        <f>F26+G26+F12+G12+H12+H26</f>
        <v>62004000</v>
      </c>
      <c r="O23">
        <v>0.28999999999999998</v>
      </c>
      <c r="P23">
        <v>0.16</v>
      </c>
    </row>
    <row r="24" spans="2:16" ht="60" x14ac:dyDescent="0.25">
      <c r="B24" s="16">
        <v>9</v>
      </c>
      <c r="C24" s="32" t="s">
        <v>79</v>
      </c>
      <c r="D24" s="22"/>
      <c r="E24" s="16">
        <v>1</v>
      </c>
      <c r="F24" s="41">
        <v>12900000</v>
      </c>
      <c r="G24" s="41">
        <f t="shared" si="4"/>
        <v>258000</v>
      </c>
      <c r="H24" s="41">
        <f t="shared" si="1"/>
        <v>2322000</v>
      </c>
      <c r="I24" s="41">
        <f t="shared" si="2"/>
        <v>15480000</v>
      </c>
      <c r="J24" s="40" t="s">
        <v>45</v>
      </c>
      <c r="M24">
        <v>17199</v>
      </c>
      <c r="O24">
        <v>0.12</v>
      </c>
      <c r="P24">
        <v>0.05</v>
      </c>
    </row>
    <row r="25" spans="2:16" ht="27.75" customHeight="1" x14ac:dyDescent="0.25">
      <c r="B25" s="16">
        <v>10</v>
      </c>
      <c r="C25" s="32" t="s">
        <v>149</v>
      </c>
      <c r="D25" s="22"/>
      <c r="E25" s="16">
        <v>1</v>
      </c>
      <c r="F25" s="41">
        <v>1000000</v>
      </c>
      <c r="G25" s="41">
        <v>0</v>
      </c>
      <c r="H25" s="41">
        <f t="shared" si="1"/>
        <v>180000</v>
      </c>
      <c r="I25" s="41">
        <f t="shared" si="2"/>
        <v>1180000</v>
      </c>
      <c r="J25" s="40" t="s">
        <v>45</v>
      </c>
      <c r="M25">
        <f>M24*100</f>
        <v>1719900</v>
      </c>
      <c r="O25">
        <v>0.01</v>
      </c>
      <c r="P25">
        <v>0.3</v>
      </c>
    </row>
    <row r="26" spans="2:16" x14ac:dyDescent="0.25">
      <c r="B26" s="88" t="s">
        <v>10</v>
      </c>
      <c r="C26" s="89"/>
      <c r="D26" s="53"/>
      <c r="E26" s="53"/>
      <c r="F26" s="54">
        <f>SUM(F16:F25)</f>
        <v>35700000</v>
      </c>
      <c r="G26" s="54">
        <f>SUM(G16:G25)</f>
        <v>652000</v>
      </c>
      <c r="H26" s="54">
        <f>SUM(H16:H25)</f>
        <v>5652000</v>
      </c>
      <c r="I26" s="54">
        <f>SUM(I16:I25)</f>
        <v>42004000</v>
      </c>
      <c r="J26" s="54">
        <f>SUM(J16+J17+J18+J19)</f>
        <v>5940000</v>
      </c>
      <c r="O26">
        <v>0.16</v>
      </c>
      <c r="P26">
        <v>0.05</v>
      </c>
    </row>
    <row r="27" spans="2:16" x14ac:dyDescent="0.25">
      <c r="B27" s="82" t="s">
        <v>80</v>
      </c>
      <c r="C27" s="82"/>
      <c r="D27" s="82"/>
      <c r="E27" s="82"/>
      <c r="F27" s="82"/>
      <c r="G27" s="82"/>
      <c r="H27" s="82"/>
      <c r="I27" s="82"/>
      <c r="J27" s="82"/>
      <c r="M27">
        <f>3.73+0.95</f>
        <v>4.68</v>
      </c>
      <c r="O27">
        <v>0.08</v>
      </c>
      <c r="P27">
        <v>0.3</v>
      </c>
    </row>
    <row r="28" spans="2:16" ht="48" customHeight="1" x14ac:dyDescent="0.25">
      <c r="B28" s="90" t="s">
        <v>130</v>
      </c>
      <c r="C28" s="90"/>
      <c r="D28" s="90"/>
      <c r="E28" s="90"/>
      <c r="F28" s="90"/>
      <c r="G28" s="90"/>
      <c r="H28" s="90"/>
      <c r="I28" s="90"/>
      <c r="J28" s="90"/>
      <c r="O28">
        <v>0.33</v>
      </c>
      <c r="P28">
        <v>0.5</v>
      </c>
    </row>
    <row r="29" spans="2:16" x14ac:dyDescent="0.25">
      <c r="O29">
        <v>0.6</v>
      </c>
      <c r="P29">
        <v>0.1</v>
      </c>
    </row>
    <row r="30" spans="2:16" x14ac:dyDescent="0.25">
      <c r="K30">
        <f>522*2.06</f>
        <v>1075.32</v>
      </c>
      <c r="O30">
        <v>0.5</v>
      </c>
      <c r="P30">
        <v>0.05</v>
      </c>
    </row>
    <row r="31" spans="2:16" x14ac:dyDescent="0.25">
      <c r="O31">
        <v>0.25</v>
      </c>
    </row>
    <row r="32" spans="2:16" x14ac:dyDescent="0.25">
      <c r="C32">
        <f>0.19+0.06+0.37+0.06+0.37+0.6+0.12+0.06</f>
        <v>1.83</v>
      </c>
      <c r="O32">
        <v>1.29</v>
      </c>
    </row>
    <row r="33" spans="3:15" x14ac:dyDescent="0.25">
      <c r="C33">
        <f>0.35+0.14+0.02+0.19+0.09+0.4+0.72+0.6+0.31+1.56+0.12</f>
        <v>4.5</v>
      </c>
      <c r="O33">
        <v>0.1</v>
      </c>
    </row>
    <row r="34" spans="3:15" x14ac:dyDescent="0.25">
      <c r="C34">
        <f>C33+C32</f>
        <v>6.33</v>
      </c>
    </row>
  </sheetData>
  <mergeCells count="6">
    <mergeCell ref="B2:J2"/>
    <mergeCell ref="B14:J14"/>
    <mergeCell ref="B26:C26"/>
    <mergeCell ref="B27:J27"/>
    <mergeCell ref="B28:J28"/>
    <mergeCell ref="B12:E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C0101-D2F0-418D-96E9-97E82EFA7598}">
  <dimension ref="B2:E8"/>
  <sheetViews>
    <sheetView workbookViewId="0">
      <selection activeCell="D19" sqref="D19"/>
    </sheetView>
  </sheetViews>
  <sheetFormatPr defaultRowHeight="15" x14ac:dyDescent="0.25"/>
  <cols>
    <col min="2" max="2" width="6.85546875" customWidth="1"/>
    <col min="3" max="3" width="33.140625" customWidth="1"/>
    <col min="4" max="4" width="16.140625" customWidth="1"/>
    <col min="5" max="5" width="15.85546875" customWidth="1"/>
  </cols>
  <sheetData>
    <row r="2" spans="2:5" ht="26.25" customHeight="1" x14ac:dyDescent="0.25">
      <c r="B2" s="36" t="s">
        <v>131</v>
      </c>
      <c r="C2" s="36" t="s">
        <v>47</v>
      </c>
      <c r="D2" s="38" t="s">
        <v>95</v>
      </c>
      <c r="E2" s="38" t="s">
        <v>96</v>
      </c>
    </row>
    <row r="3" spans="2:5" x14ac:dyDescent="0.25">
      <c r="B3" s="21">
        <v>1</v>
      </c>
      <c r="C3" s="22" t="s">
        <v>92</v>
      </c>
      <c r="D3" s="48">
        <v>31500000</v>
      </c>
      <c r="E3" s="48">
        <f>D3</f>
        <v>31500000</v>
      </c>
    </row>
    <row r="4" spans="2:5" x14ac:dyDescent="0.25">
      <c r="B4" s="21">
        <v>2</v>
      </c>
      <c r="C4" s="22" t="s">
        <v>93</v>
      </c>
      <c r="D4" s="48">
        <v>52500000</v>
      </c>
      <c r="E4" s="48">
        <f t="shared" ref="E4:E5" si="0">D4</f>
        <v>52500000</v>
      </c>
    </row>
    <row r="5" spans="2:5" x14ac:dyDescent="0.25">
      <c r="B5" s="21">
        <v>3</v>
      </c>
      <c r="C5" s="22" t="s">
        <v>94</v>
      </c>
      <c r="D5" s="48">
        <v>36500000</v>
      </c>
      <c r="E5" s="48">
        <f t="shared" si="0"/>
        <v>36500000</v>
      </c>
    </row>
    <row r="6" spans="2:5" x14ac:dyDescent="0.25">
      <c r="B6" s="92" t="s">
        <v>10</v>
      </c>
      <c r="C6" s="93"/>
      <c r="D6" s="55">
        <f>SUM(D3:D5)</f>
        <v>120500000</v>
      </c>
      <c r="E6" s="55">
        <f>SUM(E3:E5)</f>
        <v>120500000</v>
      </c>
    </row>
    <row r="7" spans="2:5" x14ac:dyDescent="0.25">
      <c r="B7" s="82" t="s">
        <v>133</v>
      </c>
      <c r="C7" s="82"/>
      <c r="D7" s="82"/>
      <c r="E7" s="82"/>
    </row>
    <row r="8" spans="2:5" ht="47.25" customHeight="1" x14ac:dyDescent="0.25">
      <c r="B8" s="94" t="s">
        <v>132</v>
      </c>
      <c r="C8" s="94"/>
      <c r="D8" s="94"/>
      <c r="E8" s="94"/>
    </row>
  </sheetData>
  <mergeCells count="3">
    <mergeCell ref="B6:C6"/>
    <mergeCell ref="B7:E7"/>
    <mergeCell ref="B8:E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F812E-F371-4123-9F16-990A82777B57}">
  <dimension ref="A1"/>
  <sheetViews>
    <sheetView workbookViewId="0">
      <selection activeCell="H35" sqref="H34:H35"/>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Sheet2</vt:lpstr>
      <vt:lpstr>Summary</vt:lpstr>
      <vt:lpstr>Buildings</vt:lpstr>
      <vt:lpstr>Road, Dewatering work, Plants</vt:lpstr>
      <vt:lpstr>Main Machines</vt:lpstr>
      <vt:lpstr>Mis. Assets</vt:lpstr>
      <vt:lpstr>Contin., Margin Money, Prelimn </vt:lpstr>
      <vt:lpstr>Sheet6</vt:lpstr>
      <vt:lpstr>Sheet7</vt:lpstr>
      <vt:lpstr>Sheet8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Gaurav Sharma</dc:creator>
  <cp:lastModifiedBy>Manas Upmanyu</cp:lastModifiedBy>
  <dcterms:created xsi:type="dcterms:W3CDTF">2022-12-19T09:34:31Z</dcterms:created>
  <dcterms:modified xsi:type="dcterms:W3CDTF">2023-01-02T08:48:15Z</dcterms:modified>
</cp:coreProperties>
</file>