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Files For Review\Arup Banerjee\VIS(2022-23)-PL498-405-907_Gainwell\498(1)\uploads\VIS(2022-23)-PL498-405-907\PreparerReport\"/>
    </mc:Choice>
  </mc:AlternateContent>
  <bookViews>
    <workbookView xWindow="-120" yWindow="-120" windowWidth="21840" windowHeight="13140"/>
  </bookViews>
  <sheets>
    <sheet name="Sheet1" sheetId="1" r:id="rId1"/>
  </sheets>
  <definedNames>
    <definedName name="_xlnm._FilterDatabase" localSheetId="0" hidden="1">Sheet1!$B$3:$T$25</definedName>
    <definedName name="_xlnm.Print_Area" localSheetId="0">Sheet1!$B$1:$T$25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1" l="1"/>
  <c r="W25" i="1"/>
  <c r="W23" i="1"/>
  <c r="W21" i="1"/>
  <c r="W19" i="1"/>
  <c r="V21" i="1"/>
  <c r="U22" i="1" l="1"/>
  <c r="T34" i="1" l="1"/>
  <c r="T32" i="1"/>
  <c r="T31" i="1"/>
  <c r="P8" i="1"/>
  <c r="P16" i="1"/>
  <c r="P20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H21" i="1"/>
  <c r="H20" i="1"/>
  <c r="H19" i="1"/>
  <c r="H18" i="1"/>
  <c r="G18" i="1"/>
  <c r="P18" i="1" s="1"/>
  <c r="G20" i="1"/>
  <c r="F21" i="1"/>
  <c r="G21" i="1" s="1"/>
  <c r="P21" i="1" s="1"/>
  <c r="F20" i="1"/>
  <c r="F19" i="1"/>
  <c r="G19" i="1" s="1"/>
  <c r="P19" i="1" s="1"/>
  <c r="F18" i="1"/>
  <c r="H17" i="1"/>
  <c r="F17" i="1"/>
  <c r="G17" i="1" s="1"/>
  <c r="P17" i="1" s="1"/>
  <c r="F16" i="1"/>
  <c r="G16" i="1" s="1"/>
  <c r="H16" i="1"/>
  <c r="H15" i="1"/>
  <c r="F15" i="1"/>
  <c r="G15" i="1" s="1"/>
  <c r="P15" i="1" s="1"/>
  <c r="H14" i="1"/>
  <c r="F14" i="1"/>
  <c r="G14" i="1" s="1"/>
  <c r="P14" i="1" s="1"/>
  <c r="H13" i="1"/>
  <c r="F13" i="1"/>
  <c r="G13" i="1" s="1"/>
  <c r="P13" i="1" s="1"/>
  <c r="Q13" i="1" s="1"/>
  <c r="R13" i="1" s="1"/>
  <c r="T13" i="1" s="1"/>
  <c r="H12" i="1"/>
  <c r="G12" i="1"/>
  <c r="P12" i="1" s="1"/>
  <c r="Q12" i="1" s="1"/>
  <c r="R12" i="1" s="1"/>
  <c r="T12" i="1" s="1"/>
  <c r="F11" i="1"/>
  <c r="G11" i="1" s="1"/>
  <c r="P11" i="1" s="1"/>
  <c r="F12" i="1"/>
  <c r="H11" i="1"/>
  <c r="H10" i="1"/>
  <c r="F10" i="1"/>
  <c r="G10" i="1" s="1"/>
  <c r="P10" i="1" s="1"/>
  <c r="H9" i="1"/>
  <c r="F9" i="1"/>
  <c r="G9" i="1" s="1"/>
  <c r="P9" i="1" s="1"/>
  <c r="F8" i="1"/>
  <c r="G8" i="1" s="1"/>
  <c r="H8" i="1"/>
  <c r="H7" i="1"/>
  <c r="F7" i="1"/>
  <c r="G7" i="1" s="1"/>
  <c r="P7" i="1" s="1"/>
  <c r="F6" i="1"/>
  <c r="G6" i="1" s="1"/>
  <c r="P6" i="1" s="1"/>
  <c r="E28" i="1"/>
  <c r="H6" i="1"/>
  <c r="H5" i="1"/>
  <c r="F5" i="1"/>
  <c r="G5" i="1" s="1"/>
  <c r="P5" i="1" s="1"/>
  <c r="H4" i="1"/>
  <c r="F4" i="1"/>
  <c r="G4" i="1" s="1"/>
  <c r="P4" i="1" s="1"/>
  <c r="A53" i="1"/>
  <c r="A54" i="1" s="1"/>
  <c r="K44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V4" i="1"/>
  <c r="J32" i="1"/>
  <c r="N4" i="1"/>
  <c r="Q19" i="1" l="1"/>
  <c r="R19" i="1" s="1"/>
  <c r="T19" i="1" s="1"/>
  <c r="Q15" i="1"/>
  <c r="R15" i="1" s="1"/>
  <c r="T15" i="1" s="1"/>
  <c r="Q11" i="1"/>
  <c r="R11" i="1" s="1"/>
  <c r="T11" i="1" s="1"/>
  <c r="Q9" i="1"/>
  <c r="R9" i="1" s="1"/>
  <c r="T9" i="1" s="1"/>
  <c r="Q5" i="1"/>
  <c r="R5" i="1" s="1"/>
  <c r="T5" i="1" s="1"/>
  <c r="Q20" i="1"/>
  <c r="R20" i="1" s="1"/>
  <c r="T20" i="1" s="1"/>
  <c r="Q8" i="1"/>
  <c r="R8" i="1" s="1"/>
  <c r="T8" i="1" s="1"/>
  <c r="Q18" i="1"/>
  <c r="R18" i="1" s="1"/>
  <c r="T18" i="1" s="1"/>
  <c r="Q14" i="1"/>
  <c r="R14" i="1" s="1"/>
  <c r="T14" i="1" s="1"/>
  <c r="Q10" i="1"/>
  <c r="R10" i="1" s="1"/>
  <c r="T10" i="1" s="1"/>
  <c r="Q6" i="1"/>
  <c r="R6" i="1" s="1"/>
  <c r="T6" i="1" s="1"/>
  <c r="Q7" i="1"/>
  <c r="Q17" i="1"/>
  <c r="R17" i="1" s="1"/>
  <c r="T17" i="1" s="1"/>
  <c r="Q21" i="1"/>
  <c r="R21" i="1" s="1"/>
  <c r="T21" i="1" s="1"/>
  <c r="Q16" i="1"/>
  <c r="R16" i="1" s="1"/>
  <c r="T16" i="1" s="1"/>
  <c r="R7" i="1"/>
  <c r="T7" i="1" s="1"/>
  <c r="E49" i="1"/>
  <c r="E50" i="1" s="1"/>
  <c r="K47" i="1" s="1"/>
  <c r="P22" i="1"/>
  <c r="Q35" i="1"/>
  <c r="G22" i="1"/>
  <c r="F22" i="1"/>
  <c r="H29" i="1" s="1"/>
  <c r="M31" i="1"/>
  <c r="K4" i="1"/>
  <c r="V24" i="1" l="1"/>
  <c r="Q4" i="1"/>
  <c r="R4" i="1" s="1"/>
  <c r="R22" i="1" l="1"/>
  <c r="T4" i="1"/>
  <c r="T22" i="1" s="1"/>
</calcChain>
</file>

<file path=xl/sharedStrings.xml><?xml version="1.0" encoding="utf-8"?>
<sst xmlns="http://schemas.openxmlformats.org/spreadsheetml/2006/main" count="82" uniqueCount="52">
  <si>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</si>
  <si>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</si>
  <si>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</si>
  <si>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</si>
  <si>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</si>
  <si>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</si>
  <si>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</si>
  <si>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</si>
  <si>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</si>
  <si>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</si>
  <si>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</si>
  <si>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</si>
  <si>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</si>
  <si>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</si>
  <si>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</si>
  <si>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</si>
  <si>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</si>
  <si>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</si>
  <si>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</si>
  <si>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 xml:space="preserve">RCC framed building </t>
  </si>
  <si>
    <t>Ground Floor</t>
  </si>
  <si>
    <t>sq.mtr.</t>
  </si>
  <si>
    <t>Permissible Ground coverage 60%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</si>
  <si>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</si>
  <si>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 
</t>
    </r>
    <r>
      <rPr>
        <b/>
        <i/>
        <sz val="10"/>
        <rFont val="Calibri"/>
        <family val="2"/>
        <scheme val="minor"/>
      </rPr>
      <t>(in sq.ft.)</t>
    </r>
  </si>
  <si>
    <t>Security Room</t>
  </si>
  <si>
    <t>Meter Reading Room</t>
  </si>
  <si>
    <t>Admin Office</t>
  </si>
  <si>
    <t>G+1</t>
  </si>
  <si>
    <t>Switch Gear Room</t>
  </si>
  <si>
    <t>Training Building</t>
  </si>
  <si>
    <t>GI Shed mounted on iron trusses with brick wall</t>
  </si>
  <si>
    <t>ABC Training centre</t>
  </si>
  <si>
    <t>Fire Control Room</t>
  </si>
  <si>
    <t>RCC</t>
  </si>
  <si>
    <t>Dynamometer
Room</t>
  </si>
  <si>
    <t>Paint Shop</t>
  </si>
  <si>
    <t>Wash Pad</t>
  </si>
  <si>
    <t>Canteen, Locker, Toilet</t>
  </si>
  <si>
    <t>Compressor Room</t>
  </si>
  <si>
    <t>Dispatch Room</t>
  </si>
  <si>
    <t>Asbestos Shed &amp; Brick wall</t>
  </si>
  <si>
    <t>HYM Room</t>
  </si>
  <si>
    <t>Workshop Shed</t>
  </si>
  <si>
    <t>Warehouse</t>
  </si>
  <si>
    <t>Reception Area</t>
  </si>
  <si>
    <t>Shed Gear Room</t>
  </si>
  <si>
    <t>2. The valuation is done by considering the depreciated replacement cost approach.</t>
  </si>
  <si>
    <t>BUILDING VALUATION OF M/S. GAINWELL COMMOSALES PRIVATE LIMITED| ASANSOL| WEST BENGAL</t>
  </si>
  <si>
    <t>FAR</t>
  </si>
  <si>
    <t>Ground coverage</t>
  </si>
  <si>
    <r>
      <t xml:space="preserve">Total Height of building </t>
    </r>
    <r>
      <rPr>
        <b/>
        <i/>
        <sz val="10"/>
        <rFont val="Calibri"/>
        <family val="2"/>
        <scheme val="minor"/>
      </rPr>
      <t>(in 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</si>
</sst>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0" xfId="0" applyFont="1"/>
    <xf numFmtId="1" fontId="0" fillId="0" borderId="0" xfId="0" applyNumberFormat="1"/>
    <xf numFmtId="0" fontId="2" fillId="5" borderId="1" xfId="0" applyFont="1" applyFill="1" applyBorder="1"/>
    <xf numFmtId="1" fontId="2" fillId="6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9" fontId="0" fillId="0" borderId="0" xfId="0" applyNumberFormat="1"/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4"/>
  <sheetViews>
    <sheetView tabSelected="1" topLeftCell="F1" zoomScale="85" zoomScaleNormal="85" zoomScaleSheetLayoutView="85" workbookViewId="0">
      <pane ySplit="3" topLeftCell="A19" activePane="bottomLeft" state="frozen"/>
      <selection pane="bottomLeft" activeCell="W26" sqref="W26"/>
    </sheetView>
  </sheetViews>
  <sheetFormatPr defaultRowHeight="15" x14ac:dyDescent="0.25"/>
  <cols>
    <col min="1" max="1" width="9.85546875" customWidth="1"/>
    <col min="2" max="2" width="9.28515625" customWidth="1"/>
    <col min="3" max="4" width="14.7109375" style="15" customWidth="1"/>
    <col min="5" max="5" width="17.7109375" style="15" customWidth="1"/>
    <col min="6" max="6" width="15.7109375" customWidth="1"/>
    <col min="7" max="7" width="10.7109375" customWidth="1"/>
    <col min="8" max="8" width="17.42578125" customWidth="1"/>
    <col min="9" max="9" width="17.140625" customWidth="1"/>
    <col min="10" max="10" width="11.140625" customWidth="1"/>
    <col min="11" max="11" width="9.7109375" customWidth="1"/>
    <col min="12" max="12" width="10.5703125" customWidth="1"/>
    <col min="13" max="13" width="7.7109375" hidden="1" customWidth="1"/>
    <col min="14" max="14" width="12.42578125" hidden="1" customWidth="1"/>
    <col min="15" max="15" width="10.85546875" customWidth="1"/>
    <col min="16" max="16" width="19.28515625" customWidth="1"/>
    <col min="17" max="17" width="15.7109375" customWidth="1"/>
    <col min="18" max="18" width="19.85546875" hidden="1" customWidth="1"/>
    <col min="19" max="19" width="10.85546875" hidden="1" customWidth="1"/>
    <col min="20" max="20" width="19.28515625" customWidth="1"/>
    <col min="21" max="21" width="11.5703125" bestFit="1" customWidth="1"/>
    <col min="22" max="22" width="14.28515625" bestFit="1" customWidth="1"/>
    <col min="23" max="23" width="23.5703125" customWidth="1"/>
  </cols>
  <sheetData>
    <row r="2" spans="2:23" ht="31.5" customHeight="1" x14ac:dyDescent="0.25">
      <c r="B2" s="27" t="s">
        <v>48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3" s="12" customFormat="1" ht="102" customHeight="1" x14ac:dyDescent="0.25">
      <c r="B3" s="10" t="s">
        <v>0</v>
      </c>
      <c r="C3" s="11" t="s">
        <v>11</v>
      </c>
      <c r="D3" s="11" t="s">
        <v>1</v>
      </c>
      <c r="E3" s="11" t="s">
        <v>4</v>
      </c>
      <c r="F3" s="11" t="s">
        <v>23</v>
      </c>
      <c r="G3" s="11" t="s">
        <v>24</v>
      </c>
      <c r="H3" s="11" t="s">
        <v>51</v>
      </c>
      <c r="I3" s="11" t="s">
        <v>2</v>
      </c>
      <c r="J3" s="11" t="s">
        <v>3</v>
      </c>
      <c r="K3" s="11" t="s">
        <v>15</v>
      </c>
      <c r="L3" s="11" t="s">
        <v>16</v>
      </c>
      <c r="M3" s="11" t="s">
        <v>5</v>
      </c>
      <c r="N3" s="11" t="s">
        <v>7</v>
      </c>
      <c r="O3" s="11" t="s">
        <v>17</v>
      </c>
      <c r="P3" s="11" t="s">
        <v>12</v>
      </c>
      <c r="Q3" s="11" t="s">
        <v>8</v>
      </c>
      <c r="R3" s="11" t="s">
        <v>9</v>
      </c>
      <c r="S3" s="11" t="s">
        <v>14</v>
      </c>
      <c r="T3" s="11" t="s">
        <v>10</v>
      </c>
      <c r="V3" s="16" t="s">
        <v>21</v>
      </c>
    </row>
    <row r="4" spans="2:23" s="12" customFormat="1" ht="32.25" customHeight="1" x14ac:dyDescent="0.25">
      <c r="B4" s="1">
        <v>1</v>
      </c>
      <c r="C4" s="14" t="s">
        <v>25</v>
      </c>
      <c r="D4" s="14" t="s">
        <v>20</v>
      </c>
      <c r="E4" s="14" t="s">
        <v>19</v>
      </c>
      <c r="F4" s="8">
        <f>4.45*2.96</f>
        <v>13.172000000000001</v>
      </c>
      <c r="G4" s="8">
        <f t="shared" ref="G4:G17" si="0">F4*10.764</f>
        <v>141.78340800000001</v>
      </c>
      <c r="H4" s="8">
        <f>4.16*3.28</f>
        <v>13.6448</v>
      </c>
      <c r="I4" s="1">
        <v>2007</v>
      </c>
      <c r="J4" s="1">
        <v>2023</v>
      </c>
      <c r="K4" s="1">
        <f>J4-I4</f>
        <v>16</v>
      </c>
      <c r="L4" s="1">
        <v>60</v>
      </c>
      <c r="M4" s="2">
        <v>0.1</v>
      </c>
      <c r="N4" s="4">
        <f>(1-M4)/L4</f>
        <v>1.5000000000000001E-2</v>
      </c>
      <c r="O4" s="5">
        <v>1200</v>
      </c>
      <c r="P4" s="5">
        <f>O4*G4</f>
        <v>170140.08960000001</v>
      </c>
      <c r="Q4" s="5">
        <f t="shared" ref="Q4:Q21" si="1">P4*N4*K4</f>
        <v>40833.621504000002</v>
      </c>
      <c r="R4" s="5">
        <f t="shared" ref="R4:R21" si="2">MAX(P4-Q4,0)</f>
        <v>129306.468096</v>
      </c>
      <c r="S4" s="9">
        <v>0</v>
      </c>
      <c r="T4" s="5">
        <f t="shared" ref="T4:T21" si="3">IF(R4&gt;M4*P4,R4*(1-S4),P4*M4)</f>
        <v>129306.468096</v>
      </c>
      <c r="V4" s="17">
        <f>450*0.6</f>
        <v>270</v>
      </c>
      <c r="W4" s="18" t="s">
        <v>22</v>
      </c>
    </row>
    <row r="5" spans="2:23" s="12" customFormat="1" ht="32.25" customHeight="1" x14ac:dyDescent="0.25">
      <c r="B5" s="1">
        <v>2</v>
      </c>
      <c r="C5" s="14" t="s">
        <v>26</v>
      </c>
      <c r="D5" s="14" t="s">
        <v>20</v>
      </c>
      <c r="E5" s="14" t="s">
        <v>19</v>
      </c>
      <c r="F5" s="8">
        <f>5.3*4.4</f>
        <v>23.32</v>
      </c>
      <c r="G5" s="8">
        <f t="shared" si="0"/>
        <v>251.01648</v>
      </c>
      <c r="H5" s="8">
        <f>4.16*3.28</f>
        <v>13.6448</v>
      </c>
      <c r="I5" s="1">
        <v>2007</v>
      </c>
      <c r="J5" s="1">
        <v>2023</v>
      </c>
      <c r="K5" s="1">
        <f t="shared" ref="K5:K21" si="4">J5-I5</f>
        <v>16</v>
      </c>
      <c r="L5" s="1">
        <v>60</v>
      </c>
      <c r="M5" s="2">
        <v>0.1</v>
      </c>
      <c r="N5" s="4">
        <f t="shared" ref="N5:N21" si="5">(1-M5)/L5</f>
        <v>1.5000000000000001E-2</v>
      </c>
      <c r="O5" s="5">
        <v>1200</v>
      </c>
      <c r="P5" s="5">
        <f t="shared" ref="P5:P21" si="6">O5*G5</f>
        <v>301219.77600000001</v>
      </c>
      <c r="Q5" s="5">
        <f t="shared" si="1"/>
        <v>72292.746240000008</v>
      </c>
      <c r="R5" s="5">
        <f t="shared" si="2"/>
        <v>228927.02976</v>
      </c>
      <c r="S5" s="9">
        <v>0</v>
      </c>
      <c r="T5" s="5">
        <f t="shared" si="3"/>
        <v>228927.02976</v>
      </c>
      <c r="V5" s="17"/>
      <c r="W5" s="18"/>
    </row>
    <row r="6" spans="2:23" s="12" customFormat="1" ht="32.25" customHeight="1" x14ac:dyDescent="0.25">
      <c r="B6" s="1">
        <v>3</v>
      </c>
      <c r="C6" s="14" t="s">
        <v>27</v>
      </c>
      <c r="D6" s="14" t="s">
        <v>28</v>
      </c>
      <c r="E6" s="14" t="s">
        <v>19</v>
      </c>
      <c r="F6" s="8">
        <f>2395*2</f>
        <v>4790</v>
      </c>
      <c r="G6" s="8">
        <f t="shared" si="0"/>
        <v>51559.56</v>
      </c>
      <c r="H6" s="8">
        <f>3.28*6.4</f>
        <v>20.992000000000001</v>
      </c>
      <c r="I6" s="1">
        <v>2007</v>
      </c>
      <c r="J6" s="1">
        <v>2023</v>
      </c>
      <c r="K6" s="1">
        <f t="shared" si="4"/>
        <v>16</v>
      </c>
      <c r="L6" s="1">
        <v>60</v>
      </c>
      <c r="M6" s="2">
        <v>0.1</v>
      </c>
      <c r="N6" s="4">
        <f t="shared" si="5"/>
        <v>1.5000000000000001E-2</v>
      </c>
      <c r="O6" s="5">
        <v>1500</v>
      </c>
      <c r="P6" s="5">
        <f t="shared" si="6"/>
        <v>77339340</v>
      </c>
      <c r="Q6" s="5">
        <f t="shared" si="1"/>
        <v>18561441.600000001</v>
      </c>
      <c r="R6" s="5">
        <f t="shared" si="2"/>
        <v>58777898.399999999</v>
      </c>
      <c r="S6" s="9">
        <v>0</v>
      </c>
      <c r="T6" s="5">
        <f t="shared" si="3"/>
        <v>58777898.399999999</v>
      </c>
      <c r="V6" s="17"/>
      <c r="W6" s="18"/>
    </row>
    <row r="7" spans="2:23" s="12" customFormat="1" ht="32.25" customHeight="1" x14ac:dyDescent="0.25">
      <c r="B7" s="1">
        <v>4</v>
      </c>
      <c r="C7" s="14" t="s">
        <v>29</v>
      </c>
      <c r="D7" s="14" t="s">
        <v>20</v>
      </c>
      <c r="E7" s="14" t="s">
        <v>19</v>
      </c>
      <c r="F7" s="8">
        <f>4.47*4.15</f>
        <v>18.5505</v>
      </c>
      <c r="G7" s="8">
        <f t="shared" si="0"/>
        <v>199.67758199999997</v>
      </c>
      <c r="H7" s="8">
        <f>3.28*4.16</f>
        <v>13.6448</v>
      </c>
      <c r="I7" s="1">
        <v>2007</v>
      </c>
      <c r="J7" s="1">
        <v>2023</v>
      </c>
      <c r="K7" s="1">
        <f t="shared" si="4"/>
        <v>16</v>
      </c>
      <c r="L7" s="1">
        <v>60</v>
      </c>
      <c r="M7" s="2">
        <v>0.1</v>
      </c>
      <c r="N7" s="4">
        <f t="shared" si="5"/>
        <v>1.5000000000000001E-2</v>
      </c>
      <c r="O7" s="5">
        <v>1200</v>
      </c>
      <c r="P7" s="5">
        <f t="shared" si="6"/>
        <v>239613.09839999996</v>
      </c>
      <c r="Q7" s="5">
        <f t="shared" si="1"/>
        <v>57507.143615999994</v>
      </c>
      <c r="R7" s="5">
        <f t="shared" si="2"/>
        <v>182105.95478399997</v>
      </c>
      <c r="S7" s="9">
        <v>0</v>
      </c>
      <c r="T7" s="5">
        <f t="shared" si="3"/>
        <v>182105.95478399997</v>
      </c>
      <c r="V7" s="17"/>
      <c r="W7" s="18"/>
    </row>
    <row r="8" spans="2:23" s="12" customFormat="1" ht="54.75" customHeight="1" x14ac:dyDescent="0.25">
      <c r="B8" s="1">
        <v>5</v>
      </c>
      <c r="C8" s="14" t="s">
        <v>30</v>
      </c>
      <c r="D8" s="14" t="s">
        <v>28</v>
      </c>
      <c r="E8" s="14" t="s">
        <v>19</v>
      </c>
      <c r="F8" s="8">
        <f>2*(21.7*16.7)</f>
        <v>724.78</v>
      </c>
      <c r="G8" s="8">
        <f t="shared" si="0"/>
        <v>7801.5319199999994</v>
      </c>
      <c r="H8" s="8">
        <f>5*3.28</f>
        <v>16.399999999999999</v>
      </c>
      <c r="I8" s="1">
        <v>2019</v>
      </c>
      <c r="J8" s="1">
        <v>2023</v>
      </c>
      <c r="K8" s="1">
        <f t="shared" si="4"/>
        <v>4</v>
      </c>
      <c r="L8" s="1">
        <v>60</v>
      </c>
      <c r="M8" s="2">
        <v>0.1</v>
      </c>
      <c r="N8" s="4">
        <f t="shared" si="5"/>
        <v>1.5000000000000001E-2</v>
      </c>
      <c r="O8" s="5">
        <v>1400</v>
      </c>
      <c r="P8" s="5">
        <f t="shared" si="6"/>
        <v>10922144.687999999</v>
      </c>
      <c r="Q8" s="5">
        <f t="shared" si="1"/>
        <v>655328.68128000002</v>
      </c>
      <c r="R8" s="5">
        <f t="shared" si="2"/>
        <v>10266816.006719999</v>
      </c>
      <c r="S8" s="9">
        <v>0</v>
      </c>
      <c r="T8" s="5">
        <f t="shared" si="3"/>
        <v>10266816.006719999</v>
      </c>
      <c r="V8" s="17"/>
      <c r="W8" s="18"/>
    </row>
    <row r="9" spans="2:23" s="12" customFormat="1" ht="55.5" customHeight="1" x14ac:dyDescent="0.25">
      <c r="B9" s="1">
        <v>6</v>
      </c>
      <c r="C9" s="14" t="s">
        <v>32</v>
      </c>
      <c r="D9" s="14" t="s">
        <v>20</v>
      </c>
      <c r="E9" s="14" t="s">
        <v>31</v>
      </c>
      <c r="F9" s="8">
        <f>24.2*18.7</f>
        <v>452.53999999999996</v>
      </c>
      <c r="G9" s="8">
        <f t="shared" si="0"/>
        <v>4871.1405599999989</v>
      </c>
      <c r="H9" s="8">
        <f>10.6*3.28</f>
        <v>34.767999999999994</v>
      </c>
      <c r="I9" s="1">
        <v>2019</v>
      </c>
      <c r="J9" s="1">
        <v>2023</v>
      </c>
      <c r="K9" s="1">
        <f t="shared" si="4"/>
        <v>4</v>
      </c>
      <c r="L9" s="1">
        <v>40</v>
      </c>
      <c r="M9" s="2">
        <v>0.1</v>
      </c>
      <c r="N9" s="4">
        <f t="shared" si="5"/>
        <v>2.2499999999999999E-2</v>
      </c>
      <c r="O9" s="5">
        <v>1400</v>
      </c>
      <c r="P9" s="5">
        <f t="shared" si="6"/>
        <v>6819596.7839999981</v>
      </c>
      <c r="Q9" s="5">
        <f t="shared" si="1"/>
        <v>613763.7105599998</v>
      </c>
      <c r="R9" s="5">
        <f t="shared" si="2"/>
        <v>6205833.0734399986</v>
      </c>
      <c r="S9" s="9">
        <v>0</v>
      </c>
      <c r="T9" s="5">
        <f t="shared" si="3"/>
        <v>6205833.0734399986</v>
      </c>
      <c r="V9" s="17"/>
      <c r="W9" s="18"/>
    </row>
    <row r="10" spans="2:23" s="12" customFormat="1" ht="32.25" customHeight="1" x14ac:dyDescent="0.25">
      <c r="B10" s="1">
        <v>7</v>
      </c>
      <c r="C10" s="14" t="s">
        <v>33</v>
      </c>
      <c r="D10" s="14" t="s">
        <v>20</v>
      </c>
      <c r="E10" s="14" t="s">
        <v>34</v>
      </c>
      <c r="F10" s="8">
        <f>6.4*5.7</f>
        <v>36.480000000000004</v>
      </c>
      <c r="G10" s="8">
        <f t="shared" si="0"/>
        <v>392.67072000000002</v>
      </c>
      <c r="H10" s="8">
        <f>3.28*3.5</f>
        <v>11.479999999999999</v>
      </c>
      <c r="I10" s="1">
        <v>2007</v>
      </c>
      <c r="J10" s="1">
        <v>2023</v>
      </c>
      <c r="K10" s="1">
        <f t="shared" si="4"/>
        <v>16</v>
      </c>
      <c r="L10" s="1">
        <v>60</v>
      </c>
      <c r="M10" s="2">
        <v>0.1</v>
      </c>
      <c r="N10" s="4">
        <f t="shared" si="5"/>
        <v>1.5000000000000001E-2</v>
      </c>
      <c r="O10" s="5">
        <v>1200</v>
      </c>
      <c r="P10" s="5">
        <f t="shared" si="6"/>
        <v>471204.864</v>
      </c>
      <c r="Q10" s="5">
        <f t="shared" si="1"/>
        <v>113089.16736000001</v>
      </c>
      <c r="R10" s="5">
        <f t="shared" si="2"/>
        <v>358115.69663999998</v>
      </c>
      <c r="S10" s="9">
        <v>0</v>
      </c>
      <c r="T10" s="5">
        <f t="shared" si="3"/>
        <v>358115.69663999998</v>
      </c>
      <c r="V10" s="17"/>
      <c r="W10" s="18"/>
    </row>
    <row r="11" spans="2:23" s="12" customFormat="1" ht="32.25" customHeight="1" x14ac:dyDescent="0.25">
      <c r="B11" s="1">
        <v>8</v>
      </c>
      <c r="C11" s="14" t="s">
        <v>35</v>
      </c>
      <c r="D11" s="14" t="s">
        <v>20</v>
      </c>
      <c r="E11" s="14" t="s">
        <v>34</v>
      </c>
      <c r="F11" s="8">
        <f>14.8*9.3</f>
        <v>137.64000000000001</v>
      </c>
      <c r="G11" s="8">
        <f t="shared" si="0"/>
        <v>1481.5569600000001</v>
      </c>
      <c r="H11" s="8">
        <f>5.2*3.28</f>
        <v>17.056000000000001</v>
      </c>
      <c r="I11" s="1">
        <v>2009</v>
      </c>
      <c r="J11" s="1">
        <v>2023</v>
      </c>
      <c r="K11" s="1">
        <f t="shared" si="4"/>
        <v>14</v>
      </c>
      <c r="L11" s="1">
        <v>60</v>
      </c>
      <c r="M11" s="2">
        <v>0.1</v>
      </c>
      <c r="N11" s="4">
        <f t="shared" si="5"/>
        <v>1.5000000000000001E-2</v>
      </c>
      <c r="O11" s="5">
        <v>1400</v>
      </c>
      <c r="P11" s="5">
        <f t="shared" si="6"/>
        <v>2074179.7440000002</v>
      </c>
      <c r="Q11" s="5">
        <f t="shared" si="1"/>
        <v>435577.74624000012</v>
      </c>
      <c r="R11" s="5">
        <f t="shared" si="2"/>
        <v>1638601.9977600002</v>
      </c>
      <c r="S11" s="9">
        <v>0</v>
      </c>
      <c r="T11" s="5">
        <f t="shared" si="3"/>
        <v>1638601.9977600002</v>
      </c>
      <c r="V11" s="17"/>
      <c r="W11" s="18"/>
    </row>
    <row r="12" spans="2:23" s="12" customFormat="1" ht="51.75" customHeight="1" x14ac:dyDescent="0.25">
      <c r="B12" s="1">
        <v>9</v>
      </c>
      <c r="C12" s="14" t="s">
        <v>36</v>
      </c>
      <c r="D12" s="14" t="s">
        <v>20</v>
      </c>
      <c r="E12" s="14" t="s">
        <v>31</v>
      </c>
      <c r="F12" s="8">
        <f>14.2*7.6</f>
        <v>107.91999999999999</v>
      </c>
      <c r="G12" s="8">
        <f t="shared" si="0"/>
        <v>1161.6508799999997</v>
      </c>
      <c r="H12" s="8">
        <f>9.2*3.28</f>
        <v>30.175999999999995</v>
      </c>
      <c r="I12" s="1">
        <v>2009</v>
      </c>
      <c r="J12" s="1">
        <v>2023</v>
      </c>
      <c r="K12" s="1">
        <f t="shared" si="4"/>
        <v>14</v>
      </c>
      <c r="L12" s="1">
        <v>40</v>
      </c>
      <c r="M12" s="2">
        <v>0.1</v>
      </c>
      <c r="N12" s="4">
        <f t="shared" si="5"/>
        <v>2.2499999999999999E-2</v>
      </c>
      <c r="O12" s="5">
        <v>1300</v>
      </c>
      <c r="P12" s="5">
        <f t="shared" si="6"/>
        <v>1510146.1439999996</v>
      </c>
      <c r="Q12" s="5">
        <f t="shared" si="1"/>
        <v>475696.03535999981</v>
      </c>
      <c r="R12" s="5">
        <f t="shared" si="2"/>
        <v>1034450.1086399998</v>
      </c>
      <c r="S12" s="9">
        <v>0</v>
      </c>
      <c r="T12" s="5">
        <f t="shared" si="3"/>
        <v>1034450.1086399998</v>
      </c>
      <c r="V12" s="17"/>
      <c r="W12" s="18"/>
    </row>
    <row r="13" spans="2:23" s="12" customFormat="1" ht="61.5" customHeight="1" x14ac:dyDescent="0.25">
      <c r="B13" s="1">
        <v>10</v>
      </c>
      <c r="C13" s="14" t="s">
        <v>37</v>
      </c>
      <c r="D13" s="14" t="s">
        <v>20</v>
      </c>
      <c r="E13" s="14" t="s">
        <v>31</v>
      </c>
      <c r="F13" s="8">
        <f>18*12</f>
        <v>216</v>
      </c>
      <c r="G13" s="8">
        <f t="shared" si="0"/>
        <v>2325.0239999999999</v>
      </c>
      <c r="H13" s="8">
        <f>8.2*3.28</f>
        <v>26.895999999999997</v>
      </c>
      <c r="I13" s="1">
        <v>2009</v>
      </c>
      <c r="J13" s="1">
        <v>2023</v>
      </c>
      <c r="K13" s="1">
        <f t="shared" si="4"/>
        <v>14</v>
      </c>
      <c r="L13" s="1">
        <v>40</v>
      </c>
      <c r="M13" s="2">
        <v>0.1</v>
      </c>
      <c r="N13" s="4">
        <f t="shared" si="5"/>
        <v>2.2499999999999999E-2</v>
      </c>
      <c r="O13" s="5">
        <v>1250</v>
      </c>
      <c r="P13" s="5">
        <f t="shared" si="6"/>
        <v>2906280</v>
      </c>
      <c r="Q13" s="5">
        <f t="shared" si="1"/>
        <v>915478.2</v>
      </c>
      <c r="R13" s="5">
        <f t="shared" si="2"/>
        <v>1990801.8</v>
      </c>
      <c r="S13" s="9">
        <v>0</v>
      </c>
      <c r="T13" s="5">
        <f t="shared" si="3"/>
        <v>1990801.8</v>
      </c>
      <c r="V13" s="17"/>
      <c r="W13" s="18"/>
    </row>
    <row r="14" spans="2:23" s="12" customFormat="1" ht="32.25" customHeight="1" x14ac:dyDescent="0.25">
      <c r="B14" s="1">
        <v>11</v>
      </c>
      <c r="C14" s="14" t="s">
        <v>38</v>
      </c>
      <c r="D14" s="14" t="s">
        <v>28</v>
      </c>
      <c r="E14" s="14" t="s">
        <v>34</v>
      </c>
      <c r="F14" s="8">
        <f>2*(17*6.6)</f>
        <v>224.39999999999998</v>
      </c>
      <c r="G14" s="8">
        <f t="shared" si="0"/>
        <v>2415.4415999999997</v>
      </c>
      <c r="H14" s="8">
        <f>3.28*6.2</f>
        <v>20.335999999999999</v>
      </c>
      <c r="I14" s="1">
        <v>2009</v>
      </c>
      <c r="J14" s="1">
        <v>2023</v>
      </c>
      <c r="K14" s="1">
        <f t="shared" si="4"/>
        <v>14</v>
      </c>
      <c r="L14" s="1">
        <v>60</v>
      </c>
      <c r="M14" s="2">
        <v>0.1</v>
      </c>
      <c r="N14" s="4">
        <f t="shared" si="5"/>
        <v>1.5000000000000001E-2</v>
      </c>
      <c r="O14" s="5">
        <v>1250</v>
      </c>
      <c r="P14" s="5">
        <f t="shared" si="6"/>
        <v>3019301.9999999995</v>
      </c>
      <c r="Q14" s="5">
        <f t="shared" si="1"/>
        <v>634053.41999999993</v>
      </c>
      <c r="R14" s="5">
        <f t="shared" si="2"/>
        <v>2385248.5799999996</v>
      </c>
      <c r="S14" s="9">
        <v>0</v>
      </c>
      <c r="T14" s="5">
        <f t="shared" si="3"/>
        <v>2385248.5799999996</v>
      </c>
      <c r="V14" s="17"/>
      <c r="W14" s="18"/>
    </row>
    <row r="15" spans="2:23" s="12" customFormat="1" ht="74.25" customHeight="1" x14ac:dyDescent="0.25">
      <c r="B15" s="1">
        <v>12</v>
      </c>
      <c r="C15" s="14" t="s">
        <v>39</v>
      </c>
      <c r="D15" s="14" t="s">
        <v>20</v>
      </c>
      <c r="E15" s="14" t="s">
        <v>31</v>
      </c>
      <c r="F15" s="8">
        <f>14*11</f>
        <v>154</v>
      </c>
      <c r="G15" s="8">
        <f t="shared" si="0"/>
        <v>1657.6559999999999</v>
      </c>
      <c r="H15" s="8">
        <f>3.28*5.5</f>
        <v>18.04</v>
      </c>
      <c r="I15" s="1">
        <v>2009</v>
      </c>
      <c r="J15" s="1">
        <v>2023</v>
      </c>
      <c r="K15" s="1">
        <f t="shared" si="4"/>
        <v>14</v>
      </c>
      <c r="L15" s="1">
        <v>40</v>
      </c>
      <c r="M15" s="2">
        <v>0.1</v>
      </c>
      <c r="N15" s="4">
        <f t="shared" si="5"/>
        <v>2.2499999999999999E-2</v>
      </c>
      <c r="O15" s="5">
        <v>1200</v>
      </c>
      <c r="P15" s="5">
        <f t="shared" si="6"/>
        <v>1989187.2</v>
      </c>
      <c r="Q15" s="5">
        <f t="shared" si="1"/>
        <v>626593.96799999999</v>
      </c>
      <c r="R15" s="5">
        <f t="shared" si="2"/>
        <v>1362593.2319999998</v>
      </c>
      <c r="S15" s="9">
        <v>0</v>
      </c>
      <c r="T15" s="5">
        <f t="shared" si="3"/>
        <v>1362593.2319999998</v>
      </c>
      <c r="V15" s="17"/>
      <c r="W15" s="18"/>
    </row>
    <row r="16" spans="2:23" s="12" customFormat="1" ht="32.25" customHeight="1" x14ac:dyDescent="0.25">
      <c r="B16" s="1">
        <v>13</v>
      </c>
      <c r="C16" s="14" t="s">
        <v>40</v>
      </c>
      <c r="D16" s="14" t="s">
        <v>20</v>
      </c>
      <c r="E16" s="14" t="s">
        <v>41</v>
      </c>
      <c r="F16" s="8">
        <f>10*4.5</f>
        <v>45</v>
      </c>
      <c r="G16" s="8">
        <f t="shared" si="0"/>
        <v>484.38</v>
      </c>
      <c r="H16" s="8">
        <f>2.1*3.28</f>
        <v>6.8879999999999999</v>
      </c>
      <c r="I16" s="1">
        <v>2009</v>
      </c>
      <c r="J16" s="1">
        <v>2023</v>
      </c>
      <c r="K16" s="1">
        <f t="shared" si="4"/>
        <v>14</v>
      </c>
      <c r="L16" s="1">
        <v>30</v>
      </c>
      <c r="M16" s="2">
        <v>0.1</v>
      </c>
      <c r="N16" s="4">
        <f t="shared" si="5"/>
        <v>3.0000000000000002E-2</v>
      </c>
      <c r="O16" s="5">
        <v>1000</v>
      </c>
      <c r="P16" s="5">
        <f t="shared" si="6"/>
        <v>484380</v>
      </c>
      <c r="Q16" s="5">
        <f t="shared" si="1"/>
        <v>203439.60000000003</v>
      </c>
      <c r="R16" s="5">
        <f t="shared" si="2"/>
        <v>280940.39999999997</v>
      </c>
      <c r="S16" s="9">
        <v>0</v>
      </c>
      <c r="T16" s="5">
        <f t="shared" si="3"/>
        <v>280940.39999999997</v>
      </c>
      <c r="V16" s="17"/>
      <c r="W16" s="18"/>
    </row>
    <row r="17" spans="1:23" s="12" customFormat="1" ht="67.5" customHeight="1" x14ac:dyDescent="0.25">
      <c r="B17" s="1">
        <v>14</v>
      </c>
      <c r="C17" s="14" t="s">
        <v>42</v>
      </c>
      <c r="D17" s="14" t="s">
        <v>20</v>
      </c>
      <c r="E17" s="14" t="s">
        <v>31</v>
      </c>
      <c r="F17" s="8">
        <f>54*25</f>
        <v>1350</v>
      </c>
      <c r="G17" s="8">
        <f t="shared" si="0"/>
        <v>14531.4</v>
      </c>
      <c r="H17" s="8">
        <f>18.2*3.28</f>
        <v>59.695999999999991</v>
      </c>
      <c r="I17" s="1">
        <v>2009</v>
      </c>
      <c r="J17" s="1">
        <v>2023</v>
      </c>
      <c r="K17" s="1">
        <f t="shared" si="4"/>
        <v>14</v>
      </c>
      <c r="L17" s="1">
        <v>40</v>
      </c>
      <c r="M17" s="2">
        <v>0.1</v>
      </c>
      <c r="N17" s="4">
        <f t="shared" si="5"/>
        <v>2.2499999999999999E-2</v>
      </c>
      <c r="O17" s="5">
        <v>1800</v>
      </c>
      <c r="P17" s="5">
        <f t="shared" si="6"/>
        <v>26156520</v>
      </c>
      <c r="Q17" s="5">
        <f t="shared" si="1"/>
        <v>8239303.7999999989</v>
      </c>
      <c r="R17" s="5">
        <f t="shared" si="2"/>
        <v>17917216.200000003</v>
      </c>
      <c r="S17" s="9">
        <v>0</v>
      </c>
      <c r="T17" s="5">
        <f t="shared" si="3"/>
        <v>17917216.200000003</v>
      </c>
      <c r="V17" s="17"/>
      <c r="W17" s="18"/>
    </row>
    <row r="18" spans="1:23" s="12" customFormat="1" ht="59.25" customHeight="1" x14ac:dyDescent="0.25">
      <c r="B18" s="1">
        <v>15</v>
      </c>
      <c r="C18" s="14" t="s">
        <v>43</v>
      </c>
      <c r="D18" s="14" t="s">
        <v>20</v>
      </c>
      <c r="E18" s="14" t="s">
        <v>31</v>
      </c>
      <c r="F18" s="8">
        <f>63*39</f>
        <v>2457</v>
      </c>
      <c r="G18" s="8">
        <f t="shared" ref="G18:G21" si="7">F18*10.764</f>
        <v>26447.147999999997</v>
      </c>
      <c r="H18" s="8">
        <f>11.3*3.28</f>
        <v>37.064</v>
      </c>
      <c r="I18" s="1">
        <v>2009</v>
      </c>
      <c r="J18" s="1">
        <v>2023</v>
      </c>
      <c r="K18" s="1">
        <f t="shared" si="4"/>
        <v>14</v>
      </c>
      <c r="L18" s="1">
        <v>40</v>
      </c>
      <c r="M18" s="2">
        <v>0.1</v>
      </c>
      <c r="N18" s="4">
        <f t="shared" si="5"/>
        <v>2.2499999999999999E-2</v>
      </c>
      <c r="O18" s="5">
        <v>1500</v>
      </c>
      <c r="P18" s="5">
        <f t="shared" si="6"/>
        <v>39670721.999999993</v>
      </c>
      <c r="Q18" s="5">
        <f t="shared" si="1"/>
        <v>12496277.429999996</v>
      </c>
      <c r="R18" s="5">
        <f t="shared" si="2"/>
        <v>27174444.569999997</v>
      </c>
      <c r="S18" s="9">
        <v>0</v>
      </c>
      <c r="T18" s="5">
        <f t="shared" si="3"/>
        <v>27174444.569999997</v>
      </c>
      <c r="V18" s="17"/>
      <c r="W18" s="18"/>
    </row>
    <row r="19" spans="1:23" s="12" customFormat="1" ht="62.25" customHeight="1" x14ac:dyDescent="0.25">
      <c r="B19" s="1">
        <v>16</v>
      </c>
      <c r="C19" s="14" t="s">
        <v>44</v>
      </c>
      <c r="D19" s="14" t="s">
        <v>20</v>
      </c>
      <c r="E19" s="14" t="s">
        <v>31</v>
      </c>
      <c r="F19" s="8">
        <f>30.2*17.7</f>
        <v>534.54</v>
      </c>
      <c r="G19" s="8">
        <f t="shared" si="7"/>
        <v>5753.7885599999991</v>
      </c>
      <c r="H19" s="8">
        <f>7.6*3.28</f>
        <v>24.927999999999997</v>
      </c>
      <c r="I19" s="1">
        <v>2009</v>
      </c>
      <c r="J19" s="1">
        <v>2023</v>
      </c>
      <c r="K19" s="1">
        <f t="shared" si="4"/>
        <v>14</v>
      </c>
      <c r="L19" s="1">
        <v>40</v>
      </c>
      <c r="M19" s="2">
        <v>0.1</v>
      </c>
      <c r="N19" s="4">
        <f t="shared" si="5"/>
        <v>2.2499999999999999E-2</v>
      </c>
      <c r="O19" s="5">
        <v>1400</v>
      </c>
      <c r="P19" s="5">
        <f t="shared" si="6"/>
        <v>8055303.9839999983</v>
      </c>
      <c r="Q19" s="5">
        <f t="shared" si="1"/>
        <v>2537420.7549599996</v>
      </c>
      <c r="R19" s="5">
        <f t="shared" si="2"/>
        <v>5517883.2290399987</v>
      </c>
      <c r="S19" s="9">
        <v>0</v>
      </c>
      <c r="T19" s="5">
        <f t="shared" si="3"/>
        <v>5517883.2290399987</v>
      </c>
      <c r="V19" s="17"/>
      <c r="W19" s="18">
        <f>900000*1.05</f>
        <v>945000</v>
      </c>
    </row>
    <row r="20" spans="1:23" s="12" customFormat="1" ht="53.25" customHeight="1" x14ac:dyDescent="0.25">
      <c r="B20" s="1">
        <v>17</v>
      </c>
      <c r="C20" s="14" t="s">
        <v>45</v>
      </c>
      <c r="D20" s="14" t="s">
        <v>20</v>
      </c>
      <c r="E20" s="14" t="s">
        <v>31</v>
      </c>
      <c r="F20" s="8">
        <f>18.5*15.2</f>
        <v>281.2</v>
      </c>
      <c r="G20" s="8">
        <f t="shared" si="7"/>
        <v>3026.8367999999996</v>
      </c>
      <c r="H20" s="8">
        <f>3.2*3.28</f>
        <v>10.496</v>
      </c>
      <c r="I20" s="1">
        <v>2009</v>
      </c>
      <c r="J20" s="1">
        <v>2023</v>
      </c>
      <c r="K20" s="1">
        <f t="shared" si="4"/>
        <v>14</v>
      </c>
      <c r="L20" s="1">
        <v>40</v>
      </c>
      <c r="M20" s="2">
        <v>0.1</v>
      </c>
      <c r="N20" s="4">
        <f t="shared" si="5"/>
        <v>2.2499999999999999E-2</v>
      </c>
      <c r="O20" s="5">
        <v>1250</v>
      </c>
      <c r="P20" s="5">
        <f t="shared" si="6"/>
        <v>3783545.9999999995</v>
      </c>
      <c r="Q20" s="5">
        <f t="shared" si="1"/>
        <v>1191816.9899999998</v>
      </c>
      <c r="R20" s="5">
        <f t="shared" si="2"/>
        <v>2591729.0099999998</v>
      </c>
      <c r="S20" s="9">
        <v>0</v>
      </c>
      <c r="T20" s="5">
        <f t="shared" si="3"/>
        <v>2591729.0099999998</v>
      </c>
      <c r="V20" s="17"/>
      <c r="W20" s="18">
        <v>302.5</v>
      </c>
    </row>
    <row r="21" spans="1:23" s="12" customFormat="1" ht="32.25" customHeight="1" x14ac:dyDescent="0.25">
      <c r="B21" s="1">
        <v>18</v>
      </c>
      <c r="C21" s="14" t="s">
        <v>46</v>
      </c>
      <c r="D21" s="14" t="s">
        <v>20</v>
      </c>
      <c r="E21" s="14" t="s">
        <v>34</v>
      </c>
      <c r="F21" s="8">
        <f>12.5*8.1</f>
        <v>101.25</v>
      </c>
      <c r="G21" s="8">
        <f t="shared" si="7"/>
        <v>1089.855</v>
      </c>
      <c r="H21" s="8">
        <f>4*3.28</f>
        <v>13.12</v>
      </c>
      <c r="I21" s="1">
        <v>2009</v>
      </c>
      <c r="J21" s="1">
        <v>2023</v>
      </c>
      <c r="K21" s="1">
        <f t="shared" si="4"/>
        <v>14</v>
      </c>
      <c r="L21" s="1">
        <v>60</v>
      </c>
      <c r="M21" s="2">
        <v>0.1</v>
      </c>
      <c r="N21" s="4">
        <f t="shared" si="5"/>
        <v>1.5000000000000001E-2</v>
      </c>
      <c r="O21" s="5">
        <v>1250</v>
      </c>
      <c r="P21" s="5">
        <f t="shared" si="6"/>
        <v>1362318.75</v>
      </c>
      <c r="Q21" s="5">
        <f t="shared" si="1"/>
        <v>286086.9375</v>
      </c>
      <c r="R21" s="5">
        <f t="shared" si="2"/>
        <v>1076231.8125</v>
      </c>
      <c r="S21" s="9">
        <v>0</v>
      </c>
      <c r="T21" s="5">
        <f t="shared" si="3"/>
        <v>1076231.8125</v>
      </c>
      <c r="V21" s="33">
        <f>T22*0.05</f>
        <v>6955957.1784689995</v>
      </c>
      <c r="W21" s="34">
        <f>W20*W19</f>
        <v>285862500</v>
      </c>
    </row>
    <row r="22" spans="1:23" x14ac:dyDescent="0.25">
      <c r="B22" s="28" t="s">
        <v>6</v>
      </c>
      <c r="C22" s="28"/>
      <c r="D22" s="28"/>
      <c r="E22" s="28"/>
      <c r="F22" s="13">
        <f>SUM(F4:F21)</f>
        <v>11667.7925</v>
      </c>
      <c r="G22" s="13">
        <f>SUM(G4:G21)</f>
        <v>125592.11847000002</v>
      </c>
      <c r="H22" s="30"/>
      <c r="I22" s="31"/>
      <c r="J22" s="31"/>
      <c r="K22" s="31"/>
      <c r="L22" s="31"/>
      <c r="M22" s="31"/>
      <c r="N22" s="31"/>
      <c r="O22" s="32"/>
      <c r="P22" s="5">
        <f>SUM(P4:P21)</f>
        <v>187275145.12199998</v>
      </c>
      <c r="Q22" s="6"/>
      <c r="R22" s="6">
        <f>SUM(R4:R21)</f>
        <v>139119143.56937999</v>
      </c>
      <c r="S22" s="6"/>
      <c r="T22" s="6">
        <f>SUM(T4:T21)</f>
        <v>139119143.56937999</v>
      </c>
      <c r="U22">
        <f>G22/10.767</f>
        <v>11664.541512956257</v>
      </c>
      <c r="W22" s="36">
        <v>9300000</v>
      </c>
    </row>
    <row r="23" spans="1:23" x14ac:dyDescent="0.25">
      <c r="B23" s="29" t="s">
        <v>18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7"/>
      <c r="V23" s="3"/>
      <c r="W23" s="7">
        <f>W22+W21+T22</f>
        <v>434281643.56937999</v>
      </c>
    </row>
    <row r="24" spans="1:23" x14ac:dyDescent="0.25">
      <c r="B24" s="26" t="s">
        <v>13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V24">
        <f>F22*800</f>
        <v>9334234</v>
      </c>
      <c r="W24" s="35">
        <v>434300000</v>
      </c>
    </row>
    <row r="25" spans="1:23" x14ac:dyDescent="0.25">
      <c r="B25" s="26" t="s">
        <v>47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W25" s="7">
        <f>W24*0.85</f>
        <v>369155000</v>
      </c>
    </row>
    <row r="26" spans="1:23" x14ac:dyDescent="0.25">
      <c r="W26" s="7">
        <f>W24*0.75</f>
        <v>325725000</v>
      </c>
    </row>
    <row r="28" spans="1:23" x14ac:dyDescent="0.25">
      <c r="A28">
        <v>221.43</v>
      </c>
      <c r="C28" s="15">
        <v>4.45</v>
      </c>
      <c r="D28" s="15">
        <v>2.96</v>
      </c>
      <c r="E28" s="15">
        <f>D28*C28</f>
        <v>13.172000000000001</v>
      </c>
      <c r="K28">
        <v>2382</v>
      </c>
      <c r="T28" t="s">
        <v>49</v>
      </c>
      <c r="U28">
        <v>2</v>
      </c>
    </row>
    <row r="29" spans="1:23" x14ac:dyDescent="0.25">
      <c r="A29">
        <v>725.8</v>
      </c>
      <c r="C29" s="15">
        <v>5.3</v>
      </c>
      <c r="D29" s="15">
        <v>4.4000000000000004</v>
      </c>
      <c r="E29" s="15">
        <f t="shared" ref="E29:E48" si="8">D29*C29</f>
        <v>23.32</v>
      </c>
      <c r="H29">
        <f>F22*1100</f>
        <v>12834571.75</v>
      </c>
      <c r="K29">
        <v>7809</v>
      </c>
      <c r="T29" t="s">
        <v>50</v>
      </c>
      <c r="U29" s="25">
        <v>0.4</v>
      </c>
    </row>
    <row r="30" spans="1:23" x14ac:dyDescent="0.25">
      <c r="A30">
        <v>155.4</v>
      </c>
      <c r="C30" s="15">
        <v>2</v>
      </c>
      <c r="D30" s="15">
        <v>2395</v>
      </c>
      <c r="E30" s="15">
        <f t="shared" si="8"/>
        <v>4790</v>
      </c>
      <c r="K30">
        <v>1672</v>
      </c>
    </row>
    <row r="31" spans="1:23" ht="15" customHeight="1" x14ac:dyDescent="0.25">
      <c r="A31">
        <v>209.8</v>
      </c>
      <c r="C31" s="15">
        <v>4.47</v>
      </c>
      <c r="D31" s="15">
        <v>4.1500000000000004</v>
      </c>
      <c r="E31" s="15">
        <f t="shared" si="8"/>
        <v>18.5505</v>
      </c>
      <c r="K31">
        <v>2257</v>
      </c>
      <c r="M31">
        <f>F4*1100</f>
        <v>14489.2</v>
      </c>
      <c r="T31">
        <f>217800*2</f>
        <v>435600</v>
      </c>
    </row>
    <row r="32" spans="1:23" x14ac:dyDescent="0.25">
      <c r="A32">
        <v>140.6</v>
      </c>
      <c r="C32" s="15">
        <v>21.7</v>
      </c>
      <c r="D32" s="15">
        <v>16.7</v>
      </c>
      <c r="E32" s="15">
        <f t="shared" si="8"/>
        <v>362.39</v>
      </c>
      <c r="J32" t="e">
        <f>#REF!*0.6</f>
        <v>#REF!</v>
      </c>
      <c r="K32">
        <v>1512</v>
      </c>
      <c r="T32" s="21">
        <f>T31-G22</f>
        <v>310007.88153000001</v>
      </c>
    </row>
    <row r="33" spans="1:20" x14ac:dyDescent="0.25">
      <c r="A33">
        <v>24.84</v>
      </c>
      <c r="C33" s="15">
        <v>24.2</v>
      </c>
      <c r="D33" s="15">
        <v>18.7</v>
      </c>
      <c r="E33" s="15">
        <f t="shared" si="8"/>
        <v>452.53999999999996</v>
      </c>
      <c r="K33">
        <v>267</v>
      </c>
      <c r="T33">
        <v>217800</v>
      </c>
    </row>
    <row r="34" spans="1:20" x14ac:dyDescent="0.25">
      <c r="A34">
        <v>106.24</v>
      </c>
      <c r="C34" s="15">
        <v>6.4</v>
      </c>
      <c r="D34" s="15">
        <v>5.7</v>
      </c>
      <c r="E34" s="15">
        <f t="shared" si="8"/>
        <v>36.480000000000004</v>
      </c>
      <c r="K34">
        <v>1143</v>
      </c>
      <c r="T34">
        <f>T33*(1-40%)</f>
        <v>130680</v>
      </c>
    </row>
    <row r="35" spans="1:20" x14ac:dyDescent="0.25">
      <c r="A35">
        <v>190.4</v>
      </c>
      <c r="C35" s="15">
        <v>14.8</v>
      </c>
      <c r="D35" s="15">
        <v>9.3000000000000007</v>
      </c>
      <c r="E35" s="15">
        <f t="shared" si="8"/>
        <v>137.64000000000001</v>
      </c>
      <c r="K35">
        <v>4096</v>
      </c>
      <c r="Q35">
        <f>1200*F4</f>
        <v>15806.400000000001</v>
      </c>
    </row>
    <row r="36" spans="1:20" x14ac:dyDescent="0.25">
      <c r="A36">
        <v>103.75</v>
      </c>
      <c r="C36" s="15">
        <v>14.2</v>
      </c>
      <c r="D36" s="15">
        <v>7.6</v>
      </c>
      <c r="E36" s="15">
        <f t="shared" si="8"/>
        <v>107.91999999999999</v>
      </c>
      <c r="K36">
        <v>13718</v>
      </c>
    </row>
    <row r="37" spans="1:20" x14ac:dyDescent="0.25">
      <c r="A37">
        <v>560</v>
      </c>
      <c r="C37" s="15">
        <v>18</v>
      </c>
      <c r="D37" s="15">
        <v>12</v>
      </c>
      <c r="E37" s="15">
        <f t="shared" si="8"/>
        <v>216</v>
      </c>
      <c r="K37">
        <v>485</v>
      </c>
    </row>
    <row r="38" spans="1:20" x14ac:dyDescent="0.25">
      <c r="A38">
        <v>895.92</v>
      </c>
      <c r="C38" s="15">
        <v>1</v>
      </c>
      <c r="D38" s="15">
        <v>1765</v>
      </c>
      <c r="E38" s="15">
        <f t="shared" si="8"/>
        <v>1765</v>
      </c>
      <c r="K38">
        <v>1162</v>
      </c>
    </row>
    <row r="39" spans="1:20" x14ac:dyDescent="0.25">
      <c r="A39">
        <v>895.9</v>
      </c>
      <c r="C39" s="15">
        <v>17</v>
      </c>
      <c r="D39" s="15">
        <v>6.6</v>
      </c>
      <c r="E39" s="15">
        <f t="shared" si="8"/>
        <v>112.19999999999999</v>
      </c>
      <c r="K39">
        <v>1560</v>
      </c>
    </row>
    <row r="40" spans="1:20" x14ac:dyDescent="0.25">
      <c r="A40">
        <v>561.6</v>
      </c>
      <c r="C40" s="15">
        <v>5.6</v>
      </c>
      <c r="D40" s="15">
        <v>4.8</v>
      </c>
      <c r="E40" s="15">
        <f t="shared" si="8"/>
        <v>26.88</v>
      </c>
      <c r="K40">
        <v>4877</v>
      </c>
    </row>
    <row r="41" spans="1:20" x14ac:dyDescent="0.25">
      <c r="A41">
        <v>276</v>
      </c>
      <c r="C41" s="15">
        <v>14</v>
      </c>
      <c r="D41" s="15">
        <v>11</v>
      </c>
      <c r="E41" s="15">
        <f t="shared" si="8"/>
        <v>154</v>
      </c>
      <c r="K41">
        <v>3943</v>
      </c>
    </row>
    <row r="42" spans="1:20" x14ac:dyDescent="0.25">
      <c r="A42">
        <v>66.5</v>
      </c>
      <c r="C42" s="15">
        <v>36</v>
      </c>
      <c r="D42" s="15">
        <v>18.8</v>
      </c>
      <c r="E42" s="15">
        <f t="shared" si="8"/>
        <v>676.80000000000007</v>
      </c>
      <c r="K42">
        <v>4745</v>
      </c>
    </row>
    <row r="43" spans="1:20" x14ac:dyDescent="0.25">
      <c r="A43">
        <v>51.1</v>
      </c>
      <c r="C43" s="15">
        <v>10</v>
      </c>
      <c r="D43" s="15">
        <v>4.5</v>
      </c>
      <c r="E43" s="15">
        <f t="shared" si="8"/>
        <v>45</v>
      </c>
      <c r="K43">
        <v>2233</v>
      </c>
    </row>
    <row r="44" spans="1:20" x14ac:dyDescent="0.25">
      <c r="A44">
        <v>1274</v>
      </c>
      <c r="C44" s="15">
        <v>54</v>
      </c>
      <c r="D44" s="15">
        <v>25</v>
      </c>
      <c r="E44" s="15">
        <f t="shared" si="8"/>
        <v>1350</v>
      </c>
      <c r="K44" s="24">
        <f>SUM(K28:K43)</f>
        <v>53861</v>
      </c>
    </row>
    <row r="45" spans="1:20" x14ac:dyDescent="0.25">
      <c r="A45">
        <v>45.12</v>
      </c>
      <c r="C45" s="15">
        <v>63</v>
      </c>
      <c r="D45" s="15">
        <v>39</v>
      </c>
      <c r="E45" s="15">
        <f t="shared" si="8"/>
        <v>2457</v>
      </c>
    </row>
    <row r="46" spans="1:20" x14ac:dyDescent="0.25">
      <c r="A46">
        <v>108</v>
      </c>
      <c r="C46" s="15">
        <v>30</v>
      </c>
      <c r="D46" s="15">
        <v>17.7</v>
      </c>
      <c r="E46" s="15">
        <f t="shared" si="8"/>
        <v>531</v>
      </c>
    </row>
    <row r="47" spans="1:20" x14ac:dyDescent="0.25">
      <c r="A47">
        <v>145</v>
      </c>
      <c r="C47" s="15">
        <v>18.5</v>
      </c>
      <c r="D47" s="15">
        <v>15.2</v>
      </c>
      <c r="E47" s="15">
        <f t="shared" si="8"/>
        <v>281.2</v>
      </c>
      <c r="K47" s="21">
        <f>E50-K44</f>
        <v>93157.398669999995</v>
      </c>
    </row>
    <row r="48" spans="1:20" x14ac:dyDescent="0.25">
      <c r="A48">
        <v>453</v>
      </c>
      <c r="C48" s="15">
        <v>12.5</v>
      </c>
      <c r="D48" s="15">
        <v>8.1</v>
      </c>
      <c r="E48" s="15">
        <f t="shared" si="8"/>
        <v>101.25</v>
      </c>
    </row>
    <row r="49" spans="1:5" x14ac:dyDescent="0.25">
      <c r="A49">
        <v>366</v>
      </c>
      <c r="E49" s="19">
        <f>SUM(E28:E48)</f>
        <v>13658.342500000001</v>
      </c>
    </row>
    <row r="50" spans="1:5" x14ac:dyDescent="0.25">
      <c r="A50">
        <v>441</v>
      </c>
      <c r="E50" s="23">
        <f>E49*10.764</f>
        <v>147018.39867</v>
      </c>
    </row>
    <row r="51" spans="1:5" x14ac:dyDescent="0.25">
      <c r="A51">
        <v>207.5</v>
      </c>
    </row>
    <row r="52" spans="1:5" x14ac:dyDescent="0.25">
      <c r="A52">
        <v>21</v>
      </c>
    </row>
    <row r="53" spans="1:5" x14ac:dyDescent="0.25">
      <c r="A53" s="20">
        <f>SUM(A28:A52)</f>
        <v>8245.9000000000015</v>
      </c>
    </row>
    <row r="54" spans="1:5" x14ac:dyDescent="0.25">
      <c r="A54" s="22">
        <f>A53*10.764</f>
        <v>88758.867600000012</v>
      </c>
    </row>
  </sheetData>
  <autoFilter ref="B3:T25"/>
  <mergeCells count="6">
    <mergeCell ref="B25:T25"/>
    <mergeCell ref="B2:T2"/>
    <mergeCell ref="B22:E22"/>
    <mergeCell ref="B24:T24"/>
    <mergeCell ref="B23:T23"/>
    <mergeCell ref="H22:O22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Ashish Sawe</cp:lastModifiedBy>
  <cp:lastPrinted>2022-01-07T08:12:53Z</cp:lastPrinted>
  <dcterms:created xsi:type="dcterms:W3CDTF">2021-09-16T11:33:35Z</dcterms:created>
  <dcterms:modified xsi:type="dcterms:W3CDTF">2023-03-21T09:38:15Z</dcterms:modified>
</cp:coreProperties>
</file>