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Adil Afaque\uploads\VIS(2022-23)PL504-402-694-Primetime Realtors Pvt. Ltd., Plot 27, KG Marg\"/>
    </mc:Choice>
  </mc:AlternateContent>
  <bookViews>
    <workbookView xWindow="0" yWindow="0" windowWidth="17970" windowHeight="6120" activeTab="2"/>
  </bookViews>
  <sheets>
    <sheet name="Assumptions" sheetId="3" r:id="rId1"/>
    <sheet name="Comparable" sheetId="1" r:id="rId2"/>
    <sheet name="Valuation" sheetId="4" r:id="rId3"/>
    <sheet name="Sheet1" sheetId="5" r:id="rId4"/>
    <sheet name="Comparables" sheetId="6" r:id="rId5"/>
    <sheet name="Sheet3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4" l="1"/>
  <c r="F61" i="4"/>
  <c r="D61" i="4"/>
  <c r="E61" i="4"/>
  <c r="C62" i="4"/>
  <c r="D62" i="4" s="1"/>
  <c r="F62" i="4" s="1"/>
  <c r="H55" i="4"/>
  <c r="H54" i="4"/>
  <c r="H53" i="4"/>
  <c r="G55" i="4"/>
  <c r="G54" i="4"/>
  <c r="G53" i="4"/>
  <c r="D22" i="3" l="1"/>
  <c r="D21" i="3"/>
  <c r="E14" i="6" l="1"/>
  <c r="M21" i="6"/>
  <c r="O21" i="6" s="1"/>
  <c r="M20" i="6"/>
  <c r="O20" i="6" s="1"/>
  <c r="D31" i="6"/>
  <c r="D30" i="6"/>
  <c r="D29" i="6"/>
  <c r="D27" i="6"/>
  <c r="F27" i="6" s="1"/>
  <c r="G27" i="6" s="1"/>
  <c r="D26" i="6"/>
  <c r="D25" i="6"/>
  <c r="F25" i="6" s="1"/>
  <c r="C50" i="4"/>
  <c r="E48" i="4"/>
  <c r="F24" i="6"/>
  <c r="F23" i="6"/>
  <c r="F22" i="6"/>
  <c r="E10" i="1" l="1"/>
  <c r="G10" i="1" s="1"/>
  <c r="E9" i="1"/>
  <c r="G9" i="1" s="1"/>
  <c r="E8" i="1"/>
  <c r="G8" i="1" s="1"/>
  <c r="E7" i="1"/>
  <c r="G7" i="1" s="1"/>
  <c r="C32" i="4"/>
  <c r="C38" i="4"/>
  <c r="B38" i="4"/>
  <c r="G25" i="4"/>
  <c r="F25" i="4"/>
  <c r="E25" i="4"/>
  <c r="D25" i="4"/>
  <c r="N17" i="3"/>
  <c r="N16" i="3"/>
  <c r="N15" i="3"/>
  <c r="N12" i="3"/>
  <c r="D32" i="4" l="1"/>
  <c r="E32" i="4" s="1"/>
  <c r="F32" i="4" l="1"/>
  <c r="M20" i="4"/>
  <c r="N20" i="4" s="1"/>
  <c r="F4" i="5"/>
  <c r="F5" i="5" s="1"/>
  <c r="F6" i="5" s="1"/>
  <c r="O20" i="4" l="1"/>
  <c r="G32" i="4"/>
  <c r="G4" i="5"/>
  <c r="H4" i="5" s="1"/>
  <c r="P20" i="4" l="1"/>
  <c r="H32" i="4"/>
  <c r="C27" i="4"/>
  <c r="D27" i="4" s="1"/>
  <c r="C22" i="4"/>
  <c r="D22" i="4" s="1"/>
  <c r="E22" i="4" s="1"/>
  <c r="C4" i="4"/>
  <c r="C3" i="4" s="1"/>
  <c r="C3" i="3"/>
  <c r="D21" i="4" l="1"/>
  <c r="D30" i="4"/>
  <c r="E30" i="4"/>
  <c r="M21" i="4"/>
  <c r="N21" i="4"/>
  <c r="O21" i="4"/>
  <c r="H26" i="4"/>
  <c r="D31" i="4"/>
  <c r="AA26" i="4"/>
  <c r="S26" i="4"/>
  <c r="K26" i="4"/>
  <c r="AG26" i="4"/>
  <c r="Y26" i="4"/>
  <c r="Q26" i="4"/>
  <c r="AH26" i="4"/>
  <c r="Z26" i="4"/>
  <c r="R26" i="4"/>
  <c r="J26" i="4"/>
  <c r="AF26" i="4"/>
  <c r="X26" i="4"/>
  <c r="P26" i="4"/>
  <c r="AE26" i="4"/>
  <c r="W26" i="4"/>
  <c r="O26" i="4"/>
  <c r="AD26" i="4"/>
  <c r="V26" i="4"/>
  <c r="N26" i="4"/>
  <c r="AC26" i="4"/>
  <c r="U26" i="4"/>
  <c r="M26" i="4"/>
  <c r="AB26" i="4"/>
  <c r="T26" i="4"/>
  <c r="L26" i="4"/>
  <c r="Q20" i="4"/>
  <c r="P21" i="4"/>
  <c r="J32" i="4"/>
  <c r="C26" i="4"/>
  <c r="C28" i="4" s="1"/>
  <c r="E21" i="4"/>
  <c r="E23" i="4" s="1"/>
  <c r="F21" i="4"/>
  <c r="D26" i="4"/>
  <c r="D28" i="4" s="1"/>
  <c r="G21" i="4"/>
  <c r="E26" i="4"/>
  <c r="H21" i="4"/>
  <c r="F26" i="4"/>
  <c r="J21" i="4"/>
  <c r="F22" i="4"/>
  <c r="F30" i="4" s="1"/>
  <c r="E27" i="4"/>
  <c r="E31" i="4" s="1"/>
  <c r="K21" i="4"/>
  <c r="G26" i="4"/>
  <c r="C21" i="4"/>
  <c r="L21" i="4"/>
  <c r="H33" i="4" l="1"/>
  <c r="E33" i="4"/>
  <c r="E35" i="4" s="1"/>
  <c r="F33" i="4"/>
  <c r="F35" i="4" s="1"/>
  <c r="J33" i="4"/>
  <c r="J35" i="4" s="1"/>
  <c r="K32" i="4"/>
  <c r="D33" i="4"/>
  <c r="D35" i="4" s="1"/>
  <c r="D23" i="4"/>
  <c r="C33" i="4"/>
  <c r="H35" i="4"/>
  <c r="R20" i="4"/>
  <c r="Q21" i="4"/>
  <c r="G33" i="4"/>
  <c r="G35" i="4" s="1"/>
  <c r="G22" i="4"/>
  <c r="C23" i="4"/>
  <c r="D34" i="4"/>
  <c r="C30" i="4"/>
  <c r="E34" i="4"/>
  <c r="F27" i="4"/>
  <c r="F31" i="4" s="1"/>
  <c r="F34" i="4" s="1"/>
  <c r="E28" i="4"/>
  <c r="F23" i="4"/>
  <c r="E36" i="4" l="1"/>
  <c r="D36" i="4"/>
  <c r="H22" i="4"/>
  <c r="H30" i="4" s="1"/>
  <c r="G30" i="4"/>
  <c r="S20" i="4"/>
  <c r="R21" i="4"/>
  <c r="L32" i="4"/>
  <c r="K33" i="4"/>
  <c r="K35" i="4" s="1"/>
  <c r="G23" i="4"/>
  <c r="F28" i="4"/>
  <c r="F36" i="4" s="1"/>
  <c r="G27" i="4"/>
  <c r="F44" i="4" l="1"/>
  <c r="F38" i="4"/>
  <c r="E44" i="4"/>
  <c r="E38" i="4"/>
  <c r="D44" i="4"/>
  <c r="D38" i="4"/>
  <c r="G31" i="4"/>
  <c r="G34" i="4" s="1"/>
  <c r="G36" i="4" s="1"/>
  <c r="L33" i="4"/>
  <c r="L35" i="4" s="1"/>
  <c r="M32" i="4"/>
  <c r="T20" i="4"/>
  <c r="S21" i="4"/>
  <c r="H27" i="4"/>
  <c r="G28" i="4"/>
  <c r="J22" i="4"/>
  <c r="J30" i="4" s="1"/>
  <c r="H23" i="4"/>
  <c r="J27" i="4" l="1"/>
  <c r="H31" i="4"/>
  <c r="H34" i="4" s="1"/>
  <c r="H36" i="4" s="1"/>
  <c r="U20" i="4"/>
  <c r="T21" i="4"/>
  <c r="M33" i="4"/>
  <c r="M35" i="4" s="1"/>
  <c r="N32" i="4"/>
  <c r="J34" i="4"/>
  <c r="K22" i="4"/>
  <c r="H28" i="4"/>
  <c r="J23" i="4"/>
  <c r="G44" i="4" l="1"/>
  <c r="G38" i="4"/>
  <c r="O32" i="4"/>
  <c r="N33" i="4"/>
  <c r="N35" i="4" s="1"/>
  <c r="V20" i="4"/>
  <c r="U21" i="4"/>
  <c r="L22" i="4"/>
  <c r="L30" i="4" s="1"/>
  <c r="K30" i="4"/>
  <c r="K34" i="4" s="1"/>
  <c r="K27" i="4"/>
  <c r="J28" i="4"/>
  <c r="J36" i="4" s="1"/>
  <c r="J44" i="4" s="1"/>
  <c r="H37" i="4"/>
  <c r="H38" i="4" s="1"/>
  <c r="K23" i="4"/>
  <c r="D39" i="4" l="1"/>
  <c r="E42" i="4" s="1"/>
  <c r="E49" i="4" s="1"/>
  <c r="D49" i="4" s="1"/>
  <c r="M22" i="4"/>
  <c r="N22" i="4" s="1"/>
  <c r="O22" i="4" s="1"/>
  <c r="K28" i="4"/>
  <c r="K36" i="4" s="1"/>
  <c r="K44" i="4" s="1"/>
  <c r="L27" i="4"/>
  <c r="W20" i="4"/>
  <c r="V21" i="4"/>
  <c r="O33" i="4"/>
  <c r="O35" i="4" s="1"/>
  <c r="P32" i="4"/>
  <c r="P33" i="4" s="1"/>
  <c r="P35" i="4" s="1"/>
  <c r="H44" i="4"/>
  <c r="L23" i="4"/>
  <c r="L34" i="4"/>
  <c r="F42" i="4" l="1"/>
  <c r="M23" i="4"/>
  <c r="M27" i="4"/>
  <c r="L28" i="4"/>
  <c r="L36" i="4" s="1"/>
  <c r="Q32" i="4"/>
  <c r="X20" i="4"/>
  <c r="W21" i="4"/>
  <c r="N23" i="4"/>
  <c r="L44" i="4" l="1"/>
  <c r="Y20" i="4"/>
  <c r="X21" i="4"/>
  <c r="R32" i="4"/>
  <c r="Q33" i="4"/>
  <c r="Q35" i="4" s="1"/>
  <c r="M28" i="4"/>
  <c r="M36" i="4" s="1"/>
  <c r="N27" i="4"/>
  <c r="O23" i="4"/>
  <c r="P22" i="4"/>
  <c r="Q22" i="4" s="1"/>
  <c r="R22" i="4" s="1"/>
  <c r="R33" i="4" l="1"/>
  <c r="R35" i="4" s="1"/>
  <c r="S32" i="4"/>
  <c r="S33" i="4" s="1"/>
  <c r="S35" i="4" s="1"/>
  <c r="Z20" i="4"/>
  <c r="Y21" i="4"/>
  <c r="N28" i="4"/>
  <c r="N36" i="4" s="1"/>
  <c r="O27" i="4"/>
  <c r="P23" i="4"/>
  <c r="AA20" i="4" l="1"/>
  <c r="Z21" i="4"/>
  <c r="T32" i="4"/>
  <c r="P27" i="4"/>
  <c r="O28" i="4"/>
  <c r="O36" i="4" s="1"/>
  <c r="Q23" i="4"/>
  <c r="U32" i="4" l="1"/>
  <c r="T33" i="4"/>
  <c r="T35" i="4" s="1"/>
  <c r="AB20" i="4"/>
  <c r="AA21" i="4"/>
  <c r="P28" i="4"/>
  <c r="P36" i="4" s="1"/>
  <c r="Q27" i="4"/>
  <c r="R23" i="4"/>
  <c r="S22" i="4"/>
  <c r="T22" i="4" s="1"/>
  <c r="U22" i="4" s="1"/>
  <c r="AC20" i="4" l="1"/>
  <c r="AB21" i="4"/>
  <c r="V32" i="4"/>
  <c r="V33" i="4" s="1"/>
  <c r="V35" i="4" s="1"/>
  <c r="U33" i="4"/>
  <c r="U35" i="4" s="1"/>
  <c r="R27" i="4"/>
  <c r="Q28" i="4"/>
  <c r="Q36" i="4" s="1"/>
  <c r="S23" i="4"/>
  <c r="W32" i="4" l="1"/>
  <c r="S27" i="4"/>
  <c r="R28" i="4"/>
  <c r="R36" i="4" s="1"/>
  <c r="AD20" i="4"/>
  <c r="AC21" i="4"/>
  <c r="T23" i="4"/>
  <c r="T27" i="4" l="1"/>
  <c r="S28" i="4"/>
  <c r="S36" i="4" s="1"/>
  <c r="X32" i="4"/>
  <c r="W33" i="4"/>
  <c r="W35" i="4" s="1"/>
  <c r="AE20" i="4"/>
  <c r="AD21" i="4"/>
  <c r="V22" i="4"/>
  <c r="W22" i="4" s="1"/>
  <c r="X22" i="4" s="1"/>
  <c r="U23" i="4"/>
  <c r="Y32" i="4" l="1"/>
  <c r="Y33" i="4" s="1"/>
  <c r="Y35" i="4" s="1"/>
  <c r="X33" i="4"/>
  <c r="X35" i="4" s="1"/>
  <c r="U27" i="4"/>
  <c r="T28" i="4"/>
  <c r="T36" i="4" s="1"/>
  <c r="AF20" i="4"/>
  <c r="AE21" i="4"/>
  <c r="V23" i="4"/>
  <c r="V27" i="4" l="1"/>
  <c r="U28" i="4"/>
  <c r="U36" i="4" s="1"/>
  <c r="Z32" i="4"/>
  <c r="AG20" i="4"/>
  <c r="AF21" i="4"/>
  <c r="W23" i="4"/>
  <c r="AH20" i="4" l="1"/>
  <c r="AH21" i="4" s="1"/>
  <c r="AG21" i="4"/>
  <c r="AA32" i="4"/>
  <c r="Z33" i="4"/>
  <c r="Z35" i="4" s="1"/>
  <c r="W27" i="4"/>
  <c r="V28" i="4"/>
  <c r="V36" i="4" s="1"/>
  <c r="X23" i="4"/>
  <c r="Y22" i="4"/>
  <c r="Z22" i="4" s="1"/>
  <c r="AA22" i="4" s="1"/>
  <c r="AB22" i="4" s="1"/>
  <c r="AC22" i="4" s="1"/>
  <c r="AD22" i="4" s="1"/>
  <c r="AE22" i="4" s="1"/>
  <c r="AF22" i="4" s="1"/>
  <c r="AG22" i="4" s="1"/>
  <c r="AH22" i="4" s="1"/>
  <c r="AA33" i="4" l="1"/>
  <c r="AA35" i="4" s="1"/>
  <c r="AB32" i="4"/>
  <c r="AB33" i="4" s="1"/>
  <c r="AB35" i="4" s="1"/>
  <c r="X27" i="4"/>
  <c r="W28" i="4"/>
  <c r="W36" i="4" s="1"/>
  <c r="Y23" i="4"/>
  <c r="Y27" i="4" l="1"/>
  <c r="X28" i="4"/>
  <c r="X36" i="4" s="1"/>
  <c r="AC32" i="4"/>
  <c r="Z23" i="4"/>
  <c r="Z27" i="4" l="1"/>
  <c r="Y28" i="4"/>
  <c r="Y36" i="4" s="1"/>
  <c r="AD32" i="4"/>
  <c r="AC33" i="4"/>
  <c r="AC35" i="4" s="1"/>
  <c r="AA23" i="4"/>
  <c r="AE32" i="4" l="1"/>
  <c r="AE33" i="4" s="1"/>
  <c r="AE35" i="4" s="1"/>
  <c r="AD33" i="4"/>
  <c r="AD35" i="4" s="1"/>
  <c r="Z28" i="4"/>
  <c r="Z36" i="4" s="1"/>
  <c r="AA27" i="4"/>
  <c r="AB23" i="4"/>
  <c r="AF32" i="4" l="1"/>
  <c r="AB27" i="4"/>
  <c r="AA28" i="4"/>
  <c r="AA36" i="4" s="1"/>
  <c r="AC23" i="4"/>
  <c r="AC27" i="4" l="1"/>
  <c r="AB28" i="4"/>
  <c r="AB36" i="4" s="1"/>
  <c r="AG32" i="4"/>
  <c r="AF33" i="4"/>
  <c r="AF35" i="4" s="1"/>
  <c r="AD23" i="4"/>
  <c r="AG33" i="4" l="1"/>
  <c r="AG35" i="4" s="1"/>
  <c r="AH32" i="4"/>
  <c r="AH33" i="4" s="1"/>
  <c r="AH35" i="4" s="1"/>
  <c r="AC28" i="4"/>
  <c r="AC36" i="4" s="1"/>
  <c r="AD27" i="4"/>
  <c r="AE23" i="4"/>
  <c r="AE27" i="4" l="1"/>
  <c r="AD28" i="4"/>
  <c r="AD36" i="4" s="1"/>
  <c r="AF23" i="4"/>
  <c r="AE28" i="4" l="1"/>
  <c r="AE36" i="4" s="1"/>
  <c r="AF27" i="4"/>
  <c r="AG23" i="4"/>
  <c r="AH23" i="4"/>
  <c r="AF28" i="4" l="1"/>
  <c r="AF36" i="4" s="1"/>
  <c r="AG27" i="4"/>
  <c r="AH27" i="4" l="1"/>
  <c r="AH28" i="4" s="1"/>
  <c r="AH36" i="4" s="1"/>
  <c r="AG28" i="4"/>
  <c r="AG36" i="4" s="1"/>
  <c r="AI36" i="4" l="1"/>
</calcChain>
</file>

<file path=xl/sharedStrings.xml><?xml version="1.0" encoding="utf-8"?>
<sst xmlns="http://schemas.openxmlformats.org/spreadsheetml/2006/main" count="175" uniqueCount="134">
  <si>
    <t>Leasable Area
(in sq. ft.)</t>
  </si>
  <si>
    <t>Rent
(Rs. per sq. ft.</t>
  </si>
  <si>
    <t>Building Name</t>
  </si>
  <si>
    <t>Distance
(mtr.)</t>
  </si>
  <si>
    <t>Floor</t>
  </si>
  <si>
    <t>Particulars</t>
  </si>
  <si>
    <t>Figures</t>
  </si>
  <si>
    <t>Unit</t>
  </si>
  <si>
    <r>
      <rPr>
        <sz val="11"/>
        <rFont val="Calibri"/>
        <family val="1"/>
      </rPr>
      <t>Total Leasable Area – Office</t>
    </r>
  </si>
  <si>
    <r>
      <rPr>
        <sz val="11"/>
        <rFont val="Calibri"/>
        <family val="1"/>
      </rPr>
      <t>Sq ft</t>
    </r>
  </si>
  <si>
    <r>
      <rPr>
        <sz val="11"/>
        <rFont val="Calibri"/>
        <family val="1"/>
      </rPr>
      <t>Total Leasable Area – Retail</t>
    </r>
  </si>
  <si>
    <r>
      <rPr>
        <sz val="11"/>
        <rFont val="Calibri"/>
        <family val="1"/>
      </rPr>
      <t>Expected Monthly Rent-Office</t>
    </r>
  </si>
  <si>
    <r>
      <rPr>
        <sz val="11"/>
        <rFont val="Calibri"/>
        <family val="1"/>
      </rPr>
      <t>Rs.  Per sq ft</t>
    </r>
  </si>
  <si>
    <r>
      <rPr>
        <sz val="11"/>
        <rFont val="Calibri"/>
        <family val="1"/>
      </rPr>
      <t>Expected Monthly Rent-Retail</t>
    </r>
  </si>
  <si>
    <r>
      <rPr>
        <sz val="11"/>
        <rFont val="Calibri"/>
        <family val="1"/>
      </rPr>
      <t>Chargeable Car Parking slots</t>
    </r>
  </si>
  <si>
    <r>
      <rPr>
        <sz val="11"/>
        <rFont val="Calibri"/>
        <family val="1"/>
      </rPr>
      <t>Nos.</t>
    </r>
  </si>
  <si>
    <r>
      <rPr>
        <sz val="11"/>
        <rFont val="Calibri"/>
        <family val="1"/>
      </rPr>
      <t>Expected Monthly Rent</t>
    </r>
  </si>
  <si>
    <r>
      <rPr>
        <sz val="11"/>
        <rFont val="Calibri"/>
        <family val="1"/>
      </rPr>
      <t>Rs. per slot per month</t>
    </r>
  </si>
  <si>
    <r>
      <rPr>
        <sz val="11"/>
        <rFont val="Calibri"/>
        <family val="1"/>
      </rPr>
      <t>Inflationary Escalation in Rent Every 3 Years</t>
    </r>
  </si>
  <si>
    <r>
      <rPr>
        <sz val="11"/>
        <rFont val="Calibri"/>
        <family val="1"/>
      </rPr>
      <t>%</t>
    </r>
  </si>
  <si>
    <r>
      <rPr>
        <sz val="11"/>
        <rFont val="Calibri"/>
        <family val="1"/>
      </rPr>
      <t>Interest Free Security Deposit</t>
    </r>
  </si>
  <si>
    <r>
      <rPr>
        <sz val="11"/>
        <rFont val="Calibri"/>
        <family val="1"/>
      </rPr>
      <t>months</t>
    </r>
  </si>
  <si>
    <r>
      <rPr>
        <sz val="11"/>
        <rFont val="Calibri"/>
        <family val="1"/>
      </rPr>
      <t>CAM Charges</t>
    </r>
  </si>
  <si>
    <r>
      <rPr>
        <sz val="11"/>
        <rFont val="Calibri"/>
        <family val="1"/>
      </rPr>
      <t>Rs. per sq ft per month</t>
    </r>
  </si>
  <si>
    <r>
      <rPr>
        <sz val="11"/>
        <rFont val="Calibri"/>
        <family val="1"/>
      </rPr>
      <t>Profit from Cam Charges</t>
    </r>
  </si>
  <si>
    <r>
      <rPr>
        <sz val="11"/>
        <rFont val="Calibri"/>
        <family val="1"/>
      </rPr>
      <t>Interest Earned On Security Deposit</t>
    </r>
  </si>
  <si>
    <r>
      <rPr>
        <sz val="11"/>
        <rFont val="Calibri"/>
        <family val="1"/>
      </rPr>
      <t>Capitalization Rate</t>
    </r>
  </si>
  <si>
    <r>
      <rPr>
        <sz val="11"/>
        <rFont val="Calibri"/>
        <family val="1"/>
      </rPr>
      <t>Discount Rate</t>
    </r>
  </si>
  <si>
    <t>Year</t>
  </si>
  <si>
    <t>Month</t>
  </si>
  <si>
    <t>Year-0</t>
  </si>
  <si>
    <t>year-1</t>
  </si>
  <si>
    <t>Year-2</t>
  </si>
  <si>
    <t>Year-3</t>
  </si>
  <si>
    <t>Year-4</t>
  </si>
  <si>
    <t>Year-5</t>
  </si>
  <si>
    <t>Year-6</t>
  </si>
  <si>
    <t>Year-7</t>
  </si>
  <si>
    <t>Year-8</t>
  </si>
  <si>
    <t>Office Space</t>
  </si>
  <si>
    <t>Occupancy</t>
  </si>
  <si>
    <t>Area to be Leased out</t>
  </si>
  <si>
    <t>Annual Rent (in Rs. Cr.)</t>
  </si>
  <si>
    <t>Retail</t>
  </si>
  <si>
    <t>Other Services</t>
  </si>
  <si>
    <t>Interest on Security Deposit</t>
  </si>
  <si>
    <t>Annual CAM Charges (in Rs. Cr.)</t>
  </si>
  <si>
    <t>Rent (in Rs. /Sq. ft./ month)</t>
  </si>
  <si>
    <t>Security Deposit</t>
  </si>
  <si>
    <t>Security Deposit-Office Space(in Rs. Cr.)</t>
  </si>
  <si>
    <t>Security Deposit-Retail (in Rs. Cr.)</t>
  </si>
  <si>
    <t>Profit from CAM Charges (in Rs. Cr.)</t>
  </si>
  <si>
    <t>Total Inflow (Rs. Cr.)</t>
  </si>
  <si>
    <t>Built-up</t>
  </si>
  <si>
    <t>EBIDTA</t>
  </si>
  <si>
    <t>Year-9</t>
  </si>
  <si>
    <t>Year-10</t>
  </si>
  <si>
    <t>Year-11</t>
  </si>
  <si>
    <t>Year-12</t>
  </si>
  <si>
    <t>Year-13</t>
  </si>
  <si>
    <t>Year-14</t>
  </si>
  <si>
    <t>Year-15</t>
  </si>
  <si>
    <t>Year-16</t>
  </si>
  <si>
    <t>Year-17</t>
  </si>
  <si>
    <t>Year-18</t>
  </si>
  <si>
    <t>Year-19</t>
  </si>
  <si>
    <t>Year-20</t>
  </si>
  <si>
    <t>Year-21</t>
  </si>
  <si>
    <t>Year-22</t>
  </si>
  <si>
    <t>Year-23</t>
  </si>
  <si>
    <t>Year-24</t>
  </si>
  <si>
    <t>Year-25</t>
  </si>
  <si>
    <t>Year-26</t>
  </si>
  <si>
    <t>Year-27</t>
  </si>
  <si>
    <t>Year-28</t>
  </si>
  <si>
    <t>Year-29</t>
  </si>
  <si>
    <t>Year-30</t>
  </si>
  <si>
    <t>Monthly CAM Charges (in Rs. Cr.)</t>
  </si>
  <si>
    <t>NPV</t>
  </si>
  <si>
    <t>6 Months' rent</t>
  </si>
  <si>
    <t>Profit from CAM Charges</t>
  </si>
  <si>
    <t>Expected Monthly Rent car parking</t>
  </si>
  <si>
    <t>g</t>
  </si>
  <si>
    <t>Terminal Value</t>
  </si>
  <si>
    <t>Growth Rate</t>
  </si>
  <si>
    <t>%</t>
  </si>
  <si>
    <t>Office Spaces</t>
  </si>
  <si>
    <t xml:space="preserve">S. No. </t>
  </si>
  <si>
    <t>Name of property</t>
  </si>
  <si>
    <t xml:space="preserve">Leasable Area </t>
  </si>
  <si>
    <t>Rent/Lease Rate</t>
  </si>
  <si>
    <t>Link</t>
  </si>
  <si>
    <t>Birla Tower, Barakhamba Road</t>
  </si>
  <si>
    <t>https://www.cbre.co.in/properties/office/details/IN-SMPL-800/birla-tower-barakhamba-road-delhi-dl-110001?view=isLetting</t>
  </si>
  <si>
    <t>Vandana, Tolstoy Road</t>
  </si>
  <si>
    <t>https://www.cbre.co.in/properties/office/details/IN-SMPL-15861/vandana-tolstoy-road-110001?view=isLetting</t>
  </si>
  <si>
    <t>Hansalaya, Barakhamba Rd</t>
  </si>
  <si>
    <t>https://www.cbre.co.in/properties/office/details/IN-SMPL-230/hans-hotel-no-15-barakhamba-rd-connaught-place-new-delhi-delhi-110001-110001?view=isLetting</t>
  </si>
  <si>
    <t>World Trade Tower, Barakhamba Lane</t>
  </si>
  <si>
    <t>https://www.cbre.co.in/properties/office/details/IN-SMPL-17594/world-trade-tower-barakhamba-lane-110001?view=isLetting</t>
  </si>
  <si>
    <t>ECE House, KG Marg</t>
  </si>
  <si>
    <t>https://www.cbre.co.in/properties/office/details/IN-SMPL-802/ece-house-kg-marg-110001?view=isLetting</t>
  </si>
  <si>
    <t>Metropolitan , Bangla Sahib Road</t>
  </si>
  <si>
    <t>https://www.cbre.co.in/properties/office/details/IN-SMPL-860/metropolitan-bangla-sahib-road-110001?view=isLetting</t>
  </si>
  <si>
    <t>Sood Tower, Barakhamba Road</t>
  </si>
  <si>
    <t>https://www.cbre.co.in/properties/office/details/IN-SMPL-885/sood-tower-barakhamba-road-110001?view=isLetting</t>
  </si>
  <si>
    <t>Building</t>
  </si>
  <si>
    <t>Land</t>
  </si>
  <si>
    <t>Parasvnath Capitol</t>
  </si>
  <si>
    <t>rent</t>
  </si>
  <si>
    <t>maintenance</t>
  </si>
  <si>
    <t>Amit Sharma-Estate Lion</t>
  </si>
  <si>
    <t>DLF Capitol Point</t>
  </si>
  <si>
    <t>Pankaj</t>
  </si>
  <si>
    <t>~</t>
  </si>
  <si>
    <t>https://www.magicbricks.com/propertyDetails/2200-Sq-ft-Commercial-Shop-FOR-Rent-Connaught-Place-in-New-Delhi&amp;id=4d423634333538373939&amp;dynamicListing=N&amp;budget=0&amp;area=0&amp;seats=0&amp;isCoworkingSearch=Y</t>
  </si>
  <si>
    <t>https://www.magicbricks.com/propertyDetails/600-Sq-ft-Commercial-Shop-FOR-Rent-Connaught-Place-in-New-Delhi-r1&amp;id=4d423632323337383339&amp;dynamicListing=N&amp;budget=0&amp;area=0&amp;seats=0&amp;isCoworkingSearch=Y</t>
  </si>
  <si>
    <t>https://www.99acres.com/shop-for-rent-lease-in-connaught-place-central-delhi-500-sq-ft-spid-D64281552</t>
  </si>
  <si>
    <t>https://www.99acres.com/shop-for-rent-lease-in-connaught-place-central-delhi-700-sq-ft-spid-V65806846</t>
  </si>
  <si>
    <t>Parsvnath Capital Tower</t>
  </si>
  <si>
    <t>Dlf Capitol Point</t>
  </si>
  <si>
    <t>I</t>
  </si>
  <si>
    <t>Manmohan Arora</t>
  </si>
  <si>
    <t>500-700</t>
  </si>
  <si>
    <t>Rent/Month (INR)</t>
  </si>
  <si>
    <t>Rate (INR/ Sq. ft./ Month)</t>
  </si>
  <si>
    <t>ARUN</t>
  </si>
  <si>
    <t>500-600</t>
  </si>
  <si>
    <t>S. No.</t>
  </si>
  <si>
    <t>Cicle Rate</t>
  </si>
  <si>
    <t>12 / 121</t>
  </si>
  <si>
    <t>Discount Rate</t>
  </si>
  <si>
    <t>NPV
(in ₹ Cr.)</t>
  </si>
  <si>
    <t>Government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</si>
</sst>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₹&quot;\ #,##0;[Red]&quot;₹&quot;\ \-#,##0"/>
    <numFmt numFmtId="8" formatCode="&quot;₹&quot;\ #,##0.00;[Red]&quot;₹&quot;\ \-#,##0.00"/>
    <numFmt numFmtId="43" formatCode="_ * #,##0.00_ ;_ * \-#,##0.00_ ;_ * &quot;-&quot;??_ ;_ @_ "/>
    <numFmt numFmtId="164" formatCode="_ * #,##0_ ;_ * \-#,##0_ ;_ * &quot;-&quot;??_ ;_ @_ 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name val="Calibri"/>
      <family val="1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1" fillId="0" borderId="0"/>
  </cellStyleXfs>
  <cellXfs count="9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5" fillId="2" borderId="1" xfId="3" applyFont="1" applyFill="1" applyBorder="1" applyAlignment="1">
      <alignment vertical="center" wrapText="1"/>
    </xf>
    <xf numFmtId="0" fontId="6" fillId="0" borderId="1" xfId="3" applyFont="1" applyFill="1" applyBorder="1" applyAlignment="1">
      <alignment vertical="top" wrapText="1"/>
    </xf>
    <xf numFmtId="164" fontId="8" fillId="0" borderId="1" xfId="1" applyNumberFormat="1" applyFont="1" applyFill="1" applyBorder="1" applyAlignment="1">
      <alignment vertical="top" shrinkToFit="1"/>
    </xf>
    <xf numFmtId="164" fontId="8" fillId="3" borderId="1" xfId="1" applyNumberFormat="1" applyFont="1" applyFill="1" applyBorder="1" applyAlignment="1">
      <alignment vertical="top" shrinkToFit="1"/>
    </xf>
    <xf numFmtId="9" fontId="8" fillId="0" borderId="1" xfId="3" applyNumberFormat="1" applyFont="1" applyFill="1" applyBorder="1" applyAlignment="1">
      <alignment vertical="top" shrinkToFit="1"/>
    </xf>
    <xf numFmtId="1" fontId="8" fillId="0" borderId="1" xfId="3" applyNumberFormat="1" applyFont="1" applyFill="1" applyBorder="1" applyAlignment="1">
      <alignment vertical="top" shrinkToFit="1"/>
    </xf>
    <xf numFmtId="165" fontId="8" fillId="0" borderId="1" xfId="2" applyNumberFormat="1" applyFont="1" applyFill="1" applyBorder="1" applyAlignment="1">
      <alignment vertical="top" shrinkToFi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/>
    </xf>
    <xf numFmtId="17" fontId="3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0" fillId="0" borderId="2" xfId="0" applyBorder="1"/>
    <xf numFmtId="0" fontId="0" fillId="0" borderId="2" xfId="0" applyFill="1" applyBorder="1"/>
    <xf numFmtId="0" fontId="2" fillId="4" borderId="2" xfId="0" applyFont="1" applyFill="1" applyBorder="1"/>
    <xf numFmtId="0" fontId="0" fillId="4" borderId="2" xfId="0" applyFill="1" applyBorder="1"/>
    <xf numFmtId="9" fontId="0" fillId="0" borderId="2" xfId="2" applyFont="1" applyBorder="1"/>
    <xf numFmtId="0" fontId="0" fillId="0" borderId="0" xfId="0" applyAlignment="1"/>
    <xf numFmtId="0" fontId="0" fillId="4" borderId="2" xfId="0" applyFill="1" applyBorder="1" applyAlignment="1"/>
    <xf numFmtId="9" fontId="0" fillId="0" borderId="2" xfId="2" applyFont="1" applyBorder="1" applyAlignment="1"/>
    <xf numFmtId="0" fontId="0" fillId="0" borderId="2" xfId="0" applyBorder="1" applyAlignment="1"/>
    <xf numFmtId="0" fontId="5" fillId="2" borderId="2" xfId="3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164" fontId="8" fillId="0" borderId="2" xfId="1" applyNumberFormat="1" applyFont="1" applyFill="1" applyBorder="1" applyAlignment="1">
      <alignment vertical="top" shrinkToFit="1"/>
    </xf>
    <xf numFmtId="0" fontId="6" fillId="0" borderId="2" xfId="3" applyFont="1" applyFill="1" applyBorder="1" applyAlignment="1">
      <alignment vertical="top"/>
    </xf>
    <xf numFmtId="164" fontId="8" fillId="3" borderId="2" xfId="1" applyNumberFormat="1" applyFont="1" applyFill="1" applyBorder="1" applyAlignment="1">
      <alignment vertical="top" shrinkToFit="1"/>
    </xf>
    <xf numFmtId="9" fontId="8" fillId="0" borderId="2" xfId="3" applyNumberFormat="1" applyFont="1" applyFill="1" applyBorder="1" applyAlignment="1">
      <alignment vertical="top" shrinkToFit="1"/>
    </xf>
    <xf numFmtId="1" fontId="8" fillId="0" borderId="2" xfId="3" applyNumberFormat="1" applyFont="1" applyFill="1" applyBorder="1" applyAlignment="1">
      <alignment vertical="top" shrinkToFit="1"/>
    </xf>
    <xf numFmtId="165" fontId="8" fillId="0" borderId="2" xfId="2" applyNumberFormat="1" applyFont="1" applyFill="1" applyBorder="1" applyAlignment="1">
      <alignment vertical="top" shrinkToFit="1"/>
    </xf>
    <xf numFmtId="164" fontId="0" fillId="0" borderId="2" xfId="0" applyNumberFormat="1" applyBorder="1"/>
    <xf numFmtId="43" fontId="0" fillId="0" borderId="2" xfId="1" applyFont="1" applyBorder="1" applyAlignment="1"/>
    <xf numFmtId="164" fontId="0" fillId="0" borderId="2" xfId="1" applyNumberFormat="1" applyFont="1" applyBorder="1" applyAlignment="1"/>
    <xf numFmtId="43" fontId="0" fillId="0" borderId="2" xfId="1" applyFont="1" applyBorder="1"/>
    <xf numFmtId="9" fontId="0" fillId="0" borderId="0" xfId="2" applyFont="1"/>
    <xf numFmtId="164" fontId="0" fillId="0" borderId="2" xfId="0" applyNumberFormat="1" applyBorder="1" applyAlignment="1"/>
    <xf numFmtId="9" fontId="0" fillId="0" borderId="0" xfId="0" applyNumberFormat="1"/>
    <xf numFmtId="43" fontId="0" fillId="0" borderId="2" xfId="0" applyNumberFormat="1" applyBorder="1" applyAlignment="1"/>
    <xf numFmtId="43" fontId="0" fillId="0" borderId="0" xfId="1" applyFont="1"/>
    <xf numFmtId="164" fontId="0" fillId="0" borderId="0" xfId="1" applyNumberFormat="1" applyFont="1"/>
    <xf numFmtId="43" fontId="0" fillId="0" borderId="0" xfId="0" applyNumberFormat="1"/>
    <xf numFmtId="164" fontId="0" fillId="0" borderId="0" xfId="0" applyNumberFormat="1"/>
    <xf numFmtId="43" fontId="0" fillId="0" borderId="0" xfId="0" applyNumberFormat="1" applyAlignment="1"/>
    <xf numFmtId="43" fontId="0" fillId="0" borderId="2" xfId="1" applyNumberFormat="1" applyFont="1" applyBorder="1"/>
    <xf numFmtId="164" fontId="0" fillId="0" borderId="2" xfId="1" applyNumberFormat="1" applyFont="1" applyBorder="1"/>
    <xf numFmtId="164" fontId="0" fillId="0" borderId="2" xfId="1" applyNumberFormat="1" applyFont="1" applyFill="1" applyBorder="1"/>
    <xf numFmtId="0" fontId="7" fillId="0" borderId="1" xfId="3" applyFont="1" applyFill="1" applyBorder="1" applyAlignment="1">
      <alignment vertical="top" wrapText="1"/>
    </xf>
    <xf numFmtId="8" fontId="2" fillId="0" borderId="0" xfId="0" applyNumberFormat="1" applyFont="1" applyAlignment="1"/>
    <xf numFmtId="3" fontId="9" fillId="0" borderId="0" xfId="0" applyNumberFormat="1" applyFont="1"/>
    <xf numFmtId="10" fontId="0" fillId="0" borderId="0" xfId="2" applyNumberFormat="1" applyFont="1"/>
    <xf numFmtId="0" fontId="0" fillId="0" borderId="0" xfId="0" applyAlignment="1">
      <alignment horizontal="center"/>
    </xf>
    <xf numFmtId="10" fontId="0" fillId="0" borderId="0" xfId="0" applyNumberFormat="1"/>
    <xf numFmtId="0" fontId="6" fillId="0" borderId="3" xfId="3" applyFont="1" applyFill="1" applyBorder="1" applyAlignment="1">
      <alignment vertical="top" wrapText="1"/>
    </xf>
    <xf numFmtId="165" fontId="8" fillId="0" borderId="4" xfId="2" applyNumberFormat="1" applyFont="1" applyFill="1" applyBorder="1" applyAlignment="1">
      <alignment vertical="top" shrinkToFit="1"/>
    </xf>
    <xf numFmtId="0" fontId="6" fillId="0" borderId="4" xfId="3" applyFont="1" applyFill="1" applyBorder="1" applyAlignment="1">
      <alignment vertical="top"/>
    </xf>
    <xf numFmtId="0" fontId="6" fillId="0" borderId="2" xfId="3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0" fillId="0" borderId="0" xfId="0" applyNumberFormat="1" applyFont="1"/>
    <xf numFmtId="6" fontId="0" fillId="0" borderId="0" xfId="0" applyNumberFormat="1"/>
    <xf numFmtId="6" fontId="0" fillId="0" borderId="0" xfId="0" applyNumberFormat="1" applyAlignment="1"/>
    <xf numFmtId="164" fontId="0" fillId="0" borderId="0" xfId="1" applyNumberFormat="1" applyFont="1" applyAlignment="1"/>
    <xf numFmtId="0" fontId="2" fillId="0" borderId="0" xfId="1" applyNumberFormat="1" applyFont="1" applyAlignment="1">
      <alignment horizontal="center" vertical="center" wrapText="1"/>
    </xf>
    <xf numFmtId="0" fontId="0" fillId="0" borderId="0" xfId="1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0" fillId="0" borderId="2" xfId="1" applyNumberFormat="1" applyFont="1" applyBorder="1" applyAlignment="1">
      <alignment vertical="center"/>
    </xf>
    <xf numFmtId="164" fontId="0" fillId="0" borderId="2" xfId="1" applyNumberFormat="1" applyFont="1" applyBorder="1" applyAlignment="1">
      <alignment horizontal="right" vertical="center"/>
    </xf>
    <xf numFmtId="164" fontId="2" fillId="0" borderId="2" xfId="1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9" fontId="8" fillId="0" borderId="2" xfId="2" applyNumberFormat="1" applyFont="1" applyFill="1" applyBorder="1" applyAlignment="1">
      <alignment vertical="top" shrinkToFit="1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9" fontId="0" fillId="0" borderId="0" xfId="2" applyFont="1" applyAlignment="1">
      <alignment vertical="center"/>
    </xf>
    <xf numFmtId="43" fontId="0" fillId="0" borderId="0" xfId="1" applyFont="1" applyAlignment="1">
      <alignment vertical="center"/>
    </xf>
    <xf numFmtId="43" fontId="0" fillId="0" borderId="0" xfId="1" applyFont="1" applyAlignment="1"/>
    <xf numFmtId="3" fontId="0" fillId="0" borderId="0" xfId="0" applyNumberFormat="1"/>
    <xf numFmtId="3" fontId="10" fillId="0" borderId="0" xfId="0" applyNumberFormat="1" applyFont="1"/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Discount Rate  and NPV Series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Valuation!$E$52</c:f>
              <c:strCache>
                <c:ptCount val="1"/>
                <c:pt idx="0">
                  <c:v>NPV
(in ₹ Cr.)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Valuation!$E$53:$E$55</c:f>
              <c:numCache>
                <c:formatCode>_(* #,##0.00_);_(* \(#,##0.00\);_(* "-"??_);_(@_)</c:formatCode>
                <c:ptCount val="3"/>
                <c:pt idx="0">
                  <c:v>1011.90645599324</c:v>
                </c:pt>
                <c:pt idx="1">
                  <c:v>817.64088183995398</c:v>
                </c:pt>
                <c:pt idx="2">
                  <c:v>679.8286645387717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Valuation!$F$52</c:f>
              <c:strCache>
                <c:ptCount val="1"/>
                <c:pt idx="0">
                  <c:v>Discount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Valuation!$F$53:$F$55</c:f>
              <c:numCache>
                <c:formatCode>0%</c:formatCode>
                <c:ptCount val="3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676720"/>
        <c:axId val="523674760"/>
      </c:lineChart>
      <c:catAx>
        <c:axId val="523676720"/>
        <c:scaling>
          <c:orientation val="minMax"/>
        </c:scaling>
        <c:delete val="1"/>
        <c:axPos val="b"/>
        <c:majorTickMark val="none"/>
        <c:minorTickMark val="none"/>
        <c:tickLblPos val="nextTo"/>
        <c:crossAx val="523674760"/>
        <c:crosses val="autoZero"/>
        <c:auto val="1"/>
        <c:lblAlgn val="ctr"/>
        <c:lblOffset val="100"/>
        <c:noMultiLvlLbl val="0"/>
      </c:catAx>
      <c:valAx>
        <c:axId val="52367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67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61329833770776"/>
          <c:y val="0.86226742490522013"/>
          <c:w val="0.43901727909011373"/>
          <c:h val="0.12847331583552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328612</xdr:colOff>
      <xdr:row>43</xdr:row>
      <xdr:rowOff>42862</xdr:rowOff>
    </xdr:from>
    <xdr:to>
      <xdr:col>15</xdr:col>
      <xdr:colOff>23812</xdr:colOff>
      <xdr:row>56</xdr:row>
      <xdr:rowOff>119062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2"/>
  <sheetViews>
    <sheetView workbookViewId="0">
      <selection activeCell="F21" sqref="F21"/>
    </sheetView>
  </sheetViews>
  <sheetFormatPr defaultRowHeight="15" x14ac:dyDescent="0.25"/>
  <cols>
    <col min="2" max="2" width="40.140625" bestFit="1" customWidth="1"/>
    <col min="3" max="3" width="11.5703125" bestFit="1" customWidth="1"/>
    <col min="4" max="4" width="21.5703125" bestFit="1" customWidth="1"/>
    <col min="14" max="14" width="15.28515625" bestFit="1" customWidth="1"/>
  </cols>
  <sheetData>
    <row r="2" spans="2:14" ht="15" customHeight="1" x14ac:dyDescent="0.25">
      <c r="B2" s="7" t="s">
        <v>5</v>
      </c>
      <c r="C2" s="7" t="s">
        <v>6</v>
      </c>
      <c r="D2" s="7" t="s">
        <v>7</v>
      </c>
    </row>
    <row r="3" spans="2:14" ht="15" customHeight="1" x14ac:dyDescent="0.25">
      <c r="B3" s="8" t="s">
        <v>8</v>
      </c>
      <c r="C3" s="9">
        <f>157289-C4</f>
        <v>142930</v>
      </c>
      <c r="D3" s="8" t="s">
        <v>9</v>
      </c>
    </row>
    <row r="4" spans="2:14" ht="15" customHeight="1" x14ac:dyDescent="0.25">
      <c r="B4" s="8" t="s">
        <v>10</v>
      </c>
      <c r="C4" s="9">
        <v>14359</v>
      </c>
      <c r="D4" s="8" t="s">
        <v>9</v>
      </c>
    </row>
    <row r="5" spans="2:14" ht="15" customHeight="1" x14ac:dyDescent="0.25">
      <c r="B5" s="8" t="s">
        <v>11</v>
      </c>
      <c r="C5" s="10">
        <v>375</v>
      </c>
      <c r="D5" s="8" t="s">
        <v>12</v>
      </c>
    </row>
    <row r="6" spans="2:14" ht="15" customHeight="1" x14ac:dyDescent="0.25">
      <c r="B6" s="8" t="s">
        <v>13</v>
      </c>
      <c r="C6" s="10">
        <v>425</v>
      </c>
      <c r="D6" s="8" t="s">
        <v>12</v>
      </c>
    </row>
    <row r="7" spans="2:14" ht="15" customHeight="1" x14ac:dyDescent="0.25">
      <c r="B7" s="8" t="s">
        <v>14</v>
      </c>
      <c r="C7" s="9">
        <v>141</v>
      </c>
      <c r="D7" s="8" t="s">
        <v>15</v>
      </c>
    </row>
    <row r="8" spans="2:14" ht="15" customHeight="1" x14ac:dyDescent="0.25">
      <c r="B8" s="8" t="s">
        <v>16</v>
      </c>
      <c r="C8" s="10">
        <v>6000</v>
      </c>
      <c r="D8" s="8" t="s">
        <v>17</v>
      </c>
    </row>
    <row r="9" spans="2:14" ht="15" customHeight="1" x14ac:dyDescent="0.25">
      <c r="B9" s="8" t="s">
        <v>18</v>
      </c>
      <c r="C9" s="11">
        <v>0.15</v>
      </c>
      <c r="D9" s="8" t="s">
        <v>19</v>
      </c>
    </row>
    <row r="10" spans="2:14" ht="15" customHeight="1" x14ac:dyDescent="0.25">
      <c r="B10" s="8" t="s">
        <v>20</v>
      </c>
      <c r="C10" s="12">
        <v>6</v>
      </c>
      <c r="D10" s="8" t="s">
        <v>21</v>
      </c>
      <c r="N10" s="53">
        <v>98946</v>
      </c>
    </row>
    <row r="11" spans="2:14" ht="15" customHeight="1" x14ac:dyDescent="0.25">
      <c r="B11" s="8" t="s">
        <v>22</v>
      </c>
      <c r="C11" s="12">
        <v>25</v>
      </c>
      <c r="D11" s="8" t="s">
        <v>23</v>
      </c>
      <c r="N11">
        <v>2200</v>
      </c>
    </row>
    <row r="12" spans="2:14" ht="15" customHeight="1" x14ac:dyDescent="0.25">
      <c r="B12" s="8" t="s">
        <v>24</v>
      </c>
      <c r="C12" s="13">
        <v>0.2</v>
      </c>
      <c r="D12" s="8" t="s">
        <v>19</v>
      </c>
      <c r="N12" s="44">
        <f>N11*N10</f>
        <v>217681200</v>
      </c>
    </row>
    <row r="13" spans="2:14" ht="15" customHeight="1" x14ac:dyDescent="0.25">
      <c r="B13" s="8" t="s">
        <v>25</v>
      </c>
      <c r="C13" s="13">
        <v>6.5000000000000002E-2</v>
      </c>
      <c r="D13" s="8" t="s">
        <v>19</v>
      </c>
      <c r="N13">
        <v>60</v>
      </c>
    </row>
    <row r="14" spans="2:14" ht="15" customHeight="1" x14ac:dyDescent="0.25">
      <c r="B14" s="8" t="s">
        <v>26</v>
      </c>
      <c r="C14" s="13">
        <v>0.08</v>
      </c>
      <c r="D14" s="8" t="s">
        <v>19</v>
      </c>
      <c r="N14" s="41">
        <v>0.9</v>
      </c>
    </row>
    <row r="15" spans="2:14" ht="15" customHeight="1" x14ac:dyDescent="0.25">
      <c r="B15" s="8" t="s">
        <v>27</v>
      </c>
      <c r="C15" s="13">
        <v>0.12</v>
      </c>
      <c r="D15" s="8" t="s">
        <v>19</v>
      </c>
      <c r="N15" s="54">
        <f>N14/N13</f>
        <v>1.5000000000000001E-2</v>
      </c>
    </row>
    <row r="16" spans="2:14" x14ac:dyDescent="0.25">
      <c r="N16" s="46">
        <f>N15*N12</f>
        <v>3265218.0000000005</v>
      </c>
    </row>
    <row r="17" spans="2:14" x14ac:dyDescent="0.25">
      <c r="N17" s="43">
        <f>N16/10^7</f>
        <v>0.32652180000000003</v>
      </c>
    </row>
    <row r="20" spans="2:14" x14ac:dyDescent="0.25">
      <c r="B20" t="s">
        <v>129</v>
      </c>
    </row>
    <row r="21" spans="2:14" x14ac:dyDescent="0.25">
      <c r="B21" s="66">
        <v>4795.1499999999996</v>
      </c>
      <c r="C21" s="44">
        <v>774000</v>
      </c>
      <c r="D21" s="44">
        <f>C21*B21*3</f>
        <v>11134338299.999998</v>
      </c>
    </row>
    <row r="22" spans="2:14" x14ac:dyDescent="0.25">
      <c r="D22" s="43">
        <f>D21/10^7</f>
        <v>1113.4338299999997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10"/>
  <sheetViews>
    <sheetView workbookViewId="0">
      <selection activeCell="A2" sqref="A2:XFD10"/>
    </sheetView>
  </sheetViews>
  <sheetFormatPr defaultRowHeight="15" x14ac:dyDescent="0.25"/>
  <cols>
    <col min="1" max="3" width="9.140625" style="1"/>
    <col min="4" max="4" width="16.7109375" style="1" bestFit="1" customWidth="1"/>
    <col min="5" max="5" width="14.28515625" style="4" customWidth="1"/>
    <col min="6" max="6" width="11.5703125" style="4" customWidth="1"/>
    <col min="7" max="7" width="9.85546875" style="6" bestFit="1" customWidth="1"/>
    <col min="8" max="8" width="9.85546875" style="6" customWidth="1"/>
    <col min="9" max="16384" width="9.140625" style="1"/>
  </cols>
  <sheetData>
    <row r="2" spans="4:8" s="2" customFormat="1" ht="45" x14ac:dyDescent="0.25">
      <c r="D2" s="2" t="s">
        <v>2</v>
      </c>
      <c r="E2" s="3" t="s">
        <v>1</v>
      </c>
      <c r="F2" s="3" t="s">
        <v>0</v>
      </c>
      <c r="G2" s="5" t="s">
        <v>4</v>
      </c>
      <c r="H2" s="5" t="s">
        <v>3</v>
      </c>
    </row>
    <row r="7" spans="4:8" x14ac:dyDescent="0.25">
      <c r="D7" s="1">
        <v>4.5</v>
      </c>
      <c r="E7" s="4">
        <f>D7*10^5</f>
        <v>450000</v>
      </c>
      <c r="F7" s="4">
        <v>500</v>
      </c>
      <c r="G7" s="4">
        <f>E7/F7</f>
        <v>900</v>
      </c>
    </row>
    <row r="8" spans="4:8" x14ac:dyDescent="0.25">
      <c r="D8" s="1">
        <v>14</v>
      </c>
      <c r="E8" s="4">
        <f t="shared" ref="E8:E10" si="0">D8*10^5</f>
        <v>1400000</v>
      </c>
      <c r="F8" s="4">
        <v>3100</v>
      </c>
      <c r="G8" s="4">
        <f t="shared" ref="G8:G10" si="1">E8/F8</f>
        <v>451.61290322580646</v>
      </c>
    </row>
    <row r="9" spans="4:8" x14ac:dyDescent="0.25">
      <c r="D9" s="1">
        <v>4.2</v>
      </c>
      <c r="E9" s="4">
        <f t="shared" si="0"/>
        <v>420000</v>
      </c>
      <c r="F9" s="4">
        <v>700</v>
      </c>
      <c r="G9" s="4">
        <f t="shared" si="1"/>
        <v>600</v>
      </c>
    </row>
    <row r="10" spans="4:8" x14ac:dyDescent="0.25">
      <c r="D10" s="1">
        <v>15</v>
      </c>
      <c r="E10" s="4">
        <f t="shared" si="0"/>
        <v>1500000</v>
      </c>
      <c r="F10" s="4">
        <v>2310</v>
      </c>
      <c r="G10" s="4">
        <f t="shared" si="1"/>
        <v>649.35064935064941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63"/>
  <sheetViews>
    <sheetView tabSelected="1" topLeftCell="B37" workbookViewId="0">
      <selection activeCell="F63" sqref="F63"/>
    </sheetView>
  </sheetViews>
  <sheetFormatPr defaultRowHeight="15" x14ac:dyDescent="0.25"/>
  <cols>
    <col min="2" max="2" width="41.5703125" customWidth="1"/>
    <col min="3" max="3" width="10" bestFit="1" customWidth="1"/>
    <col min="4" max="4" width="13.42578125" style="23" bestFit="1" customWidth="1"/>
    <col min="5" max="5" width="17.7109375" bestFit="1" customWidth="1"/>
    <col min="6" max="6" width="18" bestFit="1" customWidth="1"/>
  </cols>
  <sheetData>
    <row r="2" spans="2:9" x14ac:dyDescent="0.25">
      <c r="B2" s="7" t="s">
        <v>5</v>
      </c>
      <c r="C2" s="27" t="s">
        <v>6</v>
      </c>
      <c r="D2" s="28" t="s">
        <v>7</v>
      </c>
    </row>
    <row r="3" spans="2:9" x14ac:dyDescent="0.25">
      <c r="B3" s="8" t="s">
        <v>8</v>
      </c>
      <c r="C3" s="29">
        <f>157289-C4</f>
        <v>135583</v>
      </c>
      <c r="D3" s="30" t="s">
        <v>9</v>
      </c>
    </row>
    <row r="4" spans="2:9" x14ac:dyDescent="0.25">
      <c r="B4" s="8" t="s">
        <v>10</v>
      </c>
      <c r="C4" s="29">
        <f>7347+14359</f>
        <v>21706</v>
      </c>
      <c r="D4" s="30" t="s">
        <v>9</v>
      </c>
      <c r="I4" t="s">
        <v>130</v>
      </c>
    </row>
    <row r="5" spans="2:9" x14ac:dyDescent="0.25">
      <c r="B5" s="8" t="s">
        <v>11</v>
      </c>
      <c r="C5" s="29">
        <v>325</v>
      </c>
      <c r="D5" s="30" t="s">
        <v>12</v>
      </c>
    </row>
    <row r="6" spans="2:9" x14ac:dyDescent="0.25">
      <c r="B6" s="8" t="s">
        <v>13</v>
      </c>
      <c r="C6" s="29">
        <v>550</v>
      </c>
      <c r="D6" s="30" t="s">
        <v>12</v>
      </c>
    </row>
    <row r="7" spans="2:9" x14ac:dyDescent="0.25">
      <c r="B7" s="8" t="s">
        <v>14</v>
      </c>
      <c r="C7" s="29">
        <v>141</v>
      </c>
      <c r="D7" s="30" t="s">
        <v>15</v>
      </c>
    </row>
    <row r="8" spans="2:9" x14ac:dyDescent="0.25">
      <c r="B8" s="51" t="s">
        <v>81</v>
      </c>
      <c r="C8" s="31">
        <v>6000</v>
      </c>
      <c r="D8" s="30" t="s">
        <v>17</v>
      </c>
    </row>
    <row r="9" spans="2:9" x14ac:dyDescent="0.25">
      <c r="B9" s="8" t="s">
        <v>48</v>
      </c>
      <c r="C9" s="41" t="s">
        <v>79</v>
      </c>
      <c r="D9" s="30"/>
    </row>
    <row r="10" spans="2:9" x14ac:dyDescent="0.25">
      <c r="B10" s="8" t="s">
        <v>18</v>
      </c>
      <c r="C10" s="32">
        <v>0.1</v>
      </c>
      <c r="D10" s="30" t="s">
        <v>19</v>
      </c>
    </row>
    <row r="11" spans="2:9" x14ac:dyDescent="0.25">
      <c r="B11" s="8" t="s">
        <v>22</v>
      </c>
      <c r="C11" s="33">
        <v>30</v>
      </c>
      <c r="D11" s="30" t="s">
        <v>23</v>
      </c>
    </row>
    <row r="12" spans="2:9" x14ac:dyDescent="0.25">
      <c r="B12" s="51" t="s">
        <v>80</v>
      </c>
      <c r="C12" s="82">
        <v>0.2</v>
      </c>
      <c r="D12" s="30" t="s">
        <v>19</v>
      </c>
    </row>
    <row r="13" spans="2:9" x14ac:dyDescent="0.25">
      <c r="B13" s="8" t="s">
        <v>25</v>
      </c>
      <c r="C13" s="34">
        <v>0.06</v>
      </c>
      <c r="D13" s="30" t="s">
        <v>19</v>
      </c>
    </row>
    <row r="14" spans="2:9" x14ac:dyDescent="0.25">
      <c r="B14" s="57" t="s">
        <v>27</v>
      </c>
      <c r="C14" s="58">
        <v>0.12</v>
      </c>
      <c r="D14" s="59" t="s">
        <v>19</v>
      </c>
    </row>
    <row r="15" spans="2:9" x14ac:dyDescent="0.25">
      <c r="B15" s="60" t="s">
        <v>84</v>
      </c>
      <c r="C15" s="34">
        <v>0.05</v>
      </c>
      <c r="D15" s="30" t="s">
        <v>85</v>
      </c>
    </row>
    <row r="17" spans="2:34" x14ac:dyDescent="0.25">
      <c r="B17" s="15" t="s">
        <v>28</v>
      </c>
      <c r="C17" s="15" t="s">
        <v>30</v>
      </c>
      <c r="D17" s="15" t="s">
        <v>31</v>
      </c>
      <c r="E17" s="15" t="s">
        <v>32</v>
      </c>
      <c r="F17" s="15" t="s">
        <v>33</v>
      </c>
      <c r="G17" s="15" t="s">
        <v>34</v>
      </c>
      <c r="H17" s="15" t="s">
        <v>35</v>
      </c>
      <c r="I17" s="15"/>
      <c r="J17" s="15" t="s">
        <v>36</v>
      </c>
      <c r="K17" s="15" t="s">
        <v>37</v>
      </c>
      <c r="L17" s="15" t="s">
        <v>38</v>
      </c>
      <c r="M17" s="15" t="s">
        <v>55</v>
      </c>
      <c r="N17" s="15" t="s">
        <v>56</v>
      </c>
      <c r="O17" s="15" t="s">
        <v>57</v>
      </c>
      <c r="P17" s="15" t="s">
        <v>58</v>
      </c>
      <c r="Q17" s="15" t="s">
        <v>59</v>
      </c>
      <c r="R17" s="15" t="s">
        <v>60</v>
      </c>
      <c r="S17" s="15" t="s">
        <v>61</v>
      </c>
      <c r="T17" s="15" t="s">
        <v>62</v>
      </c>
      <c r="U17" s="15" t="s">
        <v>63</v>
      </c>
      <c r="V17" s="15" t="s">
        <v>64</v>
      </c>
      <c r="W17" s="15" t="s">
        <v>65</v>
      </c>
      <c r="X17" s="15" t="s">
        <v>66</v>
      </c>
      <c r="Y17" s="15" t="s">
        <v>67</v>
      </c>
      <c r="Z17" s="15" t="s">
        <v>68</v>
      </c>
      <c r="AA17" s="15" t="s">
        <v>69</v>
      </c>
      <c r="AB17" s="15" t="s">
        <v>70</v>
      </c>
      <c r="AC17" s="15" t="s">
        <v>71</v>
      </c>
      <c r="AD17" s="15" t="s">
        <v>72</v>
      </c>
      <c r="AE17" s="15" t="s">
        <v>73</v>
      </c>
      <c r="AF17" s="15" t="s">
        <v>74</v>
      </c>
      <c r="AG17" s="15" t="s">
        <v>75</v>
      </c>
      <c r="AH17" s="15" t="s">
        <v>76</v>
      </c>
    </row>
    <row r="18" spans="2:34" x14ac:dyDescent="0.25">
      <c r="B18" s="15" t="s">
        <v>29</v>
      </c>
      <c r="C18" s="16">
        <v>44866</v>
      </c>
      <c r="D18" s="16">
        <v>45231</v>
      </c>
      <c r="E18" s="16">
        <v>45597</v>
      </c>
      <c r="F18" s="16">
        <v>45962</v>
      </c>
      <c r="G18" s="16">
        <v>46327</v>
      </c>
      <c r="H18" s="16">
        <v>46692</v>
      </c>
      <c r="I18" s="16"/>
      <c r="J18" s="16">
        <v>47058</v>
      </c>
      <c r="K18" s="16">
        <v>47423</v>
      </c>
      <c r="L18" s="16">
        <v>47788</v>
      </c>
      <c r="M18" s="16">
        <v>47818</v>
      </c>
      <c r="N18" s="16">
        <v>47849</v>
      </c>
      <c r="O18" s="16">
        <v>47880</v>
      </c>
      <c r="P18" s="16">
        <v>47908</v>
      </c>
      <c r="Q18" s="16">
        <v>47939</v>
      </c>
      <c r="R18" s="16">
        <v>47969</v>
      </c>
      <c r="S18" s="16">
        <v>48000</v>
      </c>
      <c r="T18" s="16">
        <v>48030</v>
      </c>
      <c r="U18" s="16">
        <v>48061</v>
      </c>
      <c r="V18" s="16">
        <v>48092</v>
      </c>
      <c r="W18" s="16">
        <v>48122</v>
      </c>
      <c r="X18" s="16">
        <v>48153</v>
      </c>
      <c r="Y18" s="16">
        <v>48183</v>
      </c>
      <c r="Z18" s="16">
        <v>48214</v>
      </c>
      <c r="AA18" s="16">
        <v>48245</v>
      </c>
      <c r="AB18" s="16">
        <v>48274</v>
      </c>
      <c r="AC18" s="16">
        <v>48305</v>
      </c>
      <c r="AD18" s="16">
        <v>48335</v>
      </c>
      <c r="AE18" s="16">
        <v>48366</v>
      </c>
      <c r="AF18" s="16">
        <v>48396</v>
      </c>
      <c r="AG18" s="16">
        <v>48427</v>
      </c>
      <c r="AH18" s="16">
        <v>48458</v>
      </c>
    </row>
    <row r="19" spans="2:34" x14ac:dyDescent="0.25">
      <c r="B19" s="20" t="s">
        <v>39</v>
      </c>
      <c r="C19" s="21"/>
      <c r="D19" s="24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</row>
    <row r="20" spans="2:34" x14ac:dyDescent="0.25">
      <c r="B20" s="18" t="s">
        <v>40</v>
      </c>
      <c r="C20" s="22">
        <v>0</v>
      </c>
      <c r="D20" s="25">
        <v>0.1</v>
      </c>
      <c r="E20" s="22">
        <v>0.2</v>
      </c>
      <c r="F20" s="22">
        <v>0.4</v>
      </c>
      <c r="G20" s="22">
        <v>0.7</v>
      </c>
      <c r="H20" s="22">
        <v>1</v>
      </c>
      <c r="I20" s="22"/>
      <c r="J20" s="22">
        <v>1</v>
      </c>
      <c r="K20" s="22">
        <v>1</v>
      </c>
      <c r="L20" s="22">
        <v>1</v>
      </c>
      <c r="M20" s="22">
        <f>L20</f>
        <v>1</v>
      </c>
      <c r="N20" s="22">
        <f t="shared" ref="N20:AH20" si="0">M20</f>
        <v>1</v>
      </c>
      <c r="O20" s="22">
        <f t="shared" si="0"/>
        <v>1</v>
      </c>
      <c r="P20" s="22">
        <f t="shared" si="0"/>
        <v>1</v>
      </c>
      <c r="Q20" s="22">
        <f t="shared" si="0"/>
        <v>1</v>
      </c>
      <c r="R20" s="22">
        <f t="shared" si="0"/>
        <v>1</v>
      </c>
      <c r="S20" s="22">
        <f t="shared" si="0"/>
        <v>1</v>
      </c>
      <c r="T20" s="22">
        <f t="shared" si="0"/>
        <v>1</v>
      </c>
      <c r="U20" s="22">
        <f t="shared" si="0"/>
        <v>1</v>
      </c>
      <c r="V20" s="22">
        <f t="shared" si="0"/>
        <v>1</v>
      </c>
      <c r="W20" s="22">
        <f t="shared" si="0"/>
        <v>1</v>
      </c>
      <c r="X20" s="22">
        <f t="shared" si="0"/>
        <v>1</v>
      </c>
      <c r="Y20" s="22">
        <f t="shared" si="0"/>
        <v>1</v>
      </c>
      <c r="Z20" s="22">
        <f t="shared" si="0"/>
        <v>1</v>
      </c>
      <c r="AA20" s="22">
        <f t="shared" si="0"/>
        <v>1</v>
      </c>
      <c r="AB20" s="22">
        <f t="shared" si="0"/>
        <v>1</v>
      </c>
      <c r="AC20" s="22">
        <f t="shared" si="0"/>
        <v>1</v>
      </c>
      <c r="AD20" s="22">
        <f t="shared" si="0"/>
        <v>1</v>
      </c>
      <c r="AE20" s="22">
        <f t="shared" si="0"/>
        <v>1</v>
      </c>
      <c r="AF20" s="22">
        <f t="shared" si="0"/>
        <v>1</v>
      </c>
      <c r="AG20" s="22">
        <f t="shared" si="0"/>
        <v>1</v>
      </c>
      <c r="AH20" s="22">
        <f t="shared" si="0"/>
        <v>1</v>
      </c>
    </row>
    <row r="21" spans="2:34" x14ac:dyDescent="0.25">
      <c r="B21" s="18" t="s">
        <v>41</v>
      </c>
      <c r="C21" s="35">
        <f>C20*$C$3</f>
        <v>0</v>
      </c>
      <c r="D21" s="35">
        <f t="shared" ref="D21:AH21" si="1">D20*$C$3</f>
        <v>13558.300000000001</v>
      </c>
      <c r="E21" s="35">
        <f t="shared" si="1"/>
        <v>27116.600000000002</v>
      </c>
      <c r="F21" s="35">
        <f t="shared" si="1"/>
        <v>54233.200000000004</v>
      </c>
      <c r="G21" s="35">
        <f t="shared" si="1"/>
        <v>94908.099999999991</v>
      </c>
      <c r="H21" s="35">
        <f t="shared" si="1"/>
        <v>135583</v>
      </c>
      <c r="I21" s="35"/>
      <c r="J21" s="35">
        <f t="shared" si="1"/>
        <v>135583</v>
      </c>
      <c r="K21" s="35">
        <f t="shared" si="1"/>
        <v>135583</v>
      </c>
      <c r="L21" s="35">
        <f t="shared" si="1"/>
        <v>135583</v>
      </c>
      <c r="M21" s="35">
        <f t="shared" si="1"/>
        <v>135583</v>
      </c>
      <c r="N21" s="35">
        <f t="shared" si="1"/>
        <v>135583</v>
      </c>
      <c r="O21" s="35">
        <f t="shared" si="1"/>
        <v>135583</v>
      </c>
      <c r="P21" s="35">
        <f t="shared" si="1"/>
        <v>135583</v>
      </c>
      <c r="Q21" s="35">
        <f t="shared" si="1"/>
        <v>135583</v>
      </c>
      <c r="R21" s="35">
        <f t="shared" si="1"/>
        <v>135583</v>
      </c>
      <c r="S21" s="35">
        <f t="shared" si="1"/>
        <v>135583</v>
      </c>
      <c r="T21" s="35">
        <f t="shared" si="1"/>
        <v>135583</v>
      </c>
      <c r="U21" s="35">
        <f t="shared" si="1"/>
        <v>135583</v>
      </c>
      <c r="V21" s="35">
        <f t="shared" si="1"/>
        <v>135583</v>
      </c>
      <c r="W21" s="35">
        <f t="shared" si="1"/>
        <v>135583</v>
      </c>
      <c r="X21" s="35">
        <f t="shared" si="1"/>
        <v>135583</v>
      </c>
      <c r="Y21" s="35">
        <f t="shared" si="1"/>
        <v>135583</v>
      </c>
      <c r="Z21" s="35">
        <f t="shared" si="1"/>
        <v>135583</v>
      </c>
      <c r="AA21" s="35">
        <f t="shared" si="1"/>
        <v>135583</v>
      </c>
      <c r="AB21" s="35">
        <f t="shared" si="1"/>
        <v>135583</v>
      </c>
      <c r="AC21" s="35">
        <f t="shared" si="1"/>
        <v>135583</v>
      </c>
      <c r="AD21" s="35">
        <f t="shared" si="1"/>
        <v>135583</v>
      </c>
      <c r="AE21" s="35">
        <f t="shared" si="1"/>
        <v>135583</v>
      </c>
      <c r="AF21" s="35">
        <f t="shared" si="1"/>
        <v>135583</v>
      </c>
      <c r="AG21" s="35">
        <f t="shared" si="1"/>
        <v>135583</v>
      </c>
      <c r="AH21" s="35">
        <f t="shared" si="1"/>
        <v>135583</v>
      </c>
    </row>
    <row r="22" spans="2:34" x14ac:dyDescent="0.25">
      <c r="B22" s="18" t="s">
        <v>47</v>
      </c>
      <c r="C22" s="35">
        <f>C5</f>
        <v>325</v>
      </c>
      <c r="D22" s="37">
        <f>C22</f>
        <v>325</v>
      </c>
      <c r="E22" s="37">
        <f>D22</f>
        <v>325</v>
      </c>
      <c r="F22" s="37">
        <f t="shared" ref="F22" si="2">E22*(1+$C$10)</f>
        <v>357.50000000000006</v>
      </c>
      <c r="G22" s="37">
        <f>F22</f>
        <v>357.50000000000006</v>
      </c>
      <c r="H22" s="37">
        <f>G22</f>
        <v>357.50000000000006</v>
      </c>
      <c r="I22" s="37"/>
      <c r="J22" s="37">
        <f>H22*(1+$C$10)</f>
        <v>393.25000000000011</v>
      </c>
      <c r="K22" s="37">
        <f>J22</f>
        <v>393.25000000000011</v>
      </c>
      <c r="L22" s="37">
        <f>K22</f>
        <v>393.25000000000011</v>
      </c>
      <c r="M22" s="37">
        <f t="shared" ref="M22" si="3">L22*(1+$C$10)</f>
        <v>432.57500000000016</v>
      </c>
      <c r="N22" s="37">
        <f>M22</f>
        <v>432.57500000000016</v>
      </c>
      <c r="O22" s="37">
        <f>N22</f>
        <v>432.57500000000016</v>
      </c>
      <c r="P22" s="37">
        <f t="shared" ref="P22" si="4">O22*(1+$C$10)</f>
        <v>475.83250000000021</v>
      </c>
      <c r="Q22" s="37">
        <f>P22</f>
        <v>475.83250000000021</v>
      </c>
      <c r="R22" s="37">
        <f>Q22</f>
        <v>475.83250000000021</v>
      </c>
      <c r="S22" s="37">
        <f t="shared" ref="S22" si="5">R22*(1+$C$10)</f>
        <v>523.41575000000023</v>
      </c>
      <c r="T22" s="37">
        <f>S22</f>
        <v>523.41575000000023</v>
      </c>
      <c r="U22" s="37">
        <f>T22</f>
        <v>523.41575000000023</v>
      </c>
      <c r="V22" s="37">
        <f t="shared" ref="V22" si="6">U22*(1+$C$10)</f>
        <v>575.75732500000026</v>
      </c>
      <c r="W22" s="37">
        <f>V22</f>
        <v>575.75732500000026</v>
      </c>
      <c r="X22" s="37">
        <f>W22</f>
        <v>575.75732500000026</v>
      </c>
      <c r="Y22" s="37">
        <f t="shared" ref="Y22" si="7">X22*(1+$C$10)</f>
        <v>633.33305750000034</v>
      </c>
      <c r="Z22" s="37">
        <f>Y22</f>
        <v>633.33305750000034</v>
      </c>
      <c r="AA22" s="37">
        <f>Z22</f>
        <v>633.33305750000034</v>
      </c>
      <c r="AB22" s="37">
        <f t="shared" ref="AB22" si="8">AA22*(1+$C$10)</f>
        <v>696.66636325000047</v>
      </c>
      <c r="AC22" s="37">
        <f>AB22</f>
        <v>696.66636325000047</v>
      </c>
      <c r="AD22" s="37">
        <f>AC22</f>
        <v>696.66636325000047</v>
      </c>
      <c r="AE22" s="37">
        <f t="shared" ref="AE22" si="9">AD22*(1+$C$10)</f>
        <v>766.3329995750006</v>
      </c>
      <c r="AF22" s="37">
        <f>AE22</f>
        <v>766.3329995750006</v>
      </c>
      <c r="AG22" s="37">
        <f>AF22</f>
        <v>766.3329995750006</v>
      </c>
      <c r="AH22" s="37">
        <f t="shared" ref="AH22" si="10">AG22*(1+$C$10)</f>
        <v>842.96629953250067</v>
      </c>
    </row>
    <row r="23" spans="2:34" x14ac:dyDescent="0.25">
      <c r="B23" s="18" t="s">
        <v>42</v>
      </c>
      <c r="C23" s="38">
        <f>C22*C21/10^7</f>
        <v>0</v>
      </c>
      <c r="D23" s="38">
        <f>D22*D21*12/10^7</f>
        <v>5.2877369999999999</v>
      </c>
      <c r="E23" s="38">
        <f t="shared" ref="E23:L23" si="11">E22*E21*12/10^7</f>
        <v>10.575474</v>
      </c>
      <c r="F23" s="38">
        <f t="shared" si="11"/>
        <v>23.266042800000005</v>
      </c>
      <c r="G23" s="38">
        <f t="shared" si="11"/>
        <v>40.7155749</v>
      </c>
      <c r="H23" s="38">
        <f t="shared" si="11"/>
        <v>58.165107000000013</v>
      </c>
      <c r="I23" s="38"/>
      <c r="J23" s="38">
        <f t="shared" si="11"/>
        <v>63.981617700000022</v>
      </c>
      <c r="K23" s="38">
        <f t="shared" si="11"/>
        <v>63.981617700000022</v>
      </c>
      <c r="L23" s="38">
        <f t="shared" si="11"/>
        <v>63.981617700000022</v>
      </c>
      <c r="M23" s="38">
        <f t="shared" ref="M23:AH23" si="12">M22*M21*12/10^7</f>
        <v>70.379779470000031</v>
      </c>
      <c r="N23" s="38">
        <f t="shared" si="12"/>
        <v>70.379779470000031</v>
      </c>
      <c r="O23" s="38">
        <f t="shared" si="12"/>
        <v>70.379779470000031</v>
      </c>
      <c r="P23" s="38">
        <f t="shared" si="12"/>
        <v>77.417757417000033</v>
      </c>
      <c r="Q23" s="38">
        <f t="shared" si="12"/>
        <v>77.417757417000033</v>
      </c>
      <c r="R23" s="38">
        <f t="shared" si="12"/>
        <v>77.417757417000033</v>
      </c>
      <c r="S23" s="38">
        <f t="shared" si="12"/>
        <v>85.159533158700043</v>
      </c>
      <c r="T23" s="38">
        <f t="shared" si="12"/>
        <v>85.159533158700043</v>
      </c>
      <c r="U23" s="38">
        <f t="shared" si="12"/>
        <v>85.159533158700043</v>
      </c>
      <c r="V23" s="38">
        <f t="shared" si="12"/>
        <v>93.675486474570036</v>
      </c>
      <c r="W23" s="38">
        <f t="shared" si="12"/>
        <v>93.675486474570036</v>
      </c>
      <c r="X23" s="38">
        <f t="shared" si="12"/>
        <v>93.675486474570036</v>
      </c>
      <c r="Y23" s="38">
        <f t="shared" si="12"/>
        <v>103.04303512202706</v>
      </c>
      <c r="Z23" s="38">
        <f t="shared" si="12"/>
        <v>103.04303512202706</v>
      </c>
      <c r="AA23" s="38">
        <f t="shared" si="12"/>
        <v>103.04303512202706</v>
      </c>
      <c r="AB23" s="38">
        <f t="shared" si="12"/>
        <v>113.34733863422979</v>
      </c>
      <c r="AC23" s="38">
        <f t="shared" si="12"/>
        <v>113.34733863422979</v>
      </c>
      <c r="AD23" s="38">
        <f t="shared" si="12"/>
        <v>113.34733863422979</v>
      </c>
      <c r="AE23" s="38">
        <f t="shared" si="12"/>
        <v>124.68207249765277</v>
      </c>
      <c r="AF23" s="38">
        <f t="shared" si="12"/>
        <v>124.68207249765277</v>
      </c>
      <c r="AG23" s="38">
        <f t="shared" si="12"/>
        <v>124.68207249765277</v>
      </c>
      <c r="AH23" s="38">
        <f t="shared" si="12"/>
        <v>137.15027974741804</v>
      </c>
    </row>
    <row r="24" spans="2:34" x14ac:dyDescent="0.25">
      <c r="B24" s="20" t="s">
        <v>43</v>
      </c>
      <c r="C24" s="21"/>
      <c r="D24" s="24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</row>
    <row r="25" spans="2:34" s="39" customFormat="1" x14ac:dyDescent="0.25">
      <c r="B25" s="22" t="s">
        <v>40</v>
      </c>
      <c r="C25" s="22">
        <v>0</v>
      </c>
      <c r="D25" s="25">
        <f>D20</f>
        <v>0.1</v>
      </c>
      <c r="E25" s="25">
        <f t="shared" ref="E25:G25" si="13">E20</f>
        <v>0.2</v>
      </c>
      <c r="F25" s="25">
        <f t="shared" si="13"/>
        <v>0.4</v>
      </c>
      <c r="G25" s="25">
        <f t="shared" si="13"/>
        <v>0.7</v>
      </c>
      <c r="H25" s="22">
        <v>1</v>
      </c>
      <c r="I25" s="22"/>
      <c r="J25" s="22">
        <v>1</v>
      </c>
      <c r="K25" s="22">
        <v>1</v>
      </c>
      <c r="L25" s="22">
        <v>1</v>
      </c>
      <c r="M25" s="22">
        <v>1</v>
      </c>
      <c r="N25" s="22">
        <v>1</v>
      </c>
      <c r="O25" s="22">
        <v>1</v>
      </c>
      <c r="P25" s="22">
        <v>1</v>
      </c>
      <c r="Q25" s="22">
        <v>1</v>
      </c>
      <c r="R25" s="22">
        <v>1</v>
      </c>
      <c r="S25" s="22">
        <v>1</v>
      </c>
      <c r="T25" s="22">
        <v>1</v>
      </c>
      <c r="U25" s="22">
        <v>1</v>
      </c>
      <c r="V25" s="22">
        <v>1</v>
      </c>
      <c r="W25" s="22">
        <v>1</v>
      </c>
      <c r="X25" s="22">
        <v>1</v>
      </c>
      <c r="Y25" s="22">
        <v>1</v>
      </c>
      <c r="Z25" s="22">
        <v>1</v>
      </c>
      <c r="AA25" s="22">
        <v>1</v>
      </c>
      <c r="AB25" s="22">
        <v>1</v>
      </c>
      <c r="AC25" s="22">
        <v>1</v>
      </c>
      <c r="AD25" s="22">
        <v>1</v>
      </c>
      <c r="AE25" s="22">
        <v>1</v>
      </c>
      <c r="AF25" s="22">
        <v>1</v>
      </c>
      <c r="AG25" s="22">
        <v>1</v>
      </c>
      <c r="AH25" s="22">
        <v>1</v>
      </c>
    </row>
    <row r="26" spans="2:34" x14ac:dyDescent="0.25">
      <c r="B26" s="18" t="s">
        <v>41</v>
      </c>
      <c r="C26" s="35">
        <f>C25*$C$4</f>
        <v>0</v>
      </c>
      <c r="D26" s="35">
        <f t="shared" ref="D26:H26" si="14">D25*$C$4</f>
        <v>2170.6</v>
      </c>
      <c r="E26" s="35">
        <f t="shared" si="14"/>
        <v>4341.2</v>
      </c>
      <c r="F26" s="35">
        <f t="shared" si="14"/>
        <v>8682.4</v>
      </c>
      <c r="G26" s="35">
        <f t="shared" si="14"/>
        <v>15194.199999999999</v>
      </c>
      <c r="H26" s="35">
        <f t="shared" si="14"/>
        <v>21706</v>
      </c>
      <c r="I26" s="35"/>
      <c r="J26" s="35">
        <f t="shared" ref="J26:AH26" si="15">J25*$C$4</f>
        <v>21706</v>
      </c>
      <c r="K26" s="35">
        <f t="shared" si="15"/>
        <v>21706</v>
      </c>
      <c r="L26" s="35">
        <f t="shared" si="15"/>
        <v>21706</v>
      </c>
      <c r="M26" s="35">
        <f t="shared" si="15"/>
        <v>21706</v>
      </c>
      <c r="N26" s="35">
        <f t="shared" si="15"/>
        <v>21706</v>
      </c>
      <c r="O26" s="35">
        <f t="shared" si="15"/>
        <v>21706</v>
      </c>
      <c r="P26" s="35">
        <f t="shared" si="15"/>
        <v>21706</v>
      </c>
      <c r="Q26" s="35">
        <f t="shared" si="15"/>
        <v>21706</v>
      </c>
      <c r="R26" s="35">
        <f t="shared" si="15"/>
        <v>21706</v>
      </c>
      <c r="S26" s="35">
        <f t="shared" si="15"/>
        <v>21706</v>
      </c>
      <c r="T26" s="35">
        <f t="shared" si="15"/>
        <v>21706</v>
      </c>
      <c r="U26" s="35">
        <f t="shared" si="15"/>
        <v>21706</v>
      </c>
      <c r="V26" s="35">
        <f t="shared" si="15"/>
        <v>21706</v>
      </c>
      <c r="W26" s="35">
        <f t="shared" si="15"/>
        <v>21706</v>
      </c>
      <c r="X26" s="35">
        <f t="shared" si="15"/>
        <v>21706</v>
      </c>
      <c r="Y26" s="35">
        <f t="shared" si="15"/>
        <v>21706</v>
      </c>
      <c r="Z26" s="35">
        <f t="shared" si="15"/>
        <v>21706</v>
      </c>
      <c r="AA26" s="35">
        <f t="shared" si="15"/>
        <v>21706</v>
      </c>
      <c r="AB26" s="35">
        <f t="shared" si="15"/>
        <v>21706</v>
      </c>
      <c r="AC26" s="35">
        <f t="shared" si="15"/>
        <v>21706</v>
      </c>
      <c r="AD26" s="35">
        <f t="shared" si="15"/>
        <v>21706</v>
      </c>
      <c r="AE26" s="35">
        <f t="shared" si="15"/>
        <v>21706</v>
      </c>
      <c r="AF26" s="35">
        <f t="shared" si="15"/>
        <v>21706</v>
      </c>
      <c r="AG26" s="35">
        <f t="shared" si="15"/>
        <v>21706</v>
      </c>
      <c r="AH26" s="35">
        <f t="shared" si="15"/>
        <v>21706</v>
      </c>
    </row>
    <row r="27" spans="2:34" x14ac:dyDescent="0.25">
      <c r="B27" s="18" t="s">
        <v>47</v>
      </c>
      <c r="C27" s="35">
        <f>C6</f>
        <v>550</v>
      </c>
      <c r="D27" s="40">
        <f>C27</f>
        <v>550</v>
      </c>
      <c r="E27" s="35">
        <f>D27</f>
        <v>550</v>
      </c>
      <c r="F27" s="35">
        <f>E27*(1+$C$10)</f>
        <v>605</v>
      </c>
      <c r="G27" s="35">
        <f>F27</f>
        <v>605</v>
      </c>
      <c r="H27" s="35">
        <f>G27</f>
        <v>605</v>
      </c>
      <c r="I27" s="35"/>
      <c r="J27" s="35">
        <f>H27*(1+$C$10)</f>
        <v>665.5</v>
      </c>
      <c r="K27" s="35">
        <f t="shared" ref="K27:AG27" si="16">J27</f>
        <v>665.5</v>
      </c>
      <c r="L27" s="35">
        <f t="shared" si="16"/>
        <v>665.5</v>
      </c>
      <c r="M27" s="35">
        <f>L27*(1+$C$10)</f>
        <v>732.05000000000007</v>
      </c>
      <c r="N27" s="35">
        <f t="shared" si="16"/>
        <v>732.05000000000007</v>
      </c>
      <c r="O27" s="35">
        <f t="shared" si="16"/>
        <v>732.05000000000007</v>
      </c>
      <c r="P27" s="35">
        <f>O27*(1+$C$10)</f>
        <v>805.25500000000011</v>
      </c>
      <c r="Q27" s="35">
        <f t="shared" si="16"/>
        <v>805.25500000000011</v>
      </c>
      <c r="R27" s="35">
        <f t="shared" si="16"/>
        <v>805.25500000000011</v>
      </c>
      <c r="S27" s="35">
        <f>R27*(1+$C$10)</f>
        <v>885.78050000000019</v>
      </c>
      <c r="T27" s="35">
        <f t="shared" si="16"/>
        <v>885.78050000000019</v>
      </c>
      <c r="U27" s="35">
        <f t="shared" si="16"/>
        <v>885.78050000000019</v>
      </c>
      <c r="V27" s="35">
        <f>U27*(1+$C$10)</f>
        <v>974.35855000000026</v>
      </c>
      <c r="W27" s="35">
        <f t="shared" si="16"/>
        <v>974.35855000000026</v>
      </c>
      <c r="X27" s="35">
        <f t="shared" si="16"/>
        <v>974.35855000000026</v>
      </c>
      <c r="Y27" s="35">
        <f>X27*(1+$C$10)</f>
        <v>1071.7944050000003</v>
      </c>
      <c r="Z27" s="35">
        <f t="shared" si="16"/>
        <v>1071.7944050000003</v>
      </c>
      <c r="AA27" s="35">
        <f t="shared" si="16"/>
        <v>1071.7944050000003</v>
      </c>
      <c r="AB27" s="35">
        <f>AA27*(1+$C$10)</f>
        <v>1178.9738455000004</v>
      </c>
      <c r="AC27" s="35">
        <f t="shared" si="16"/>
        <v>1178.9738455000004</v>
      </c>
      <c r="AD27" s="35">
        <f t="shared" si="16"/>
        <v>1178.9738455000004</v>
      </c>
      <c r="AE27" s="35">
        <f>AD27*(1+$C$10)</f>
        <v>1296.8712300500006</v>
      </c>
      <c r="AF27" s="35">
        <f t="shared" si="16"/>
        <v>1296.8712300500006</v>
      </c>
      <c r="AG27" s="35">
        <f t="shared" si="16"/>
        <v>1296.8712300500006</v>
      </c>
      <c r="AH27" s="35">
        <f>AG27*(1+$C$10)</f>
        <v>1426.5583530550007</v>
      </c>
    </row>
    <row r="28" spans="2:34" x14ac:dyDescent="0.25">
      <c r="B28" s="18" t="s">
        <v>42</v>
      </c>
      <c r="C28" s="38">
        <f>C27*12*C26/10^7</f>
        <v>0</v>
      </c>
      <c r="D28" s="38">
        <f>D27*12*D26/10^7</f>
        <v>1.432596</v>
      </c>
      <c r="E28" s="38">
        <f t="shared" ref="E28:H28" si="17">E27*12*E26/10^7</f>
        <v>2.865192</v>
      </c>
      <c r="F28" s="38">
        <f t="shared" si="17"/>
        <v>6.3034223999999996</v>
      </c>
      <c r="G28" s="38">
        <f t="shared" si="17"/>
        <v>11.030989199999999</v>
      </c>
      <c r="H28" s="38">
        <f t="shared" si="17"/>
        <v>15.758556</v>
      </c>
      <c r="I28" s="38"/>
      <c r="J28" s="38">
        <f t="shared" ref="J28:AH28" si="18">J27*12*J26/10^7</f>
        <v>17.334411599999999</v>
      </c>
      <c r="K28" s="38">
        <f t="shared" si="18"/>
        <v>17.334411599999999</v>
      </c>
      <c r="L28" s="38">
        <f t="shared" si="18"/>
        <v>17.334411599999999</v>
      </c>
      <c r="M28" s="38">
        <f t="shared" si="18"/>
        <v>19.067852760000001</v>
      </c>
      <c r="N28" s="38">
        <f t="shared" si="18"/>
        <v>19.067852760000001</v>
      </c>
      <c r="O28" s="38">
        <f t="shared" si="18"/>
        <v>19.067852760000001</v>
      </c>
      <c r="P28" s="38">
        <f t="shared" si="18"/>
        <v>20.974638036000002</v>
      </c>
      <c r="Q28" s="38">
        <f t="shared" si="18"/>
        <v>20.974638036000002</v>
      </c>
      <c r="R28" s="38">
        <f t="shared" si="18"/>
        <v>20.974638036000002</v>
      </c>
      <c r="S28" s="38">
        <f t="shared" si="18"/>
        <v>23.072101839600002</v>
      </c>
      <c r="T28" s="38">
        <f t="shared" si="18"/>
        <v>23.072101839600002</v>
      </c>
      <c r="U28" s="38">
        <f t="shared" si="18"/>
        <v>23.072101839600002</v>
      </c>
      <c r="V28" s="38">
        <f t="shared" si="18"/>
        <v>25.379312023560004</v>
      </c>
      <c r="W28" s="38">
        <f t="shared" si="18"/>
        <v>25.379312023560004</v>
      </c>
      <c r="X28" s="38">
        <f t="shared" si="18"/>
        <v>25.379312023560004</v>
      </c>
      <c r="Y28" s="38">
        <f t="shared" si="18"/>
        <v>27.917243225916003</v>
      </c>
      <c r="Z28" s="38">
        <f t="shared" si="18"/>
        <v>27.917243225916003</v>
      </c>
      <c r="AA28" s="38">
        <f t="shared" si="18"/>
        <v>27.917243225916003</v>
      </c>
      <c r="AB28" s="38">
        <f t="shared" si="18"/>
        <v>30.708967548507609</v>
      </c>
      <c r="AC28" s="38">
        <f t="shared" si="18"/>
        <v>30.708967548507609</v>
      </c>
      <c r="AD28" s="38">
        <f t="shared" si="18"/>
        <v>30.708967548507609</v>
      </c>
      <c r="AE28" s="38">
        <f t="shared" si="18"/>
        <v>33.779864303358373</v>
      </c>
      <c r="AF28" s="38">
        <f t="shared" si="18"/>
        <v>33.779864303358373</v>
      </c>
      <c r="AG28" s="38">
        <f t="shared" si="18"/>
        <v>33.779864303358373</v>
      </c>
      <c r="AH28" s="38">
        <f t="shared" si="18"/>
        <v>37.157850733694211</v>
      </c>
    </row>
    <row r="29" spans="2:34" x14ac:dyDescent="0.25">
      <c r="B29" s="17" t="s">
        <v>44</v>
      </c>
      <c r="C29" s="18"/>
      <c r="D29" s="26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</row>
    <row r="30" spans="2:34" x14ac:dyDescent="0.25">
      <c r="B30" s="19" t="s">
        <v>49</v>
      </c>
      <c r="C30" s="38">
        <f>C20*C22*C21/10^7</f>
        <v>0</v>
      </c>
      <c r="D30" s="48">
        <f>(D20-C20)*$C$3*D22*6/10^7</f>
        <v>2.6438685</v>
      </c>
      <c r="E30" s="48">
        <f>(E20-D20)*$C$3*E22*6/10^7</f>
        <v>2.6438685</v>
      </c>
      <c r="F30" s="48">
        <f>(F20-E20)*$C$3*F22*6/10^7</f>
        <v>5.8165107000000011</v>
      </c>
      <c r="G30" s="48">
        <f>(G20-F20)*$C$3*G22*6/10^7</f>
        <v>8.7247660499999995</v>
      </c>
      <c r="H30" s="48">
        <f>(H20-G20)*$C$3*H22*6/10^7</f>
        <v>8.724766050000003</v>
      </c>
      <c r="I30" s="48"/>
      <c r="J30" s="48">
        <f>(J20-H20)*$C$3*J22*6/10^7</f>
        <v>0</v>
      </c>
      <c r="K30" s="48">
        <f>(K20-J20)*$C$3*K22*6/10^7</f>
        <v>0</v>
      </c>
      <c r="L30" s="48">
        <f>(L20-K20)*$C$3*L22*6/10^7</f>
        <v>0</v>
      </c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</row>
    <row r="31" spans="2:34" x14ac:dyDescent="0.25">
      <c r="B31" s="19" t="s">
        <v>50</v>
      </c>
      <c r="C31" s="38"/>
      <c r="D31" s="38">
        <f>(D25-C25)*$C$4*D27*6/10^7</f>
        <v>0.71629799999999999</v>
      </c>
      <c r="E31" s="38">
        <f>(E25-D25)*$C$4*E27*6/10^7</f>
        <v>0.71629799999999999</v>
      </c>
      <c r="F31" s="38">
        <f>(F25-E25)*$C$4*F27*6/10^7</f>
        <v>1.5758555999999999</v>
      </c>
      <c r="G31" s="38">
        <f>(G25-F25)*$C$4*G27*6/10^7</f>
        <v>2.3637833999999991</v>
      </c>
      <c r="H31" s="38">
        <f>(H25-G25)*$C$4*H27*6/10^7</f>
        <v>2.3637834000000004</v>
      </c>
      <c r="I31" s="3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</row>
    <row r="32" spans="2:34" s="44" customFormat="1" x14ac:dyDescent="0.25">
      <c r="B32" s="50" t="s">
        <v>77</v>
      </c>
      <c r="C32" s="49">
        <f>C11</f>
        <v>30</v>
      </c>
      <c r="D32" s="49">
        <f>C32</f>
        <v>30</v>
      </c>
      <c r="E32" s="49">
        <f>D32</f>
        <v>30</v>
      </c>
      <c r="F32" s="49">
        <f>E32+(E32*$C$10)</f>
        <v>33</v>
      </c>
      <c r="G32" s="49">
        <f>F32</f>
        <v>33</v>
      </c>
      <c r="H32" s="49">
        <f t="shared" ref="H32:AG32" si="19">G32</f>
        <v>33</v>
      </c>
      <c r="I32" s="49"/>
      <c r="J32" s="49">
        <f>H32+(H32*$C$10)</f>
        <v>36.299999999999997</v>
      </c>
      <c r="K32" s="49">
        <f t="shared" si="19"/>
        <v>36.299999999999997</v>
      </c>
      <c r="L32" s="49">
        <f t="shared" si="19"/>
        <v>36.299999999999997</v>
      </c>
      <c r="M32" s="49">
        <f>L32+(L32*$C$10)</f>
        <v>39.93</v>
      </c>
      <c r="N32" s="49">
        <f t="shared" si="19"/>
        <v>39.93</v>
      </c>
      <c r="O32" s="49">
        <f t="shared" si="19"/>
        <v>39.93</v>
      </c>
      <c r="P32" s="49">
        <f>O32+(O32*$C$10)</f>
        <v>43.923000000000002</v>
      </c>
      <c r="Q32" s="49">
        <f t="shared" si="19"/>
        <v>43.923000000000002</v>
      </c>
      <c r="R32" s="49">
        <f t="shared" si="19"/>
        <v>43.923000000000002</v>
      </c>
      <c r="S32" s="49">
        <f>R32+(R32*$C$10)</f>
        <v>48.315300000000001</v>
      </c>
      <c r="T32" s="49">
        <f t="shared" si="19"/>
        <v>48.315300000000001</v>
      </c>
      <c r="U32" s="49">
        <f t="shared" si="19"/>
        <v>48.315300000000001</v>
      </c>
      <c r="V32" s="49">
        <f>U32+(U32*$C$10)</f>
        <v>53.146830000000001</v>
      </c>
      <c r="W32" s="49">
        <f t="shared" si="19"/>
        <v>53.146830000000001</v>
      </c>
      <c r="X32" s="49">
        <f t="shared" si="19"/>
        <v>53.146830000000001</v>
      </c>
      <c r="Y32" s="49">
        <f>X32+(X32*$C$10)</f>
        <v>58.461513000000004</v>
      </c>
      <c r="Z32" s="49">
        <f t="shared" si="19"/>
        <v>58.461513000000004</v>
      </c>
      <c r="AA32" s="49">
        <f t="shared" si="19"/>
        <v>58.461513000000004</v>
      </c>
      <c r="AB32" s="49">
        <f>AA32+(AA32*$C$10)</f>
        <v>64.307664299999999</v>
      </c>
      <c r="AC32" s="49">
        <f t="shared" si="19"/>
        <v>64.307664299999999</v>
      </c>
      <c r="AD32" s="49">
        <f t="shared" si="19"/>
        <v>64.307664299999999</v>
      </c>
      <c r="AE32" s="49">
        <f>AD32+(AD32*$C$10)</f>
        <v>70.738430730000005</v>
      </c>
      <c r="AF32" s="49">
        <f t="shared" si="19"/>
        <v>70.738430730000005</v>
      </c>
      <c r="AG32" s="49">
        <f t="shared" si="19"/>
        <v>70.738430730000005</v>
      </c>
      <c r="AH32" s="49">
        <f>AG32+(AG32*$C$10)</f>
        <v>77.812273803000011</v>
      </c>
    </row>
    <row r="33" spans="2:35" x14ac:dyDescent="0.25">
      <c r="B33" s="19" t="s">
        <v>46</v>
      </c>
      <c r="C33" s="36">
        <f>C32*12*(C21+C26)/10^7</f>
        <v>0</v>
      </c>
      <c r="D33" s="36">
        <f>D32*12*(D21+D26)/10^7</f>
        <v>0.56624040000000009</v>
      </c>
      <c r="E33" s="36">
        <f>E32*12*(E21+E26)/10^7</f>
        <v>1.1324808000000002</v>
      </c>
      <c r="F33" s="36">
        <f>F32*12*(F21+F26)/10^7</f>
        <v>2.4914577600000003</v>
      </c>
      <c r="G33" s="36">
        <f>G32*12*(G21+G26)/10^7</f>
        <v>4.3600510799999999</v>
      </c>
      <c r="H33" s="36">
        <f>H32*12*(H21+H26)/10^7</f>
        <v>6.2286444000000003</v>
      </c>
      <c r="I33" s="36"/>
      <c r="J33" s="36">
        <f>J32*12*(J21+J26)/10^7</f>
        <v>6.8515088399999993</v>
      </c>
      <c r="K33" s="36">
        <f>K32*12*(K21+K26)/10^7</f>
        <v>6.8515088399999993</v>
      </c>
      <c r="L33" s="36">
        <f>L32*12*(L21+L26)/10^7</f>
        <v>6.8515088399999993</v>
      </c>
      <c r="M33" s="36">
        <f>M32*12*(M21+M26)/10^7</f>
        <v>7.5366597239999997</v>
      </c>
      <c r="N33" s="36">
        <f>N32*12*(N21+N26)/10^7</f>
        <v>7.5366597239999997</v>
      </c>
      <c r="O33" s="36">
        <f>O32*12*(O21+O26)/10^7</f>
        <v>7.5366597239999997</v>
      </c>
      <c r="P33" s="36">
        <f>P32*12*(P21+P26)/10^7</f>
        <v>8.2903256964000001</v>
      </c>
      <c r="Q33" s="36">
        <f>Q32*12*(Q21+Q26)/10^7</f>
        <v>8.2903256964000001</v>
      </c>
      <c r="R33" s="36">
        <f>R32*12*(R21+R26)/10^7</f>
        <v>8.2903256964000001</v>
      </c>
      <c r="S33" s="36">
        <f>S32*12*(S21+S26)/10^7</f>
        <v>9.1193582660400008</v>
      </c>
      <c r="T33" s="36">
        <f>T32*12*(T21+T26)/10^7</f>
        <v>9.1193582660400008</v>
      </c>
      <c r="U33" s="36">
        <f>U32*12*(U21+U26)/10^7</f>
        <v>9.1193582660400008</v>
      </c>
      <c r="V33" s="36">
        <f>V32*12*(V21+V26)/10^7</f>
        <v>10.031294092644</v>
      </c>
      <c r="W33" s="36">
        <f>W32*12*(W21+W26)/10^7</f>
        <v>10.031294092644</v>
      </c>
      <c r="X33" s="36">
        <f>X32*12*(X21+X26)/10^7</f>
        <v>10.031294092644</v>
      </c>
      <c r="Y33" s="36">
        <f>Y32*12*(Y21+Y26)/10^7</f>
        <v>11.034423501908401</v>
      </c>
      <c r="Z33" s="36">
        <f>Z32*12*(Z21+Z26)/10^7</f>
        <v>11.034423501908401</v>
      </c>
      <c r="AA33" s="36">
        <f>AA32*12*(AA21+AA26)/10^7</f>
        <v>11.034423501908401</v>
      </c>
      <c r="AB33" s="36">
        <f>AB32*12*(AB21+AB26)/10^7</f>
        <v>12.137865852099241</v>
      </c>
      <c r="AC33" s="36">
        <f>AC32*12*(AC21+AC26)/10^7</f>
        <v>12.137865852099241</v>
      </c>
      <c r="AD33" s="36">
        <f>AD32*12*(AD21+AD26)/10^7</f>
        <v>12.137865852099241</v>
      </c>
      <c r="AE33" s="36">
        <f>AE32*12*(AE21+AE26)/10^7</f>
        <v>13.351652437309165</v>
      </c>
      <c r="AF33" s="36">
        <f>AF32*12*(AF21+AF26)/10^7</f>
        <v>13.351652437309165</v>
      </c>
      <c r="AG33" s="36">
        <f>AG32*12*(AG21+AG26)/10^7</f>
        <v>13.351652437309165</v>
      </c>
      <c r="AH33" s="36">
        <f>AH32*12*(AH21+AH26)/10^7</f>
        <v>14.686817681040081</v>
      </c>
    </row>
    <row r="34" spans="2:35" x14ac:dyDescent="0.25">
      <c r="B34" s="19" t="s">
        <v>45</v>
      </c>
      <c r="C34" s="38">
        <v>0</v>
      </c>
      <c r="D34" s="42">
        <f>$C$13*(D30+D31)</f>
        <v>0.20160998999999999</v>
      </c>
      <c r="E34" s="42">
        <f t="shared" ref="E34:L34" si="20">$C$13*(E30+E31)</f>
        <v>0.20160998999999999</v>
      </c>
      <c r="F34" s="42">
        <f t="shared" si="20"/>
        <v>0.44354197800000006</v>
      </c>
      <c r="G34" s="42">
        <f t="shared" si="20"/>
        <v>0.66531296699999987</v>
      </c>
      <c r="H34" s="42">
        <f t="shared" si="20"/>
        <v>0.6653129670000002</v>
      </c>
      <c r="I34" s="42"/>
      <c r="J34" s="42">
        <f t="shared" si="20"/>
        <v>0</v>
      </c>
      <c r="K34" s="42">
        <f t="shared" si="20"/>
        <v>0</v>
      </c>
      <c r="L34" s="42">
        <f t="shared" si="20"/>
        <v>0</v>
      </c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</row>
    <row r="35" spans="2:35" x14ac:dyDescent="0.25">
      <c r="B35" s="19" t="s">
        <v>51</v>
      </c>
      <c r="C35" s="38">
        <v>0</v>
      </c>
      <c r="D35" s="42">
        <f t="shared" ref="D35:AH35" si="21">D33*$C$12</f>
        <v>0.11324808000000003</v>
      </c>
      <c r="E35" s="42">
        <f t="shared" si="21"/>
        <v>0.22649616000000006</v>
      </c>
      <c r="F35" s="42">
        <f t="shared" si="21"/>
        <v>0.49829155200000008</v>
      </c>
      <c r="G35" s="42">
        <f t="shared" si="21"/>
        <v>0.87201021600000006</v>
      </c>
      <c r="H35" s="42">
        <f t="shared" si="21"/>
        <v>1.2457288800000001</v>
      </c>
      <c r="I35" s="42"/>
      <c r="J35" s="42">
        <f t="shared" si="21"/>
        <v>1.370301768</v>
      </c>
      <c r="K35" s="42">
        <f t="shared" si="21"/>
        <v>1.370301768</v>
      </c>
      <c r="L35" s="42">
        <f t="shared" si="21"/>
        <v>1.370301768</v>
      </c>
      <c r="M35" s="42">
        <f t="shared" si="21"/>
        <v>1.5073319448</v>
      </c>
      <c r="N35" s="42">
        <f t="shared" si="21"/>
        <v>1.5073319448</v>
      </c>
      <c r="O35" s="42">
        <f t="shared" si="21"/>
        <v>1.5073319448</v>
      </c>
      <c r="P35" s="42">
        <f t="shared" si="21"/>
        <v>1.6580651392800001</v>
      </c>
      <c r="Q35" s="42">
        <f t="shared" si="21"/>
        <v>1.6580651392800001</v>
      </c>
      <c r="R35" s="42">
        <f t="shared" si="21"/>
        <v>1.6580651392800001</v>
      </c>
      <c r="S35" s="42">
        <f t="shared" si="21"/>
        <v>1.8238716532080002</v>
      </c>
      <c r="T35" s="42">
        <f t="shared" si="21"/>
        <v>1.8238716532080002</v>
      </c>
      <c r="U35" s="42">
        <f t="shared" si="21"/>
        <v>1.8238716532080002</v>
      </c>
      <c r="V35" s="42">
        <f t="shared" si="21"/>
        <v>2.0062588185288002</v>
      </c>
      <c r="W35" s="42">
        <f t="shared" si="21"/>
        <v>2.0062588185288002</v>
      </c>
      <c r="X35" s="42">
        <f t="shared" si="21"/>
        <v>2.0062588185288002</v>
      </c>
      <c r="Y35" s="42">
        <f t="shared" si="21"/>
        <v>2.2068847003816803</v>
      </c>
      <c r="Z35" s="42">
        <f t="shared" si="21"/>
        <v>2.2068847003816803</v>
      </c>
      <c r="AA35" s="42">
        <f t="shared" si="21"/>
        <v>2.2068847003816803</v>
      </c>
      <c r="AB35" s="42">
        <f t="shared" si="21"/>
        <v>2.4275731704198482</v>
      </c>
      <c r="AC35" s="42">
        <f t="shared" si="21"/>
        <v>2.4275731704198482</v>
      </c>
      <c r="AD35" s="42">
        <f t="shared" si="21"/>
        <v>2.4275731704198482</v>
      </c>
      <c r="AE35" s="42">
        <f t="shared" si="21"/>
        <v>2.670330487461833</v>
      </c>
      <c r="AF35" s="42">
        <f t="shared" si="21"/>
        <v>2.670330487461833</v>
      </c>
      <c r="AG35" s="42">
        <f t="shared" si="21"/>
        <v>2.670330487461833</v>
      </c>
      <c r="AH35" s="42">
        <f t="shared" si="21"/>
        <v>2.9373635362080162</v>
      </c>
    </row>
    <row r="36" spans="2:35" x14ac:dyDescent="0.25">
      <c r="B36" s="19" t="s">
        <v>52</v>
      </c>
      <c r="C36" s="42"/>
      <c r="D36" s="42">
        <f>D35+D34+D28+D23</f>
        <v>7.0351910699999998</v>
      </c>
      <c r="E36" s="42">
        <f>E35+E34+E28+E23</f>
        <v>13.86877215</v>
      </c>
      <c r="F36" s="42">
        <f>F35+F34+F28+F23</f>
        <v>30.511298730000004</v>
      </c>
      <c r="G36" s="42">
        <f>G35+G34+G28+G23</f>
        <v>53.283887282999999</v>
      </c>
      <c r="H36" s="42">
        <f>H35+H34+H28+H23</f>
        <v>75.834704847000012</v>
      </c>
      <c r="I36" s="42"/>
      <c r="J36" s="42" t="e">
        <f>J35+J34+#REF!+J28+J23</f>
        <v>#REF!</v>
      </c>
      <c r="K36" s="42" t="e">
        <f>K35+K34+#REF!+K28+K23</f>
        <v>#REF!</v>
      </c>
      <c r="L36" s="42" t="e">
        <f>L35+L34+#REF!+L28+L23</f>
        <v>#REF!</v>
      </c>
      <c r="M36" s="42" t="e">
        <f>M35+M34+#REF!+M28+M23</f>
        <v>#REF!</v>
      </c>
      <c r="N36" s="42" t="e">
        <f>N35+N34+#REF!+N28+N23</f>
        <v>#REF!</v>
      </c>
      <c r="O36" s="42" t="e">
        <f>O35+O34+#REF!+O28+O23</f>
        <v>#REF!</v>
      </c>
      <c r="P36" s="42" t="e">
        <f>P35+P34+#REF!+P28+P23</f>
        <v>#REF!</v>
      </c>
      <c r="Q36" s="42" t="e">
        <f>Q35+Q34+#REF!+Q28+Q23</f>
        <v>#REF!</v>
      </c>
      <c r="R36" s="42" t="e">
        <f>R35+R34+#REF!+R28+R23</f>
        <v>#REF!</v>
      </c>
      <c r="S36" s="42" t="e">
        <f>S35+S34+#REF!+S28+S23</f>
        <v>#REF!</v>
      </c>
      <c r="T36" s="42" t="e">
        <f>T35+T34+#REF!+T28+T23</f>
        <v>#REF!</v>
      </c>
      <c r="U36" s="42" t="e">
        <f>U35+U34+#REF!+U28+U23</f>
        <v>#REF!</v>
      </c>
      <c r="V36" s="42" t="e">
        <f>V35+V34+#REF!+V28+V23</f>
        <v>#REF!</v>
      </c>
      <c r="W36" s="42" t="e">
        <f>W35+W34+#REF!+W28+W23</f>
        <v>#REF!</v>
      </c>
      <c r="X36" s="42" t="e">
        <f>X35+X34+#REF!+X28+X23</f>
        <v>#REF!</v>
      </c>
      <c r="Y36" s="42" t="e">
        <f>Y35+Y34+#REF!+Y28+Y23</f>
        <v>#REF!</v>
      </c>
      <c r="Z36" s="42" t="e">
        <f>Z35+Z34+#REF!+Z28+Z23</f>
        <v>#REF!</v>
      </c>
      <c r="AA36" s="42" t="e">
        <f>AA35+AA34+#REF!+AA28+AA23</f>
        <v>#REF!</v>
      </c>
      <c r="AB36" s="42" t="e">
        <f>AB35+AB34+#REF!+AB28+AB23</f>
        <v>#REF!</v>
      </c>
      <c r="AC36" s="42" t="e">
        <f>AC35+AC34+#REF!+AC28+AC23</f>
        <v>#REF!</v>
      </c>
      <c r="AD36" s="42" t="e">
        <f>AD35+AD34+#REF!+AD28+AD23</f>
        <v>#REF!</v>
      </c>
      <c r="AE36" s="42" t="e">
        <f>AE35+AE34+#REF!+AE28+AE23</f>
        <v>#REF!</v>
      </c>
      <c r="AF36" s="42" t="e">
        <f>AF35+AF34+#REF!+AF28+AF23</f>
        <v>#REF!</v>
      </c>
      <c r="AG36" s="42" t="e">
        <f>AG35+AG34+#REF!+AG28+AG23</f>
        <v>#REF!</v>
      </c>
      <c r="AH36" s="42" t="e">
        <f>AH35+AH34+#REF!+AH28+AH23</f>
        <v>#REF!</v>
      </c>
      <c r="AI36" s="45" t="e">
        <f>SUM(D36:AH36)</f>
        <v>#REF!</v>
      </c>
    </row>
    <row r="37" spans="2:35" x14ac:dyDescent="0.25">
      <c r="H37" s="43">
        <f>H36*(1+Q40)/(C14-Q40)</f>
        <v>1137.5205727050004</v>
      </c>
      <c r="I37" t="s">
        <v>83</v>
      </c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</row>
    <row r="38" spans="2:35" x14ac:dyDescent="0.25">
      <c r="B38" t="str">
        <f>B36</f>
        <v>Total Inflow (Rs. Cr.)</v>
      </c>
      <c r="C38" s="45">
        <f>C36+C37</f>
        <v>0</v>
      </c>
      <c r="D38" s="45">
        <f t="shared" ref="D38:H38" si="22">D36+D37</f>
        <v>7.0351910699999998</v>
      </c>
      <c r="E38" s="45">
        <f t="shared" si="22"/>
        <v>13.86877215</v>
      </c>
      <c r="F38" s="45">
        <f t="shared" si="22"/>
        <v>30.511298730000004</v>
      </c>
      <c r="G38" s="45">
        <f t="shared" si="22"/>
        <v>53.283887282999999</v>
      </c>
      <c r="H38" s="45">
        <f t="shared" si="22"/>
        <v>1213.3552775520004</v>
      </c>
    </row>
    <row r="39" spans="2:35" x14ac:dyDescent="0.25">
      <c r="B39" s="14" t="s">
        <v>78</v>
      </c>
      <c r="C39" s="14"/>
      <c r="D39" s="52">
        <f>NPV($C$14,C38:H38)</f>
        <v>679.8286645387717</v>
      </c>
    </row>
    <row r="40" spans="2:35" x14ac:dyDescent="0.25">
      <c r="P40" s="55" t="s">
        <v>82</v>
      </c>
      <c r="Q40" s="56">
        <v>0.05</v>
      </c>
    </row>
    <row r="42" spans="2:35" x14ac:dyDescent="0.25">
      <c r="E42" s="67">
        <f>D39*10^7</f>
        <v>6798286645.3877172</v>
      </c>
      <c r="F42" s="67">
        <f>E42/C49</f>
        <v>1417742.2281654833</v>
      </c>
    </row>
    <row r="44" spans="2:35" x14ac:dyDescent="0.25">
      <c r="B44" t="s">
        <v>54</v>
      </c>
      <c r="D44" s="47">
        <f>D36</f>
        <v>7.0351910699999998</v>
      </c>
      <c r="E44" s="47">
        <f>E36</f>
        <v>13.86877215</v>
      </c>
      <c r="F44" s="47">
        <f>F36</f>
        <v>30.511298730000004</v>
      </c>
      <c r="G44" s="47">
        <f>G36</f>
        <v>53.283887282999999</v>
      </c>
      <c r="H44" s="47">
        <f>H36</f>
        <v>75.834704847000012</v>
      </c>
      <c r="I44" s="47"/>
      <c r="J44" s="47" t="e">
        <f>J36</f>
        <v>#REF!</v>
      </c>
      <c r="K44" s="47" t="e">
        <f>K36</f>
        <v>#REF!</v>
      </c>
      <c r="L44" s="47" t="e">
        <f>L36</f>
        <v>#REF!</v>
      </c>
    </row>
    <row r="48" spans="2:35" x14ac:dyDescent="0.25">
      <c r="B48" t="s">
        <v>106</v>
      </c>
      <c r="C48" s="69">
        <v>98946</v>
      </c>
      <c r="D48" s="69">
        <v>2300</v>
      </c>
      <c r="E48" s="44">
        <f>D48*C48</f>
        <v>227575800</v>
      </c>
    </row>
    <row r="49" spans="2:8" x14ac:dyDescent="0.25">
      <c r="B49" t="s">
        <v>107</v>
      </c>
      <c r="C49" s="66">
        <v>4795.1499999999996</v>
      </c>
      <c r="D49" s="68">
        <f>E49/C49</f>
        <v>1370282.6492159199</v>
      </c>
      <c r="E49" s="67">
        <f>E42-E48</f>
        <v>6570710845.3877172</v>
      </c>
      <c r="F49" s="67"/>
    </row>
    <row r="50" spans="2:8" x14ac:dyDescent="0.25">
      <c r="C50" s="43">
        <f>C49/4047</f>
        <v>1.1848653323449467</v>
      </c>
    </row>
    <row r="52" spans="2:8" ht="30" x14ac:dyDescent="0.25">
      <c r="E52" s="84" t="s">
        <v>132</v>
      </c>
      <c r="F52" s="1" t="s">
        <v>131</v>
      </c>
    </row>
    <row r="53" spans="2:8" x14ac:dyDescent="0.25">
      <c r="E53" s="86">
        <v>1011.90645599324</v>
      </c>
      <c r="F53" s="85">
        <v>0.1</v>
      </c>
      <c r="G53" s="45">
        <f>E53*0.9</f>
        <v>910.71581039391606</v>
      </c>
      <c r="H53" s="45">
        <f>E53*0.8</f>
        <v>809.525164794592</v>
      </c>
    </row>
    <row r="54" spans="2:8" x14ac:dyDescent="0.25">
      <c r="E54" s="86">
        <v>817.64088183995398</v>
      </c>
      <c r="F54" s="85">
        <v>0.11</v>
      </c>
      <c r="G54" s="45">
        <f t="shared" ref="G54:G55" si="23">E54*0.9</f>
        <v>735.87679365595864</v>
      </c>
      <c r="H54" s="45">
        <f t="shared" ref="H54:H55" si="24">E54*0.8</f>
        <v>654.11270547196318</v>
      </c>
    </row>
    <row r="55" spans="2:8" x14ac:dyDescent="0.25">
      <c r="E55" s="86">
        <v>679.8286645387717</v>
      </c>
      <c r="F55" s="85">
        <v>0.12</v>
      </c>
      <c r="G55" s="45">
        <f t="shared" si="23"/>
        <v>611.84579808489457</v>
      </c>
      <c r="H55" s="45">
        <f t="shared" si="24"/>
        <v>543.86293163101743</v>
      </c>
    </row>
    <row r="60" spans="2:8" x14ac:dyDescent="0.25">
      <c r="D60" s="23" t="s">
        <v>133</v>
      </c>
    </row>
    <row r="61" spans="2:8" x14ac:dyDescent="0.25">
      <c r="D61" s="89">
        <f>3*774000</f>
        <v>2322000</v>
      </c>
      <c r="E61" s="83">
        <f>C49</f>
        <v>4795.1499999999996</v>
      </c>
      <c r="F61" s="44">
        <f>E61*D61</f>
        <v>11134338300</v>
      </c>
    </row>
    <row r="62" spans="2:8" x14ac:dyDescent="0.25">
      <c r="B62">
        <v>27090</v>
      </c>
      <c r="C62" s="44">
        <f>B62*1.1</f>
        <v>29799.000000000004</v>
      </c>
      <c r="D62" s="87">
        <f>C62/10.764</f>
        <v>2768.3946488294318</v>
      </c>
      <c r="E62" s="88">
        <v>98946</v>
      </c>
      <c r="F62" s="46">
        <f>E62*D62</f>
        <v>273921576.92307699</v>
      </c>
    </row>
    <row r="63" spans="2:8" x14ac:dyDescent="0.25">
      <c r="F63" s="46">
        <f>SUM(F61:F62)</f>
        <v>11408259876.923077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6"/>
  <sheetViews>
    <sheetView workbookViewId="0">
      <selection activeCell="G4" sqref="G4"/>
    </sheetView>
  </sheetViews>
  <sheetFormatPr defaultRowHeight="15" x14ac:dyDescent="0.25"/>
  <cols>
    <col min="6" max="6" width="15.28515625" bestFit="1" customWidth="1"/>
    <col min="7" max="7" width="14.28515625" bestFit="1" customWidth="1"/>
    <col min="8" max="8" width="15.28515625" bestFit="1" customWidth="1"/>
  </cols>
  <sheetData>
    <row r="3" spans="3:8" x14ac:dyDescent="0.25">
      <c r="C3" t="s">
        <v>53</v>
      </c>
      <c r="D3">
        <v>98946</v>
      </c>
    </row>
    <row r="4" spans="3:8" x14ac:dyDescent="0.25">
      <c r="D4">
        <v>182416</v>
      </c>
      <c r="E4">
        <v>3000</v>
      </c>
      <c r="F4" s="44">
        <f>E4*D4</f>
        <v>547248000</v>
      </c>
      <c r="G4" s="46" t="e">
        <f>F4*Valuation!#REF!</f>
        <v>#REF!</v>
      </c>
      <c r="H4" s="45" t="e">
        <f>F4-G4</f>
        <v>#REF!</v>
      </c>
    </row>
    <row r="5" spans="3:8" x14ac:dyDescent="0.25">
      <c r="F5" s="46" t="e">
        <f>F4*Valuation!#REF!</f>
        <v>#REF!</v>
      </c>
    </row>
    <row r="6" spans="3:8" x14ac:dyDescent="0.25">
      <c r="F6" s="43" t="e">
        <f>F5/10^7</f>
        <v>#REF!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2"/>
  <sheetViews>
    <sheetView topLeftCell="A11" workbookViewId="0">
      <selection activeCell="F37" sqref="F37"/>
    </sheetView>
  </sheetViews>
  <sheetFormatPr defaultRowHeight="15" x14ac:dyDescent="0.25"/>
  <cols>
    <col min="1" max="1" width="9.140625" style="1"/>
    <col min="2" max="2" width="9.140625" style="65"/>
    <col min="3" max="3" width="35.140625" style="1" bestFit="1" customWidth="1"/>
    <col min="4" max="4" width="18.140625" style="4" hidden="1" customWidth="1"/>
    <col min="5" max="5" width="15.5703125" style="4" bestFit="1" customWidth="1"/>
    <col min="6" max="6" width="16.140625" style="1" customWidth="1"/>
    <col min="7" max="7" width="17.28515625" style="1" customWidth="1"/>
    <col min="8" max="8" width="19.7109375" style="1" customWidth="1"/>
    <col min="9" max="9" width="11" style="1" bestFit="1" customWidth="1"/>
    <col min="10" max="12" width="9.140625" style="1"/>
    <col min="13" max="13" width="13.28515625" style="1" customWidth="1"/>
    <col min="14" max="14" width="12.5703125" style="1" customWidth="1"/>
    <col min="15" max="15" width="16.85546875" style="1" bestFit="1" customWidth="1"/>
    <col min="16" max="16384" width="9.140625" style="1"/>
  </cols>
  <sheetData>
    <row r="3" spans="1:12" s="75" customFormat="1" x14ac:dyDescent="0.25">
      <c r="B3" s="61"/>
      <c r="C3" s="75" t="s">
        <v>86</v>
      </c>
      <c r="D3" s="76"/>
      <c r="E3" s="76"/>
    </row>
    <row r="4" spans="1:12" s="61" customFormat="1" x14ac:dyDescent="0.25">
      <c r="B4" s="15" t="s">
        <v>87</v>
      </c>
      <c r="C4" s="15" t="s">
        <v>88</v>
      </c>
      <c r="D4" s="62" t="s">
        <v>89</v>
      </c>
      <c r="E4" s="62" t="s">
        <v>90</v>
      </c>
      <c r="F4" s="63" t="s">
        <v>91</v>
      </c>
      <c r="G4" s="63"/>
    </row>
    <row r="5" spans="1:12" x14ac:dyDescent="0.25">
      <c r="B5" s="64">
        <v>1</v>
      </c>
      <c r="C5" s="72" t="s">
        <v>92</v>
      </c>
      <c r="D5" s="77">
        <v>2750</v>
      </c>
      <c r="E5" s="77">
        <v>300</v>
      </c>
      <c r="F5" s="72" t="s">
        <v>93</v>
      </c>
      <c r="G5" s="72"/>
    </row>
    <row r="6" spans="1:12" x14ac:dyDescent="0.25">
      <c r="B6" s="64">
        <v>2</v>
      </c>
      <c r="C6" s="72" t="s">
        <v>94</v>
      </c>
      <c r="D6" s="77">
        <v>12600</v>
      </c>
      <c r="E6" s="77">
        <v>280</v>
      </c>
      <c r="F6" s="72" t="s">
        <v>95</v>
      </c>
      <c r="G6" s="72"/>
    </row>
    <row r="7" spans="1:12" x14ac:dyDescent="0.25">
      <c r="B7" s="64">
        <v>3</v>
      </c>
      <c r="C7" s="72" t="s">
        <v>96</v>
      </c>
      <c r="D7" s="77">
        <v>7250</v>
      </c>
      <c r="E7" s="77">
        <v>315</v>
      </c>
      <c r="F7" s="72" t="s">
        <v>97</v>
      </c>
      <c r="G7" s="72"/>
    </row>
    <row r="8" spans="1:12" x14ac:dyDescent="0.25">
      <c r="B8" s="64">
        <v>4</v>
      </c>
      <c r="C8" s="72" t="s">
        <v>98</v>
      </c>
      <c r="D8" s="77"/>
      <c r="E8" s="77">
        <v>300</v>
      </c>
      <c r="F8" s="72" t="s">
        <v>99</v>
      </c>
      <c r="G8" s="72"/>
    </row>
    <row r="9" spans="1:12" x14ac:dyDescent="0.25">
      <c r="B9" s="64">
        <v>5</v>
      </c>
      <c r="C9" s="72" t="s">
        <v>100</v>
      </c>
      <c r="D9" s="77"/>
      <c r="E9" s="77">
        <v>500</v>
      </c>
      <c r="F9" s="72" t="s">
        <v>101</v>
      </c>
      <c r="G9" s="72"/>
    </row>
    <row r="10" spans="1:12" x14ac:dyDescent="0.25">
      <c r="B10" s="64">
        <v>6</v>
      </c>
      <c r="C10" s="72" t="s">
        <v>102</v>
      </c>
      <c r="D10" s="77"/>
      <c r="E10" s="77">
        <v>350</v>
      </c>
      <c r="F10" s="72" t="s">
        <v>103</v>
      </c>
      <c r="G10" s="72"/>
    </row>
    <row r="11" spans="1:12" x14ac:dyDescent="0.25">
      <c r="B11" s="64">
        <v>7</v>
      </c>
      <c r="C11" s="72" t="s">
        <v>104</v>
      </c>
      <c r="D11" s="77"/>
      <c r="E11" s="77">
        <v>300</v>
      </c>
      <c r="F11" s="72" t="s">
        <v>105</v>
      </c>
      <c r="G11" s="72"/>
    </row>
    <row r="12" spans="1:12" x14ac:dyDescent="0.25">
      <c r="B12" s="64">
        <v>8</v>
      </c>
      <c r="C12" s="72" t="s">
        <v>119</v>
      </c>
      <c r="D12" s="77"/>
      <c r="E12" s="77">
        <v>435</v>
      </c>
      <c r="F12" s="73" t="s">
        <v>111</v>
      </c>
      <c r="G12" s="78">
        <v>9990015114</v>
      </c>
    </row>
    <row r="13" spans="1:12" x14ac:dyDescent="0.25">
      <c r="B13" s="64">
        <v>9</v>
      </c>
      <c r="C13" s="72" t="s">
        <v>120</v>
      </c>
      <c r="D13" s="77"/>
      <c r="E13" s="77">
        <v>425</v>
      </c>
      <c r="F13" s="74" t="s">
        <v>113</v>
      </c>
      <c r="G13" s="78">
        <v>8826843310</v>
      </c>
    </row>
    <row r="14" spans="1:12" x14ac:dyDescent="0.25">
      <c r="B14" s="64"/>
      <c r="C14" s="72"/>
      <c r="D14" s="77"/>
      <c r="E14" s="77">
        <f>AVERAGE(E5:E13)</f>
        <v>356.11111111111109</v>
      </c>
      <c r="F14" s="72"/>
      <c r="G14" s="78"/>
    </row>
    <row r="15" spans="1:12" x14ac:dyDescent="0.25">
      <c r="A15" s="1" t="s">
        <v>121</v>
      </c>
    </row>
    <row r="16" spans="1:12" x14ac:dyDescent="0.25">
      <c r="K16" s="1" t="s">
        <v>109</v>
      </c>
      <c r="L16" s="1" t="s">
        <v>110</v>
      </c>
    </row>
    <row r="17" spans="1:15" s="2" customFormat="1" ht="30" x14ac:dyDescent="0.25">
      <c r="C17" s="2" t="s">
        <v>2</v>
      </c>
      <c r="D17" s="3" t="s">
        <v>1</v>
      </c>
      <c r="E17" s="3" t="s">
        <v>0</v>
      </c>
      <c r="F17" s="5" t="s">
        <v>4</v>
      </c>
      <c r="G17" s="5" t="s">
        <v>3</v>
      </c>
      <c r="K17" s="2">
        <v>400</v>
      </c>
      <c r="L17" s="2">
        <v>35</v>
      </c>
      <c r="M17" s="2" t="s">
        <v>108</v>
      </c>
      <c r="N17" s="2" t="s">
        <v>111</v>
      </c>
      <c r="O17" s="70">
        <v>9990015114</v>
      </c>
    </row>
    <row r="18" spans="1:15" x14ac:dyDescent="0.25">
      <c r="B18" s="1"/>
      <c r="F18" s="6"/>
      <c r="G18" s="6"/>
      <c r="J18" s="1" t="s">
        <v>114</v>
      </c>
      <c r="K18" s="1">
        <v>400</v>
      </c>
      <c r="L18" s="1">
        <v>25</v>
      </c>
      <c r="M18" s="1" t="s">
        <v>112</v>
      </c>
      <c r="N18" s="1" t="s">
        <v>113</v>
      </c>
      <c r="O18" s="71">
        <v>8826843310</v>
      </c>
    </row>
    <row r="19" spans="1:15" x14ac:dyDescent="0.25">
      <c r="B19" s="1"/>
      <c r="F19" s="6"/>
      <c r="G19" s="6"/>
      <c r="O19" s="71"/>
    </row>
    <row r="20" spans="1:15" x14ac:dyDescent="0.25">
      <c r="B20" s="1"/>
      <c r="F20" s="6"/>
      <c r="G20" s="6"/>
      <c r="L20" s="1">
        <v>0.85</v>
      </c>
      <c r="M20" s="1">
        <f>L20*10^5</f>
        <v>85000</v>
      </c>
      <c r="N20" s="1">
        <v>250</v>
      </c>
      <c r="O20" s="1">
        <f>M20/N20</f>
        <v>340</v>
      </c>
    </row>
    <row r="21" spans="1:15" ht="30" x14ac:dyDescent="0.25">
      <c r="B21" s="1"/>
      <c r="C21" s="80" t="s">
        <v>128</v>
      </c>
      <c r="D21" s="80" t="s">
        <v>124</v>
      </c>
      <c r="E21" s="80" t="s">
        <v>0</v>
      </c>
      <c r="F21" s="81" t="s">
        <v>125</v>
      </c>
      <c r="G21" s="6"/>
      <c r="L21" s="1">
        <v>1.3</v>
      </c>
      <c r="M21" s="1">
        <f>L21*10^5</f>
        <v>130000</v>
      </c>
      <c r="N21" s="1">
        <v>1000</v>
      </c>
      <c r="O21" s="1">
        <f>M21/N21</f>
        <v>130</v>
      </c>
    </row>
    <row r="22" spans="1:15" x14ac:dyDescent="0.25">
      <c r="B22" s="1"/>
      <c r="C22" s="1">
        <v>1</v>
      </c>
      <c r="D22" s="77">
        <v>450000</v>
      </c>
      <c r="E22" s="77">
        <v>500</v>
      </c>
      <c r="F22" s="77">
        <f>D22/E22</f>
        <v>900</v>
      </c>
      <c r="G22" s="6"/>
      <c r="H22" s="1" t="s">
        <v>117</v>
      </c>
    </row>
    <row r="23" spans="1:15" x14ac:dyDescent="0.25">
      <c r="B23" s="1"/>
      <c r="C23" s="1">
        <v>2</v>
      </c>
      <c r="D23" s="77">
        <v>420000</v>
      </c>
      <c r="E23" s="77">
        <v>700</v>
      </c>
      <c r="F23" s="77">
        <f t="shared" ref="F23:G27" si="0">D23/E23</f>
        <v>600</v>
      </c>
      <c r="G23" s="6"/>
      <c r="H23" s="1" t="s">
        <v>118</v>
      </c>
    </row>
    <row r="24" spans="1:15" x14ac:dyDescent="0.25">
      <c r="B24" s="1"/>
      <c r="C24" s="1">
        <v>3</v>
      </c>
      <c r="D24" s="77">
        <v>1500000</v>
      </c>
      <c r="E24" s="77">
        <v>2310</v>
      </c>
      <c r="F24" s="77">
        <f t="shared" si="0"/>
        <v>649.35064935064941</v>
      </c>
      <c r="G24" s="6"/>
    </row>
    <row r="25" spans="1:15" x14ac:dyDescent="0.25">
      <c r="A25" s="1">
        <v>9</v>
      </c>
      <c r="C25" s="1">
        <v>4</v>
      </c>
      <c r="D25" s="77">
        <f>A25*10^5</f>
        <v>900000</v>
      </c>
      <c r="E25" s="77">
        <v>2200</v>
      </c>
      <c r="F25" s="77">
        <f t="shared" si="0"/>
        <v>409.09090909090907</v>
      </c>
      <c r="H25" s="1" t="s">
        <v>115</v>
      </c>
    </row>
    <row r="26" spans="1:15" x14ac:dyDescent="0.25">
      <c r="A26" s="1">
        <v>4</v>
      </c>
      <c r="C26" s="1">
        <v>5</v>
      </c>
      <c r="D26" s="77">
        <f>A26*10^5</f>
        <v>400000</v>
      </c>
      <c r="E26" s="77">
        <v>450</v>
      </c>
      <c r="F26" s="77">
        <v>667</v>
      </c>
      <c r="H26" s="1" t="s">
        <v>116</v>
      </c>
    </row>
    <row r="27" spans="1:15" x14ac:dyDescent="0.25">
      <c r="A27" s="1">
        <v>50</v>
      </c>
      <c r="C27" s="1">
        <v>6</v>
      </c>
      <c r="D27" s="77">
        <f>A27*10^5</f>
        <v>5000000</v>
      </c>
      <c r="E27" s="77">
        <v>10000</v>
      </c>
      <c r="F27" s="77">
        <f t="shared" si="0"/>
        <v>500</v>
      </c>
      <c r="G27" s="4">
        <f t="shared" si="0"/>
        <v>20</v>
      </c>
    </row>
    <row r="28" spans="1:15" x14ac:dyDescent="0.25">
      <c r="C28" s="1">
        <v>7</v>
      </c>
      <c r="D28" s="77"/>
      <c r="E28" s="77"/>
      <c r="F28" s="79" t="s">
        <v>123</v>
      </c>
      <c r="H28" s="1" t="s">
        <v>122</v>
      </c>
      <c r="I28" s="1">
        <v>9313941226</v>
      </c>
      <c r="K28" s="1">
        <v>100</v>
      </c>
    </row>
    <row r="29" spans="1:15" x14ac:dyDescent="0.25">
      <c r="D29" s="4">
        <f t="shared" ref="D29:D31" si="1">C29*10^5</f>
        <v>0</v>
      </c>
      <c r="F29" s="4" t="s">
        <v>127</v>
      </c>
      <c r="H29" s="1" t="s">
        <v>126</v>
      </c>
      <c r="I29" s="1">
        <v>9312237425</v>
      </c>
    </row>
    <row r="30" spans="1:15" x14ac:dyDescent="0.25">
      <c r="D30" s="4">
        <f t="shared" si="1"/>
        <v>0</v>
      </c>
      <c r="F30" s="4"/>
    </row>
    <row r="31" spans="1:15" x14ac:dyDescent="0.25">
      <c r="D31" s="4">
        <f t="shared" si="1"/>
        <v>0</v>
      </c>
      <c r="F31" s="4"/>
    </row>
    <row r="32" spans="1:15" x14ac:dyDescent="0.25">
      <c r="F32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4" sqref="B4"/>
    </sheetView>
  </sheetViews>
  <sheetFormatPr defaultRowHeight="15" x14ac:dyDescent="0.25"/>
  <cols>
    <col min="2" max="2" width="9.140625" bestFit="1" customWidth="1"/>
  </cols>
  <sheetData>
    <row r="3" spans="2:2" x14ac:dyDescent="0.25">
      <c r="B3" s="83">
        <v>99123.78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Assumptions</vt:lpstr>
      <vt:lpstr>Comparable</vt:lpstr>
      <vt:lpstr>Valuation</vt:lpstr>
      <vt:lpstr>Sheet1</vt:lpstr>
      <vt:lpstr>Comparables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Adil Afaque</dc:creator>
  <cp:lastModifiedBy>Adil Afaque</cp:lastModifiedBy>
  <dcterms:created xsi:type="dcterms:W3CDTF">2022-11-25T05:30:10Z</dcterms:created>
  <dcterms:modified xsi:type="dcterms:W3CDTF">2022-12-20T09:55:29Z</dcterms:modified>
</cp:coreProperties>
</file>