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In Progress Files\Adil Afaque\uploads\VIS(2022-23)PL504-402-694-Primetime Realtors Pvt. Ltd., Plot 27, KG Marg\"/>
    </mc:Choice>
  </mc:AlternateContent>
  <bookViews>
    <workbookView xWindow="0" yWindow="0" windowWidth="24000" windowHeight="9615" activeTab="2"/>
  </bookViews>
  <sheets>
    <sheet name="Assumptions" sheetId="3" r:id="rId1"/>
    <sheet name="Comparable" sheetId="1" r:id="rId2"/>
    <sheet name="Valuation" sheetId="4" r:id="rId3"/>
    <sheet name="Sheet1" sheetId="5" r:id="rId4"/>
    <sheet name="Comparables" sheetId="6" r:id="rId5"/>
    <sheet name="Sheet3" sheetId="8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3" i="4" l="1"/>
  <c r="C14" i="4"/>
  <c r="D38" i="4" s="1"/>
  <c r="D37" i="4"/>
  <c r="E37" i="4" s="1"/>
  <c r="F37" i="4" l="1"/>
  <c r="G37" i="4" s="1"/>
  <c r="H37" i="4" s="1"/>
  <c r="E38" i="4"/>
  <c r="F38" i="4"/>
  <c r="C38" i="4"/>
  <c r="C40" i="4" s="1"/>
  <c r="C42" i="4" s="1"/>
  <c r="H38" i="4"/>
  <c r="G38" i="4"/>
  <c r="G4" i="3"/>
  <c r="G3" i="3"/>
  <c r="F7" i="5"/>
  <c r="H9" i="8"/>
  <c r="G9" i="8"/>
  <c r="H8" i="8"/>
  <c r="G8" i="8"/>
  <c r="G7" i="8"/>
  <c r="G6" i="8"/>
  <c r="I5" i="8"/>
  <c r="G5" i="8"/>
  <c r="G5" i="3" l="1"/>
  <c r="D71" i="4"/>
  <c r="E71" i="4"/>
  <c r="F71" i="4" s="1"/>
  <c r="F73" i="4" s="1"/>
  <c r="C72" i="4"/>
  <c r="D72" i="4" s="1"/>
  <c r="F72" i="4" s="1"/>
  <c r="H65" i="4"/>
  <c r="H64" i="4"/>
  <c r="H63" i="4"/>
  <c r="G65" i="4"/>
  <c r="G64" i="4"/>
  <c r="G63" i="4"/>
  <c r="D22" i="3" l="1"/>
  <c r="D21" i="3"/>
  <c r="E14" i="6" l="1"/>
  <c r="M21" i="6"/>
  <c r="O21" i="6" s="1"/>
  <c r="M20" i="6"/>
  <c r="O20" i="6" s="1"/>
  <c r="D31" i="6"/>
  <c r="D30" i="6"/>
  <c r="D29" i="6"/>
  <c r="D27" i="6"/>
  <c r="F27" i="6" s="1"/>
  <c r="G27" i="6" s="1"/>
  <c r="D26" i="6"/>
  <c r="D25" i="6"/>
  <c r="F25" i="6" s="1"/>
  <c r="C60" i="4"/>
  <c r="E58" i="4"/>
  <c r="F24" i="6"/>
  <c r="F23" i="6"/>
  <c r="F22" i="6"/>
  <c r="E10" i="1" l="1"/>
  <c r="G10" i="1" s="1"/>
  <c r="E9" i="1"/>
  <c r="G9" i="1" s="1"/>
  <c r="E8" i="1"/>
  <c r="G8" i="1" s="1"/>
  <c r="E7" i="1"/>
  <c r="G7" i="1" s="1"/>
  <c r="C32" i="4"/>
  <c r="C48" i="4"/>
  <c r="B48" i="4"/>
  <c r="G25" i="4"/>
  <c r="F25" i="4"/>
  <c r="E25" i="4"/>
  <c r="D25" i="4"/>
  <c r="N17" i="3"/>
  <c r="N16" i="3"/>
  <c r="N15" i="3"/>
  <c r="N12" i="3"/>
  <c r="D32" i="4" l="1"/>
  <c r="E32" i="4" s="1"/>
  <c r="F32" i="4" l="1"/>
  <c r="F4" i="5"/>
  <c r="F5" i="5" s="1"/>
  <c r="F6" i="5" s="1"/>
  <c r="G32" i="4" l="1"/>
  <c r="G4" i="5"/>
  <c r="H4" i="5" s="1"/>
  <c r="H32" i="4" l="1"/>
  <c r="C27" i="4"/>
  <c r="D27" i="4" s="1"/>
  <c r="C22" i="4"/>
  <c r="D22" i="4" s="1"/>
  <c r="E22" i="4" s="1"/>
  <c r="C4" i="4"/>
  <c r="C3" i="4" s="1"/>
  <c r="C3" i="3"/>
  <c r="D21" i="4" l="1"/>
  <c r="D30" i="4"/>
  <c r="E30" i="4"/>
  <c r="H26" i="4"/>
  <c r="D31" i="4"/>
  <c r="C26" i="4"/>
  <c r="C28" i="4" s="1"/>
  <c r="E21" i="4"/>
  <c r="E23" i="4" s="1"/>
  <c r="F21" i="4"/>
  <c r="D26" i="4"/>
  <c r="D28" i="4" s="1"/>
  <c r="G21" i="4"/>
  <c r="E26" i="4"/>
  <c r="H21" i="4"/>
  <c r="F26" i="4"/>
  <c r="F22" i="4"/>
  <c r="F30" i="4" s="1"/>
  <c r="E27" i="4"/>
  <c r="E31" i="4" s="1"/>
  <c r="G26" i="4"/>
  <c r="C21" i="4"/>
  <c r="H33" i="4" l="1"/>
  <c r="H35" i="4" s="1"/>
  <c r="E33" i="4"/>
  <c r="E35" i="4" s="1"/>
  <c r="F33" i="4"/>
  <c r="F35" i="4" s="1"/>
  <c r="D33" i="4"/>
  <c r="D35" i="4" s="1"/>
  <c r="D23" i="4"/>
  <c r="C33" i="4"/>
  <c r="G33" i="4"/>
  <c r="G35" i="4" s="1"/>
  <c r="G22" i="4"/>
  <c r="C23" i="4"/>
  <c r="D34" i="4"/>
  <c r="C30" i="4"/>
  <c r="E34" i="4"/>
  <c r="F27" i="4"/>
  <c r="F31" i="4" s="1"/>
  <c r="F34" i="4" s="1"/>
  <c r="E28" i="4"/>
  <c r="F23" i="4"/>
  <c r="E36" i="4" l="1"/>
  <c r="E40" i="4" s="1"/>
  <c r="E42" i="4" s="1"/>
  <c r="D36" i="4"/>
  <c r="D40" i="4" s="1"/>
  <c r="D42" i="4" s="1"/>
  <c r="H22" i="4"/>
  <c r="H30" i="4" s="1"/>
  <c r="G30" i="4"/>
  <c r="G23" i="4"/>
  <c r="F28" i="4"/>
  <c r="F36" i="4" s="1"/>
  <c r="F40" i="4" s="1"/>
  <c r="F42" i="4" s="1"/>
  <c r="G27" i="4"/>
  <c r="F54" i="4" l="1"/>
  <c r="F48" i="4"/>
  <c r="E54" i="4"/>
  <c r="E48" i="4"/>
  <c r="D54" i="4"/>
  <c r="D48" i="4"/>
  <c r="G31" i="4"/>
  <c r="G34" i="4" s="1"/>
  <c r="H27" i="4"/>
  <c r="G28" i="4"/>
  <c r="H23" i="4"/>
  <c r="G36" i="4" l="1"/>
  <c r="G40" i="4" s="1"/>
  <c r="G42" i="4" s="1"/>
  <c r="H31" i="4"/>
  <c r="H34" i="4" s="1"/>
  <c r="H28" i="4"/>
  <c r="H36" i="4" l="1"/>
  <c r="G54" i="4"/>
  <c r="G48" i="4"/>
  <c r="J54" i="4"/>
  <c r="H39" i="4" l="1"/>
  <c r="H41" i="4" s="1"/>
  <c r="H40" i="4"/>
  <c r="K54" i="4"/>
  <c r="H54" i="4"/>
  <c r="H42" i="4" l="1"/>
  <c r="C43" i="4" s="1"/>
  <c r="H48" i="4"/>
  <c r="D49" i="4" s="1"/>
  <c r="E52" i="4" s="1"/>
  <c r="E59" i="4" s="1"/>
  <c r="D59" i="4" s="1"/>
  <c r="F52" i="4" l="1"/>
  <c r="L54" i="4"/>
  <c r="AI36" i="4" l="1"/>
</calcChain>
</file>

<file path=xl/sharedStrings.xml><?xml version="1.0" encoding="utf-8"?>
<sst xmlns="http://schemas.openxmlformats.org/spreadsheetml/2006/main" count="164" uniqueCount="125">
  <si>
    <t>Leasable Area
(in sq. ft.)</t>
  </si>
  <si>
    <t>Rent
(Rs. per sq. ft.</t>
  </si>
  <si>
    <t>Building Name</t>
  </si>
  <si>
    <t>Distance
(mtr.)</t>
  </si>
  <si>
    <t>Floor</t>
  </si>
  <si>
    <t>Particulars</t>
  </si>
  <si>
    <t>Figures</t>
  </si>
  <si>
    <t>Unit</t>
  </si>
  <si>
    <r>
      <rPr>
        <sz val="11"/>
        <rFont val="Calibri"/>
        <family val="1"/>
      </rPr>
      <t>Total Leasable Area – Office</t>
    </r>
  </si>
  <si>
    <r>
      <rPr>
        <sz val="11"/>
        <rFont val="Calibri"/>
        <family val="1"/>
      </rPr>
      <t>Sq ft</t>
    </r>
  </si>
  <si>
    <r>
      <rPr>
        <sz val="11"/>
        <rFont val="Calibri"/>
        <family val="1"/>
      </rPr>
      <t>Total Leasable Area – Retail</t>
    </r>
  </si>
  <si>
    <r>
      <rPr>
        <sz val="11"/>
        <rFont val="Calibri"/>
        <family val="1"/>
      </rPr>
      <t>Expected Monthly Rent-Office</t>
    </r>
  </si>
  <si>
    <r>
      <rPr>
        <sz val="11"/>
        <rFont val="Calibri"/>
        <family val="1"/>
      </rPr>
      <t>Rs.  Per sq ft</t>
    </r>
  </si>
  <si>
    <r>
      <rPr>
        <sz val="11"/>
        <rFont val="Calibri"/>
        <family val="1"/>
      </rPr>
      <t>Expected Monthly Rent-Retail</t>
    </r>
  </si>
  <si>
    <r>
      <rPr>
        <sz val="11"/>
        <rFont val="Calibri"/>
        <family val="1"/>
      </rPr>
      <t>Chargeable Car Parking slots</t>
    </r>
  </si>
  <si>
    <r>
      <rPr>
        <sz val="11"/>
        <rFont val="Calibri"/>
        <family val="1"/>
      </rPr>
      <t>Nos.</t>
    </r>
  </si>
  <si>
    <r>
      <rPr>
        <sz val="11"/>
        <rFont val="Calibri"/>
        <family val="1"/>
      </rPr>
      <t>Expected Monthly Rent</t>
    </r>
  </si>
  <si>
    <r>
      <rPr>
        <sz val="11"/>
        <rFont val="Calibri"/>
        <family val="1"/>
      </rPr>
      <t>Rs. per slot per month</t>
    </r>
  </si>
  <si>
    <r>
      <rPr>
        <sz val="11"/>
        <rFont val="Calibri"/>
        <family val="1"/>
      </rPr>
      <t>Inflationary Escalation in Rent Every 3 Years</t>
    </r>
  </si>
  <si>
    <r>
      <rPr>
        <sz val="11"/>
        <rFont val="Calibri"/>
        <family val="1"/>
      </rPr>
      <t>%</t>
    </r>
  </si>
  <si>
    <r>
      <rPr>
        <sz val="11"/>
        <rFont val="Calibri"/>
        <family val="1"/>
      </rPr>
      <t>Interest Free Security Deposit</t>
    </r>
  </si>
  <si>
    <r>
      <rPr>
        <sz val="11"/>
        <rFont val="Calibri"/>
        <family val="1"/>
      </rPr>
      <t>months</t>
    </r>
  </si>
  <si>
    <r>
      <rPr>
        <sz val="11"/>
        <rFont val="Calibri"/>
        <family val="1"/>
      </rPr>
      <t>CAM Charges</t>
    </r>
  </si>
  <si>
    <r>
      <rPr>
        <sz val="11"/>
        <rFont val="Calibri"/>
        <family val="1"/>
      </rPr>
      <t>Rs. per sq ft per month</t>
    </r>
  </si>
  <si>
    <r>
      <rPr>
        <sz val="11"/>
        <rFont val="Calibri"/>
        <family val="1"/>
      </rPr>
      <t>Profit from Cam Charges</t>
    </r>
  </si>
  <si>
    <r>
      <rPr>
        <sz val="11"/>
        <rFont val="Calibri"/>
        <family val="1"/>
      </rPr>
      <t>Interest Earned On Security Deposit</t>
    </r>
  </si>
  <si>
    <r>
      <rPr>
        <sz val="11"/>
        <rFont val="Calibri"/>
        <family val="1"/>
      </rPr>
      <t>Capitalization Rate</t>
    </r>
  </si>
  <si>
    <r>
      <rPr>
        <sz val="11"/>
        <rFont val="Calibri"/>
        <family val="1"/>
      </rPr>
      <t>Discount Rate</t>
    </r>
  </si>
  <si>
    <t>Year</t>
  </si>
  <si>
    <t>Month</t>
  </si>
  <si>
    <t>Year-0</t>
  </si>
  <si>
    <t>Year-2</t>
  </si>
  <si>
    <t>Year-3</t>
  </si>
  <si>
    <t>Year-4</t>
  </si>
  <si>
    <t>Year-5</t>
  </si>
  <si>
    <t>Office Space</t>
  </si>
  <si>
    <t>Occupancy</t>
  </si>
  <si>
    <t>Area to be Leased out</t>
  </si>
  <si>
    <t>Annual Rent (in Rs. Cr.)</t>
  </si>
  <si>
    <t>Retail</t>
  </si>
  <si>
    <t>Other Services</t>
  </si>
  <si>
    <t>Interest on Security Deposit</t>
  </si>
  <si>
    <t>Annual CAM Charges (in Rs. Cr.)</t>
  </si>
  <si>
    <t>Rent (in Rs. /Sq. ft./ month)</t>
  </si>
  <si>
    <t>Security Deposit</t>
  </si>
  <si>
    <t>Security Deposit-Office Space(in Rs. Cr.)</t>
  </si>
  <si>
    <t>Security Deposit-Retail (in Rs. Cr.)</t>
  </si>
  <si>
    <t>Profit from CAM Charges (in Rs. Cr.)</t>
  </si>
  <si>
    <t>Total Inflow (Rs. Cr.)</t>
  </si>
  <si>
    <t>Built-up</t>
  </si>
  <si>
    <t>EBIDTA</t>
  </si>
  <si>
    <t>Monthly CAM Charges (in Rs. Cr.)</t>
  </si>
  <si>
    <t>NPV</t>
  </si>
  <si>
    <t>6 Months' rent</t>
  </si>
  <si>
    <t>Profit from CAM Charges</t>
  </si>
  <si>
    <t>g</t>
  </si>
  <si>
    <t>Terminal Value</t>
  </si>
  <si>
    <t>Growth Rate</t>
  </si>
  <si>
    <t>%</t>
  </si>
  <si>
    <t>Office Spaces</t>
  </si>
  <si>
    <t xml:space="preserve">S. No. </t>
  </si>
  <si>
    <t>Name of property</t>
  </si>
  <si>
    <t xml:space="preserve">Leasable Area </t>
  </si>
  <si>
    <t>Rent/Lease Rate</t>
  </si>
  <si>
    <t>Link</t>
  </si>
  <si>
    <t>Birla Tower, Barakhamba Road</t>
  </si>
  <si>
    <t>https://www.cbre.co.in/properties/office/details/IN-SMPL-800/birla-tower-barakhamba-road-delhi-dl-110001?view=isLetting</t>
  </si>
  <si>
    <t>Vandana, Tolstoy Road</t>
  </si>
  <si>
    <t>https://www.cbre.co.in/properties/office/details/IN-SMPL-15861/vandana-tolstoy-road-110001?view=isLetting</t>
  </si>
  <si>
    <t>Hansalaya, Barakhamba Rd</t>
  </si>
  <si>
    <t>https://www.cbre.co.in/properties/office/details/IN-SMPL-230/hans-hotel-no-15-barakhamba-rd-connaught-place-new-delhi-delhi-110001-110001?view=isLetting</t>
  </si>
  <si>
    <t>World Trade Tower, Barakhamba Lane</t>
  </si>
  <si>
    <t>https://www.cbre.co.in/properties/office/details/IN-SMPL-17594/world-trade-tower-barakhamba-lane-110001?view=isLetting</t>
  </si>
  <si>
    <t>ECE House, KG Marg</t>
  </si>
  <si>
    <t>https://www.cbre.co.in/properties/office/details/IN-SMPL-802/ece-house-kg-marg-110001?view=isLetting</t>
  </si>
  <si>
    <t>Metropolitan , Bangla Sahib Road</t>
  </si>
  <si>
    <t>https://www.cbre.co.in/properties/office/details/IN-SMPL-860/metropolitan-bangla-sahib-road-110001?view=isLetting</t>
  </si>
  <si>
    <t>Sood Tower, Barakhamba Road</t>
  </si>
  <si>
    <t>https://www.cbre.co.in/properties/office/details/IN-SMPL-885/sood-tower-barakhamba-road-110001?view=isLetting</t>
  </si>
  <si>
    <t>Building</t>
  </si>
  <si>
    <t>Land</t>
  </si>
  <si>
    <t>Parasvnath Capitol</t>
  </si>
  <si>
    <t>rent</t>
  </si>
  <si>
    <t>maintenance</t>
  </si>
  <si>
    <t>Amit Sharma-Estate Lion</t>
  </si>
  <si>
    <t>DLF Capitol Point</t>
  </si>
  <si>
    <t>Pankaj</t>
  </si>
  <si>
    <t>~</t>
  </si>
  <si>
    <t>https://www.magicbricks.com/propertyDetails/2200-Sq-ft-Commercial-Shop-FOR-Rent-Connaught-Place-in-New-Delhi&amp;id=4d423634333538373939&amp;dynamicListing=N&amp;budget=0&amp;area=0&amp;seats=0&amp;isCoworkingSearch=Y</t>
  </si>
  <si>
    <t>https://www.magicbricks.com/propertyDetails/600-Sq-ft-Commercial-Shop-FOR-Rent-Connaught-Place-in-New-Delhi-r1&amp;id=4d423632323337383339&amp;dynamicListing=N&amp;budget=0&amp;area=0&amp;seats=0&amp;isCoworkingSearch=Y</t>
  </si>
  <si>
    <t>https://www.99acres.com/shop-for-rent-lease-in-connaught-place-central-delhi-500-sq-ft-spid-D64281552</t>
  </si>
  <si>
    <t>https://www.99acres.com/shop-for-rent-lease-in-connaught-place-central-delhi-700-sq-ft-spid-V65806846</t>
  </si>
  <si>
    <t>Parsvnath Capital Tower</t>
  </si>
  <si>
    <t>Dlf Capitol Point</t>
  </si>
  <si>
    <t>I</t>
  </si>
  <si>
    <t>Manmohan Arora</t>
  </si>
  <si>
    <t>500-700</t>
  </si>
  <si>
    <t>Rent/Month (INR)</t>
  </si>
  <si>
    <t>Rate (INR/ Sq. ft./ Month)</t>
  </si>
  <si>
    <t>ARUN</t>
  </si>
  <si>
    <t>500-600</t>
  </si>
  <si>
    <t>S. No.</t>
  </si>
  <si>
    <t>Cicle Rate</t>
  </si>
  <si>
    <t>12 / 121</t>
  </si>
  <si>
    <t>Government Value</t>
  </si>
  <si>
    <t>https://www.99acres.com/ready-to-move-office-space-for-sale-in-connaught-place-central-delhi-820-sq-ft-r4-spid-V50732284</t>
  </si>
  <si>
    <t>https://www.99acres.com/ready-to-move-office-space-for-sale-in-connaught-place-central-delhi-2000-sq-ft-spid-V65856244</t>
  </si>
  <si>
    <t>https://www.99acres.com/ready-to-move-office-space-for-sale-in-connaught-place-central-delhi-200-sq-ft-spid-U66350872</t>
  </si>
  <si>
    <t>https://www.99acres.com/bare-shell-office-space-for-sale-in-connaught-place-central-delhi-36000-sq-ft-r9-spid-F55816640</t>
  </si>
  <si>
    <t>Discount Period</t>
  </si>
  <si>
    <t>Discount Factor</t>
  </si>
  <si>
    <t>https://kunaldesai.blog/nifty-returns/</t>
  </si>
  <si>
    <t>Nift fift 15 year CAGR</t>
  </si>
  <si>
    <t>Company Risk Premium</t>
  </si>
  <si>
    <t>PV of Cash Inflows</t>
  </si>
  <si>
    <t>PV of Terminal Value</t>
  </si>
  <si>
    <t>PV of Cash Inflows + PV of TV</t>
  </si>
  <si>
    <t>Crore</t>
  </si>
  <si>
    <t>Discount Rate 
(in %)</t>
  </si>
  <si>
    <t>NPV 
(in ₹ Cr.)</t>
  </si>
  <si>
    <t>RV 
(in ₹ Cr.)</t>
  </si>
  <si>
    <t>DV 
(in ₹ Cr.)</t>
  </si>
  <si>
    <t xml:space="preserve"> </t>
  </si>
  <si>
    <t>(in ₹ Cr.)</t>
  </si>
  <si>
    <t>Year-1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</si>
</sst>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₹&quot;\ #,##0;[Red]&quot;₹&quot;\ \-#,##0"/>
    <numFmt numFmtId="8" formatCode="&quot;₹&quot;\ #,##0.00;[Red]&quot;₹&quot;\ \-#,##0.00"/>
    <numFmt numFmtId="43" formatCode="_ * #,##0.00_ ;_ * \-#,##0.00_ ;_ * &quot;-&quot;??_ ;_ @_ "/>
    <numFmt numFmtId="164" formatCode="_ * #,##0_ ;_ * \-#,##0_ ;_ * &quot;-&quot;??_ ;_ @_ "/>
    <numFmt numFmtId="165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name val="Calibri"/>
      <family val="1"/>
    </font>
    <font>
      <sz val="11"/>
      <color rgb="FF000000"/>
      <name val="Calibri"/>
      <family val="2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0" borderId="0"/>
  </cellStyleXfs>
  <cellXfs count="10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164" fontId="2" fillId="0" borderId="0" xfId="1" applyNumberFormat="1" applyFont="1" applyAlignment="1">
      <alignment horizontal="center" vertical="center" wrapText="1"/>
    </xf>
    <xf numFmtId="164" fontId="0" fillId="0" borderId="0" xfId="1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 wrapText="1"/>
    </xf>
    <xf numFmtId="0" fontId="0" fillId="0" borderId="0" xfId="0" applyNumberFormat="1" applyAlignment="1">
      <alignment vertical="center"/>
    </xf>
    <xf numFmtId="0" fontId="5" fillId="2" borderId="1" xfId="3" applyFont="1" applyFill="1" applyBorder="1" applyAlignment="1">
      <alignment vertical="center" wrapText="1"/>
    </xf>
    <xf numFmtId="0" fontId="6" fillId="0" borderId="1" xfId="3" applyFont="1" applyFill="1" applyBorder="1" applyAlignment="1">
      <alignment vertical="top" wrapText="1"/>
    </xf>
    <xf numFmtId="164" fontId="8" fillId="0" borderId="1" xfId="1" applyNumberFormat="1" applyFont="1" applyFill="1" applyBorder="1" applyAlignment="1">
      <alignment vertical="top" shrinkToFit="1"/>
    </xf>
    <xf numFmtId="164" fontId="8" fillId="3" borderId="1" xfId="1" applyNumberFormat="1" applyFont="1" applyFill="1" applyBorder="1" applyAlignment="1">
      <alignment vertical="top" shrinkToFit="1"/>
    </xf>
    <xf numFmtId="9" fontId="8" fillId="0" borderId="1" xfId="3" applyNumberFormat="1" applyFont="1" applyFill="1" applyBorder="1" applyAlignment="1">
      <alignment vertical="top" shrinkToFit="1"/>
    </xf>
    <xf numFmtId="1" fontId="8" fillId="0" borderId="1" xfId="3" applyNumberFormat="1" applyFont="1" applyFill="1" applyBorder="1" applyAlignment="1">
      <alignment vertical="top" shrinkToFit="1"/>
    </xf>
    <xf numFmtId="165" fontId="8" fillId="0" borderId="1" xfId="2" applyNumberFormat="1" applyFont="1" applyFill="1" applyBorder="1" applyAlignment="1">
      <alignment vertical="top" shrinkToFit="1"/>
    </xf>
    <xf numFmtId="0" fontId="2" fillId="0" borderId="0" xfId="0" applyFont="1"/>
    <xf numFmtId="0" fontId="3" fillId="2" borderId="2" xfId="0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Fill="1" applyBorder="1"/>
    <xf numFmtId="0" fontId="2" fillId="4" borderId="2" xfId="0" applyFont="1" applyFill="1" applyBorder="1"/>
    <xf numFmtId="0" fontId="0" fillId="4" borderId="2" xfId="0" applyFill="1" applyBorder="1"/>
    <xf numFmtId="9" fontId="0" fillId="0" borderId="2" xfId="2" applyFont="1" applyBorder="1"/>
    <xf numFmtId="0" fontId="0" fillId="0" borderId="0" xfId="0" applyAlignment="1"/>
    <xf numFmtId="0" fontId="0" fillId="4" borderId="2" xfId="0" applyFill="1" applyBorder="1" applyAlignment="1"/>
    <xf numFmtId="9" fontId="0" fillId="0" borderId="2" xfId="2" applyFont="1" applyBorder="1" applyAlignment="1"/>
    <xf numFmtId="0" fontId="5" fillId="2" borderId="2" xfId="3" applyFont="1" applyFill="1" applyBorder="1" applyAlignment="1">
      <alignment vertical="center" wrapText="1"/>
    </xf>
    <xf numFmtId="0" fontId="5" fillId="2" borderId="2" xfId="3" applyFont="1" applyFill="1" applyBorder="1" applyAlignment="1">
      <alignment vertical="center"/>
    </xf>
    <xf numFmtId="164" fontId="8" fillId="0" borderId="2" xfId="1" applyNumberFormat="1" applyFont="1" applyFill="1" applyBorder="1" applyAlignment="1">
      <alignment vertical="top" shrinkToFit="1"/>
    </xf>
    <xf numFmtId="0" fontId="6" fillId="0" borderId="2" xfId="3" applyFont="1" applyFill="1" applyBorder="1" applyAlignment="1">
      <alignment vertical="top"/>
    </xf>
    <xf numFmtId="9" fontId="8" fillId="0" borderId="2" xfId="3" applyNumberFormat="1" applyFont="1" applyFill="1" applyBorder="1" applyAlignment="1">
      <alignment vertical="top" shrinkToFit="1"/>
    </xf>
    <xf numFmtId="1" fontId="8" fillId="0" borderId="2" xfId="3" applyNumberFormat="1" applyFont="1" applyFill="1" applyBorder="1" applyAlignment="1">
      <alignment vertical="top" shrinkToFit="1"/>
    </xf>
    <xf numFmtId="164" fontId="0" fillId="0" borderId="2" xfId="0" applyNumberFormat="1" applyBorder="1"/>
    <xf numFmtId="43" fontId="0" fillId="0" borderId="2" xfId="1" applyFont="1" applyBorder="1" applyAlignment="1"/>
    <xf numFmtId="164" fontId="0" fillId="0" borderId="2" xfId="1" applyNumberFormat="1" applyFont="1" applyBorder="1" applyAlignment="1"/>
    <xf numFmtId="43" fontId="0" fillId="0" borderId="2" xfId="1" applyFont="1" applyBorder="1"/>
    <xf numFmtId="9" fontId="0" fillId="0" borderId="0" xfId="2" applyFont="1"/>
    <xf numFmtId="164" fontId="0" fillId="0" borderId="2" xfId="0" applyNumberFormat="1" applyBorder="1" applyAlignment="1"/>
    <xf numFmtId="9" fontId="0" fillId="0" borderId="0" xfId="0" applyNumberFormat="1"/>
    <xf numFmtId="43" fontId="0" fillId="0" borderId="2" xfId="0" applyNumberFormat="1" applyBorder="1" applyAlignment="1"/>
    <xf numFmtId="43" fontId="0" fillId="0" borderId="0" xfId="1" applyFont="1"/>
    <xf numFmtId="164" fontId="0" fillId="0" borderId="0" xfId="1" applyNumberFormat="1" applyFont="1"/>
    <xf numFmtId="43" fontId="0" fillId="0" borderId="0" xfId="0" applyNumberFormat="1"/>
    <xf numFmtId="164" fontId="0" fillId="0" borderId="0" xfId="0" applyNumberFormat="1"/>
    <xf numFmtId="43" fontId="0" fillId="0" borderId="0" xfId="0" applyNumberFormat="1" applyAlignment="1"/>
    <xf numFmtId="43" fontId="0" fillId="0" borderId="2" xfId="1" applyNumberFormat="1" applyFont="1" applyBorder="1"/>
    <xf numFmtId="164" fontId="0" fillId="0" borderId="2" xfId="1" applyNumberFormat="1" applyFont="1" applyBorder="1"/>
    <xf numFmtId="8" fontId="2" fillId="0" borderId="0" xfId="0" applyNumberFormat="1" applyFont="1" applyAlignment="1"/>
    <xf numFmtId="3" fontId="9" fillId="0" borderId="0" xfId="0" applyNumberFormat="1" applyFont="1"/>
    <xf numFmtId="10" fontId="0" fillId="0" borderId="0" xfId="2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0" fontId="6" fillId="0" borderId="2" xfId="3" applyFont="1" applyFill="1" applyBorder="1" applyAlignment="1">
      <alignment vertical="top" wrapText="1"/>
    </xf>
    <xf numFmtId="0" fontId="2" fillId="0" borderId="0" xfId="0" applyFont="1" applyAlignment="1">
      <alignment horizontal="center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10" fillId="0" borderId="0" xfId="0" applyNumberFormat="1" applyFont="1"/>
    <xf numFmtId="6" fontId="0" fillId="0" borderId="0" xfId="0" applyNumberFormat="1"/>
    <xf numFmtId="6" fontId="0" fillId="0" borderId="0" xfId="0" applyNumberFormat="1" applyAlignment="1"/>
    <xf numFmtId="164" fontId="0" fillId="0" borderId="0" xfId="1" applyNumberFormat="1" applyFont="1" applyAlignment="1"/>
    <xf numFmtId="0" fontId="2" fillId="0" borderId="0" xfId="1" applyNumberFormat="1" applyFont="1" applyAlignment="1">
      <alignment horizontal="center" vertical="center" wrapText="1"/>
    </xf>
    <xf numFmtId="0" fontId="0" fillId="0" borderId="0" xfId="1" applyNumberFormat="1" applyFont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164" fontId="0" fillId="0" borderId="2" xfId="1" applyNumberFormat="1" applyFont="1" applyBorder="1" applyAlignment="1">
      <alignment vertical="center"/>
    </xf>
    <xf numFmtId="0" fontId="0" fillId="0" borderId="2" xfId="1" applyNumberFormat="1" applyFont="1" applyBorder="1" applyAlignment="1">
      <alignment vertical="center"/>
    </xf>
    <xf numFmtId="164" fontId="0" fillId="0" borderId="2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/>
    <xf numFmtId="3" fontId="0" fillId="0" borderId="0" xfId="0" applyNumberFormat="1"/>
    <xf numFmtId="3" fontId="10" fillId="0" borderId="0" xfId="0" applyNumberFormat="1" applyFont="1"/>
    <xf numFmtId="0" fontId="2" fillId="0" borderId="2" xfId="0" applyFont="1" applyFill="1" applyBorder="1"/>
    <xf numFmtId="43" fontId="2" fillId="0" borderId="2" xfId="0" applyNumberFormat="1" applyFont="1" applyBorder="1" applyAlignment="1"/>
    <xf numFmtId="43" fontId="2" fillId="0" borderId="0" xfId="0" applyNumberFormat="1" applyFont="1"/>
    <xf numFmtId="0" fontId="3" fillId="0" borderId="0" xfId="0" applyFont="1" applyFill="1" applyBorder="1" applyAlignment="1">
      <alignment horizontal="center" vertical="center"/>
    </xf>
    <xf numFmtId="17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9" fontId="0" fillId="0" borderId="0" xfId="2" applyFont="1" applyFill="1" applyBorder="1"/>
    <xf numFmtId="164" fontId="0" fillId="0" borderId="0" xfId="0" applyNumberFormat="1" applyFill="1" applyBorder="1"/>
    <xf numFmtId="164" fontId="0" fillId="0" borderId="0" xfId="1" applyNumberFormat="1" applyFont="1" applyFill="1" applyBorder="1" applyAlignment="1"/>
    <xf numFmtId="43" fontId="0" fillId="0" borderId="0" xfId="1" applyFont="1" applyFill="1" applyBorder="1"/>
    <xf numFmtId="43" fontId="0" fillId="0" borderId="0" xfId="1" applyNumberFormat="1" applyFont="1" applyFill="1" applyBorder="1"/>
    <xf numFmtId="164" fontId="0" fillId="0" borderId="0" xfId="1" applyNumberFormat="1" applyFont="1" applyFill="1" applyBorder="1"/>
    <xf numFmtId="43" fontId="0" fillId="0" borderId="0" xfId="1" applyFont="1" applyFill="1" applyBorder="1" applyAlignment="1"/>
    <xf numFmtId="43" fontId="0" fillId="0" borderId="0" xfId="0" applyNumberFormat="1" applyFill="1" applyBorder="1" applyAlignment="1"/>
    <xf numFmtId="43" fontId="2" fillId="0" borderId="0" xfId="0" applyNumberFormat="1" applyFont="1" applyFill="1" applyBorder="1" applyAlignment="1"/>
    <xf numFmtId="9" fontId="0" fillId="0" borderId="2" xfId="0" applyNumberFormat="1" applyBorder="1"/>
    <xf numFmtId="0" fontId="7" fillId="0" borderId="2" xfId="3" applyFont="1" applyFill="1" applyBorder="1" applyAlignment="1">
      <alignment vertical="top" wrapText="1"/>
    </xf>
    <xf numFmtId="0" fontId="2" fillId="0" borderId="0" xfId="0" applyFont="1" applyFill="1" applyBorder="1"/>
    <xf numFmtId="2" fontId="0" fillId="0" borderId="0" xfId="0" applyNumberFormat="1"/>
    <xf numFmtId="0" fontId="2" fillId="0" borderId="3" xfId="0" applyFont="1" applyFill="1" applyBorder="1"/>
    <xf numFmtId="0" fontId="0" fillId="0" borderId="2" xfId="0" applyBorder="1" applyAlignment="1"/>
    <xf numFmtId="2" fontId="0" fillId="0" borderId="2" xfId="0" applyNumberFormat="1" applyBorder="1"/>
    <xf numFmtId="0" fontId="3" fillId="2" borderId="2" xfId="0" applyFont="1" applyFill="1" applyBorder="1" applyAlignment="1">
      <alignment vertical="center"/>
    </xf>
    <xf numFmtId="2" fontId="3" fillId="2" borderId="2" xfId="0" applyNumberFormat="1" applyFont="1" applyFill="1" applyBorder="1" applyAlignment="1">
      <alignment vertical="center"/>
    </xf>
    <xf numFmtId="43" fontId="12" fillId="0" borderId="2" xfId="1" applyFont="1" applyBorder="1" applyAlignment="1">
      <alignment vertical="center"/>
    </xf>
    <xf numFmtId="10" fontId="12" fillId="0" borderId="2" xfId="2" applyNumberFormat="1" applyFont="1" applyBorder="1" applyAlignment="1">
      <alignment vertical="center"/>
    </xf>
    <xf numFmtId="43" fontId="12" fillId="0" borderId="2" xfId="0" applyNumberFormat="1" applyFont="1" applyBorder="1"/>
    <xf numFmtId="0" fontId="13" fillId="0" borderId="2" xfId="0" applyFont="1" applyBorder="1" applyAlignment="1">
      <alignment horizontal="center" vertical="center" wrapText="1"/>
    </xf>
    <xf numFmtId="10" fontId="8" fillId="0" borderId="2" xfId="2" applyNumberFormat="1" applyFont="1" applyFill="1" applyBorder="1" applyAlignment="1">
      <alignment vertical="top" shrinkToFit="1"/>
    </xf>
  </cellXfs>
  <cellStyles count="5">
    <cellStyle name="Comma" xfId="1" builtinId="3"/>
    <cellStyle name="Normal" xfId="0" builtinId="0"/>
    <cellStyle name="Normal 2" xfId="3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Discount Rate  and NPV Series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Valuation!$E$62</c:f>
              <c:strCache>
                <c:ptCount val="1"/>
                <c:pt idx="0">
                  <c:v>NPV 
(in ₹ Cr.)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Valuation!$E$63:$E$65</c:f>
              <c:numCache>
                <c:formatCode>_(* #,##0.00_);_(* \(#,##0.00\);_(* "-"??_);_(@_)</c:formatCode>
                <c:ptCount val="3"/>
                <c:pt idx="0">
                  <c:v>990</c:v>
                </c:pt>
                <c:pt idx="1">
                  <c:v>810</c:v>
                </c:pt>
                <c:pt idx="2">
                  <c:v>680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Valuation!$F$62</c:f>
              <c:strCache>
                <c:ptCount val="1"/>
                <c:pt idx="0">
                  <c:v>Discount Rate 
(in 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Valuation!$F$63:$F$65</c:f>
              <c:numCache>
                <c:formatCode>0.00%</c:formatCode>
                <c:ptCount val="3"/>
                <c:pt idx="0">
                  <c:v>0.10250000000000001</c:v>
                </c:pt>
                <c:pt idx="1">
                  <c:v>0.1125</c:v>
                </c:pt>
                <c:pt idx="2">
                  <c:v>0.1225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277544"/>
        <c:axId val="304277936"/>
      </c:lineChart>
      <c:catAx>
        <c:axId val="304277544"/>
        <c:scaling>
          <c:orientation val="minMax"/>
        </c:scaling>
        <c:delete val="1"/>
        <c:axPos val="b"/>
        <c:majorTickMark val="none"/>
        <c:minorTickMark val="none"/>
        <c:tickLblPos val="nextTo"/>
        <c:crossAx val="304277936"/>
        <c:crosses val="autoZero"/>
        <c:auto val="1"/>
        <c:lblAlgn val="ctr"/>
        <c:lblOffset val="100"/>
        <c:noMultiLvlLbl val="0"/>
      </c:catAx>
      <c:valAx>
        <c:axId val="30427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4277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39107611548562"/>
          <c:y val="0.86700384292921906"/>
          <c:w val="0.54457283464566941"/>
          <c:h val="0.128473315835520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</xdr:colOff>
      <xdr:row>52</xdr:row>
      <xdr:rowOff>42862</xdr:rowOff>
    </xdr:from>
    <xdr:to>
      <xdr:col>16</xdr:col>
      <xdr:colOff>309562</xdr:colOff>
      <xdr:row>66</xdr:row>
      <xdr:rowOff>57150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47625</xdr:colOff>
      <xdr:row>2</xdr:row>
      <xdr:rowOff>95250</xdr:rowOff>
    </xdr:from>
    <xdr:to>
      <xdr:col>27</xdr:col>
      <xdr:colOff>523875</xdr:colOff>
      <xdr:row>42</xdr:row>
      <xdr:rowOff>47625</xdr:rowOff>
    </xdr:to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2093" t="6230" r="12820" b="5328"/>
        <a:stretch/>
      </xdr:blipFill>
      <xdr:spPr>
        <a:xfrm>
          <a:off x="10025063" y="476250"/>
          <a:ext cx="11620500" cy="7572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2"/>
  <sheetViews>
    <sheetView workbookViewId="0">
      <selection activeCell="C15" sqref="C15"/>
    </sheetView>
  </sheetViews>
  <sheetFormatPr defaultRowHeight="15" x14ac:dyDescent="0.25"/>
  <cols>
    <col min="2" max="2" width="40.140625" bestFit="1" customWidth="1"/>
    <col min="3" max="3" width="11.5703125" bestFit="1" customWidth="1"/>
    <col min="4" max="4" width="21.5703125" bestFit="1" customWidth="1"/>
    <col min="6" max="6" width="10" bestFit="1" customWidth="1"/>
    <col min="7" max="7" width="14.28515625" bestFit="1" customWidth="1"/>
    <col min="14" max="14" width="15.28515625" bestFit="1" customWidth="1"/>
  </cols>
  <sheetData>
    <row r="2" spans="2:14" ht="15" customHeight="1" x14ac:dyDescent="0.25">
      <c r="B2" s="7" t="s">
        <v>5</v>
      </c>
      <c r="C2" s="7" t="s">
        <v>6</v>
      </c>
      <c r="D2" s="7" t="s">
        <v>7</v>
      </c>
    </row>
    <row r="3" spans="2:14" ht="15" customHeight="1" x14ac:dyDescent="0.25">
      <c r="B3" s="8" t="s">
        <v>8</v>
      </c>
      <c r="C3" s="9">
        <f>157289-C4</f>
        <v>142930</v>
      </c>
      <c r="D3" s="8" t="s">
        <v>9</v>
      </c>
      <c r="F3" s="40">
        <v>40000</v>
      </c>
      <c r="G3" s="42">
        <f>F3*C3</f>
        <v>5717200000</v>
      </c>
    </row>
    <row r="4" spans="2:14" ht="15" customHeight="1" x14ac:dyDescent="0.25">
      <c r="B4" s="8" t="s">
        <v>10</v>
      </c>
      <c r="C4" s="9">
        <v>14359</v>
      </c>
      <c r="D4" s="8" t="s">
        <v>9</v>
      </c>
      <c r="F4" s="40">
        <v>100000</v>
      </c>
      <c r="G4" s="42">
        <f>F4*C4</f>
        <v>1435900000</v>
      </c>
    </row>
    <row r="5" spans="2:14" ht="15" customHeight="1" x14ac:dyDescent="0.25">
      <c r="B5" s="8" t="s">
        <v>11</v>
      </c>
      <c r="C5" s="10">
        <v>375</v>
      </c>
      <c r="D5" s="8" t="s">
        <v>12</v>
      </c>
      <c r="G5" s="42">
        <f>SUM(G3:G4)</f>
        <v>7153100000</v>
      </c>
    </row>
    <row r="6" spans="2:14" ht="15" customHeight="1" x14ac:dyDescent="0.25">
      <c r="B6" s="8" t="s">
        <v>13</v>
      </c>
      <c r="C6" s="10">
        <v>425</v>
      </c>
      <c r="D6" s="8" t="s">
        <v>12</v>
      </c>
    </row>
    <row r="7" spans="2:14" ht="15" customHeight="1" x14ac:dyDescent="0.25">
      <c r="B7" s="8" t="s">
        <v>14</v>
      </c>
      <c r="C7" s="9">
        <v>141</v>
      </c>
      <c r="D7" s="8" t="s">
        <v>15</v>
      </c>
    </row>
    <row r="8" spans="2:14" ht="15" customHeight="1" x14ac:dyDescent="0.25">
      <c r="B8" s="8" t="s">
        <v>16</v>
      </c>
      <c r="C8" s="10">
        <v>6000</v>
      </c>
      <c r="D8" s="8" t="s">
        <v>17</v>
      </c>
    </row>
    <row r="9" spans="2:14" ht="15" customHeight="1" x14ac:dyDescent="0.25">
      <c r="B9" s="8" t="s">
        <v>18</v>
      </c>
      <c r="C9" s="11">
        <v>0.15</v>
      </c>
      <c r="D9" s="8" t="s">
        <v>19</v>
      </c>
    </row>
    <row r="10" spans="2:14" ht="15" customHeight="1" x14ac:dyDescent="0.25">
      <c r="B10" s="8" t="s">
        <v>20</v>
      </c>
      <c r="C10" s="12">
        <v>6</v>
      </c>
      <c r="D10" s="8" t="s">
        <v>21</v>
      </c>
      <c r="N10" s="47">
        <v>98946</v>
      </c>
    </row>
    <row r="11" spans="2:14" ht="15" customHeight="1" x14ac:dyDescent="0.25">
      <c r="B11" s="8" t="s">
        <v>22</v>
      </c>
      <c r="C11" s="12">
        <v>25</v>
      </c>
      <c r="D11" s="8" t="s">
        <v>23</v>
      </c>
      <c r="N11">
        <v>2200</v>
      </c>
    </row>
    <row r="12" spans="2:14" ht="15" customHeight="1" x14ac:dyDescent="0.25">
      <c r="B12" s="8" t="s">
        <v>24</v>
      </c>
      <c r="C12" s="13">
        <v>0.2</v>
      </c>
      <c r="D12" s="8" t="s">
        <v>19</v>
      </c>
      <c r="N12" s="40">
        <f>N11*N10</f>
        <v>217681200</v>
      </c>
    </row>
    <row r="13" spans="2:14" ht="15" customHeight="1" x14ac:dyDescent="0.25">
      <c r="B13" s="8" t="s">
        <v>25</v>
      </c>
      <c r="C13" s="13">
        <v>6.5000000000000002E-2</v>
      </c>
      <c r="D13" s="8" t="s">
        <v>19</v>
      </c>
      <c r="N13">
        <v>60</v>
      </c>
    </row>
    <row r="14" spans="2:14" ht="15" customHeight="1" x14ac:dyDescent="0.25">
      <c r="B14" s="8" t="s">
        <v>26</v>
      </c>
      <c r="C14" s="13">
        <v>0.08</v>
      </c>
      <c r="D14" s="8" t="s">
        <v>19</v>
      </c>
      <c r="N14" s="37">
        <v>0.9</v>
      </c>
    </row>
    <row r="15" spans="2:14" ht="15" customHeight="1" x14ac:dyDescent="0.25">
      <c r="B15" s="8" t="s">
        <v>27</v>
      </c>
      <c r="C15" s="13">
        <v>0.12</v>
      </c>
      <c r="D15" s="8" t="s">
        <v>19</v>
      </c>
      <c r="N15" s="48">
        <f>N14/N13</f>
        <v>1.5000000000000001E-2</v>
      </c>
    </row>
    <row r="16" spans="2:14" x14ac:dyDescent="0.25">
      <c r="N16" s="42">
        <f>N15*N12</f>
        <v>3265218.0000000005</v>
      </c>
    </row>
    <row r="17" spans="2:14" x14ac:dyDescent="0.25">
      <c r="N17" s="39">
        <f>N16/10^7</f>
        <v>0.32652180000000003</v>
      </c>
    </row>
    <row r="20" spans="2:14" x14ac:dyDescent="0.25">
      <c r="B20" t="s">
        <v>102</v>
      </c>
    </row>
    <row r="21" spans="2:14" x14ac:dyDescent="0.25">
      <c r="B21" s="57">
        <v>4795.1499999999996</v>
      </c>
      <c r="C21" s="40">
        <v>774000</v>
      </c>
      <c r="D21" s="40">
        <f>C21*B21*3</f>
        <v>11134338299.999998</v>
      </c>
    </row>
    <row r="22" spans="2:14" x14ac:dyDescent="0.25">
      <c r="D22" s="39">
        <f>D21/10^7</f>
        <v>1113.4338299999997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H10"/>
  <sheetViews>
    <sheetView workbookViewId="0">
      <selection activeCell="F20" sqref="F20"/>
    </sheetView>
  </sheetViews>
  <sheetFormatPr defaultRowHeight="15" x14ac:dyDescent="0.25"/>
  <cols>
    <col min="1" max="3" width="9.140625" style="1"/>
    <col min="4" max="4" width="16.7109375" style="1" bestFit="1" customWidth="1"/>
    <col min="5" max="5" width="14.28515625" style="4" customWidth="1"/>
    <col min="6" max="6" width="11.5703125" style="4" customWidth="1"/>
    <col min="7" max="7" width="9.85546875" style="6" bestFit="1" customWidth="1"/>
    <col min="8" max="8" width="9.85546875" style="6" customWidth="1"/>
    <col min="9" max="16384" width="9.140625" style="1"/>
  </cols>
  <sheetData>
    <row r="2" spans="4:8" s="2" customFormat="1" ht="45" x14ac:dyDescent="0.25">
      <c r="D2" s="2" t="s">
        <v>2</v>
      </c>
      <c r="E2" s="3" t="s">
        <v>1</v>
      </c>
      <c r="F2" s="3" t="s">
        <v>0</v>
      </c>
      <c r="G2" s="5" t="s">
        <v>4</v>
      </c>
      <c r="H2" s="5" t="s">
        <v>3</v>
      </c>
    </row>
    <row r="7" spans="4:8" x14ac:dyDescent="0.25">
      <c r="D7" s="1">
        <v>4.5</v>
      </c>
      <c r="E7" s="4">
        <f>D7*10^5</f>
        <v>450000</v>
      </c>
      <c r="F7" s="4">
        <v>500</v>
      </c>
      <c r="G7" s="4">
        <f>E7/F7</f>
        <v>900</v>
      </c>
    </row>
    <row r="8" spans="4:8" x14ac:dyDescent="0.25">
      <c r="D8" s="1">
        <v>14</v>
      </c>
      <c r="E8" s="4">
        <f t="shared" ref="E8:E10" si="0">D8*10^5</f>
        <v>1400000</v>
      </c>
      <c r="F8" s="4">
        <v>3100</v>
      </c>
      <c r="G8" s="4">
        <f t="shared" ref="G8:G10" si="1">E8/F8</f>
        <v>451.61290322580646</v>
      </c>
    </row>
    <row r="9" spans="4:8" x14ac:dyDescent="0.25">
      <c r="D9" s="1">
        <v>4.2</v>
      </c>
      <c r="E9" s="4">
        <f t="shared" si="0"/>
        <v>420000</v>
      </c>
      <c r="F9" s="4">
        <v>700</v>
      </c>
      <c r="G9" s="4">
        <f t="shared" si="1"/>
        <v>600</v>
      </c>
    </row>
    <row r="10" spans="4:8" x14ac:dyDescent="0.25">
      <c r="D10" s="1">
        <v>15</v>
      </c>
      <c r="E10" s="4">
        <f t="shared" si="0"/>
        <v>1500000</v>
      </c>
      <c r="F10" s="4">
        <v>2310</v>
      </c>
      <c r="G10" s="4">
        <f t="shared" si="1"/>
        <v>649.35064935064941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73"/>
  <sheetViews>
    <sheetView tabSelected="1" topLeftCell="A40" zoomScale="85" zoomScaleNormal="85" workbookViewId="0">
      <selection activeCell="D20" sqref="D20:H42"/>
    </sheetView>
  </sheetViews>
  <sheetFormatPr defaultRowHeight="15" x14ac:dyDescent="0.25"/>
  <cols>
    <col min="2" max="2" width="41.5703125" customWidth="1"/>
    <col min="3" max="3" width="13.85546875" bestFit="1" customWidth="1"/>
    <col min="4" max="4" width="21.42578125" style="22" bestFit="1" customWidth="1"/>
    <col min="5" max="5" width="17.7109375" bestFit="1" customWidth="1"/>
    <col min="6" max="6" width="18" bestFit="1" customWidth="1"/>
  </cols>
  <sheetData>
    <row r="2" spans="1:10" x14ac:dyDescent="0.25">
      <c r="B2" s="25" t="s">
        <v>5</v>
      </c>
      <c r="C2" s="25" t="s">
        <v>6</v>
      </c>
      <c r="D2" s="26" t="s">
        <v>7</v>
      </c>
    </row>
    <row r="3" spans="1:10" x14ac:dyDescent="0.25">
      <c r="B3" s="51" t="s">
        <v>8</v>
      </c>
      <c r="C3" s="27">
        <f>157289-C4</f>
        <v>135583</v>
      </c>
      <c r="D3" s="28" t="s">
        <v>9</v>
      </c>
    </row>
    <row r="4" spans="1:10" x14ac:dyDescent="0.25">
      <c r="B4" s="51" t="s">
        <v>10</v>
      </c>
      <c r="C4" s="27">
        <f>7347+14359</f>
        <v>21706</v>
      </c>
      <c r="D4" s="28" t="s">
        <v>9</v>
      </c>
      <c r="I4" t="s">
        <v>103</v>
      </c>
    </row>
    <row r="5" spans="1:10" x14ac:dyDescent="0.25">
      <c r="B5" s="51" t="s">
        <v>11</v>
      </c>
      <c r="C5" s="27">
        <v>325</v>
      </c>
      <c r="D5" s="28" t="s">
        <v>12</v>
      </c>
    </row>
    <row r="6" spans="1:10" x14ac:dyDescent="0.25">
      <c r="B6" s="51" t="s">
        <v>13</v>
      </c>
      <c r="C6" s="27">
        <v>550</v>
      </c>
      <c r="D6" s="28" t="s">
        <v>12</v>
      </c>
    </row>
    <row r="7" spans="1:10" x14ac:dyDescent="0.25">
      <c r="B7" s="51" t="s">
        <v>44</v>
      </c>
      <c r="C7" s="92" t="s">
        <v>53</v>
      </c>
      <c r="D7" s="28"/>
      <c r="J7" s="37"/>
    </row>
    <row r="8" spans="1:10" x14ac:dyDescent="0.25">
      <c r="B8" s="51" t="s">
        <v>18</v>
      </c>
      <c r="C8" s="29">
        <v>0.1</v>
      </c>
      <c r="D8" s="28" t="s">
        <v>19</v>
      </c>
    </row>
    <row r="9" spans="1:10" x14ac:dyDescent="0.25">
      <c r="B9" s="51" t="s">
        <v>22</v>
      </c>
      <c r="C9" s="30">
        <v>30</v>
      </c>
      <c r="D9" s="28" t="s">
        <v>23</v>
      </c>
    </row>
    <row r="10" spans="1:10" x14ac:dyDescent="0.25">
      <c r="B10" s="93" t="s">
        <v>54</v>
      </c>
      <c r="C10" s="105">
        <v>0.2</v>
      </c>
      <c r="D10" s="28" t="s">
        <v>19</v>
      </c>
    </row>
    <row r="11" spans="1:10" x14ac:dyDescent="0.25">
      <c r="B11" s="51" t="s">
        <v>25</v>
      </c>
      <c r="C11" s="105">
        <v>0.06</v>
      </c>
      <c r="D11" s="28" t="s">
        <v>19</v>
      </c>
    </row>
    <row r="12" spans="1:10" x14ac:dyDescent="0.25">
      <c r="A12" t="s">
        <v>111</v>
      </c>
      <c r="B12" s="51" t="s">
        <v>112</v>
      </c>
      <c r="C12" s="105">
        <v>0.11</v>
      </c>
      <c r="D12" s="28" t="s">
        <v>19</v>
      </c>
    </row>
    <row r="13" spans="1:10" x14ac:dyDescent="0.25">
      <c r="B13" s="51" t="s">
        <v>113</v>
      </c>
      <c r="C13" s="105">
        <v>2.5000000000000001E-3</v>
      </c>
      <c r="D13" s="28"/>
    </row>
    <row r="14" spans="1:10" x14ac:dyDescent="0.25">
      <c r="B14" s="51" t="s">
        <v>27</v>
      </c>
      <c r="C14" s="105">
        <f>C12+C13</f>
        <v>0.1125</v>
      </c>
      <c r="D14" s="28"/>
    </row>
    <row r="15" spans="1:10" x14ac:dyDescent="0.25">
      <c r="B15" s="51" t="s">
        <v>57</v>
      </c>
      <c r="C15" s="105">
        <v>0.03</v>
      </c>
      <c r="D15" s="28" t="s">
        <v>58</v>
      </c>
    </row>
    <row r="17" spans="2:34" x14ac:dyDescent="0.25">
      <c r="B17" s="15" t="s">
        <v>28</v>
      </c>
      <c r="C17" s="15" t="s">
        <v>30</v>
      </c>
      <c r="D17" s="15" t="s">
        <v>124</v>
      </c>
      <c r="E17" s="15" t="s">
        <v>31</v>
      </c>
      <c r="F17" s="15" t="s">
        <v>32</v>
      </c>
      <c r="G17" s="15" t="s">
        <v>33</v>
      </c>
      <c r="H17" s="15" t="s">
        <v>34</v>
      </c>
      <c r="I17" s="80"/>
      <c r="J17" s="80"/>
      <c r="K17" s="80"/>
      <c r="L17" s="80"/>
      <c r="M17" s="80" t="s">
        <v>122</v>
      </c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</row>
    <row r="18" spans="2:34" x14ac:dyDescent="0.25">
      <c r="B18" s="15" t="s">
        <v>29</v>
      </c>
      <c r="C18" s="16">
        <v>44866</v>
      </c>
      <c r="D18" s="16">
        <v>45231</v>
      </c>
      <c r="E18" s="16">
        <v>45597</v>
      </c>
      <c r="F18" s="16">
        <v>45962</v>
      </c>
      <c r="G18" s="16">
        <v>46327</v>
      </c>
      <c r="H18" s="16">
        <v>46692</v>
      </c>
      <c r="I18" s="81"/>
      <c r="J18" s="81"/>
      <c r="K18" s="81"/>
      <c r="L18" s="81"/>
      <c r="M18" s="81" t="s">
        <v>123</v>
      </c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  <c r="AH18" s="81"/>
    </row>
    <row r="19" spans="2:34" x14ac:dyDescent="0.25">
      <c r="B19" s="19" t="s">
        <v>35</v>
      </c>
      <c r="C19" s="20"/>
      <c r="D19" s="23"/>
      <c r="E19" s="20"/>
      <c r="F19" s="20"/>
      <c r="G19" s="20"/>
      <c r="H19" s="20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</row>
    <row r="20" spans="2:34" x14ac:dyDescent="0.25">
      <c r="B20" s="17" t="s">
        <v>36</v>
      </c>
      <c r="C20" s="21">
        <v>0</v>
      </c>
      <c r="D20" s="24">
        <v>0.1</v>
      </c>
      <c r="E20" s="21">
        <v>0.2</v>
      </c>
      <c r="F20" s="21">
        <v>0.4</v>
      </c>
      <c r="G20" s="21">
        <v>0.7</v>
      </c>
      <c r="H20" s="21">
        <v>1</v>
      </c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</row>
    <row r="21" spans="2:34" x14ac:dyDescent="0.25">
      <c r="B21" s="17" t="s">
        <v>37</v>
      </c>
      <c r="C21" s="31">
        <f>C20*$C$3</f>
        <v>0</v>
      </c>
      <c r="D21" s="31">
        <f t="shared" ref="D21:H21" si="0">D20*$C$3</f>
        <v>13558.300000000001</v>
      </c>
      <c r="E21" s="31">
        <f t="shared" si="0"/>
        <v>27116.600000000002</v>
      </c>
      <c r="F21" s="31">
        <f t="shared" si="0"/>
        <v>54233.200000000004</v>
      </c>
      <c r="G21" s="31">
        <f t="shared" si="0"/>
        <v>94908.099999999991</v>
      </c>
      <c r="H21" s="31">
        <f t="shared" si="0"/>
        <v>135583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</row>
    <row r="22" spans="2:34" x14ac:dyDescent="0.25">
      <c r="B22" s="17" t="s">
        <v>43</v>
      </c>
      <c r="C22" s="31">
        <f>C5</f>
        <v>325</v>
      </c>
      <c r="D22" s="33">
        <f>C22</f>
        <v>325</v>
      </c>
      <c r="E22" s="33">
        <f>D22</f>
        <v>325</v>
      </c>
      <c r="F22" s="33">
        <f t="shared" ref="F22" si="1">E22*(1+$C$8)</f>
        <v>357.50000000000006</v>
      </c>
      <c r="G22" s="33">
        <f>F22</f>
        <v>357.50000000000006</v>
      </c>
      <c r="H22" s="33">
        <f>G22</f>
        <v>357.50000000000006</v>
      </c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</row>
    <row r="23" spans="2:34" x14ac:dyDescent="0.25">
      <c r="B23" s="17" t="s">
        <v>38</v>
      </c>
      <c r="C23" s="34">
        <f>C22*C21/10^7</f>
        <v>0</v>
      </c>
      <c r="D23" s="34">
        <f>D22*D21*12/10^7</f>
        <v>5.2877369999999999</v>
      </c>
      <c r="E23" s="34">
        <f t="shared" ref="E23:H23" si="2">E22*E21*12/10^7</f>
        <v>10.575474</v>
      </c>
      <c r="F23" s="34">
        <f t="shared" si="2"/>
        <v>23.266042800000005</v>
      </c>
      <c r="G23" s="34">
        <f t="shared" si="2"/>
        <v>40.7155749</v>
      </c>
      <c r="H23" s="34">
        <f t="shared" si="2"/>
        <v>58.165107000000013</v>
      </c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</row>
    <row r="24" spans="2:34" x14ac:dyDescent="0.25">
      <c r="B24" s="19" t="s">
        <v>39</v>
      </c>
      <c r="C24" s="20"/>
      <c r="D24" s="23"/>
      <c r="E24" s="20"/>
      <c r="F24" s="20"/>
      <c r="G24" s="20"/>
      <c r="H24" s="20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</row>
    <row r="25" spans="2:34" s="35" customFormat="1" x14ac:dyDescent="0.25">
      <c r="B25" s="21" t="s">
        <v>36</v>
      </c>
      <c r="C25" s="21">
        <v>0</v>
      </c>
      <c r="D25" s="24">
        <f>D20</f>
        <v>0.1</v>
      </c>
      <c r="E25" s="24">
        <f t="shared" ref="E25:G25" si="3">E20</f>
        <v>0.2</v>
      </c>
      <c r="F25" s="24">
        <f t="shared" si="3"/>
        <v>0.4</v>
      </c>
      <c r="G25" s="24">
        <f t="shared" si="3"/>
        <v>0.7</v>
      </c>
      <c r="H25" s="21">
        <v>1</v>
      </c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</row>
    <row r="26" spans="2:34" x14ac:dyDescent="0.25">
      <c r="B26" s="17" t="s">
        <v>37</v>
      </c>
      <c r="C26" s="31">
        <f>C25*$C$4</f>
        <v>0</v>
      </c>
      <c r="D26" s="31">
        <f t="shared" ref="D26:H26" si="4">D25*$C$4</f>
        <v>2170.6</v>
      </c>
      <c r="E26" s="31">
        <f t="shared" si="4"/>
        <v>4341.2</v>
      </c>
      <c r="F26" s="31">
        <f t="shared" si="4"/>
        <v>8682.4</v>
      </c>
      <c r="G26" s="31">
        <f t="shared" si="4"/>
        <v>15194.199999999999</v>
      </c>
      <c r="H26" s="31">
        <f t="shared" si="4"/>
        <v>21706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</row>
    <row r="27" spans="2:34" x14ac:dyDescent="0.25">
      <c r="B27" s="17" t="s">
        <v>43</v>
      </c>
      <c r="C27" s="31">
        <f>C6</f>
        <v>550</v>
      </c>
      <c r="D27" s="36">
        <f>C27</f>
        <v>550</v>
      </c>
      <c r="E27" s="31">
        <f>D27</f>
        <v>550</v>
      </c>
      <c r="F27" s="31">
        <f>E27*(1+$C$8)</f>
        <v>605</v>
      </c>
      <c r="G27" s="31">
        <f>F27</f>
        <v>605</v>
      </c>
      <c r="H27" s="31">
        <f>G27</f>
        <v>605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</row>
    <row r="28" spans="2:34" x14ac:dyDescent="0.25">
      <c r="B28" s="17" t="s">
        <v>38</v>
      </c>
      <c r="C28" s="34">
        <f>C27*12*C26/10^7</f>
        <v>0</v>
      </c>
      <c r="D28" s="34">
        <f>D27*12*D26/10^7</f>
        <v>1.432596</v>
      </c>
      <c r="E28" s="34">
        <f t="shared" ref="E28:H28" si="5">E27*12*E26/10^7</f>
        <v>2.865192</v>
      </c>
      <c r="F28" s="34">
        <f t="shared" si="5"/>
        <v>6.3034223999999996</v>
      </c>
      <c r="G28" s="34">
        <f t="shared" si="5"/>
        <v>11.030989199999999</v>
      </c>
      <c r="H28" s="34">
        <f t="shared" si="5"/>
        <v>15.758556</v>
      </c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</row>
    <row r="29" spans="2:34" x14ac:dyDescent="0.25">
      <c r="B29" s="19" t="s">
        <v>40</v>
      </c>
      <c r="C29" s="20"/>
      <c r="D29" s="23"/>
      <c r="E29" s="20"/>
      <c r="F29" s="20"/>
      <c r="G29" s="20"/>
      <c r="H29" s="20"/>
      <c r="I29" s="82"/>
      <c r="J29" s="82"/>
      <c r="K29" s="82"/>
      <c r="L29" s="82"/>
      <c r="M29" s="82"/>
      <c r="N29" s="82"/>
      <c r="O29" s="82"/>
      <c r="P29" s="82"/>
      <c r="Q29" s="82"/>
      <c r="R29" s="82"/>
      <c r="S29" s="82"/>
      <c r="T29" s="82"/>
      <c r="U29" s="82"/>
      <c r="V29" s="82"/>
      <c r="W29" s="82"/>
      <c r="X29" s="82"/>
      <c r="Y29" s="82"/>
      <c r="Z29" s="82"/>
      <c r="AA29" s="82"/>
      <c r="AB29" s="82"/>
      <c r="AC29" s="82"/>
      <c r="AD29" s="82"/>
      <c r="AE29" s="82"/>
      <c r="AF29" s="82"/>
      <c r="AG29" s="82"/>
      <c r="AH29" s="82"/>
    </row>
    <row r="30" spans="2:34" x14ac:dyDescent="0.25">
      <c r="B30" s="18" t="s">
        <v>45</v>
      </c>
      <c r="C30" s="34">
        <f>C20*C22*C21/10^7</f>
        <v>0</v>
      </c>
      <c r="D30" s="44">
        <f>(D20-C20)*$C$3*D22*6/10^7</f>
        <v>2.6438685</v>
      </c>
      <c r="E30" s="44">
        <f>(E20-D20)*$C$3*E22*6/10^7</f>
        <v>2.6438685</v>
      </c>
      <c r="F30" s="44">
        <f>(F20-E20)*$C$3*F22*6/10^7</f>
        <v>5.8165107000000011</v>
      </c>
      <c r="G30" s="44">
        <f>(G20-F20)*$C$3*G22*6/10^7</f>
        <v>8.7247660499999995</v>
      </c>
      <c r="H30" s="44">
        <f>(H20-G20)*$C$3*H22*6/10^7</f>
        <v>8.724766050000003</v>
      </c>
      <c r="I30" s="87"/>
      <c r="J30" s="87"/>
      <c r="K30" s="87"/>
      <c r="L30" s="87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</row>
    <row r="31" spans="2:34" x14ac:dyDescent="0.25">
      <c r="B31" s="18" t="s">
        <v>46</v>
      </c>
      <c r="C31" s="34"/>
      <c r="D31" s="34">
        <f>(D25-C25)*$C$4*D27*6/10^7</f>
        <v>0.71629799999999999</v>
      </c>
      <c r="E31" s="34">
        <f>(E25-D25)*$C$4*E27*6/10^7</f>
        <v>0.71629799999999999</v>
      </c>
      <c r="F31" s="34">
        <f>(F25-E25)*$C$4*F27*6/10^7</f>
        <v>1.5758555999999999</v>
      </c>
      <c r="G31" s="34">
        <f>(G25-F25)*$C$4*G27*6/10^7</f>
        <v>2.3637833999999991</v>
      </c>
      <c r="H31" s="34">
        <f>(H25-G25)*$C$4*H27*6/10^7</f>
        <v>2.3637834000000004</v>
      </c>
      <c r="I31" s="86"/>
      <c r="J31" s="82"/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82"/>
      <c r="AE31" s="82"/>
      <c r="AF31" s="82"/>
      <c r="AG31" s="82"/>
      <c r="AH31" s="82"/>
    </row>
    <row r="32" spans="2:34" s="40" customFormat="1" x14ac:dyDescent="0.25">
      <c r="B32" s="18" t="s">
        <v>51</v>
      </c>
      <c r="C32" s="45">
        <f>C9</f>
        <v>30</v>
      </c>
      <c r="D32" s="45">
        <f>C32</f>
        <v>30</v>
      </c>
      <c r="E32" s="45">
        <f>D32</f>
        <v>30</v>
      </c>
      <c r="F32" s="45">
        <f>E32+(E32*$C$8)</f>
        <v>33</v>
      </c>
      <c r="G32" s="45">
        <f>F32</f>
        <v>33</v>
      </c>
      <c r="H32" s="45">
        <f t="shared" ref="H32" si="6">G32</f>
        <v>33</v>
      </c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</row>
    <row r="33" spans="2:35" x14ac:dyDescent="0.25">
      <c r="B33" s="18" t="s">
        <v>42</v>
      </c>
      <c r="C33" s="32">
        <f t="shared" ref="C33:H33" si="7">C32*12*(C21+C26)/10^7</f>
        <v>0</v>
      </c>
      <c r="D33" s="32">
        <f t="shared" si="7"/>
        <v>0.56624040000000009</v>
      </c>
      <c r="E33" s="32">
        <f t="shared" si="7"/>
        <v>1.1324808000000002</v>
      </c>
      <c r="F33" s="32">
        <f t="shared" si="7"/>
        <v>2.4914577600000003</v>
      </c>
      <c r="G33" s="32">
        <f t="shared" si="7"/>
        <v>4.3600510799999999</v>
      </c>
      <c r="H33" s="32">
        <f t="shared" si="7"/>
        <v>6.2286444000000003</v>
      </c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</row>
    <row r="34" spans="2:35" x14ac:dyDescent="0.25">
      <c r="B34" s="18" t="s">
        <v>41</v>
      </c>
      <c r="C34" s="34">
        <v>0</v>
      </c>
      <c r="D34" s="38">
        <f>$C$11*(D30+D31)</f>
        <v>0.20160998999999999</v>
      </c>
      <c r="E34" s="38">
        <f>$C$11*(E30+E31)</f>
        <v>0.20160998999999999</v>
      </c>
      <c r="F34" s="38">
        <f>$C$11*(F30+F31)</f>
        <v>0.44354197800000006</v>
      </c>
      <c r="G34" s="38">
        <f>$C$11*(G30+G31)</f>
        <v>0.66531296699999987</v>
      </c>
      <c r="H34" s="38">
        <f>$C$11*(H30+H31)</f>
        <v>0.6653129670000002</v>
      </c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</row>
    <row r="35" spans="2:35" x14ac:dyDescent="0.25">
      <c r="B35" s="18" t="s">
        <v>47</v>
      </c>
      <c r="C35" s="34">
        <v>0</v>
      </c>
      <c r="D35" s="38">
        <f>D33*$C$10</f>
        <v>0.11324808000000003</v>
      </c>
      <c r="E35" s="38">
        <f>E33*$C$10</f>
        <v>0.22649616000000006</v>
      </c>
      <c r="F35" s="38">
        <f>F33*$C$10</f>
        <v>0.49829155200000008</v>
      </c>
      <c r="G35" s="38">
        <f>G33*$C$10</f>
        <v>0.87201021600000006</v>
      </c>
      <c r="H35" s="38">
        <f>H33*$C$10</f>
        <v>1.2457288800000001</v>
      </c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</row>
    <row r="36" spans="2:35" s="14" customFormat="1" x14ac:dyDescent="0.25">
      <c r="B36" s="77" t="s">
        <v>48</v>
      </c>
      <c r="C36" s="78"/>
      <c r="D36" s="78">
        <f>D35+D34+D28+D23</f>
        <v>7.0351910699999998</v>
      </c>
      <c r="E36" s="78">
        <f>E35+E34+E28+E23</f>
        <v>13.86877215</v>
      </c>
      <c r="F36" s="78">
        <f>F35+F34+F28+F23</f>
        <v>30.511298730000004</v>
      </c>
      <c r="G36" s="78">
        <f>G35+G34+G28+G23</f>
        <v>53.283887282999999</v>
      </c>
      <c r="H36" s="78">
        <f>H35+H34+H28+H23</f>
        <v>75.834704847000012</v>
      </c>
      <c r="I36" s="91"/>
      <c r="J36" s="91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79">
        <f>SUM(D36:AH36)</f>
        <v>180.53385408000003</v>
      </c>
    </row>
    <row r="37" spans="2:35" s="14" customFormat="1" x14ac:dyDescent="0.25">
      <c r="B37" s="77" t="s">
        <v>109</v>
      </c>
      <c r="C37" s="78">
        <v>0.5</v>
      </c>
      <c r="D37" s="78">
        <f>C37+1</f>
        <v>1.5</v>
      </c>
      <c r="E37" s="78">
        <f t="shared" ref="E37:H37" si="8">D37+1</f>
        <v>2.5</v>
      </c>
      <c r="F37" s="78">
        <f t="shared" si="8"/>
        <v>3.5</v>
      </c>
      <c r="G37" s="78">
        <f t="shared" si="8"/>
        <v>4.5</v>
      </c>
      <c r="H37" s="78">
        <f t="shared" si="8"/>
        <v>5.5</v>
      </c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79"/>
    </row>
    <row r="38" spans="2:35" s="14" customFormat="1" x14ac:dyDescent="0.25">
      <c r="B38" s="77" t="s">
        <v>110</v>
      </c>
      <c r="C38" s="78">
        <f>1/(1+$C$14)^C37</f>
        <v>0.9480909262799545</v>
      </c>
      <c r="D38" s="78">
        <f t="shared" ref="D38:H38" si="9">1/(1+$C$14)^D37</f>
        <v>0.85221656294827364</v>
      </c>
      <c r="E38" s="78">
        <f t="shared" si="9"/>
        <v>0.76603735995350442</v>
      </c>
      <c r="F38" s="78">
        <f t="shared" si="9"/>
        <v>0.68857290782337466</v>
      </c>
      <c r="G38" s="78">
        <f t="shared" si="9"/>
        <v>0.61894193961651656</v>
      </c>
      <c r="H38" s="78">
        <f t="shared" si="9"/>
        <v>0.55635230527327317</v>
      </c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79"/>
    </row>
    <row r="39" spans="2:35" x14ac:dyDescent="0.25">
      <c r="B39" s="17" t="s">
        <v>56</v>
      </c>
      <c r="C39" s="17"/>
      <c r="D39" s="97"/>
      <c r="E39" s="17"/>
      <c r="F39" s="17"/>
      <c r="G39" s="17"/>
      <c r="H39" s="34">
        <f>H36*(1+C15)/(C14-Q50)</f>
        <v>1249.7559358785602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</row>
    <row r="40" spans="2:35" x14ac:dyDescent="0.25">
      <c r="B40" s="77" t="s">
        <v>114</v>
      </c>
      <c r="C40" s="98">
        <f>C36*C38</f>
        <v>0</v>
      </c>
      <c r="D40" s="98">
        <f t="shared" ref="D40:H40" si="10">D36*D38</f>
        <v>5.9955063533597874</v>
      </c>
      <c r="E40" s="98">
        <f t="shared" si="10"/>
        <v>10.623997603582687</v>
      </c>
      <c r="F40" s="98">
        <f t="shared" si="10"/>
        <v>21.00925368798374</v>
      </c>
      <c r="G40" s="98">
        <f t="shared" si="10"/>
        <v>32.97963254524786</v>
      </c>
      <c r="H40" s="98">
        <f t="shared" si="10"/>
        <v>42.190812861346721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</row>
    <row r="41" spans="2:35" x14ac:dyDescent="0.25">
      <c r="B41" s="77" t="s">
        <v>115</v>
      </c>
      <c r="C41" s="17"/>
      <c r="D41" s="97"/>
      <c r="E41" s="17"/>
      <c r="F41" s="17"/>
      <c r="G41" s="17"/>
      <c r="H41" s="34">
        <f>H39*H38</f>
        <v>695.30459595499394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</row>
    <row r="42" spans="2:35" x14ac:dyDescent="0.25">
      <c r="B42" s="77" t="s">
        <v>116</v>
      </c>
      <c r="C42" s="98">
        <f>C40+C41</f>
        <v>0</v>
      </c>
      <c r="D42" s="98">
        <f t="shared" ref="D42:H42" si="11">D40+D41</f>
        <v>5.9955063533597874</v>
      </c>
      <c r="E42" s="98">
        <f t="shared" si="11"/>
        <v>10.623997603582687</v>
      </c>
      <c r="F42" s="98">
        <f t="shared" si="11"/>
        <v>21.00925368798374</v>
      </c>
      <c r="G42" s="98">
        <f t="shared" si="11"/>
        <v>32.97963254524786</v>
      </c>
      <c r="H42" s="98">
        <f t="shared" si="11"/>
        <v>737.49540881634061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</row>
    <row r="43" spans="2:35" ht="19.5" customHeight="1" x14ac:dyDescent="0.25">
      <c r="B43" s="99" t="s">
        <v>52</v>
      </c>
      <c r="C43" s="100">
        <f>SUM(C42:H42)</f>
        <v>808.10379900651469</v>
      </c>
      <c r="D43" s="100" t="s">
        <v>117</v>
      </c>
      <c r="E43" s="100"/>
      <c r="F43" s="100"/>
      <c r="G43" s="100"/>
      <c r="H43" s="100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</row>
    <row r="44" spans="2:35" x14ac:dyDescent="0.25">
      <c r="B44" s="94"/>
      <c r="C44" s="95"/>
      <c r="D44" s="95"/>
      <c r="E44" s="95"/>
      <c r="F44" s="95"/>
      <c r="G44" s="95"/>
      <c r="H44" s="9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2:35" x14ac:dyDescent="0.25">
      <c r="B45" s="94"/>
      <c r="C45" s="95"/>
      <c r="D45" s="95"/>
      <c r="E45" s="95"/>
      <c r="F45" s="95"/>
      <c r="G45" s="95"/>
      <c r="H45" s="9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2:35" x14ac:dyDescent="0.25">
      <c r="B46" s="96"/>
      <c r="C46" s="95"/>
      <c r="D46" s="95"/>
      <c r="E46" s="95"/>
      <c r="F46" s="95"/>
      <c r="G46" s="95"/>
      <c r="H46" s="9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</row>
    <row r="47" spans="2:35" x14ac:dyDescent="0.25">
      <c r="B47" s="94"/>
      <c r="C47" s="95"/>
      <c r="D47" s="95"/>
      <c r="E47" s="95"/>
      <c r="F47" s="95"/>
      <c r="G47" s="95"/>
      <c r="H47" s="9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</row>
    <row r="48" spans="2:35" x14ac:dyDescent="0.25">
      <c r="B48" t="str">
        <f>B36</f>
        <v>Total Inflow (Rs. Cr.)</v>
      </c>
      <c r="C48" s="41">
        <f t="shared" ref="C48:H48" si="12">C36+C39</f>
        <v>0</v>
      </c>
      <c r="D48" s="41">
        <f t="shared" si="12"/>
        <v>7.0351910699999998</v>
      </c>
      <c r="E48" s="41">
        <f t="shared" si="12"/>
        <v>13.86877215</v>
      </c>
      <c r="F48" s="41">
        <f t="shared" si="12"/>
        <v>30.511298730000004</v>
      </c>
      <c r="G48" s="41">
        <f t="shared" si="12"/>
        <v>53.283887282999999</v>
      </c>
      <c r="H48" s="41">
        <f t="shared" si="12"/>
        <v>1325.5906407255602</v>
      </c>
    </row>
    <row r="49" spans="2:17" x14ac:dyDescent="0.25">
      <c r="B49" s="14" t="s">
        <v>52</v>
      </c>
      <c r="C49" s="14"/>
      <c r="D49" s="46">
        <f>NPV($C$12,C48:H48)</f>
        <v>776.28566523592815</v>
      </c>
    </row>
    <row r="50" spans="2:17" x14ac:dyDescent="0.25">
      <c r="P50" s="49" t="s">
        <v>55</v>
      </c>
      <c r="Q50" s="50">
        <v>0.05</v>
      </c>
    </row>
    <row r="52" spans="2:17" x14ac:dyDescent="0.25">
      <c r="E52" s="58">
        <f>D49*10^7</f>
        <v>7762856652.3592815</v>
      </c>
      <c r="F52" s="58">
        <f>E52/C59</f>
        <v>1618897.5636547932</v>
      </c>
    </row>
    <row r="54" spans="2:17" x14ac:dyDescent="0.25">
      <c r="B54" t="s">
        <v>50</v>
      </c>
      <c r="D54" s="43">
        <f>D36</f>
        <v>7.0351910699999998</v>
      </c>
      <c r="E54" s="43">
        <f>E36</f>
        <v>13.86877215</v>
      </c>
      <c r="F54" s="43">
        <f>F36</f>
        <v>30.511298730000004</v>
      </c>
      <c r="G54" s="43">
        <f>G36</f>
        <v>53.283887282999999</v>
      </c>
      <c r="H54" s="43">
        <f>H36</f>
        <v>75.834704847000012</v>
      </c>
      <c r="I54" s="43"/>
      <c r="J54" s="43">
        <f>J36</f>
        <v>0</v>
      </c>
      <c r="K54" s="43">
        <f>K36</f>
        <v>0</v>
      </c>
      <c r="L54" s="43">
        <f>L36</f>
        <v>0</v>
      </c>
    </row>
    <row r="58" spans="2:17" x14ac:dyDescent="0.25">
      <c r="B58" t="s">
        <v>79</v>
      </c>
      <c r="C58" s="60">
        <v>98946</v>
      </c>
      <c r="D58" s="60">
        <v>2300</v>
      </c>
      <c r="E58" s="40">
        <f>D58*C58</f>
        <v>227575800</v>
      </c>
    </row>
    <row r="59" spans="2:17" x14ac:dyDescent="0.25">
      <c r="B59" t="s">
        <v>80</v>
      </c>
      <c r="C59" s="57">
        <v>4795.1499999999996</v>
      </c>
      <c r="D59" s="59">
        <f>E59/C59</f>
        <v>1571437.9847052298</v>
      </c>
      <c r="E59" s="58">
        <f>E52-E58</f>
        <v>7535280852.3592815</v>
      </c>
      <c r="F59" s="58"/>
    </row>
    <row r="60" spans="2:17" x14ac:dyDescent="0.25">
      <c r="C60" s="39">
        <f>C59/4047</f>
        <v>1.1848653323449467</v>
      </c>
    </row>
    <row r="62" spans="2:17" ht="31.5" x14ac:dyDescent="0.25">
      <c r="E62" s="104" t="s">
        <v>119</v>
      </c>
      <c r="F62" s="104" t="s">
        <v>118</v>
      </c>
      <c r="G62" s="104" t="s">
        <v>120</v>
      </c>
      <c r="H62" s="104" t="s">
        <v>121</v>
      </c>
    </row>
    <row r="63" spans="2:17" ht="15.75" x14ac:dyDescent="0.25">
      <c r="E63" s="101">
        <v>990</v>
      </c>
      <c r="F63" s="102">
        <f>F64-0.01</f>
        <v>0.10250000000000001</v>
      </c>
      <c r="G63" s="103">
        <f>E63*0.9</f>
        <v>891</v>
      </c>
      <c r="H63" s="103">
        <f>E63*0.8</f>
        <v>792</v>
      </c>
    </row>
    <row r="64" spans="2:17" ht="15.75" x14ac:dyDescent="0.25">
      <c r="E64" s="101">
        <v>810</v>
      </c>
      <c r="F64" s="102">
        <v>0.1125</v>
      </c>
      <c r="G64" s="103">
        <f t="shared" ref="G64:G65" si="13">E64*0.9</f>
        <v>729</v>
      </c>
      <c r="H64" s="103">
        <f t="shared" ref="H64:H65" si="14">E64*0.8</f>
        <v>648</v>
      </c>
    </row>
    <row r="65" spans="2:8" ht="15.75" x14ac:dyDescent="0.25">
      <c r="E65" s="101">
        <v>680</v>
      </c>
      <c r="F65" s="102">
        <v>0.1225</v>
      </c>
      <c r="G65" s="103">
        <f t="shared" si="13"/>
        <v>612</v>
      </c>
      <c r="H65" s="103">
        <f t="shared" si="14"/>
        <v>544</v>
      </c>
    </row>
    <row r="70" spans="2:8" x14ac:dyDescent="0.25">
      <c r="D70" s="22" t="s">
        <v>104</v>
      </c>
    </row>
    <row r="71" spans="2:8" x14ac:dyDescent="0.25">
      <c r="D71" s="76">
        <f>3*774000</f>
        <v>2322000</v>
      </c>
      <c r="E71" s="73">
        <f>C59</f>
        <v>4795.1499999999996</v>
      </c>
      <c r="F71" s="40">
        <f>E71*D71</f>
        <v>11134338300</v>
      </c>
    </row>
    <row r="72" spans="2:8" x14ac:dyDescent="0.25">
      <c r="B72">
        <v>27090</v>
      </c>
      <c r="C72" s="40">
        <f>B72*1.1</f>
        <v>29799.000000000004</v>
      </c>
      <c r="D72" s="74">
        <f>C72/10.764</f>
        <v>2768.3946488294318</v>
      </c>
      <c r="E72" s="75">
        <v>98946</v>
      </c>
      <c r="F72" s="42">
        <f>E72*D72</f>
        <v>273921576.92307699</v>
      </c>
    </row>
    <row r="73" spans="2:8" x14ac:dyDescent="0.25">
      <c r="F73" s="42">
        <f>SUM(F71:F72)</f>
        <v>11408259876.923077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7"/>
  <sheetViews>
    <sheetView workbookViewId="0">
      <selection activeCell="D9" sqref="D9"/>
    </sheetView>
  </sheetViews>
  <sheetFormatPr defaultRowHeight="15" x14ac:dyDescent="0.25"/>
  <cols>
    <col min="6" max="6" width="16.85546875" bestFit="1" customWidth="1"/>
    <col min="7" max="7" width="14.28515625" bestFit="1" customWidth="1"/>
    <col min="8" max="8" width="15.28515625" bestFit="1" customWidth="1"/>
  </cols>
  <sheetData>
    <row r="3" spans="3:8" x14ac:dyDescent="0.25">
      <c r="C3" t="s">
        <v>49</v>
      </c>
      <c r="D3">
        <v>98946</v>
      </c>
    </row>
    <row r="4" spans="3:8" x14ac:dyDescent="0.25">
      <c r="D4">
        <v>182416</v>
      </c>
      <c r="E4">
        <v>3000</v>
      </c>
      <c r="F4" s="40">
        <f>E4*D4</f>
        <v>547248000</v>
      </c>
      <c r="G4" s="42" t="e">
        <f>F4*Valuation!#REF!</f>
        <v>#REF!</v>
      </c>
      <c r="H4" s="41" t="e">
        <f>F4-G4</f>
        <v>#REF!</v>
      </c>
    </row>
    <row r="5" spans="3:8" x14ac:dyDescent="0.25">
      <c r="F5" s="42" t="e">
        <f>F4*Valuation!#REF!</f>
        <v>#REF!</v>
      </c>
    </row>
    <row r="6" spans="3:8" x14ac:dyDescent="0.25">
      <c r="F6" s="39" t="e">
        <f>F5/10^7</f>
        <v>#REF!</v>
      </c>
    </row>
    <row r="7" spans="3:8" x14ac:dyDescent="0.25">
      <c r="D7">
        <v>157289</v>
      </c>
      <c r="E7">
        <v>40000</v>
      </c>
      <c r="F7" s="40">
        <f>E7*D7</f>
        <v>6291560000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2"/>
  <sheetViews>
    <sheetView workbookViewId="0">
      <selection activeCell="F37" sqref="F37"/>
    </sheetView>
  </sheetViews>
  <sheetFormatPr defaultRowHeight="15" x14ac:dyDescent="0.25"/>
  <cols>
    <col min="1" max="1" width="9.140625" style="1"/>
    <col min="2" max="2" width="9.140625" style="56"/>
    <col min="3" max="3" width="35.140625" style="1" bestFit="1" customWidth="1"/>
    <col min="4" max="4" width="18.140625" style="4" hidden="1" customWidth="1"/>
    <col min="5" max="5" width="15.5703125" style="4" bestFit="1" customWidth="1"/>
    <col min="6" max="6" width="16.140625" style="1" customWidth="1"/>
    <col min="7" max="7" width="17.28515625" style="1" customWidth="1"/>
    <col min="8" max="8" width="19.7109375" style="1" customWidth="1"/>
    <col min="9" max="9" width="11" style="1" bestFit="1" customWidth="1"/>
    <col min="10" max="12" width="9.140625" style="1"/>
    <col min="13" max="13" width="13.28515625" style="1" customWidth="1"/>
    <col min="14" max="14" width="12.5703125" style="1" customWidth="1"/>
    <col min="15" max="15" width="16.85546875" style="1" bestFit="1" customWidth="1"/>
    <col min="16" max="16384" width="9.140625" style="1"/>
  </cols>
  <sheetData>
    <row r="3" spans="1:12" s="66" customFormat="1" x14ac:dyDescent="0.25">
      <c r="B3" s="52"/>
      <c r="C3" s="66" t="s">
        <v>59</v>
      </c>
      <c r="D3" s="67"/>
      <c r="E3" s="67"/>
    </row>
    <row r="4" spans="1:12" s="52" customFormat="1" x14ac:dyDescent="0.25">
      <c r="B4" s="15" t="s">
        <v>60</v>
      </c>
      <c r="C4" s="15" t="s">
        <v>61</v>
      </c>
      <c r="D4" s="53" t="s">
        <v>62</v>
      </c>
      <c r="E4" s="53" t="s">
        <v>63</v>
      </c>
      <c r="F4" s="54" t="s">
        <v>64</v>
      </c>
      <c r="G4" s="54"/>
    </row>
    <row r="5" spans="1:12" x14ac:dyDescent="0.25">
      <c r="B5" s="55">
        <v>1</v>
      </c>
      <c r="C5" s="63" t="s">
        <v>65</v>
      </c>
      <c r="D5" s="68">
        <v>2750</v>
      </c>
      <c r="E5" s="68">
        <v>300</v>
      </c>
      <c r="F5" s="63" t="s">
        <v>66</v>
      </c>
      <c r="G5" s="63"/>
    </row>
    <row r="6" spans="1:12" x14ac:dyDescent="0.25">
      <c r="B6" s="55">
        <v>2</v>
      </c>
      <c r="C6" s="63" t="s">
        <v>67</v>
      </c>
      <c r="D6" s="68">
        <v>12600</v>
      </c>
      <c r="E6" s="68">
        <v>280</v>
      </c>
      <c r="F6" s="63" t="s">
        <v>68</v>
      </c>
      <c r="G6" s="63"/>
    </row>
    <row r="7" spans="1:12" x14ac:dyDescent="0.25">
      <c r="B7" s="55">
        <v>3</v>
      </c>
      <c r="C7" s="63" t="s">
        <v>69</v>
      </c>
      <c r="D7" s="68">
        <v>7250</v>
      </c>
      <c r="E7" s="68">
        <v>315</v>
      </c>
      <c r="F7" s="63" t="s">
        <v>70</v>
      </c>
      <c r="G7" s="63"/>
    </row>
    <row r="8" spans="1:12" x14ac:dyDescent="0.25">
      <c r="B8" s="55">
        <v>4</v>
      </c>
      <c r="C8" s="63" t="s">
        <v>71</v>
      </c>
      <c r="D8" s="68"/>
      <c r="E8" s="68">
        <v>300</v>
      </c>
      <c r="F8" s="63" t="s">
        <v>72</v>
      </c>
      <c r="G8" s="63"/>
    </row>
    <row r="9" spans="1:12" x14ac:dyDescent="0.25">
      <c r="B9" s="55">
        <v>5</v>
      </c>
      <c r="C9" s="63" t="s">
        <v>73</v>
      </c>
      <c r="D9" s="68"/>
      <c r="E9" s="68">
        <v>500</v>
      </c>
      <c r="F9" s="63" t="s">
        <v>74</v>
      </c>
      <c r="G9" s="63"/>
    </row>
    <row r="10" spans="1:12" x14ac:dyDescent="0.25">
      <c r="B10" s="55">
        <v>6</v>
      </c>
      <c r="C10" s="63" t="s">
        <v>75</v>
      </c>
      <c r="D10" s="68"/>
      <c r="E10" s="68">
        <v>350</v>
      </c>
      <c r="F10" s="63" t="s">
        <v>76</v>
      </c>
      <c r="G10" s="63"/>
    </row>
    <row r="11" spans="1:12" x14ac:dyDescent="0.25">
      <c r="B11" s="55">
        <v>7</v>
      </c>
      <c r="C11" s="63" t="s">
        <v>77</v>
      </c>
      <c r="D11" s="68"/>
      <c r="E11" s="68">
        <v>300</v>
      </c>
      <c r="F11" s="63" t="s">
        <v>78</v>
      </c>
      <c r="G11" s="63"/>
    </row>
    <row r="12" spans="1:12" x14ac:dyDescent="0.25">
      <c r="B12" s="55">
        <v>8</v>
      </c>
      <c r="C12" s="63" t="s">
        <v>92</v>
      </c>
      <c r="D12" s="68"/>
      <c r="E12" s="68">
        <v>435</v>
      </c>
      <c r="F12" s="64" t="s">
        <v>84</v>
      </c>
      <c r="G12" s="69">
        <v>9990015114</v>
      </c>
    </row>
    <row r="13" spans="1:12" x14ac:dyDescent="0.25">
      <c r="B13" s="55">
        <v>9</v>
      </c>
      <c r="C13" s="63" t="s">
        <v>93</v>
      </c>
      <c r="D13" s="68"/>
      <c r="E13" s="68">
        <v>425</v>
      </c>
      <c r="F13" s="65" t="s">
        <v>86</v>
      </c>
      <c r="G13" s="69">
        <v>8826843310</v>
      </c>
    </row>
    <row r="14" spans="1:12" x14ac:dyDescent="0.25">
      <c r="B14" s="55"/>
      <c r="C14" s="63"/>
      <c r="D14" s="68"/>
      <c r="E14" s="68">
        <f>AVERAGE(E5:E13)</f>
        <v>356.11111111111109</v>
      </c>
      <c r="F14" s="63"/>
      <c r="G14" s="69"/>
    </row>
    <row r="15" spans="1:12" x14ac:dyDescent="0.25">
      <c r="A15" s="1" t="s">
        <v>94</v>
      </c>
    </row>
    <row r="16" spans="1:12" x14ac:dyDescent="0.25">
      <c r="K16" s="1" t="s">
        <v>82</v>
      </c>
      <c r="L16" s="1" t="s">
        <v>83</v>
      </c>
    </row>
    <row r="17" spans="1:15" s="2" customFormat="1" ht="30" x14ac:dyDescent="0.25">
      <c r="C17" s="2" t="s">
        <v>2</v>
      </c>
      <c r="D17" s="3" t="s">
        <v>1</v>
      </c>
      <c r="E17" s="3" t="s">
        <v>0</v>
      </c>
      <c r="F17" s="5" t="s">
        <v>4</v>
      </c>
      <c r="G17" s="5" t="s">
        <v>3</v>
      </c>
      <c r="K17" s="2">
        <v>400</v>
      </c>
      <c r="L17" s="2">
        <v>35</v>
      </c>
      <c r="M17" s="2" t="s">
        <v>81</v>
      </c>
      <c r="N17" s="2" t="s">
        <v>84</v>
      </c>
      <c r="O17" s="61">
        <v>9990015114</v>
      </c>
    </row>
    <row r="18" spans="1:15" x14ac:dyDescent="0.25">
      <c r="B18" s="1"/>
      <c r="F18" s="6"/>
      <c r="G18" s="6"/>
      <c r="J18" s="1" t="s">
        <v>87</v>
      </c>
      <c r="K18" s="1">
        <v>400</v>
      </c>
      <c r="L18" s="1">
        <v>25</v>
      </c>
      <c r="M18" s="1" t="s">
        <v>85</v>
      </c>
      <c r="N18" s="1" t="s">
        <v>86</v>
      </c>
      <c r="O18" s="62">
        <v>8826843310</v>
      </c>
    </row>
    <row r="19" spans="1:15" x14ac:dyDescent="0.25">
      <c r="B19" s="1"/>
      <c r="F19" s="6"/>
      <c r="G19" s="6"/>
      <c r="O19" s="62"/>
    </row>
    <row r="20" spans="1:15" x14ac:dyDescent="0.25">
      <c r="B20" s="1"/>
      <c r="F20" s="6"/>
      <c r="G20" s="6"/>
      <c r="L20" s="1">
        <v>0.85</v>
      </c>
      <c r="M20" s="1">
        <f>L20*10^5</f>
        <v>85000</v>
      </c>
      <c r="N20" s="1">
        <v>250</v>
      </c>
      <c r="O20" s="1">
        <f>M20/N20</f>
        <v>340</v>
      </c>
    </row>
    <row r="21" spans="1:15" ht="30" x14ac:dyDescent="0.25">
      <c r="B21" s="1"/>
      <c r="C21" s="71" t="s">
        <v>101</v>
      </c>
      <c r="D21" s="71" t="s">
        <v>97</v>
      </c>
      <c r="E21" s="71" t="s">
        <v>0</v>
      </c>
      <c r="F21" s="72" t="s">
        <v>98</v>
      </c>
      <c r="G21" s="6"/>
      <c r="L21" s="1">
        <v>1.3</v>
      </c>
      <c r="M21" s="1">
        <f>L21*10^5</f>
        <v>130000</v>
      </c>
      <c r="N21" s="1">
        <v>1000</v>
      </c>
      <c r="O21" s="1">
        <f>M21/N21</f>
        <v>130</v>
      </c>
    </row>
    <row r="22" spans="1:15" x14ac:dyDescent="0.25">
      <c r="B22" s="1"/>
      <c r="C22" s="1">
        <v>1</v>
      </c>
      <c r="D22" s="68">
        <v>450000</v>
      </c>
      <c r="E22" s="68">
        <v>500</v>
      </c>
      <c r="F22" s="68">
        <f>D22/E22</f>
        <v>900</v>
      </c>
      <c r="G22" s="6"/>
      <c r="H22" s="1" t="s">
        <v>90</v>
      </c>
    </row>
    <row r="23" spans="1:15" x14ac:dyDescent="0.25">
      <c r="B23" s="1"/>
      <c r="C23" s="1">
        <v>2</v>
      </c>
      <c r="D23" s="68">
        <v>420000</v>
      </c>
      <c r="E23" s="68">
        <v>700</v>
      </c>
      <c r="F23" s="68">
        <f t="shared" ref="F23:G27" si="0">D23/E23</f>
        <v>600</v>
      </c>
      <c r="G23" s="6"/>
      <c r="H23" s="1" t="s">
        <v>91</v>
      </c>
    </row>
    <row r="24" spans="1:15" x14ac:dyDescent="0.25">
      <c r="B24" s="1"/>
      <c r="C24" s="1">
        <v>3</v>
      </c>
      <c r="D24" s="68">
        <v>1500000</v>
      </c>
      <c r="E24" s="68">
        <v>2310</v>
      </c>
      <c r="F24" s="68">
        <f t="shared" si="0"/>
        <v>649.35064935064941</v>
      </c>
      <c r="G24" s="6"/>
    </row>
    <row r="25" spans="1:15" x14ac:dyDescent="0.25">
      <c r="A25" s="1">
        <v>9</v>
      </c>
      <c r="C25" s="1">
        <v>4</v>
      </c>
      <c r="D25" s="68">
        <f>A25*10^5</f>
        <v>900000</v>
      </c>
      <c r="E25" s="68">
        <v>2200</v>
      </c>
      <c r="F25" s="68">
        <f t="shared" si="0"/>
        <v>409.09090909090907</v>
      </c>
      <c r="H25" s="1" t="s">
        <v>88</v>
      </c>
    </row>
    <row r="26" spans="1:15" x14ac:dyDescent="0.25">
      <c r="A26" s="1">
        <v>4</v>
      </c>
      <c r="C26" s="1">
        <v>5</v>
      </c>
      <c r="D26" s="68">
        <f>A26*10^5</f>
        <v>400000</v>
      </c>
      <c r="E26" s="68">
        <v>450</v>
      </c>
      <c r="F26" s="68">
        <v>667</v>
      </c>
      <c r="H26" s="1" t="s">
        <v>89</v>
      </c>
    </row>
    <row r="27" spans="1:15" x14ac:dyDescent="0.25">
      <c r="A27" s="1">
        <v>50</v>
      </c>
      <c r="C27" s="1">
        <v>6</v>
      </c>
      <c r="D27" s="68">
        <f>A27*10^5</f>
        <v>5000000</v>
      </c>
      <c r="E27" s="68">
        <v>10000</v>
      </c>
      <c r="F27" s="68">
        <f t="shared" si="0"/>
        <v>500</v>
      </c>
      <c r="G27" s="4">
        <f t="shared" si="0"/>
        <v>20</v>
      </c>
    </row>
    <row r="28" spans="1:15" x14ac:dyDescent="0.25">
      <c r="C28" s="1">
        <v>7</v>
      </c>
      <c r="D28" s="68"/>
      <c r="E28" s="68"/>
      <c r="F28" s="70" t="s">
        <v>96</v>
      </c>
      <c r="H28" s="1" t="s">
        <v>95</v>
      </c>
      <c r="I28" s="1">
        <v>9313941226</v>
      </c>
      <c r="K28" s="1">
        <v>100</v>
      </c>
    </row>
    <row r="29" spans="1:15" x14ac:dyDescent="0.25">
      <c r="D29" s="4">
        <f t="shared" ref="D29:D31" si="1">C29*10^5</f>
        <v>0</v>
      </c>
      <c r="F29" s="4" t="s">
        <v>100</v>
      </c>
      <c r="H29" s="1" t="s">
        <v>99</v>
      </c>
      <c r="I29" s="1">
        <v>9312237425</v>
      </c>
    </row>
    <row r="30" spans="1:15" x14ac:dyDescent="0.25">
      <c r="D30" s="4">
        <f t="shared" si="1"/>
        <v>0</v>
      </c>
      <c r="F30" s="4"/>
    </row>
    <row r="31" spans="1:15" x14ac:dyDescent="0.25">
      <c r="D31" s="4">
        <f t="shared" si="1"/>
        <v>0</v>
      </c>
      <c r="F31" s="4"/>
    </row>
    <row r="32" spans="1:15" x14ac:dyDescent="0.25">
      <c r="F32" s="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9"/>
  <sheetViews>
    <sheetView workbookViewId="0">
      <selection activeCell="D18" sqref="D18"/>
    </sheetView>
  </sheetViews>
  <sheetFormatPr defaultRowHeight="15" x14ac:dyDescent="0.25"/>
  <cols>
    <col min="2" max="2" width="9.140625" bestFit="1" customWidth="1"/>
    <col min="7" max="7" width="14.28515625" bestFit="1" customWidth="1"/>
    <col min="8" max="8" width="10" bestFit="1" customWidth="1"/>
    <col min="9" max="9" width="14.28515625" bestFit="1" customWidth="1"/>
  </cols>
  <sheetData>
    <row r="3" spans="2:9" x14ac:dyDescent="0.25">
      <c r="B3" s="73">
        <v>99123.78</v>
      </c>
    </row>
    <row r="5" spans="2:9" x14ac:dyDescent="0.25">
      <c r="D5" t="s">
        <v>105</v>
      </c>
      <c r="E5" s="40">
        <v>820</v>
      </c>
      <c r="F5">
        <v>3.3</v>
      </c>
      <c r="G5" s="40">
        <f>F5*10^7</f>
        <v>33000000</v>
      </c>
      <c r="H5" s="40">
        <v>42683</v>
      </c>
      <c r="I5" s="40">
        <f>H5*E5</f>
        <v>35000060</v>
      </c>
    </row>
    <row r="6" spans="2:9" x14ac:dyDescent="0.25">
      <c r="D6" t="s">
        <v>106</v>
      </c>
      <c r="E6" s="40">
        <v>2000</v>
      </c>
      <c r="G6" s="42">
        <f>H6*E6</f>
        <v>78000000</v>
      </c>
      <c r="H6" s="40">
        <v>39000</v>
      </c>
    </row>
    <row r="7" spans="2:9" x14ac:dyDescent="0.25">
      <c r="D7" t="s">
        <v>107</v>
      </c>
      <c r="E7">
        <v>200</v>
      </c>
      <c r="G7" s="40">
        <f>H7*E7</f>
        <v>8000000</v>
      </c>
      <c r="H7" s="40">
        <v>40000</v>
      </c>
    </row>
    <row r="8" spans="2:9" x14ac:dyDescent="0.25">
      <c r="E8">
        <v>12000</v>
      </c>
      <c r="F8">
        <v>9</v>
      </c>
      <c r="G8" s="40">
        <f>F8*10^7</f>
        <v>90000000</v>
      </c>
      <c r="H8" s="40">
        <f>G8/E8</f>
        <v>7500</v>
      </c>
    </row>
    <row r="9" spans="2:9" x14ac:dyDescent="0.25">
      <c r="D9" t="s">
        <v>108</v>
      </c>
      <c r="E9">
        <v>36000</v>
      </c>
      <c r="F9">
        <v>150</v>
      </c>
      <c r="G9" s="40">
        <f>F9*10^7</f>
        <v>1500000000</v>
      </c>
      <c r="H9" s="40">
        <f>G9/E9</f>
        <v>41666.666666666664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Assumptions</vt:lpstr>
      <vt:lpstr>Comparable</vt:lpstr>
      <vt:lpstr>Valuation</vt:lpstr>
      <vt:lpstr>Sheet1</vt:lpstr>
      <vt:lpstr>Comparables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Adil Afaque</dc:creator>
  <cp:lastModifiedBy>Adil Afaque</cp:lastModifiedBy>
  <dcterms:created xsi:type="dcterms:W3CDTF">2022-11-25T05:30:10Z</dcterms:created>
  <dcterms:modified xsi:type="dcterms:W3CDTF">2023-01-03T12:56:23Z</dcterms:modified>
</cp:coreProperties>
</file>