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Objects="placeholders" codeName="ThisWorkbook"/>
  <bookViews>
    <workbookView xWindow="0" yWindow="120" windowWidth="15600" windowHeight="8220" tabRatio="955" activeTab="11"/>
  </bookViews>
  <sheets>
    <sheet name="Schedule VI" sheetId="73" r:id="rId1"/>
    <sheet name="Addition during the year" sheetId="88" r:id="rId2"/>
    <sheet name="D-LAND" sheetId="80" r:id="rId3"/>
    <sheet name="D-LEASE HOLD RIGHT" sheetId="81" r:id="rId4"/>
    <sheet name="D-BUILDING" sheetId="82" r:id="rId5"/>
    <sheet name="D-MACHINERY" sheetId="83" r:id="rId6"/>
    <sheet name="D-ELECTRI." sheetId="84" r:id="rId7"/>
    <sheet name="D-VEHICLE" sheetId="85" r:id="rId8"/>
    <sheet name="D-FURNITURE" sheetId="86" r:id="rId9"/>
    <sheet name="D-EQUIP." sheetId="87" r:id="rId10"/>
    <sheet name="Adjustment" sheetId="92" r:id="rId11"/>
    <sheet name="Sale of FA_22-23" sheetId="91" r:id="rId12"/>
  </sheets>
  <externalReferences>
    <externalReference r:id="rId13"/>
    <externalReference r:id="rId14"/>
  </externalReferences>
  <definedNames>
    <definedName name="\c" localSheetId="10">#REF!</definedName>
    <definedName name="\c">#REF!</definedName>
    <definedName name="\m" localSheetId="10">#REF!</definedName>
    <definedName name="\m">#REF!</definedName>
    <definedName name="_xlnm._FilterDatabase" localSheetId="10" hidden="1">Adjustment!$A$3:$O$23</definedName>
    <definedName name="_xlnm._FilterDatabase" localSheetId="4" hidden="1">'D-BUILDING'!$A$6:$N$27</definedName>
    <definedName name="_xlnm._FilterDatabase" localSheetId="6" hidden="1">'D-ELECTRI.'!$A$6:$O$38</definedName>
    <definedName name="_xlnm._FilterDatabase" localSheetId="9" hidden="1">'D-EQUIP.'!$A$3:$P$136</definedName>
    <definedName name="_xlnm._FilterDatabase" localSheetId="8" hidden="1">'D-FURNITURE'!$C$4:$P$123</definedName>
    <definedName name="_xlnm._FilterDatabase" localSheetId="5" hidden="1">'D-MACHINERY'!$A$3:$P$190</definedName>
    <definedName name="_xlnm._FilterDatabase" localSheetId="7" hidden="1">'D-VEHICLE'!$A$3:$O$14</definedName>
    <definedName name="Excel_BuiltIn_Print_Area_1" localSheetId="10">#REF!</definedName>
    <definedName name="Excel_BuiltIn_Print_Area_1" localSheetId="4">#REF!</definedName>
    <definedName name="Excel_BuiltIn_Print_Area_1" localSheetId="6">#REF!</definedName>
    <definedName name="Excel_BuiltIn_Print_Area_1" localSheetId="9">#REF!</definedName>
    <definedName name="Excel_BuiltIn_Print_Area_1" localSheetId="8">#REF!</definedName>
    <definedName name="Excel_BuiltIn_Print_Area_1" localSheetId="2">#REF!</definedName>
    <definedName name="Excel_BuiltIn_Print_Area_1" localSheetId="3">#REF!</definedName>
    <definedName name="Excel_BuiltIn_Print_Area_1" localSheetId="5">#REF!</definedName>
    <definedName name="Excel_BuiltIn_Print_Area_1" localSheetId="7">#REF!</definedName>
    <definedName name="Excel_BuiltIn_Print_Area_1">#REF!</definedName>
    <definedName name="Excel_BuiltIn_Print_Area_13_1" localSheetId="10">#REF!</definedName>
    <definedName name="Excel_BuiltIn_Print_Area_13_1" localSheetId="4">#REF!</definedName>
    <definedName name="Excel_BuiltIn_Print_Area_13_1" localSheetId="6">#REF!</definedName>
    <definedName name="Excel_BuiltIn_Print_Area_13_1" localSheetId="9">#REF!</definedName>
    <definedName name="Excel_BuiltIn_Print_Area_13_1" localSheetId="8">#REF!</definedName>
    <definedName name="Excel_BuiltIn_Print_Area_13_1" localSheetId="2">#REF!</definedName>
    <definedName name="Excel_BuiltIn_Print_Area_13_1" localSheetId="3">#REF!</definedName>
    <definedName name="Excel_BuiltIn_Print_Area_13_1" localSheetId="5">#REF!</definedName>
    <definedName name="Excel_BuiltIn_Print_Area_13_1" localSheetId="7">#REF!</definedName>
    <definedName name="Excel_BuiltIn_Print_Area_13_1">#REF!</definedName>
    <definedName name="Excel_BuiltIn_Print_Area_6" localSheetId="10">#REF!</definedName>
    <definedName name="Excel_BuiltIn_Print_Area_6" localSheetId="4">#REF!</definedName>
    <definedName name="Excel_BuiltIn_Print_Area_6" localSheetId="6">#REF!</definedName>
    <definedName name="Excel_BuiltIn_Print_Area_6" localSheetId="9">#REF!</definedName>
    <definedName name="Excel_BuiltIn_Print_Area_6" localSheetId="8">#REF!</definedName>
    <definedName name="Excel_BuiltIn_Print_Area_6" localSheetId="2">#REF!</definedName>
    <definedName name="Excel_BuiltIn_Print_Area_6" localSheetId="3">#REF!</definedName>
    <definedName name="Excel_BuiltIn_Print_Area_6" localSheetId="5">#REF!</definedName>
    <definedName name="Excel_BuiltIn_Print_Area_6" localSheetId="7">#REF!</definedName>
    <definedName name="Excel_BuiltIn_Print_Area_6">#REF!</definedName>
    <definedName name="Excel_BuiltIn_Print_Area_6_1" localSheetId="10">#REF!</definedName>
    <definedName name="Excel_BuiltIn_Print_Area_6_1" localSheetId="4">#REF!</definedName>
    <definedName name="Excel_BuiltIn_Print_Area_6_1" localSheetId="6">#REF!</definedName>
    <definedName name="Excel_BuiltIn_Print_Area_6_1" localSheetId="9">#REF!</definedName>
    <definedName name="Excel_BuiltIn_Print_Area_6_1" localSheetId="8">#REF!</definedName>
    <definedName name="Excel_BuiltIn_Print_Area_6_1" localSheetId="2">#REF!</definedName>
    <definedName name="Excel_BuiltIn_Print_Area_6_1" localSheetId="3">#REF!</definedName>
    <definedName name="Excel_BuiltIn_Print_Area_6_1" localSheetId="5">#REF!</definedName>
    <definedName name="Excel_BuiltIn_Print_Area_6_1" localSheetId="7">#REF!</definedName>
    <definedName name="Excel_BuiltIn_Print_Area_6_1">#REF!</definedName>
    <definedName name="Excel_BuiltIn_Print_Area_9" localSheetId="10">#REF!</definedName>
    <definedName name="Excel_BuiltIn_Print_Area_9" localSheetId="4">#REF!</definedName>
    <definedName name="Excel_BuiltIn_Print_Area_9" localSheetId="6">#REF!</definedName>
    <definedName name="Excel_BuiltIn_Print_Area_9" localSheetId="9">#REF!</definedName>
    <definedName name="Excel_BuiltIn_Print_Area_9" localSheetId="8">#REF!</definedName>
    <definedName name="Excel_BuiltIn_Print_Area_9" localSheetId="2">#REF!</definedName>
    <definedName name="Excel_BuiltIn_Print_Area_9" localSheetId="3">#REF!</definedName>
    <definedName name="Excel_BuiltIn_Print_Area_9" localSheetId="5">#REF!</definedName>
    <definedName name="Excel_BuiltIn_Print_Area_9" localSheetId="7">#REF!</definedName>
    <definedName name="Excel_BuiltIn_Print_Area_9">#REF!</definedName>
    <definedName name="Excel_BuiltIn_Print_Titles_1" localSheetId="10">#REF!</definedName>
    <definedName name="Excel_BuiltIn_Print_Titles_1" localSheetId="4">#REF!</definedName>
    <definedName name="Excel_BuiltIn_Print_Titles_1" localSheetId="6">#REF!</definedName>
    <definedName name="Excel_BuiltIn_Print_Titles_1" localSheetId="9">#REF!</definedName>
    <definedName name="Excel_BuiltIn_Print_Titles_1" localSheetId="8">#REF!</definedName>
    <definedName name="Excel_BuiltIn_Print_Titles_1" localSheetId="2">#REF!</definedName>
    <definedName name="Excel_BuiltIn_Print_Titles_1" localSheetId="3">#REF!</definedName>
    <definedName name="Excel_BuiltIn_Print_Titles_1" localSheetId="5">#REF!</definedName>
    <definedName name="Excel_BuiltIn_Print_Titles_1" localSheetId="7">#REF!</definedName>
    <definedName name="Excel_BuiltIn_Print_Titles_1" localSheetId="0">#REF!</definedName>
    <definedName name="Excel_BuiltIn_Print_Titles_1">#REF!</definedName>
    <definedName name="Excel_BuiltIn_Print_Titles_2_1" localSheetId="10">#REF!</definedName>
    <definedName name="Excel_BuiltIn_Print_Titles_2_1" localSheetId="4">#REF!</definedName>
    <definedName name="Excel_BuiltIn_Print_Titles_2_1" localSheetId="6">#REF!</definedName>
    <definedName name="Excel_BuiltIn_Print_Titles_2_1" localSheetId="9">#REF!</definedName>
    <definedName name="Excel_BuiltIn_Print_Titles_2_1" localSheetId="8">#REF!</definedName>
    <definedName name="Excel_BuiltIn_Print_Titles_2_1" localSheetId="2">#REF!</definedName>
    <definedName name="Excel_BuiltIn_Print_Titles_2_1" localSheetId="3">#REF!</definedName>
    <definedName name="Excel_BuiltIn_Print_Titles_2_1" localSheetId="5">#REF!</definedName>
    <definedName name="Excel_BuiltIn_Print_Titles_2_1" localSheetId="7">#REF!</definedName>
    <definedName name="Excel_BuiltIn_Print_Titles_2_1" localSheetId="0">#REF!</definedName>
    <definedName name="Excel_BuiltIn_Print_Titles_2_1">#REF!</definedName>
    <definedName name="notes" localSheetId="10">#REF!</definedName>
    <definedName name="notes" localSheetId="4">#REF!</definedName>
    <definedName name="notes" localSheetId="6">#REF!</definedName>
    <definedName name="notes" localSheetId="9">#REF!</definedName>
    <definedName name="notes" localSheetId="8">#REF!</definedName>
    <definedName name="notes" localSheetId="2">#REF!</definedName>
    <definedName name="notes" localSheetId="3">#REF!</definedName>
    <definedName name="notes" localSheetId="5">#REF!</definedName>
    <definedName name="notes" localSheetId="7">#REF!</definedName>
    <definedName name="notes" localSheetId="0">#REF!</definedName>
    <definedName name="notes">#REF!</definedName>
    <definedName name="_xlnm.Print_Area" localSheetId="1">'Addition during the year'!$A$1:$M$23</definedName>
    <definedName name="_xlnm.Print_Area" localSheetId="10">Adjustment!$A$1:$O$147</definedName>
    <definedName name="_xlnm.Print_Area" localSheetId="4">'D-BUILDING'!$A$1:$N$45</definedName>
    <definedName name="_xlnm.Print_Area" localSheetId="6">'D-ELECTRI.'!$A$5:$O$38</definedName>
    <definedName name="_xlnm.Print_Area" localSheetId="9">'D-EQUIP.'!$A$1:$O$137</definedName>
    <definedName name="_xlnm.Print_Area" localSheetId="8">'D-FURNITURE'!$A$1:$P$124</definedName>
    <definedName name="_xlnm.Print_Area" localSheetId="2">#REF!</definedName>
    <definedName name="_xlnm.Print_Area" localSheetId="3">#REF!</definedName>
    <definedName name="_xlnm.Print_Area" localSheetId="5">'D-MACHINERY'!$A$1:$O$193</definedName>
    <definedName name="_xlnm.Print_Area" localSheetId="11">'Sale of FA_22-23'!$A$1:$H$21</definedName>
    <definedName name="_xlnm.Print_Area" localSheetId="0">'Schedule VI'!$A$1:$K$22</definedName>
    <definedName name="_xlnm.Print_Area">#REF!</definedName>
    <definedName name="_xlnm.Print_Titles" localSheetId="9">'D-EQUIP.'!$2:$4</definedName>
    <definedName name="_xlnm.Print_Titles" localSheetId="8">'D-FURNITURE'!$4:$5</definedName>
    <definedName name="_xlnm.Print_Titles" localSheetId="5">'D-MACHINERY'!$2:$3</definedName>
    <definedName name="Z_454C5E0C_A4B8_11D8_8400_0050BACD4A5B_.wvu.Cols" localSheetId="4" hidden="1">'D-BUILDING'!#REF!,'D-BUILDING'!#REF!,'D-BUILDING'!#REF!,'D-BUILDING'!#REF!</definedName>
    <definedName name="Z_454C5E0C_A4B8_11D8_8400_0050BACD4A5B_.wvu.Cols" localSheetId="6" hidden="1">'D-ELECTRI.'!#REF!,'D-ELECTRI.'!#REF!,'D-ELECTRI.'!#REF!,'D-ELECTRI.'!#REF!</definedName>
    <definedName name="Z_454C5E0C_A4B8_11D8_8400_0050BACD4A5B_.wvu.Cols" localSheetId="9" hidden="1">'D-EQUIP.'!#REF!,'D-EQUIP.'!#REF!,'D-EQUIP.'!#REF!,'D-EQUIP.'!#REF!,'D-EQUIP.'!#REF!</definedName>
    <definedName name="Z_454C5E0C_A4B8_11D8_8400_0050BACD4A5B_.wvu.Cols" localSheetId="8" hidden="1">'D-FURNITURE'!$B:$B,'D-FURNITURE'!#REF!,'D-FURNITURE'!#REF!,'D-FURNITURE'!#REF!,'D-FURNITURE'!#REF!,'D-FURNITURE'!#REF!</definedName>
    <definedName name="Z_454C5E0C_A4B8_11D8_8400_0050BACD4A5B_.wvu.Cols" localSheetId="5" hidden="1">'D-MACHINERY'!#REF!,'D-MACHINERY'!#REF!,'D-MACHINERY'!#REF!,'D-MACHINERY'!#REF!,'D-MACHINERY'!#REF!</definedName>
    <definedName name="Z_454C5E0C_A4B8_11D8_8400_0050BACD4A5B_.wvu.Cols" localSheetId="7" hidden="1">'D-VEHICLE'!#REF!,'D-VEHICLE'!#REF!,'D-VEHICLE'!#REF!,'D-VEHICLE'!#REF!</definedName>
    <definedName name="Z_454C5E0C_A4B8_11D8_8400_0050BACD4A5B_.wvu.FilterData" localSheetId="9" hidden="1">'D-EQUIP.'!#REF!</definedName>
    <definedName name="Z_454C5E0C_A4B8_11D8_8400_0050BACD4A5B_.wvu.FilterData" localSheetId="8" hidden="1">'D-FURNITURE'!#REF!</definedName>
    <definedName name="Z_454C5E0C_A4B8_11D8_8400_0050BACD4A5B_.wvu.FilterData" localSheetId="5" hidden="1">'D-MACHINERY'!#REF!</definedName>
    <definedName name="Z_454C5E0C_A4B8_11D8_8400_0050BACD4A5B_.wvu.PrintTitles" localSheetId="9" hidden="1">'D-EQUIP.'!$2:$4</definedName>
    <definedName name="Z_454C5E0C_A4B8_11D8_8400_0050BACD4A5B_.wvu.PrintTitles" localSheetId="8" hidden="1">'D-FURNITURE'!$4:$5</definedName>
    <definedName name="Z_454C5E0C_A4B8_11D8_8400_0050BACD4A5B_.wvu.PrintTitles" localSheetId="5" hidden="1">'D-MACHINERY'!$2:$3</definedName>
    <definedName name="Z_454C5E0C_A4B8_11D8_8400_0050BACD4A5B_.wvu.Rows" localSheetId="7" hidden="1">'D-VEHICLE'!#REF!</definedName>
    <definedName name="Z_454C5E0F_A4B8_11D8_8400_0050BACD4A5B_.wvu.FilterData" localSheetId="5" hidden="1">'D-MACHINERY'!#REF!</definedName>
    <definedName name="Z_454C5E17_A4B8_11D8_8400_0050BACD4A5B_.wvu.FilterData" localSheetId="5" hidden="1">'D-MACHINERY'!#REF!</definedName>
    <definedName name="Z_8D58C3DC_50E5_4E15_B580_DDC522CC5D9E_.wvu.Cols" localSheetId="6" hidden="1">'D-ELECTRI.'!$A:$A,'D-ELECTRI.'!#REF!,'D-ELECTRI.'!#REF!,'D-ELECTRI.'!#REF!,'D-ELECTRI.'!#REF!</definedName>
    <definedName name="Z_8D58C3DC_50E5_4E15_B580_DDC522CC5D9E_.wvu.Cols" localSheetId="9" hidden="1">'D-EQUIP.'!#REF!,'D-EQUIP.'!#REF!,'D-EQUIP.'!#REF!,'D-EQUIP.'!#REF!</definedName>
    <definedName name="Z_8D58C3DC_50E5_4E15_B580_DDC522CC5D9E_.wvu.Cols" localSheetId="8" hidden="1">'D-FURNITURE'!$B:$B</definedName>
    <definedName name="Z_8D58C3DC_50E5_4E15_B580_DDC522CC5D9E_.wvu.Cols" localSheetId="5" hidden="1">'D-MACHINERY'!$A:$A,'D-MACHINERY'!#REF!,'D-MACHINERY'!#REF!,'D-MACHINERY'!#REF!,'D-MACHINERY'!#REF!</definedName>
    <definedName name="Z_8D58C3DC_50E5_4E15_B580_DDC522CC5D9E_.wvu.Cols" localSheetId="7" hidden="1">'D-VEHICLE'!$A:$A,'D-VEHICLE'!#REF!</definedName>
    <definedName name="Z_8D58C3DC_50E5_4E15_B580_DDC522CC5D9E_.wvu.FilterData" localSheetId="9" hidden="1">'D-EQUIP.'!#REF!</definedName>
    <definedName name="Z_8D58C3DC_50E5_4E15_B580_DDC522CC5D9E_.wvu.FilterData" localSheetId="8" hidden="1">'D-FURNITURE'!#REF!</definedName>
    <definedName name="Z_8D58C3DC_50E5_4E15_B580_DDC522CC5D9E_.wvu.FilterData" localSheetId="5" hidden="1">'D-MACHINERY'!#REF!</definedName>
    <definedName name="Z_8D58C3DC_50E5_4E15_B580_DDC522CC5D9E_.wvu.PrintTitles" localSheetId="9" hidden="1">'D-EQUIP.'!$2:$4</definedName>
    <definedName name="Z_8D58C3DC_50E5_4E15_B580_DDC522CC5D9E_.wvu.PrintTitles" localSheetId="8" hidden="1">'D-FURNITURE'!$4:$5</definedName>
    <definedName name="Z_8D58C3DC_50E5_4E15_B580_DDC522CC5D9E_.wvu.PrintTitles" localSheetId="5" hidden="1">'D-MACHINERY'!$2:$3</definedName>
    <definedName name="Z_8D58C3DC_50E5_4E15_B580_DDC522CC5D9E_.wvu.Rows" localSheetId="7" hidden="1">'D-VEHICLE'!#REF!</definedName>
    <definedName name="Z_A62896C4_A50F_11D8_8315_000244355623_.wvu.Cols" localSheetId="6" hidden="1">'D-ELECTRI.'!#REF!,'D-ELECTRI.'!#REF!,'D-ELECTRI.'!#REF!,'D-ELECTRI.'!#REF!,'D-ELECTRI.'!#REF!</definedName>
    <definedName name="Z_A62896C4_A50F_11D8_8315_000244355623_.wvu.Cols" localSheetId="9" hidden="1">'D-EQUIP.'!#REF!,'D-EQUIP.'!#REF!,'D-EQUIP.'!#REF!,'D-EQUIP.'!#REF!,'D-EQUIP.'!#REF!</definedName>
    <definedName name="Z_A62896C4_A50F_11D8_8315_000244355623_.wvu.Cols" localSheetId="7" hidden="1">'D-VEHICLE'!#REF!,'D-VEHICLE'!#REF!,'D-VEHICLE'!#REF!</definedName>
    <definedName name="Z_A62896C4_A50F_11D8_8315_000244355623_.wvu.FilterData" localSheetId="9" hidden="1">'D-EQUIP.'!#REF!</definedName>
    <definedName name="Z_A62896C4_A50F_11D8_8315_000244355623_.wvu.FilterData" localSheetId="8" hidden="1">'D-FURNITURE'!#REF!</definedName>
    <definedName name="Z_A62896C4_A50F_11D8_8315_000244355623_.wvu.PrintTitles" localSheetId="9" hidden="1">'D-EQUIP.'!$2:$4</definedName>
    <definedName name="Z_A62896C4_A50F_11D8_8315_000244355623_.wvu.Rows" localSheetId="7" hidden="1">'D-VEHICLE'!#REF!</definedName>
    <definedName name="Z_C4E722A1_C07C_11D9_A667_000021FA30F4_.wvu.Cols" localSheetId="4" hidden="1">'D-BUILDING'!#REF!</definedName>
    <definedName name="Z_C4E722A1_C07C_11D9_A667_000021FA30F4_.wvu.Cols" localSheetId="9" hidden="1">'D-EQUIP.'!#REF!</definedName>
    <definedName name="Z_C4E722A1_C07C_11D9_A667_000021FA30F4_.wvu.Cols" localSheetId="8" hidden="1">'D-FURNITURE'!$B:$B,'D-FURNITURE'!#REF!</definedName>
    <definedName name="Z_C4E722A1_C07C_11D9_A667_000021FA30F4_.wvu.Cols" localSheetId="7" hidden="1">'D-VEHICLE'!$A:$A</definedName>
    <definedName name="Z_C4E722A1_C07C_11D9_A667_000021FA30F4_.wvu.FilterData" localSheetId="8" hidden="1">'D-FURNITURE'!#REF!</definedName>
    <definedName name="Z_C4E722A1_C07C_11D9_A667_000021FA30F4_.wvu.FilterData" localSheetId="5" hidden="1">'D-MACHINERY'!#REF!</definedName>
    <definedName name="Z_C4E722A1_C07C_11D9_A667_000021FA30F4_.wvu.PrintTitles" localSheetId="9" hidden="1">'D-EQUIP.'!$2:$4</definedName>
    <definedName name="Z_C4E722A1_C07C_11D9_A667_000021FA30F4_.wvu.PrintTitles" localSheetId="8" hidden="1">'D-FURNITURE'!$4:$5</definedName>
    <definedName name="Z_C4E722A1_C07C_11D9_A667_000021FA30F4_.wvu.PrintTitles" localSheetId="5" hidden="1">'D-MACHINERY'!$2:$3</definedName>
    <definedName name="Z_C4E722A1_C07C_11D9_A667_000021FA30F4_.wvu.Rows" localSheetId="7" hidden="1">'D-VEHICLE'!#REF!</definedName>
    <definedName name="Z_D39D289C_ADB0_4F46_BCF3_59C90094F8AE_.wvu.Cols" localSheetId="9" hidden="1">'D-EQUIP.'!#REF!,'D-EQUIP.'!#REF!</definedName>
    <definedName name="Z_D39D289C_ADB0_4F46_BCF3_59C90094F8AE_.wvu.Cols" localSheetId="8" hidden="1">'D-FURNITURE'!$B:$B,'D-FURNITURE'!#REF!,'D-FURNITURE'!#REF!,'D-FURNITURE'!#REF!,'D-FURNITURE'!#REF!</definedName>
    <definedName name="Z_D39D289C_ADB0_4F46_BCF3_59C90094F8AE_.wvu.Cols" localSheetId="7" hidden="1">'D-VEHICLE'!$A:$A,'D-VEHICLE'!#REF!</definedName>
    <definedName name="Z_D39D289C_ADB0_4F46_BCF3_59C90094F8AE_.wvu.FilterData" localSheetId="9" hidden="1">'D-EQUIP.'!#REF!</definedName>
    <definedName name="Z_D39D289C_ADB0_4F46_BCF3_59C90094F8AE_.wvu.FilterData" localSheetId="8" hidden="1">'D-FURNITURE'!#REF!</definedName>
    <definedName name="Z_D39D289C_ADB0_4F46_BCF3_59C90094F8AE_.wvu.FilterData" localSheetId="5" hidden="1">'D-MACHINERY'!#REF!</definedName>
    <definedName name="Z_D39D289C_ADB0_4F46_BCF3_59C90094F8AE_.wvu.PrintTitles" localSheetId="9" hidden="1">'D-EQUIP.'!$2:$4</definedName>
    <definedName name="Z_D39D289C_ADB0_4F46_BCF3_59C90094F8AE_.wvu.PrintTitles" localSheetId="8" hidden="1">'D-FURNITURE'!$4:$5</definedName>
    <definedName name="Z_D39D289C_ADB0_4F46_BCF3_59C90094F8AE_.wvu.PrintTitles" localSheetId="5" hidden="1">'D-MACHINERY'!$2:$3</definedName>
    <definedName name="Z_D39D289C_ADB0_4F46_BCF3_59C90094F8AE_.wvu.Rows" localSheetId="7" hidden="1">'D-VEHICLE'!#REF!</definedName>
  </definedNames>
  <calcPr calcId="144525" calcOnSave="0"/>
  <fileRecoveryPr autoRecover="0"/>
</workbook>
</file>

<file path=xl/calcChain.xml><?xml version="1.0" encoding="utf-8"?>
<calcChain xmlns="http://schemas.openxmlformats.org/spreadsheetml/2006/main">
  <c r="G20" i="91" l="1"/>
  <c r="G19" i="91"/>
  <c r="C144" i="92"/>
  <c r="H19" i="73" l="1"/>
  <c r="D19" i="73"/>
  <c r="H13" i="73"/>
  <c r="D13" i="73"/>
  <c r="H12" i="73"/>
  <c r="D12" i="73"/>
  <c r="H10" i="73"/>
  <c r="D10" i="73"/>
  <c r="C145" i="92" l="1"/>
  <c r="N138" i="92"/>
  <c r="I138" i="92"/>
  <c r="H138" i="92"/>
  <c r="G138" i="92"/>
  <c r="E138" i="92"/>
  <c r="C138" i="92"/>
  <c r="N59" i="92"/>
  <c r="I59" i="92"/>
  <c r="H59" i="92"/>
  <c r="G59" i="92"/>
  <c r="E59" i="92"/>
  <c r="C59" i="92"/>
  <c r="N37" i="92"/>
  <c r="I37" i="92"/>
  <c r="H37" i="92"/>
  <c r="G37" i="92"/>
  <c r="C37" i="92"/>
  <c r="N22" i="92"/>
  <c r="I22" i="92"/>
  <c r="I140" i="92" s="1"/>
  <c r="H11" i="92"/>
  <c r="H22" i="92" s="1"/>
  <c r="G11" i="92"/>
  <c r="G22" i="92" s="1"/>
  <c r="E11" i="92"/>
  <c r="E22" i="92" s="1"/>
  <c r="C11" i="92"/>
  <c r="C22" i="92" s="1"/>
  <c r="C29" i="83"/>
  <c r="E29" i="83"/>
  <c r="E28" i="83"/>
  <c r="C28" i="83"/>
  <c r="K29" i="83"/>
  <c r="L29" i="83" s="1"/>
  <c r="M29" i="83" s="1"/>
  <c r="H29" i="83"/>
  <c r="I29" i="83" s="1"/>
  <c r="N140" i="92" l="1"/>
  <c r="H9" i="73"/>
  <c r="D9" i="73"/>
  <c r="C140" i="92"/>
  <c r="G140" i="92"/>
  <c r="H140" i="92"/>
  <c r="N29" i="83"/>
  <c r="G29" i="83" s="1"/>
  <c r="C143" i="92" l="1"/>
  <c r="C146" i="92" s="1"/>
  <c r="D147" i="92" s="1"/>
  <c r="M18" i="82" l="1"/>
  <c r="N18" i="82" s="1"/>
  <c r="A58" i="87" l="1"/>
  <c r="A60" i="87"/>
  <c r="A62" i="87"/>
  <c r="A64" i="87"/>
  <c r="A66" i="87"/>
  <c r="A68" i="87"/>
  <c r="A70" i="87"/>
  <c r="A72" i="87"/>
  <c r="A74" i="87"/>
  <c r="A76" i="87"/>
  <c r="A78" i="87"/>
  <c r="A80" i="87"/>
  <c r="A82" i="87"/>
  <c r="A84" i="87"/>
  <c r="A86" i="87"/>
  <c r="A88" i="87"/>
  <c r="A90" i="87"/>
  <c r="A92" i="87"/>
  <c r="A94" i="87"/>
  <c r="A96" i="87"/>
  <c r="A98" i="87"/>
  <c r="A100" i="87"/>
  <c r="A102" i="87"/>
  <c r="A104" i="87"/>
  <c r="A106" i="87"/>
  <c r="A108" i="87"/>
  <c r="A110" i="87"/>
  <c r="A112" i="87"/>
  <c r="A114" i="87"/>
  <c r="A116" i="87"/>
  <c r="A118" i="87"/>
  <c r="A120" i="87"/>
  <c r="A122" i="87"/>
  <c r="A124" i="87"/>
  <c r="A126" i="87"/>
  <c r="A128" i="87"/>
  <c r="A130" i="87"/>
  <c r="A132" i="87"/>
  <c r="A134" i="87"/>
  <c r="A56" i="87"/>
  <c r="A6" i="87"/>
  <c r="A7" i="87" s="1"/>
  <c r="A8" i="87" s="1"/>
  <c r="A9" i="87" s="1"/>
  <c r="A10" i="87" s="1"/>
  <c r="A11" i="87" s="1"/>
  <c r="A12" i="87" s="1"/>
  <c r="A13" i="87" s="1"/>
  <c r="A14" i="87" s="1"/>
  <c r="A15" i="87" s="1"/>
  <c r="A16" i="87" s="1"/>
  <c r="A17" i="87" s="1"/>
  <c r="A18" i="87" s="1"/>
  <c r="A19" i="87" s="1"/>
  <c r="A20" i="87" s="1"/>
  <c r="A21" i="87" s="1"/>
  <c r="A22" i="87" s="1"/>
  <c r="A23" i="87" s="1"/>
  <c r="A24" i="87" s="1"/>
  <c r="A25" i="87" s="1"/>
  <c r="A26" i="87" s="1"/>
  <c r="A27" i="87" s="1"/>
  <c r="A28" i="87" s="1"/>
  <c r="A29" i="87" s="1"/>
  <c r="A30" i="87" s="1"/>
  <c r="A31" i="87" s="1"/>
  <c r="A32" i="87" s="1"/>
  <c r="A33" i="87" s="1"/>
  <c r="A34" i="87" s="1"/>
  <c r="A35" i="87" s="1"/>
  <c r="A36" i="87" s="1"/>
  <c r="A37" i="87" s="1"/>
  <c r="A38" i="87" s="1"/>
  <c r="A39" i="87" s="1"/>
  <c r="A40" i="87" s="1"/>
  <c r="A41" i="87" s="1"/>
  <c r="A42" i="87" s="1"/>
  <c r="A43" i="87" s="1"/>
  <c r="A44" i="87" s="1"/>
  <c r="A45" i="87" s="1"/>
  <c r="A46" i="87" s="1"/>
  <c r="A47" i="87" s="1"/>
  <c r="A48" i="87" s="1"/>
  <c r="A49" i="87" s="1"/>
  <c r="A50" i="87" s="1"/>
  <c r="G145" i="87"/>
  <c r="G144" i="87"/>
  <c r="G143" i="87"/>
  <c r="G18" i="91" l="1"/>
  <c r="F9" i="91"/>
  <c r="F14" i="91" s="1"/>
  <c r="E9" i="91"/>
  <c r="C9" i="91"/>
  <c r="G8" i="91"/>
  <c r="G7" i="91"/>
  <c r="G6" i="91"/>
  <c r="G5" i="91"/>
  <c r="G4" i="91"/>
  <c r="G29" i="91" l="1"/>
  <c r="G15" i="91"/>
  <c r="G9" i="91"/>
  <c r="F27" i="91"/>
  <c r="F28" i="91" l="1"/>
  <c r="G30" i="91" s="1"/>
  <c r="F13" i="91"/>
  <c r="F124" i="86" l="1"/>
  <c r="D124" i="86"/>
  <c r="C193" i="83" l="1"/>
  <c r="F193" i="83"/>
  <c r="E193" i="83"/>
  <c r="D5" i="88" l="1"/>
  <c r="E15" i="73"/>
  <c r="B14" i="73"/>
  <c r="O148" i="87"/>
  <c r="K135" i="87"/>
  <c r="K134" i="87"/>
  <c r="F136" i="87"/>
  <c r="F138" i="87" s="1"/>
  <c r="E136" i="87"/>
  <c r="H135" i="87"/>
  <c r="E37" i="84"/>
  <c r="F37" i="84"/>
  <c r="H35" i="84" l="1"/>
  <c r="K36" i="84"/>
  <c r="L36" i="84" s="1"/>
  <c r="K35" i="84"/>
  <c r="H36" i="84"/>
  <c r="I36" i="84" s="1"/>
  <c r="C37" i="84"/>
  <c r="K15" i="82"/>
  <c r="M36" i="84" l="1"/>
  <c r="N36" i="84" s="1"/>
  <c r="G36" i="84" s="1"/>
  <c r="H19" i="88"/>
  <c r="F19" i="88"/>
  <c r="E19" i="88"/>
  <c r="I18" i="88"/>
  <c r="I17" i="88"/>
  <c r="I16" i="88"/>
  <c r="D19" i="88"/>
  <c r="J95" i="86" l="1"/>
  <c r="N135" i="83"/>
  <c r="I91" i="83"/>
  <c r="I50" i="83"/>
  <c r="I25" i="83"/>
  <c r="I24" i="83"/>
  <c r="I23" i="83"/>
  <c r="I22" i="83"/>
  <c r="I16" i="83"/>
  <c r="I15" i="83"/>
  <c r="I14" i="83"/>
  <c r="I13" i="83"/>
  <c r="I12" i="83"/>
  <c r="I11" i="83"/>
  <c r="I10" i="83"/>
  <c r="I9" i="83"/>
  <c r="I8" i="83"/>
  <c r="I7" i="83"/>
  <c r="I6" i="83"/>
  <c r="H129" i="87" l="1"/>
  <c r="H77" i="87"/>
  <c r="H110" i="87"/>
  <c r="H93" i="87"/>
  <c r="H85" i="87"/>
  <c r="H134" i="87"/>
  <c r="H133" i="87"/>
  <c r="H132" i="87"/>
  <c r="H131" i="87"/>
  <c r="H130" i="87"/>
  <c r="H127" i="87"/>
  <c r="H126" i="87"/>
  <c r="H125" i="87"/>
  <c r="H124" i="87"/>
  <c r="H123" i="87"/>
  <c r="H122" i="87"/>
  <c r="H121" i="87"/>
  <c r="H120" i="87"/>
  <c r="H119" i="87"/>
  <c r="H118" i="87"/>
  <c r="H117" i="87"/>
  <c r="H116" i="87"/>
  <c r="H115" i="87"/>
  <c r="H114" i="87"/>
  <c r="H113" i="87"/>
  <c r="H112" i="87"/>
  <c r="H111" i="87"/>
  <c r="H109" i="87"/>
  <c r="H108" i="87"/>
  <c r="H107" i="87"/>
  <c r="H106" i="87"/>
  <c r="H105" i="87"/>
  <c r="H104" i="87"/>
  <c r="H103" i="87"/>
  <c r="H102" i="87"/>
  <c r="H101" i="87"/>
  <c r="H100" i="87"/>
  <c r="H99" i="87"/>
  <c r="H98" i="87"/>
  <c r="H97" i="87"/>
  <c r="H96" i="87"/>
  <c r="H95" i="87"/>
  <c r="H94" i="87"/>
  <c r="H92" i="87"/>
  <c r="H91" i="87"/>
  <c r="H90" i="87"/>
  <c r="H89" i="87"/>
  <c r="H88" i="87"/>
  <c r="H87" i="87"/>
  <c r="H86" i="87"/>
  <c r="H84" i="87"/>
  <c r="H83" i="87"/>
  <c r="H82" i="87"/>
  <c r="H81" i="87"/>
  <c r="H80" i="87"/>
  <c r="H79" i="87"/>
  <c r="H78" i="87"/>
  <c r="H76" i="87"/>
  <c r="H75" i="87"/>
  <c r="H74" i="87"/>
  <c r="H73" i="87"/>
  <c r="H72" i="87"/>
  <c r="H71" i="87"/>
  <c r="H70" i="87"/>
  <c r="H69" i="87"/>
  <c r="H68" i="87"/>
  <c r="H67" i="87"/>
  <c r="H66" i="87"/>
  <c r="H65" i="87"/>
  <c r="H64" i="87"/>
  <c r="H63" i="87"/>
  <c r="H62" i="87"/>
  <c r="H61" i="87"/>
  <c r="H60" i="87"/>
  <c r="H59" i="87"/>
  <c r="H58" i="87"/>
  <c r="H57" i="87"/>
  <c r="H56" i="87"/>
  <c r="H55" i="87"/>
  <c r="H12" i="87"/>
  <c r="H11" i="87"/>
  <c r="H10" i="87"/>
  <c r="H9" i="87"/>
  <c r="H6" i="87"/>
  <c r="H50" i="87"/>
  <c r="H47" i="87"/>
  <c r="H46" i="87"/>
  <c r="H45" i="87"/>
  <c r="H44" i="87"/>
  <c r="H43" i="87"/>
  <c r="H42" i="87"/>
  <c r="H41" i="87"/>
  <c r="H40" i="87"/>
  <c r="H39" i="87"/>
  <c r="H38" i="87"/>
  <c r="H37" i="87"/>
  <c r="H36" i="87"/>
  <c r="H35" i="87"/>
  <c r="H34" i="87"/>
  <c r="H33" i="87"/>
  <c r="H32" i="87"/>
  <c r="H31" i="87"/>
  <c r="H30" i="87"/>
  <c r="H29" i="87"/>
  <c r="H28" i="87"/>
  <c r="H27" i="87"/>
  <c r="H26" i="87"/>
  <c r="H25" i="87"/>
  <c r="H24" i="87"/>
  <c r="H23" i="87"/>
  <c r="H22" i="87"/>
  <c r="H21" i="87"/>
  <c r="H20" i="87"/>
  <c r="H19" i="87"/>
  <c r="H18" i="87"/>
  <c r="H17" i="87"/>
  <c r="H16" i="87"/>
  <c r="H15" i="87"/>
  <c r="H14" i="87"/>
  <c r="H13" i="87"/>
  <c r="H8" i="87"/>
  <c r="H7" i="87"/>
  <c r="H5" i="87"/>
  <c r="I96" i="86"/>
  <c r="I97" i="86"/>
  <c r="I98" i="86"/>
  <c r="I99" i="86"/>
  <c r="I100" i="86"/>
  <c r="I101" i="86"/>
  <c r="I102" i="86"/>
  <c r="I103" i="86"/>
  <c r="I104" i="86"/>
  <c r="I95" i="86"/>
  <c r="I121" i="86"/>
  <c r="I33" i="86"/>
  <c r="I25" i="86"/>
  <c r="I23" i="86"/>
  <c r="I21" i="86"/>
  <c r="I120" i="86"/>
  <c r="I118" i="86"/>
  <c r="I117" i="86"/>
  <c r="I116" i="86"/>
  <c r="I115" i="86"/>
  <c r="I114" i="86"/>
  <c r="I113" i="86"/>
  <c r="I112" i="86"/>
  <c r="I111" i="86"/>
  <c r="I110" i="86"/>
  <c r="I109" i="86"/>
  <c r="I108" i="86"/>
  <c r="I107" i="86"/>
  <c r="I106" i="86"/>
  <c r="I105" i="86"/>
  <c r="I94" i="86"/>
  <c r="I93" i="86"/>
  <c r="I92" i="86"/>
  <c r="I91" i="86"/>
  <c r="I90" i="86"/>
  <c r="I89" i="86"/>
  <c r="I88" i="86"/>
  <c r="I87" i="86"/>
  <c r="I86" i="86"/>
  <c r="I85" i="86"/>
  <c r="I84" i="86"/>
  <c r="I83" i="86"/>
  <c r="I82" i="86"/>
  <c r="I81" i="86"/>
  <c r="I80" i="86"/>
  <c r="I79" i="86"/>
  <c r="I78" i="86"/>
  <c r="I77" i="86"/>
  <c r="I76" i="86"/>
  <c r="I75" i="86"/>
  <c r="I74" i="86"/>
  <c r="I73" i="86"/>
  <c r="I72" i="86"/>
  <c r="I71" i="86"/>
  <c r="I70" i="86"/>
  <c r="I69" i="86"/>
  <c r="I68" i="86"/>
  <c r="I67" i="86"/>
  <c r="I66" i="86"/>
  <c r="I65" i="86"/>
  <c r="I64" i="86"/>
  <c r="I63" i="86"/>
  <c r="I62" i="86"/>
  <c r="I61" i="86"/>
  <c r="I60" i="86"/>
  <c r="I59" i="86"/>
  <c r="I58" i="86"/>
  <c r="I57" i="86"/>
  <c r="I56" i="86"/>
  <c r="I55" i="86"/>
  <c r="I54" i="86"/>
  <c r="I53" i="86"/>
  <c r="I52" i="86"/>
  <c r="I51" i="86"/>
  <c r="I50" i="86"/>
  <c r="I49" i="86"/>
  <c r="I48" i="86"/>
  <c r="I47" i="86"/>
  <c r="I46" i="86"/>
  <c r="I45" i="86"/>
  <c r="I44" i="86"/>
  <c r="I43" i="86"/>
  <c r="I42" i="86"/>
  <c r="I41" i="86"/>
  <c r="I40" i="86"/>
  <c r="I39" i="86"/>
  <c r="I38" i="86"/>
  <c r="I37" i="86"/>
  <c r="I36" i="86"/>
  <c r="I35" i="86"/>
  <c r="I34" i="86"/>
  <c r="I32" i="86"/>
  <c r="I31" i="86"/>
  <c r="I30" i="86"/>
  <c r="I29" i="86"/>
  <c r="I28" i="86"/>
  <c r="I27" i="86"/>
  <c r="I26" i="86"/>
  <c r="I24" i="86"/>
  <c r="I22" i="86"/>
  <c r="I18" i="86"/>
  <c r="I13" i="86"/>
  <c r="I12" i="86"/>
  <c r="I11" i="86"/>
  <c r="I10" i="86"/>
  <c r="I9" i="86"/>
  <c r="I7" i="86"/>
  <c r="H14" i="85"/>
  <c r="H15" i="85" s="1"/>
  <c r="I35" i="84"/>
  <c r="H34" i="84"/>
  <c r="H33" i="84"/>
  <c r="H32" i="84"/>
  <c r="H31" i="84"/>
  <c r="H30" i="84"/>
  <c r="H29" i="84"/>
  <c r="H28" i="84"/>
  <c r="H27" i="84"/>
  <c r="H26" i="84"/>
  <c r="H25" i="84"/>
  <c r="H24" i="84"/>
  <c r="H23" i="84"/>
  <c r="H22" i="84"/>
  <c r="H21" i="84"/>
  <c r="H20" i="84"/>
  <c r="H19" i="84"/>
  <c r="H18" i="84"/>
  <c r="H17" i="84"/>
  <c r="H16" i="84"/>
  <c r="H15" i="84"/>
  <c r="H14" i="84"/>
  <c r="H13" i="84"/>
  <c r="H12" i="84"/>
  <c r="H11" i="84"/>
  <c r="H10" i="84"/>
  <c r="H190" i="83"/>
  <c r="H189" i="83"/>
  <c r="H185" i="83"/>
  <c r="H184" i="83"/>
  <c r="H183" i="83"/>
  <c r="H182" i="83"/>
  <c r="H180" i="83"/>
  <c r="H179" i="83"/>
  <c r="H178" i="83"/>
  <c r="H177" i="83"/>
  <c r="H176" i="83"/>
  <c r="H175" i="83"/>
  <c r="H174" i="83"/>
  <c r="H173" i="83"/>
  <c r="H172" i="83"/>
  <c r="H171" i="83"/>
  <c r="H170" i="83"/>
  <c r="H169" i="83"/>
  <c r="H168" i="83"/>
  <c r="H167" i="83"/>
  <c r="H166" i="83"/>
  <c r="H165" i="83"/>
  <c r="H164" i="83"/>
  <c r="H163" i="83"/>
  <c r="H162" i="83"/>
  <c r="H161" i="83"/>
  <c r="H160" i="83"/>
  <c r="H159" i="83"/>
  <c r="H158" i="83"/>
  <c r="H157" i="83"/>
  <c r="H156" i="83"/>
  <c r="H155" i="83"/>
  <c r="H154" i="83"/>
  <c r="H153" i="83"/>
  <c r="H152" i="83"/>
  <c r="H151" i="83"/>
  <c r="H150" i="83"/>
  <c r="H149" i="83"/>
  <c r="H148" i="83"/>
  <c r="H147" i="83"/>
  <c r="H146" i="83"/>
  <c r="H145" i="83"/>
  <c r="H144" i="83"/>
  <c r="H143" i="83"/>
  <c r="H142" i="83"/>
  <c r="H141" i="83"/>
  <c r="H140" i="83"/>
  <c r="H139" i="83"/>
  <c r="H138" i="83"/>
  <c r="H137" i="83"/>
  <c r="H136" i="83"/>
  <c r="H135" i="83"/>
  <c r="H134" i="83"/>
  <c r="H133" i="83"/>
  <c r="H132" i="83"/>
  <c r="H131" i="83"/>
  <c r="H130" i="83"/>
  <c r="H129" i="83"/>
  <c r="H128" i="83"/>
  <c r="H127" i="83"/>
  <c r="H126" i="83"/>
  <c r="H125" i="83"/>
  <c r="H124" i="83"/>
  <c r="H123" i="83"/>
  <c r="H122" i="83"/>
  <c r="H121" i="83"/>
  <c r="H120" i="83"/>
  <c r="H119" i="83"/>
  <c r="H118" i="83"/>
  <c r="H117" i="83"/>
  <c r="H116" i="83"/>
  <c r="H115" i="83"/>
  <c r="H114" i="83"/>
  <c r="H113" i="83"/>
  <c r="H112" i="83"/>
  <c r="H111" i="83"/>
  <c r="H110" i="83"/>
  <c r="H109" i="83"/>
  <c r="H108" i="83"/>
  <c r="H107" i="83"/>
  <c r="H106" i="83"/>
  <c r="H105" i="83"/>
  <c r="H104" i="83"/>
  <c r="H103" i="83"/>
  <c r="H102" i="83"/>
  <c r="H101" i="83"/>
  <c r="H100" i="83"/>
  <c r="H99" i="83"/>
  <c r="H98" i="83"/>
  <c r="H97" i="83"/>
  <c r="H96" i="83"/>
  <c r="H95" i="83"/>
  <c r="H94" i="83"/>
  <c r="H93" i="83"/>
  <c r="H92" i="83"/>
  <c r="H91" i="83"/>
  <c r="H90" i="83"/>
  <c r="H89" i="83"/>
  <c r="H88" i="83"/>
  <c r="H87" i="83"/>
  <c r="H86" i="83"/>
  <c r="H85" i="83"/>
  <c r="H84" i="83"/>
  <c r="H82" i="83"/>
  <c r="H81" i="83"/>
  <c r="H80" i="83"/>
  <c r="H79" i="83"/>
  <c r="H78" i="83"/>
  <c r="H77" i="83"/>
  <c r="H76" i="83"/>
  <c r="H75" i="83"/>
  <c r="H74" i="83"/>
  <c r="H73" i="83"/>
  <c r="H72" i="83"/>
  <c r="H71" i="83"/>
  <c r="H70" i="83"/>
  <c r="H69" i="83"/>
  <c r="H68" i="83"/>
  <c r="H67" i="83"/>
  <c r="H66" i="83"/>
  <c r="H65" i="83"/>
  <c r="H64" i="83"/>
  <c r="H63" i="83"/>
  <c r="H62" i="83"/>
  <c r="H61" i="83"/>
  <c r="H60" i="83"/>
  <c r="H59" i="83"/>
  <c r="H58" i="83"/>
  <c r="H57" i="83"/>
  <c r="H56" i="83"/>
  <c r="H55" i="83"/>
  <c r="H54" i="83"/>
  <c r="H53" i="83"/>
  <c r="H52" i="83"/>
  <c r="H51" i="83"/>
  <c r="H50" i="83"/>
  <c r="H49" i="83"/>
  <c r="H48" i="83"/>
  <c r="H47" i="83"/>
  <c r="H46" i="83"/>
  <c r="H45" i="83"/>
  <c r="H44" i="83"/>
  <c r="H43" i="83"/>
  <c r="H42" i="83"/>
  <c r="H41" i="83"/>
  <c r="H40" i="83"/>
  <c r="H39" i="83"/>
  <c r="H38" i="83"/>
  <c r="H37" i="83"/>
  <c r="H36" i="83"/>
  <c r="H35" i="83"/>
  <c r="H34" i="83"/>
  <c r="H33" i="83"/>
  <c r="H32" i="83"/>
  <c r="H31" i="83"/>
  <c r="I31" i="83" s="1"/>
  <c r="H30" i="83"/>
  <c r="I30" i="83" s="1"/>
  <c r="H28" i="83"/>
  <c r="I28" i="83" s="1"/>
  <c r="H27" i="83"/>
  <c r="H26" i="83"/>
  <c r="H25" i="83"/>
  <c r="H24" i="83"/>
  <c r="H23" i="83"/>
  <c r="H22" i="83"/>
  <c r="H21" i="83"/>
  <c r="H20" i="83"/>
  <c r="H19" i="83"/>
  <c r="H18" i="83"/>
  <c r="H17" i="83"/>
  <c r="I17" i="83" s="1"/>
  <c r="H16" i="83"/>
  <c r="H15" i="83"/>
  <c r="H14" i="83"/>
  <c r="H13" i="83"/>
  <c r="H12" i="83"/>
  <c r="H11" i="83"/>
  <c r="H10" i="83"/>
  <c r="H9" i="83"/>
  <c r="H8" i="83"/>
  <c r="H7" i="83"/>
  <c r="H6" i="83"/>
  <c r="H43" i="82"/>
  <c r="H42" i="82"/>
  <c r="H41" i="82"/>
  <c r="H40" i="82"/>
  <c r="H39" i="82"/>
  <c r="H38" i="82"/>
  <c r="H37" i="82"/>
  <c r="H36" i="82"/>
  <c r="H35" i="82"/>
  <c r="H34" i="82"/>
  <c r="H33" i="82"/>
  <c r="H32" i="82"/>
  <c r="H31" i="82"/>
  <c r="H30" i="82"/>
  <c r="H24" i="82"/>
  <c r="H23" i="82"/>
  <c r="H22" i="82"/>
  <c r="H21" i="82"/>
  <c r="H20" i="82"/>
  <c r="H19" i="82"/>
  <c r="H18" i="82"/>
  <c r="H17" i="82"/>
  <c r="H16" i="82"/>
  <c r="H15" i="82"/>
  <c r="H14" i="82"/>
  <c r="H13" i="82"/>
  <c r="H12" i="82"/>
  <c r="H11" i="82"/>
  <c r="H10" i="82"/>
  <c r="H9" i="82"/>
  <c r="H8" i="82"/>
  <c r="H6" i="81"/>
  <c r="H11" i="80"/>
  <c r="H10" i="80"/>
  <c r="H9" i="80"/>
  <c r="H8" i="80"/>
  <c r="H7" i="80"/>
  <c r="H6" i="80"/>
  <c r="G15" i="88"/>
  <c r="G19" i="88" l="1"/>
  <c r="I15" i="88"/>
  <c r="I19" i="88" s="1"/>
  <c r="F20" i="73"/>
  <c r="L190" i="83" l="1"/>
  <c r="M190" i="83" s="1"/>
  <c r="N190" i="83" s="1"/>
  <c r="I190" i="83"/>
  <c r="G190" i="83" l="1"/>
  <c r="C10" i="73"/>
  <c r="C9" i="73" l="1"/>
  <c r="L135" i="87"/>
  <c r="I135" i="87"/>
  <c r="L35" i="84"/>
  <c r="C148" i="87"/>
  <c r="K146" i="87"/>
  <c r="L146" i="87" s="1"/>
  <c r="N146" i="87" s="1"/>
  <c r="K145" i="87"/>
  <c r="L145" i="87" s="1"/>
  <c r="N145" i="87" s="1"/>
  <c r="K144" i="87"/>
  <c r="L144" i="87" s="1"/>
  <c r="N144" i="87" s="1"/>
  <c r="D143" i="87"/>
  <c r="K143" i="87" s="1"/>
  <c r="M138" i="87"/>
  <c r="L134" i="87"/>
  <c r="K133" i="87"/>
  <c r="L133" i="87" s="1"/>
  <c r="M133" i="87" s="1"/>
  <c r="I133" i="87"/>
  <c r="K132" i="87"/>
  <c r="L132" i="87" s="1"/>
  <c r="I132" i="87"/>
  <c r="K131" i="87"/>
  <c r="L131" i="87" s="1"/>
  <c r="M131" i="87" s="1"/>
  <c r="N131" i="87" s="1"/>
  <c r="G131" i="87" s="1"/>
  <c r="I131" i="87"/>
  <c r="K130" i="87"/>
  <c r="L130" i="87" s="1"/>
  <c r="M130" i="87" s="1"/>
  <c r="N130" i="87" s="1"/>
  <c r="G130" i="87" s="1"/>
  <c r="I130" i="87"/>
  <c r="K129" i="87"/>
  <c r="L129" i="87" s="1"/>
  <c r="I129" i="87"/>
  <c r="K128" i="87"/>
  <c r="L128" i="87" s="1"/>
  <c r="M128" i="87" s="1"/>
  <c r="N128" i="87" s="1"/>
  <c r="G128" i="87" s="1"/>
  <c r="C128" i="87"/>
  <c r="C136" i="87" s="1"/>
  <c r="K127" i="87"/>
  <c r="L127" i="87" s="1"/>
  <c r="M127" i="87" s="1"/>
  <c r="N127" i="87" s="1"/>
  <c r="G127" i="87" s="1"/>
  <c r="I127" i="87"/>
  <c r="K126" i="87"/>
  <c r="L126" i="87" s="1"/>
  <c r="M126" i="87" s="1"/>
  <c r="N126" i="87" s="1"/>
  <c r="G126" i="87" s="1"/>
  <c r="I126" i="87"/>
  <c r="K125" i="87"/>
  <c r="L125" i="87" s="1"/>
  <c r="M125" i="87" s="1"/>
  <c r="N125" i="87" s="1"/>
  <c r="G125" i="87" s="1"/>
  <c r="I125" i="87"/>
  <c r="K124" i="87"/>
  <c r="L124" i="87" s="1"/>
  <c r="M124" i="87" s="1"/>
  <c r="N124" i="87" s="1"/>
  <c r="G124" i="87" s="1"/>
  <c r="I124" i="87"/>
  <c r="K123" i="87"/>
  <c r="L123" i="87" s="1"/>
  <c r="M123" i="87" s="1"/>
  <c r="N123" i="87" s="1"/>
  <c r="G123" i="87" s="1"/>
  <c r="I123" i="87"/>
  <c r="K122" i="87"/>
  <c r="L122" i="87" s="1"/>
  <c r="M122" i="87" s="1"/>
  <c r="N122" i="87" s="1"/>
  <c r="G122" i="87" s="1"/>
  <c r="I122" i="87"/>
  <c r="K121" i="87"/>
  <c r="L121" i="87" s="1"/>
  <c r="M121" i="87" s="1"/>
  <c r="N121" i="87" s="1"/>
  <c r="G121" i="87" s="1"/>
  <c r="I121" i="87"/>
  <c r="K120" i="87"/>
  <c r="L120" i="87" s="1"/>
  <c r="M120" i="87" s="1"/>
  <c r="N120" i="87" s="1"/>
  <c r="G120" i="87" s="1"/>
  <c r="I120" i="87"/>
  <c r="K119" i="87"/>
  <c r="L119" i="87" s="1"/>
  <c r="M119" i="87" s="1"/>
  <c r="N119" i="87" s="1"/>
  <c r="G119" i="87" s="1"/>
  <c r="I119" i="87"/>
  <c r="K118" i="87"/>
  <c r="L118" i="87" s="1"/>
  <c r="M118" i="87" s="1"/>
  <c r="N118" i="87" s="1"/>
  <c r="G118" i="87" s="1"/>
  <c r="I118" i="87"/>
  <c r="K117" i="87"/>
  <c r="L117" i="87" s="1"/>
  <c r="M117" i="87" s="1"/>
  <c r="N117" i="87" s="1"/>
  <c r="G117" i="87" s="1"/>
  <c r="I117" i="87"/>
  <c r="K116" i="87"/>
  <c r="L116" i="87" s="1"/>
  <c r="M116" i="87" s="1"/>
  <c r="N116" i="87" s="1"/>
  <c r="G116" i="87" s="1"/>
  <c r="I116" i="87"/>
  <c r="K115" i="87"/>
  <c r="L115" i="87" s="1"/>
  <c r="M115" i="87" s="1"/>
  <c r="N115" i="87" s="1"/>
  <c r="G115" i="87" s="1"/>
  <c r="I115" i="87"/>
  <c r="K114" i="87"/>
  <c r="L114" i="87" s="1"/>
  <c r="M114" i="87" s="1"/>
  <c r="N114" i="87" s="1"/>
  <c r="G114" i="87" s="1"/>
  <c r="I114" i="87"/>
  <c r="K113" i="87"/>
  <c r="L113" i="87" s="1"/>
  <c r="M113" i="87" s="1"/>
  <c r="N113" i="87" s="1"/>
  <c r="G113" i="87" s="1"/>
  <c r="I113" i="87"/>
  <c r="K112" i="87"/>
  <c r="L112" i="87" s="1"/>
  <c r="M112" i="87" s="1"/>
  <c r="N112" i="87" s="1"/>
  <c r="G112" i="87" s="1"/>
  <c r="I112" i="87"/>
  <c r="K111" i="87"/>
  <c r="L111" i="87" s="1"/>
  <c r="M111" i="87" s="1"/>
  <c r="N111" i="87" s="1"/>
  <c r="G111" i="87" s="1"/>
  <c r="I111" i="87"/>
  <c r="K110" i="87"/>
  <c r="L110" i="87" s="1"/>
  <c r="M110" i="87" s="1"/>
  <c r="N110" i="87" s="1"/>
  <c r="G110" i="87" s="1"/>
  <c r="I110" i="87"/>
  <c r="K109" i="87"/>
  <c r="L109" i="87" s="1"/>
  <c r="M109" i="87" s="1"/>
  <c r="N109" i="87" s="1"/>
  <c r="G109" i="87" s="1"/>
  <c r="I109" i="87"/>
  <c r="K108" i="87"/>
  <c r="L108" i="87" s="1"/>
  <c r="M108" i="87" s="1"/>
  <c r="N108" i="87" s="1"/>
  <c r="G108" i="87" s="1"/>
  <c r="I108" i="87"/>
  <c r="K107" i="87"/>
  <c r="L107" i="87" s="1"/>
  <c r="M107" i="87" s="1"/>
  <c r="N107" i="87" s="1"/>
  <c r="G107" i="87" s="1"/>
  <c r="I107" i="87"/>
  <c r="K106" i="87"/>
  <c r="L106" i="87" s="1"/>
  <c r="M106" i="87" s="1"/>
  <c r="N106" i="87" s="1"/>
  <c r="G106" i="87" s="1"/>
  <c r="I106" i="87"/>
  <c r="K105" i="87"/>
  <c r="L105" i="87" s="1"/>
  <c r="M105" i="87" s="1"/>
  <c r="N105" i="87" s="1"/>
  <c r="G105" i="87" s="1"/>
  <c r="I105" i="87"/>
  <c r="K104" i="87"/>
  <c r="L104" i="87" s="1"/>
  <c r="M104" i="87" s="1"/>
  <c r="N104" i="87" s="1"/>
  <c r="G104" i="87" s="1"/>
  <c r="I104" i="87"/>
  <c r="K103" i="87"/>
  <c r="L103" i="87" s="1"/>
  <c r="M103" i="87" s="1"/>
  <c r="N103" i="87" s="1"/>
  <c r="G103" i="87" s="1"/>
  <c r="I103" i="87"/>
  <c r="K102" i="87"/>
  <c r="L102" i="87" s="1"/>
  <c r="M102" i="87" s="1"/>
  <c r="N102" i="87" s="1"/>
  <c r="G102" i="87" s="1"/>
  <c r="I102" i="87"/>
  <c r="K101" i="87"/>
  <c r="L101" i="87" s="1"/>
  <c r="M101" i="87" s="1"/>
  <c r="N101" i="87" s="1"/>
  <c r="G101" i="87" s="1"/>
  <c r="I101" i="87"/>
  <c r="K100" i="87"/>
  <c r="L100" i="87" s="1"/>
  <c r="M100" i="87" s="1"/>
  <c r="N100" i="87" s="1"/>
  <c r="G100" i="87" s="1"/>
  <c r="I100" i="87"/>
  <c r="K99" i="87"/>
  <c r="L99" i="87" s="1"/>
  <c r="M99" i="87" s="1"/>
  <c r="N99" i="87" s="1"/>
  <c r="G99" i="87" s="1"/>
  <c r="I99" i="87"/>
  <c r="K98" i="87"/>
  <c r="L98" i="87" s="1"/>
  <c r="M98" i="87" s="1"/>
  <c r="N98" i="87" s="1"/>
  <c r="G98" i="87" s="1"/>
  <c r="I98" i="87"/>
  <c r="K97" i="87"/>
  <c r="L97" i="87" s="1"/>
  <c r="M97" i="87" s="1"/>
  <c r="N97" i="87" s="1"/>
  <c r="G97" i="87" s="1"/>
  <c r="I97" i="87"/>
  <c r="K96" i="87"/>
  <c r="L96" i="87" s="1"/>
  <c r="M96" i="87" s="1"/>
  <c r="N96" i="87" s="1"/>
  <c r="G96" i="87" s="1"/>
  <c r="I96" i="87"/>
  <c r="K95" i="87"/>
  <c r="L95" i="87" s="1"/>
  <c r="M95" i="87" s="1"/>
  <c r="N95" i="87" s="1"/>
  <c r="G95" i="87" s="1"/>
  <c r="I95" i="87"/>
  <c r="K94" i="87"/>
  <c r="L94" i="87" s="1"/>
  <c r="M94" i="87" s="1"/>
  <c r="N94" i="87" s="1"/>
  <c r="G94" i="87" s="1"/>
  <c r="I94" i="87"/>
  <c r="K93" i="87"/>
  <c r="L93" i="87" s="1"/>
  <c r="M93" i="87" s="1"/>
  <c r="N93" i="87" s="1"/>
  <c r="G93" i="87" s="1"/>
  <c r="I93" i="87"/>
  <c r="K92" i="87"/>
  <c r="L92" i="87" s="1"/>
  <c r="M92" i="87" s="1"/>
  <c r="N92" i="87" s="1"/>
  <c r="G92" i="87" s="1"/>
  <c r="I92" i="87"/>
  <c r="K91" i="87"/>
  <c r="L91" i="87" s="1"/>
  <c r="M91" i="87" s="1"/>
  <c r="N91" i="87" s="1"/>
  <c r="G91" i="87" s="1"/>
  <c r="I91" i="87"/>
  <c r="K90" i="87"/>
  <c r="L90" i="87" s="1"/>
  <c r="M90" i="87" s="1"/>
  <c r="N90" i="87" s="1"/>
  <c r="G90" i="87" s="1"/>
  <c r="I90" i="87"/>
  <c r="K89" i="87"/>
  <c r="L89" i="87" s="1"/>
  <c r="M89" i="87" s="1"/>
  <c r="N89" i="87" s="1"/>
  <c r="G89" i="87" s="1"/>
  <c r="I89" i="87"/>
  <c r="K88" i="87"/>
  <c r="L88" i="87" s="1"/>
  <c r="M88" i="87" s="1"/>
  <c r="N88" i="87" s="1"/>
  <c r="G88" i="87" s="1"/>
  <c r="I88" i="87"/>
  <c r="K87" i="87"/>
  <c r="L87" i="87" s="1"/>
  <c r="M87" i="87" s="1"/>
  <c r="N87" i="87" s="1"/>
  <c r="G87" i="87" s="1"/>
  <c r="I87" i="87"/>
  <c r="K86" i="87"/>
  <c r="L86" i="87" s="1"/>
  <c r="M86" i="87" s="1"/>
  <c r="N86" i="87" s="1"/>
  <c r="G86" i="87" s="1"/>
  <c r="I86" i="87"/>
  <c r="I85" i="87"/>
  <c r="D85" i="87"/>
  <c r="K85" i="87" s="1"/>
  <c r="L85" i="87" s="1"/>
  <c r="M85" i="87" s="1"/>
  <c r="N85" i="87" s="1"/>
  <c r="G85" i="87" s="1"/>
  <c r="I84" i="87"/>
  <c r="D84" i="87"/>
  <c r="K84" i="87" s="1"/>
  <c r="L84" i="87" s="1"/>
  <c r="M84" i="87" s="1"/>
  <c r="N84" i="87" s="1"/>
  <c r="G84" i="87" s="1"/>
  <c r="I83" i="87"/>
  <c r="D83" i="87"/>
  <c r="K83" i="87" s="1"/>
  <c r="L83" i="87" s="1"/>
  <c r="M83" i="87" s="1"/>
  <c r="N83" i="87" s="1"/>
  <c r="G83" i="87" s="1"/>
  <c r="I82" i="87"/>
  <c r="D82" i="87"/>
  <c r="K82" i="87" s="1"/>
  <c r="L82" i="87" s="1"/>
  <c r="M82" i="87" s="1"/>
  <c r="N82" i="87" s="1"/>
  <c r="G82" i="87" s="1"/>
  <c r="I81" i="87"/>
  <c r="D81" i="87"/>
  <c r="K81" i="87" s="1"/>
  <c r="L81" i="87" s="1"/>
  <c r="M81" i="87" s="1"/>
  <c r="N81" i="87" s="1"/>
  <c r="G81" i="87" s="1"/>
  <c r="I80" i="87"/>
  <c r="D80" i="87"/>
  <c r="K80" i="87" s="1"/>
  <c r="L80" i="87" s="1"/>
  <c r="M80" i="87" s="1"/>
  <c r="N80" i="87" s="1"/>
  <c r="G80" i="87" s="1"/>
  <c r="I79" i="87"/>
  <c r="D79" i="87"/>
  <c r="K79" i="87" s="1"/>
  <c r="L79" i="87" s="1"/>
  <c r="M79" i="87" s="1"/>
  <c r="N79" i="87" s="1"/>
  <c r="G79" i="87" s="1"/>
  <c r="I78" i="87"/>
  <c r="D78" i="87"/>
  <c r="K78" i="87" s="1"/>
  <c r="L78" i="87" s="1"/>
  <c r="M78" i="87" s="1"/>
  <c r="N78" i="87" s="1"/>
  <c r="G78" i="87" s="1"/>
  <c r="I77" i="87"/>
  <c r="D77" i="87"/>
  <c r="K77" i="87" s="1"/>
  <c r="L77" i="87" s="1"/>
  <c r="M77" i="87" s="1"/>
  <c r="N77" i="87" s="1"/>
  <c r="G77" i="87" s="1"/>
  <c r="I76" i="87"/>
  <c r="D76" i="87"/>
  <c r="K76" i="87" s="1"/>
  <c r="L76" i="87" s="1"/>
  <c r="M76" i="87" s="1"/>
  <c r="N76" i="87" s="1"/>
  <c r="G76" i="87" s="1"/>
  <c r="I75" i="87"/>
  <c r="D75" i="87"/>
  <c r="K75" i="87" s="1"/>
  <c r="L75" i="87" s="1"/>
  <c r="M75" i="87" s="1"/>
  <c r="N75" i="87" s="1"/>
  <c r="G75" i="87" s="1"/>
  <c r="I74" i="87"/>
  <c r="D74" i="87"/>
  <c r="K74" i="87" s="1"/>
  <c r="L74" i="87" s="1"/>
  <c r="M74" i="87" s="1"/>
  <c r="N74" i="87" s="1"/>
  <c r="G74" i="87" s="1"/>
  <c r="I73" i="87"/>
  <c r="D73" i="87"/>
  <c r="K73" i="87" s="1"/>
  <c r="L73" i="87" s="1"/>
  <c r="M73" i="87" s="1"/>
  <c r="N73" i="87" s="1"/>
  <c r="G73" i="87" s="1"/>
  <c r="I72" i="87"/>
  <c r="D72" i="87"/>
  <c r="K72" i="87" s="1"/>
  <c r="L72" i="87" s="1"/>
  <c r="M72" i="87" s="1"/>
  <c r="N72" i="87" s="1"/>
  <c r="G72" i="87" s="1"/>
  <c r="I71" i="87"/>
  <c r="D71" i="87"/>
  <c r="K71" i="87" s="1"/>
  <c r="L71" i="87" s="1"/>
  <c r="M71" i="87" s="1"/>
  <c r="N71" i="87" s="1"/>
  <c r="G71" i="87" s="1"/>
  <c r="I70" i="87"/>
  <c r="D70" i="87"/>
  <c r="K70" i="87" s="1"/>
  <c r="L70" i="87" s="1"/>
  <c r="M70" i="87" s="1"/>
  <c r="N70" i="87" s="1"/>
  <c r="G70" i="87" s="1"/>
  <c r="I69" i="87"/>
  <c r="D69" i="87"/>
  <c r="K69" i="87" s="1"/>
  <c r="L69" i="87" s="1"/>
  <c r="M69" i="87" s="1"/>
  <c r="N69" i="87" s="1"/>
  <c r="G69" i="87" s="1"/>
  <c r="I68" i="87"/>
  <c r="D68" i="87"/>
  <c r="K68" i="87" s="1"/>
  <c r="L68" i="87" s="1"/>
  <c r="M68" i="87" s="1"/>
  <c r="N68" i="87" s="1"/>
  <c r="G68" i="87" s="1"/>
  <c r="I67" i="87"/>
  <c r="D67" i="87"/>
  <c r="K67" i="87" s="1"/>
  <c r="L67" i="87" s="1"/>
  <c r="M67" i="87" s="1"/>
  <c r="N67" i="87" s="1"/>
  <c r="G67" i="87" s="1"/>
  <c r="I66" i="87"/>
  <c r="D66" i="87"/>
  <c r="K66" i="87" s="1"/>
  <c r="L66" i="87" s="1"/>
  <c r="M66" i="87" s="1"/>
  <c r="N66" i="87" s="1"/>
  <c r="G66" i="87" s="1"/>
  <c r="I65" i="87"/>
  <c r="D65" i="87"/>
  <c r="K65" i="87" s="1"/>
  <c r="L65" i="87" s="1"/>
  <c r="M65" i="87" s="1"/>
  <c r="N65" i="87" s="1"/>
  <c r="G65" i="87" s="1"/>
  <c r="I64" i="87"/>
  <c r="D64" i="87"/>
  <c r="K64" i="87" s="1"/>
  <c r="L64" i="87" s="1"/>
  <c r="M64" i="87" s="1"/>
  <c r="N64" i="87" s="1"/>
  <c r="G64" i="87" s="1"/>
  <c r="I63" i="87"/>
  <c r="D63" i="87"/>
  <c r="K63" i="87" s="1"/>
  <c r="L63" i="87" s="1"/>
  <c r="M63" i="87" s="1"/>
  <c r="N63" i="87" s="1"/>
  <c r="G63" i="87" s="1"/>
  <c r="I62" i="87"/>
  <c r="D62" i="87"/>
  <c r="K62" i="87" s="1"/>
  <c r="L62" i="87" s="1"/>
  <c r="M62" i="87" s="1"/>
  <c r="N62" i="87" s="1"/>
  <c r="G62" i="87" s="1"/>
  <c r="I61" i="87"/>
  <c r="D61" i="87"/>
  <c r="K61" i="87" s="1"/>
  <c r="L61" i="87" s="1"/>
  <c r="M61" i="87" s="1"/>
  <c r="N61" i="87" s="1"/>
  <c r="G61" i="87" s="1"/>
  <c r="I60" i="87"/>
  <c r="D60" i="87"/>
  <c r="K60" i="87" s="1"/>
  <c r="L60" i="87" s="1"/>
  <c r="M60" i="87" s="1"/>
  <c r="N60" i="87" s="1"/>
  <c r="G60" i="87" s="1"/>
  <c r="I59" i="87"/>
  <c r="D59" i="87"/>
  <c r="K59" i="87" s="1"/>
  <c r="L59" i="87" s="1"/>
  <c r="M59" i="87" s="1"/>
  <c r="N59" i="87" s="1"/>
  <c r="G59" i="87" s="1"/>
  <c r="I58" i="87"/>
  <c r="D58" i="87"/>
  <c r="K58" i="87" s="1"/>
  <c r="L58" i="87" s="1"/>
  <c r="M58" i="87" s="1"/>
  <c r="N58" i="87" s="1"/>
  <c r="G58" i="87" s="1"/>
  <c r="I57" i="87"/>
  <c r="D57" i="87"/>
  <c r="K57" i="87" s="1"/>
  <c r="L57" i="87" s="1"/>
  <c r="M57" i="87" s="1"/>
  <c r="N57" i="87" s="1"/>
  <c r="G57" i="87" s="1"/>
  <c r="I56" i="87"/>
  <c r="D56" i="87"/>
  <c r="K56" i="87" s="1"/>
  <c r="L56" i="87" s="1"/>
  <c r="M56" i="87" s="1"/>
  <c r="N56" i="87" s="1"/>
  <c r="G56" i="87" s="1"/>
  <c r="I55" i="87"/>
  <c r="D55" i="87"/>
  <c r="K55" i="87" s="1"/>
  <c r="L55" i="87" s="1"/>
  <c r="M55" i="87" s="1"/>
  <c r="N55" i="87" s="1"/>
  <c r="E51" i="87"/>
  <c r="K50" i="87"/>
  <c r="L50" i="87" s="1"/>
  <c r="M50" i="87" s="1"/>
  <c r="N50" i="87" s="1"/>
  <c r="G50" i="87" s="1"/>
  <c r="I50" i="87"/>
  <c r="K49" i="87"/>
  <c r="L49" i="87" s="1"/>
  <c r="M49" i="87" s="1"/>
  <c r="N49" i="87" s="1"/>
  <c r="G49" i="87" s="1"/>
  <c r="C49" i="87"/>
  <c r="H49" i="87" s="1"/>
  <c r="I49" i="87" s="1"/>
  <c r="K48" i="87"/>
  <c r="L48" i="87" s="1"/>
  <c r="M48" i="87" s="1"/>
  <c r="N48" i="87" s="1"/>
  <c r="G48" i="87" s="1"/>
  <c r="C48" i="87"/>
  <c r="H48" i="87" s="1"/>
  <c r="K47" i="87"/>
  <c r="L47" i="87" s="1"/>
  <c r="M47" i="87" s="1"/>
  <c r="N47" i="87" s="1"/>
  <c r="G47" i="87" s="1"/>
  <c r="I47" i="87"/>
  <c r="K46" i="87"/>
  <c r="L46" i="87" s="1"/>
  <c r="M46" i="87" s="1"/>
  <c r="N46" i="87" s="1"/>
  <c r="G46" i="87" s="1"/>
  <c r="I46" i="87"/>
  <c r="K45" i="87"/>
  <c r="L45" i="87" s="1"/>
  <c r="M45" i="87" s="1"/>
  <c r="N45" i="87" s="1"/>
  <c r="G45" i="87" s="1"/>
  <c r="I45" i="87"/>
  <c r="K44" i="87"/>
  <c r="L44" i="87" s="1"/>
  <c r="M44" i="87" s="1"/>
  <c r="N44" i="87" s="1"/>
  <c r="G44" i="87" s="1"/>
  <c r="I44" i="87"/>
  <c r="K43" i="87"/>
  <c r="L43" i="87" s="1"/>
  <c r="M43" i="87" s="1"/>
  <c r="N43" i="87" s="1"/>
  <c r="G43" i="87" s="1"/>
  <c r="I43" i="87"/>
  <c r="K42" i="87"/>
  <c r="L42" i="87" s="1"/>
  <c r="M42" i="87" s="1"/>
  <c r="N42" i="87" s="1"/>
  <c r="G42" i="87" s="1"/>
  <c r="I42" i="87"/>
  <c r="K41" i="87"/>
  <c r="L41" i="87" s="1"/>
  <c r="M41" i="87" s="1"/>
  <c r="N41" i="87" s="1"/>
  <c r="G41" i="87" s="1"/>
  <c r="I41" i="87"/>
  <c r="K40" i="87"/>
  <c r="L40" i="87" s="1"/>
  <c r="M40" i="87" s="1"/>
  <c r="N40" i="87" s="1"/>
  <c r="G40" i="87" s="1"/>
  <c r="I40" i="87"/>
  <c r="K39" i="87"/>
  <c r="L39" i="87" s="1"/>
  <c r="M39" i="87" s="1"/>
  <c r="N39" i="87" s="1"/>
  <c r="G39" i="87" s="1"/>
  <c r="I39" i="87"/>
  <c r="K38" i="87"/>
  <c r="L38" i="87" s="1"/>
  <c r="M38" i="87" s="1"/>
  <c r="N38" i="87" s="1"/>
  <c r="G38" i="87" s="1"/>
  <c r="I38" i="87"/>
  <c r="K37" i="87"/>
  <c r="L37" i="87" s="1"/>
  <c r="M37" i="87" s="1"/>
  <c r="N37" i="87" s="1"/>
  <c r="G37" i="87" s="1"/>
  <c r="I37" i="87"/>
  <c r="K36" i="87"/>
  <c r="L36" i="87" s="1"/>
  <c r="M36" i="87" s="1"/>
  <c r="N36" i="87" s="1"/>
  <c r="G36" i="87" s="1"/>
  <c r="I36" i="87"/>
  <c r="K35" i="87"/>
  <c r="L35" i="87" s="1"/>
  <c r="M35" i="87" s="1"/>
  <c r="N35" i="87" s="1"/>
  <c r="G35" i="87" s="1"/>
  <c r="I35" i="87"/>
  <c r="K34" i="87"/>
  <c r="L34" i="87" s="1"/>
  <c r="M34" i="87" s="1"/>
  <c r="N34" i="87" s="1"/>
  <c r="G34" i="87" s="1"/>
  <c r="I34" i="87"/>
  <c r="K33" i="87"/>
  <c r="L33" i="87" s="1"/>
  <c r="M33" i="87" s="1"/>
  <c r="N33" i="87" s="1"/>
  <c r="G33" i="87" s="1"/>
  <c r="I33" i="87"/>
  <c r="K32" i="87"/>
  <c r="L32" i="87" s="1"/>
  <c r="M32" i="87" s="1"/>
  <c r="N32" i="87" s="1"/>
  <c r="G32" i="87" s="1"/>
  <c r="I32" i="87"/>
  <c r="K31" i="87"/>
  <c r="L31" i="87" s="1"/>
  <c r="M31" i="87" s="1"/>
  <c r="N31" i="87" s="1"/>
  <c r="G31" i="87" s="1"/>
  <c r="I31" i="87"/>
  <c r="K30" i="87"/>
  <c r="L30" i="87" s="1"/>
  <c r="M30" i="87" s="1"/>
  <c r="N30" i="87" s="1"/>
  <c r="G30" i="87" s="1"/>
  <c r="I30" i="87"/>
  <c r="I29" i="87"/>
  <c r="D29" i="87"/>
  <c r="K29" i="87" s="1"/>
  <c r="L29" i="87" s="1"/>
  <c r="M29" i="87" s="1"/>
  <c r="N29" i="87" s="1"/>
  <c r="G29" i="87" s="1"/>
  <c r="I28" i="87"/>
  <c r="D28" i="87"/>
  <c r="K28" i="87" s="1"/>
  <c r="L28" i="87" s="1"/>
  <c r="M28" i="87" s="1"/>
  <c r="N28" i="87" s="1"/>
  <c r="G28" i="87" s="1"/>
  <c r="I27" i="87"/>
  <c r="D27" i="87"/>
  <c r="K27" i="87" s="1"/>
  <c r="L27" i="87" s="1"/>
  <c r="M27" i="87" s="1"/>
  <c r="N27" i="87" s="1"/>
  <c r="G27" i="87" s="1"/>
  <c r="I26" i="87"/>
  <c r="D26" i="87"/>
  <c r="K26" i="87" s="1"/>
  <c r="L26" i="87" s="1"/>
  <c r="M26" i="87" s="1"/>
  <c r="N26" i="87" s="1"/>
  <c r="G26" i="87" s="1"/>
  <c r="I25" i="87"/>
  <c r="D25" i="87"/>
  <c r="K25" i="87" s="1"/>
  <c r="L25" i="87" s="1"/>
  <c r="M25" i="87" s="1"/>
  <c r="N25" i="87" s="1"/>
  <c r="G25" i="87" s="1"/>
  <c r="I24" i="87"/>
  <c r="D24" i="87"/>
  <c r="K24" i="87" s="1"/>
  <c r="L24" i="87" s="1"/>
  <c r="M24" i="87" s="1"/>
  <c r="N24" i="87" s="1"/>
  <c r="G24" i="87" s="1"/>
  <c r="I23" i="87"/>
  <c r="D23" i="87"/>
  <c r="K23" i="87" s="1"/>
  <c r="L23" i="87" s="1"/>
  <c r="M23" i="87" s="1"/>
  <c r="N23" i="87" s="1"/>
  <c r="G23" i="87" s="1"/>
  <c r="I22" i="87"/>
  <c r="D22" i="87"/>
  <c r="K22" i="87" s="1"/>
  <c r="L22" i="87" s="1"/>
  <c r="M22" i="87" s="1"/>
  <c r="N22" i="87" s="1"/>
  <c r="G22" i="87" s="1"/>
  <c r="I21" i="87"/>
  <c r="D21" i="87"/>
  <c r="K21" i="87" s="1"/>
  <c r="L21" i="87" s="1"/>
  <c r="M21" i="87" s="1"/>
  <c r="N21" i="87" s="1"/>
  <c r="G21" i="87" s="1"/>
  <c r="I20" i="87"/>
  <c r="D20" i="87"/>
  <c r="K20" i="87" s="1"/>
  <c r="L20" i="87" s="1"/>
  <c r="M20" i="87" s="1"/>
  <c r="N20" i="87" s="1"/>
  <c r="G20" i="87" s="1"/>
  <c r="I19" i="87"/>
  <c r="D19" i="87"/>
  <c r="K19" i="87" s="1"/>
  <c r="L19" i="87" s="1"/>
  <c r="M19" i="87" s="1"/>
  <c r="N19" i="87" s="1"/>
  <c r="G19" i="87" s="1"/>
  <c r="I18" i="87"/>
  <c r="D18" i="87"/>
  <c r="K18" i="87" s="1"/>
  <c r="L18" i="87" s="1"/>
  <c r="M18" i="87" s="1"/>
  <c r="N18" i="87" s="1"/>
  <c r="G18" i="87" s="1"/>
  <c r="I17" i="87"/>
  <c r="D17" i="87"/>
  <c r="K17" i="87" s="1"/>
  <c r="L17" i="87" s="1"/>
  <c r="M17" i="87" s="1"/>
  <c r="N17" i="87" s="1"/>
  <c r="G17" i="87" s="1"/>
  <c r="I16" i="87"/>
  <c r="D16" i="87"/>
  <c r="K16" i="87" s="1"/>
  <c r="L16" i="87" s="1"/>
  <c r="M16" i="87" s="1"/>
  <c r="N16" i="87" s="1"/>
  <c r="G16" i="87" s="1"/>
  <c r="I15" i="87"/>
  <c r="D15" i="87"/>
  <c r="K15" i="87" s="1"/>
  <c r="L15" i="87" s="1"/>
  <c r="M15" i="87" s="1"/>
  <c r="N15" i="87" s="1"/>
  <c r="G15" i="87" s="1"/>
  <c r="I14" i="87"/>
  <c r="D14" i="87"/>
  <c r="K14" i="87" s="1"/>
  <c r="L14" i="87" s="1"/>
  <c r="M14" i="87" s="1"/>
  <c r="N14" i="87" s="1"/>
  <c r="G14" i="87" s="1"/>
  <c r="I13" i="87"/>
  <c r="D13" i="87"/>
  <c r="K13" i="87" s="1"/>
  <c r="L13" i="87" s="1"/>
  <c r="M13" i="87" s="1"/>
  <c r="N13" i="87" s="1"/>
  <c r="G13" i="87" s="1"/>
  <c r="I12" i="87"/>
  <c r="D12" i="87"/>
  <c r="K12" i="87" s="1"/>
  <c r="L12" i="87" s="1"/>
  <c r="M12" i="87" s="1"/>
  <c r="N12" i="87" s="1"/>
  <c r="G12" i="87" s="1"/>
  <c r="I11" i="87"/>
  <c r="D11" i="87"/>
  <c r="K11" i="87" s="1"/>
  <c r="L11" i="87" s="1"/>
  <c r="M11" i="87" s="1"/>
  <c r="N11" i="87" s="1"/>
  <c r="G11" i="87" s="1"/>
  <c r="I10" i="87"/>
  <c r="D10" i="87"/>
  <c r="K10" i="87" s="1"/>
  <c r="L10" i="87" s="1"/>
  <c r="M10" i="87" s="1"/>
  <c r="N10" i="87" s="1"/>
  <c r="G10" i="87" s="1"/>
  <c r="I9" i="87"/>
  <c r="D9" i="87"/>
  <c r="K9" i="87" s="1"/>
  <c r="L9" i="87" s="1"/>
  <c r="M9" i="87" s="1"/>
  <c r="N9" i="87" s="1"/>
  <c r="G9" i="87" s="1"/>
  <c r="I8" i="87"/>
  <c r="D8" i="87"/>
  <c r="K8" i="87" s="1"/>
  <c r="L8" i="87" s="1"/>
  <c r="M8" i="87" s="1"/>
  <c r="N8" i="87" s="1"/>
  <c r="G8" i="87" s="1"/>
  <c r="I7" i="87"/>
  <c r="D7" i="87"/>
  <c r="K7" i="87" s="1"/>
  <c r="L7" i="87" s="1"/>
  <c r="M7" i="87" s="1"/>
  <c r="N7" i="87" s="1"/>
  <c r="G7" i="87" s="1"/>
  <c r="I6" i="87"/>
  <c r="D6" i="87"/>
  <c r="K6" i="87" s="1"/>
  <c r="L6" i="87" s="1"/>
  <c r="M6" i="87" s="1"/>
  <c r="N6" i="87" s="1"/>
  <c r="G6" i="87" s="1"/>
  <c r="D5" i="87"/>
  <c r="K5" i="87" s="1"/>
  <c r="L5" i="87" s="1"/>
  <c r="M5" i="87" s="1"/>
  <c r="N5" i="87" s="1"/>
  <c r="G123" i="86"/>
  <c r="F123" i="86"/>
  <c r="D123" i="86"/>
  <c r="L121" i="86"/>
  <c r="M121" i="86" s="1"/>
  <c r="N121" i="86" s="1"/>
  <c r="O121" i="86" s="1"/>
  <c r="H121" i="86" s="1"/>
  <c r="J121" i="86"/>
  <c r="L119" i="86"/>
  <c r="M119" i="86" s="1"/>
  <c r="N119" i="86" s="1"/>
  <c r="O119" i="86" s="1"/>
  <c r="H119" i="86" s="1"/>
  <c r="J119" i="86"/>
  <c r="L118" i="86"/>
  <c r="M118" i="86" s="1"/>
  <c r="N118" i="86" s="1"/>
  <c r="O118" i="86" s="1"/>
  <c r="H118" i="86" s="1"/>
  <c r="J118" i="86"/>
  <c r="L117" i="86"/>
  <c r="M117" i="86" s="1"/>
  <c r="N117" i="86" s="1"/>
  <c r="O117" i="86" s="1"/>
  <c r="H117" i="86" s="1"/>
  <c r="J117" i="86"/>
  <c r="L116" i="86"/>
  <c r="M116" i="86" s="1"/>
  <c r="N116" i="86" s="1"/>
  <c r="O116" i="86" s="1"/>
  <c r="H116" i="86" s="1"/>
  <c r="J116" i="86"/>
  <c r="J114" i="86"/>
  <c r="E114" i="86"/>
  <c r="L114" i="86" s="1"/>
  <c r="M114" i="86" s="1"/>
  <c r="N114" i="86" s="1"/>
  <c r="O114" i="86" s="1"/>
  <c r="H114" i="86" s="1"/>
  <c r="J113" i="86"/>
  <c r="E113" i="86"/>
  <c r="L113" i="86" s="1"/>
  <c r="M113" i="86" s="1"/>
  <c r="N113" i="86" s="1"/>
  <c r="O113" i="86" s="1"/>
  <c r="H113" i="86" s="1"/>
  <c r="J112" i="86"/>
  <c r="E112" i="86"/>
  <c r="L112" i="86" s="1"/>
  <c r="M112" i="86" s="1"/>
  <c r="N112" i="86" s="1"/>
  <c r="O112" i="86" s="1"/>
  <c r="H112" i="86" s="1"/>
  <c r="J111" i="86"/>
  <c r="E111" i="86"/>
  <c r="L111" i="86" s="1"/>
  <c r="M111" i="86" s="1"/>
  <c r="N111" i="86" s="1"/>
  <c r="O111" i="86" s="1"/>
  <c r="H111" i="86" s="1"/>
  <c r="J110" i="86"/>
  <c r="E110" i="86"/>
  <c r="L110" i="86" s="1"/>
  <c r="M110" i="86" s="1"/>
  <c r="N110" i="86" s="1"/>
  <c r="O110" i="86" s="1"/>
  <c r="H110" i="86" s="1"/>
  <c r="J109" i="86"/>
  <c r="E109" i="86"/>
  <c r="L109" i="86" s="1"/>
  <c r="M109" i="86" s="1"/>
  <c r="N109" i="86" s="1"/>
  <c r="O109" i="86" s="1"/>
  <c r="H109" i="86" s="1"/>
  <c r="J108" i="86"/>
  <c r="E108" i="86"/>
  <c r="L108" i="86" s="1"/>
  <c r="M108" i="86" s="1"/>
  <c r="N108" i="86" s="1"/>
  <c r="O108" i="86" s="1"/>
  <c r="H108" i="86" s="1"/>
  <c r="J107" i="86"/>
  <c r="E107" i="86"/>
  <c r="L107" i="86" s="1"/>
  <c r="M107" i="86" s="1"/>
  <c r="N107" i="86" s="1"/>
  <c r="O107" i="86" s="1"/>
  <c r="H107" i="86" s="1"/>
  <c r="L105" i="86"/>
  <c r="M105" i="86" s="1"/>
  <c r="J105" i="86"/>
  <c r="L104" i="86"/>
  <c r="M104" i="86" s="1"/>
  <c r="J104" i="86"/>
  <c r="L103" i="86"/>
  <c r="M103" i="86" s="1"/>
  <c r="J103" i="86"/>
  <c r="L102" i="86"/>
  <c r="M102" i="86" s="1"/>
  <c r="J102" i="86"/>
  <c r="L101" i="86"/>
  <c r="M101" i="86" s="1"/>
  <c r="J101" i="86"/>
  <c r="L100" i="86"/>
  <c r="M100" i="86" s="1"/>
  <c r="N100" i="86" s="1"/>
  <c r="O100" i="86" s="1"/>
  <c r="H100" i="86" s="1"/>
  <c r="J100" i="86"/>
  <c r="L99" i="86"/>
  <c r="M99" i="86" s="1"/>
  <c r="N99" i="86" s="1"/>
  <c r="O99" i="86" s="1"/>
  <c r="H99" i="86" s="1"/>
  <c r="J99" i="86"/>
  <c r="L98" i="86"/>
  <c r="M98" i="86" s="1"/>
  <c r="N98" i="86" s="1"/>
  <c r="O98" i="86" s="1"/>
  <c r="H98" i="86" s="1"/>
  <c r="J98" i="86"/>
  <c r="L97" i="86"/>
  <c r="M97" i="86" s="1"/>
  <c r="N97" i="86" s="1"/>
  <c r="O97" i="86" s="1"/>
  <c r="H97" i="86" s="1"/>
  <c r="J97" i="86"/>
  <c r="L96" i="86"/>
  <c r="M96" i="86" s="1"/>
  <c r="N96" i="86" s="1"/>
  <c r="O96" i="86" s="1"/>
  <c r="H96" i="86" s="1"/>
  <c r="J96" i="86"/>
  <c r="L95" i="86"/>
  <c r="M95" i="86" s="1"/>
  <c r="N95" i="86" s="1"/>
  <c r="O95" i="86" s="1"/>
  <c r="H95" i="86" s="1"/>
  <c r="L94" i="86"/>
  <c r="M94" i="86" s="1"/>
  <c r="N94" i="86" s="1"/>
  <c r="O94" i="86" s="1"/>
  <c r="H94" i="86" s="1"/>
  <c r="J94" i="86"/>
  <c r="L93" i="86"/>
  <c r="M93" i="86" s="1"/>
  <c r="N93" i="86" s="1"/>
  <c r="O93" i="86" s="1"/>
  <c r="H93" i="86" s="1"/>
  <c r="J93" i="86"/>
  <c r="J92" i="86"/>
  <c r="E92" i="86"/>
  <c r="L92" i="86" s="1"/>
  <c r="M92" i="86" s="1"/>
  <c r="N92" i="86" s="1"/>
  <c r="O92" i="86" s="1"/>
  <c r="H92" i="86" s="1"/>
  <c r="J91" i="86"/>
  <c r="E91" i="86"/>
  <c r="L91" i="86" s="1"/>
  <c r="M91" i="86" s="1"/>
  <c r="N91" i="86" s="1"/>
  <c r="O91" i="86" s="1"/>
  <c r="H91" i="86" s="1"/>
  <c r="J90" i="86"/>
  <c r="E90" i="86"/>
  <c r="L90" i="86" s="1"/>
  <c r="M90" i="86" s="1"/>
  <c r="N90" i="86" s="1"/>
  <c r="O90" i="86" s="1"/>
  <c r="H90" i="86" s="1"/>
  <c r="J89" i="86"/>
  <c r="E89" i="86"/>
  <c r="L89" i="86" s="1"/>
  <c r="M89" i="86" s="1"/>
  <c r="N89" i="86" s="1"/>
  <c r="O89" i="86" s="1"/>
  <c r="H89" i="86" s="1"/>
  <c r="J88" i="86"/>
  <c r="E88" i="86"/>
  <c r="L88" i="86" s="1"/>
  <c r="M88" i="86" s="1"/>
  <c r="N88" i="86" s="1"/>
  <c r="O88" i="86" s="1"/>
  <c r="H88" i="86" s="1"/>
  <c r="J87" i="86"/>
  <c r="E87" i="86"/>
  <c r="L87" i="86" s="1"/>
  <c r="M87" i="86" s="1"/>
  <c r="N87" i="86" s="1"/>
  <c r="O87" i="86" s="1"/>
  <c r="H87" i="86" s="1"/>
  <c r="J86" i="86"/>
  <c r="E86" i="86"/>
  <c r="L86" i="86" s="1"/>
  <c r="M86" i="86" s="1"/>
  <c r="N86" i="86" s="1"/>
  <c r="O86" i="86" s="1"/>
  <c r="H86" i="86" s="1"/>
  <c r="J85" i="86"/>
  <c r="E85" i="86"/>
  <c r="L85" i="86" s="1"/>
  <c r="M85" i="86" s="1"/>
  <c r="N85" i="86" s="1"/>
  <c r="O85" i="86" s="1"/>
  <c r="H85" i="86" s="1"/>
  <c r="J84" i="86"/>
  <c r="E84" i="86"/>
  <c r="L84" i="86" s="1"/>
  <c r="M84" i="86" s="1"/>
  <c r="N84" i="86" s="1"/>
  <c r="O84" i="86" s="1"/>
  <c r="H84" i="86" s="1"/>
  <c r="J83" i="86"/>
  <c r="E83" i="86"/>
  <c r="L83" i="86" s="1"/>
  <c r="M83" i="86" s="1"/>
  <c r="N83" i="86" s="1"/>
  <c r="O83" i="86" s="1"/>
  <c r="H83" i="86" s="1"/>
  <c r="J82" i="86"/>
  <c r="E82" i="86"/>
  <c r="L82" i="86" s="1"/>
  <c r="M82" i="86" s="1"/>
  <c r="N82" i="86" s="1"/>
  <c r="O82" i="86" s="1"/>
  <c r="H82" i="86" s="1"/>
  <c r="J81" i="86"/>
  <c r="E81" i="86"/>
  <c r="L81" i="86" s="1"/>
  <c r="M81" i="86" s="1"/>
  <c r="N81" i="86" s="1"/>
  <c r="O81" i="86" s="1"/>
  <c r="H81" i="86" s="1"/>
  <c r="J80" i="86"/>
  <c r="E80" i="86"/>
  <c r="L80" i="86" s="1"/>
  <c r="M80" i="86" s="1"/>
  <c r="N80" i="86" s="1"/>
  <c r="O80" i="86" s="1"/>
  <c r="H80" i="86" s="1"/>
  <c r="J79" i="86"/>
  <c r="E79" i="86"/>
  <c r="L79" i="86" s="1"/>
  <c r="M79" i="86" s="1"/>
  <c r="N79" i="86" s="1"/>
  <c r="O79" i="86" s="1"/>
  <c r="H79" i="86" s="1"/>
  <c r="J78" i="86"/>
  <c r="E78" i="86"/>
  <c r="L78" i="86" s="1"/>
  <c r="M78" i="86" s="1"/>
  <c r="N78" i="86" s="1"/>
  <c r="O78" i="86" s="1"/>
  <c r="H78" i="86" s="1"/>
  <c r="J77" i="86"/>
  <c r="E77" i="86"/>
  <c r="L77" i="86" s="1"/>
  <c r="M77" i="86" s="1"/>
  <c r="N77" i="86" s="1"/>
  <c r="O77" i="86" s="1"/>
  <c r="H77" i="86" s="1"/>
  <c r="J76" i="86"/>
  <c r="E76" i="86"/>
  <c r="L76" i="86" s="1"/>
  <c r="M76" i="86" s="1"/>
  <c r="N76" i="86" s="1"/>
  <c r="O76" i="86" s="1"/>
  <c r="H76" i="86" s="1"/>
  <c r="J75" i="86"/>
  <c r="E75" i="86"/>
  <c r="L75" i="86" s="1"/>
  <c r="M75" i="86" s="1"/>
  <c r="N75" i="86" s="1"/>
  <c r="O75" i="86" s="1"/>
  <c r="H75" i="86" s="1"/>
  <c r="J74" i="86"/>
  <c r="E74" i="86"/>
  <c r="L74" i="86" s="1"/>
  <c r="M74" i="86" s="1"/>
  <c r="N74" i="86" s="1"/>
  <c r="O74" i="86" s="1"/>
  <c r="H74" i="86" s="1"/>
  <c r="J73" i="86"/>
  <c r="E73" i="86"/>
  <c r="L73" i="86" s="1"/>
  <c r="M73" i="86" s="1"/>
  <c r="N73" i="86" s="1"/>
  <c r="O73" i="86" s="1"/>
  <c r="H73" i="86" s="1"/>
  <c r="J72" i="86"/>
  <c r="E72" i="86"/>
  <c r="L72" i="86" s="1"/>
  <c r="M72" i="86" s="1"/>
  <c r="N72" i="86" s="1"/>
  <c r="O72" i="86" s="1"/>
  <c r="H72" i="86" s="1"/>
  <c r="J71" i="86"/>
  <c r="E71" i="86"/>
  <c r="L71" i="86" s="1"/>
  <c r="M71" i="86" s="1"/>
  <c r="N71" i="86" s="1"/>
  <c r="O71" i="86" s="1"/>
  <c r="H71" i="86" s="1"/>
  <c r="J70" i="86"/>
  <c r="E70" i="86"/>
  <c r="L70" i="86" s="1"/>
  <c r="M70" i="86" s="1"/>
  <c r="N70" i="86" s="1"/>
  <c r="O70" i="86" s="1"/>
  <c r="H70" i="86" s="1"/>
  <c r="J69" i="86"/>
  <c r="E69" i="86"/>
  <c r="L69" i="86" s="1"/>
  <c r="M69" i="86" s="1"/>
  <c r="N69" i="86" s="1"/>
  <c r="O69" i="86" s="1"/>
  <c r="H69" i="86" s="1"/>
  <c r="J68" i="86"/>
  <c r="E68" i="86"/>
  <c r="L68" i="86" s="1"/>
  <c r="M68" i="86" s="1"/>
  <c r="N68" i="86" s="1"/>
  <c r="O68" i="86" s="1"/>
  <c r="H68" i="86" s="1"/>
  <c r="J67" i="86"/>
  <c r="E67" i="86"/>
  <c r="L67" i="86" s="1"/>
  <c r="M67" i="86" s="1"/>
  <c r="N67" i="86" s="1"/>
  <c r="O67" i="86" s="1"/>
  <c r="H67" i="86" s="1"/>
  <c r="J66" i="86"/>
  <c r="E66" i="86"/>
  <c r="L66" i="86" s="1"/>
  <c r="M66" i="86" s="1"/>
  <c r="N66" i="86" s="1"/>
  <c r="O66" i="86" s="1"/>
  <c r="H66" i="86" s="1"/>
  <c r="J65" i="86"/>
  <c r="E65" i="86"/>
  <c r="L65" i="86" s="1"/>
  <c r="M65" i="86" s="1"/>
  <c r="N65" i="86" s="1"/>
  <c r="O65" i="86" s="1"/>
  <c r="H65" i="86" s="1"/>
  <c r="J64" i="86"/>
  <c r="E64" i="86"/>
  <c r="L64" i="86" s="1"/>
  <c r="M64" i="86" s="1"/>
  <c r="N64" i="86" s="1"/>
  <c r="O64" i="86" s="1"/>
  <c r="H64" i="86" s="1"/>
  <c r="J63" i="86"/>
  <c r="E63" i="86"/>
  <c r="L63" i="86" s="1"/>
  <c r="M63" i="86" s="1"/>
  <c r="N63" i="86" s="1"/>
  <c r="O63" i="86" s="1"/>
  <c r="H63" i="86" s="1"/>
  <c r="J62" i="86"/>
  <c r="E62" i="86"/>
  <c r="L62" i="86" s="1"/>
  <c r="M62" i="86" s="1"/>
  <c r="N62" i="86" s="1"/>
  <c r="O62" i="86" s="1"/>
  <c r="H62" i="86" s="1"/>
  <c r="J61" i="86"/>
  <c r="E61" i="86"/>
  <c r="L61" i="86" s="1"/>
  <c r="M61" i="86" s="1"/>
  <c r="N61" i="86" s="1"/>
  <c r="O61" i="86" s="1"/>
  <c r="H61" i="86" s="1"/>
  <c r="J60" i="86"/>
  <c r="E60" i="86"/>
  <c r="L60" i="86" s="1"/>
  <c r="M60" i="86" s="1"/>
  <c r="N60" i="86" s="1"/>
  <c r="O60" i="86" s="1"/>
  <c r="H60" i="86" s="1"/>
  <c r="J59" i="86"/>
  <c r="E59" i="86"/>
  <c r="L59" i="86" s="1"/>
  <c r="M59" i="86" s="1"/>
  <c r="N59" i="86" s="1"/>
  <c r="O59" i="86" s="1"/>
  <c r="H59" i="86" s="1"/>
  <c r="J58" i="86"/>
  <c r="E58" i="86"/>
  <c r="L58" i="86" s="1"/>
  <c r="M58" i="86" s="1"/>
  <c r="N58" i="86" s="1"/>
  <c r="O58" i="86" s="1"/>
  <c r="H58" i="86" s="1"/>
  <c r="J57" i="86"/>
  <c r="E57" i="86"/>
  <c r="L57" i="86" s="1"/>
  <c r="M57" i="86" s="1"/>
  <c r="N57" i="86" s="1"/>
  <c r="O57" i="86" s="1"/>
  <c r="H57" i="86" s="1"/>
  <c r="J56" i="86"/>
  <c r="E56" i="86"/>
  <c r="L56" i="86" s="1"/>
  <c r="M56" i="86" s="1"/>
  <c r="N56" i="86" s="1"/>
  <c r="O56" i="86" s="1"/>
  <c r="H56" i="86" s="1"/>
  <c r="J55" i="86"/>
  <c r="E55" i="86"/>
  <c r="L55" i="86" s="1"/>
  <c r="M55" i="86" s="1"/>
  <c r="N55" i="86" s="1"/>
  <c r="O55" i="86" s="1"/>
  <c r="H55" i="86" s="1"/>
  <c r="J54" i="86"/>
  <c r="E54" i="86"/>
  <c r="L54" i="86" s="1"/>
  <c r="M54" i="86" s="1"/>
  <c r="N54" i="86" s="1"/>
  <c r="O54" i="86" s="1"/>
  <c r="H54" i="86" s="1"/>
  <c r="J53" i="86"/>
  <c r="E53" i="86"/>
  <c r="L53" i="86" s="1"/>
  <c r="M53" i="86" s="1"/>
  <c r="N53" i="86" s="1"/>
  <c r="O53" i="86" s="1"/>
  <c r="H53" i="86" s="1"/>
  <c r="J52" i="86"/>
  <c r="E52" i="86"/>
  <c r="L52" i="86" s="1"/>
  <c r="M52" i="86" s="1"/>
  <c r="N52" i="86" s="1"/>
  <c r="O52" i="86" s="1"/>
  <c r="H52" i="86" s="1"/>
  <c r="J51" i="86"/>
  <c r="E51" i="86"/>
  <c r="L51" i="86" s="1"/>
  <c r="M51" i="86" s="1"/>
  <c r="N51" i="86" s="1"/>
  <c r="O51" i="86" s="1"/>
  <c r="H51" i="86" s="1"/>
  <c r="J50" i="86"/>
  <c r="E50" i="86"/>
  <c r="L50" i="86" s="1"/>
  <c r="M50" i="86" s="1"/>
  <c r="N50" i="86" s="1"/>
  <c r="O50" i="86" s="1"/>
  <c r="H50" i="86" s="1"/>
  <c r="J49" i="86"/>
  <c r="E49" i="86"/>
  <c r="L49" i="86" s="1"/>
  <c r="M49" i="86" s="1"/>
  <c r="N49" i="86" s="1"/>
  <c r="O49" i="86" s="1"/>
  <c r="H49" i="86" s="1"/>
  <c r="J48" i="86"/>
  <c r="E48" i="86"/>
  <c r="L48" i="86" s="1"/>
  <c r="M48" i="86" s="1"/>
  <c r="N48" i="86" s="1"/>
  <c r="O48" i="86" s="1"/>
  <c r="H48" i="86" s="1"/>
  <c r="J47" i="86"/>
  <c r="E47" i="86"/>
  <c r="L47" i="86" s="1"/>
  <c r="M47" i="86" s="1"/>
  <c r="N47" i="86" s="1"/>
  <c r="O47" i="86" s="1"/>
  <c r="H47" i="86" s="1"/>
  <c r="J46" i="86"/>
  <c r="E46" i="86"/>
  <c r="L46" i="86" s="1"/>
  <c r="M46" i="86" s="1"/>
  <c r="N46" i="86" s="1"/>
  <c r="O46" i="86" s="1"/>
  <c r="H46" i="86" s="1"/>
  <c r="J45" i="86"/>
  <c r="E45" i="86"/>
  <c r="L45" i="86" s="1"/>
  <c r="M45" i="86" s="1"/>
  <c r="N45" i="86" s="1"/>
  <c r="O45" i="86" s="1"/>
  <c r="H45" i="86" s="1"/>
  <c r="J44" i="86"/>
  <c r="E44" i="86"/>
  <c r="L44" i="86" s="1"/>
  <c r="M44" i="86" s="1"/>
  <c r="N44" i="86" s="1"/>
  <c r="O44" i="86" s="1"/>
  <c r="H44" i="86" s="1"/>
  <c r="J43" i="86"/>
  <c r="E43" i="86"/>
  <c r="L43" i="86" s="1"/>
  <c r="M43" i="86" s="1"/>
  <c r="N43" i="86" s="1"/>
  <c r="O43" i="86" s="1"/>
  <c r="H43" i="86" s="1"/>
  <c r="J42" i="86"/>
  <c r="E42" i="86"/>
  <c r="L42" i="86" s="1"/>
  <c r="M42" i="86" s="1"/>
  <c r="N42" i="86" s="1"/>
  <c r="O42" i="86" s="1"/>
  <c r="H42" i="86" s="1"/>
  <c r="J41" i="86"/>
  <c r="E41" i="86"/>
  <c r="L41" i="86" s="1"/>
  <c r="M41" i="86" s="1"/>
  <c r="N41" i="86" s="1"/>
  <c r="O41" i="86" s="1"/>
  <c r="H41" i="86" s="1"/>
  <c r="J40" i="86"/>
  <c r="E40" i="86"/>
  <c r="L40" i="86" s="1"/>
  <c r="M40" i="86" s="1"/>
  <c r="N40" i="86" s="1"/>
  <c r="O40" i="86" s="1"/>
  <c r="H40" i="86" s="1"/>
  <c r="J39" i="86"/>
  <c r="E39" i="86"/>
  <c r="L39" i="86" s="1"/>
  <c r="M39" i="86" s="1"/>
  <c r="N39" i="86" s="1"/>
  <c r="O39" i="86" s="1"/>
  <c r="H39" i="86" s="1"/>
  <c r="J38" i="86"/>
  <c r="E38" i="86"/>
  <c r="L38" i="86" s="1"/>
  <c r="M38" i="86" s="1"/>
  <c r="N38" i="86" s="1"/>
  <c r="O38" i="86" s="1"/>
  <c r="H38" i="86" s="1"/>
  <c r="J37" i="86"/>
  <c r="E37" i="86"/>
  <c r="L37" i="86" s="1"/>
  <c r="M37" i="86" s="1"/>
  <c r="N37" i="86" s="1"/>
  <c r="O37" i="86" s="1"/>
  <c r="H37" i="86" s="1"/>
  <c r="J36" i="86"/>
  <c r="E36" i="86"/>
  <c r="L36" i="86" s="1"/>
  <c r="M36" i="86" s="1"/>
  <c r="N36" i="86" s="1"/>
  <c r="O36" i="86" s="1"/>
  <c r="H36" i="86" s="1"/>
  <c r="J35" i="86"/>
  <c r="E35" i="86"/>
  <c r="L35" i="86" s="1"/>
  <c r="M35" i="86" s="1"/>
  <c r="N35" i="86" s="1"/>
  <c r="O35" i="86" s="1"/>
  <c r="H35" i="86" s="1"/>
  <c r="J34" i="86"/>
  <c r="E34" i="86"/>
  <c r="L34" i="86" s="1"/>
  <c r="M34" i="86" s="1"/>
  <c r="N34" i="86" s="1"/>
  <c r="O34" i="86" s="1"/>
  <c r="H34" i="86" s="1"/>
  <c r="J33" i="86"/>
  <c r="E33" i="86"/>
  <c r="L33" i="86" s="1"/>
  <c r="M33" i="86" s="1"/>
  <c r="N33" i="86" s="1"/>
  <c r="O33" i="86" s="1"/>
  <c r="H33" i="86" s="1"/>
  <c r="J32" i="86"/>
  <c r="E32" i="86"/>
  <c r="L32" i="86" s="1"/>
  <c r="M32" i="86" s="1"/>
  <c r="N32" i="86" s="1"/>
  <c r="O32" i="86" s="1"/>
  <c r="H32" i="86" s="1"/>
  <c r="J31" i="86"/>
  <c r="E31" i="86"/>
  <c r="L31" i="86" s="1"/>
  <c r="M31" i="86" s="1"/>
  <c r="N31" i="86" s="1"/>
  <c r="O31" i="86" s="1"/>
  <c r="H31" i="86" s="1"/>
  <c r="J30" i="86"/>
  <c r="E30" i="86"/>
  <c r="L30" i="86" s="1"/>
  <c r="M30" i="86" s="1"/>
  <c r="N30" i="86" s="1"/>
  <c r="O30" i="86" s="1"/>
  <c r="H30" i="86" s="1"/>
  <c r="J29" i="86"/>
  <c r="E29" i="86"/>
  <c r="L29" i="86" s="1"/>
  <c r="M29" i="86" s="1"/>
  <c r="N29" i="86" s="1"/>
  <c r="O29" i="86" s="1"/>
  <c r="H29" i="86" s="1"/>
  <c r="J28" i="86"/>
  <c r="E28" i="86"/>
  <c r="L28" i="86" s="1"/>
  <c r="M28" i="86" s="1"/>
  <c r="N28" i="86" s="1"/>
  <c r="O28" i="86" s="1"/>
  <c r="H28" i="86" s="1"/>
  <c r="J27" i="86"/>
  <c r="E27" i="86"/>
  <c r="L27" i="86" s="1"/>
  <c r="M27" i="86" s="1"/>
  <c r="N27" i="86" s="1"/>
  <c r="O27" i="86" s="1"/>
  <c r="H27" i="86" s="1"/>
  <c r="J26" i="86"/>
  <c r="E26" i="86"/>
  <c r="L26" i="86" s="1"/>
  <c r="M26" i="86" s="1"/>
  <c r="N26" i="86" s="1"/>
  <c r="O26" i="86" s="1"/>
  <c r="H26" i="86" s="1"/>
  <c r="J25" i="86"/>
  <c r="E25" i="86"/>
  <c r="L25" i="86" s="1"/>
  <c r="M25" i="86" s="1"/>
  <c r="N25" i="86" s="1"/>
  <c r="O25" i="86" s="1"/>
  <c r="H25" i="86" s="1"/>
  <c r="J24" i="86"/>
  <c r="E24" i="86"/>
  <c r="L24" i="86" s="1"/>
  <c r="M24" i="86" s="1"/>
  <c r="N24" i="86" s="1"/>
  <c r="O24" i="86" s="1"/>
  <c r="H24" i="86" s="1"/>
  <c r="J23" i="86"/>
  <c r="E23" i="86"/>
  <c r="L23" i="86" s="1"/>
  <c r="M23" i="86" s="1"/>
  <c r="N23" i="86" s="1"/>
  <c r="O23" i="86" s="1"/>
  <c r="H23" i="86" s="1"/>
  <c r="J22" i="86"/>
  <c r="E22" i="86"/>
  <c r="L22" i="86" s="1"/>
  <c r="M22" i="86" s="1"/>
  <c r="N22" i="86" s="1"/>
  <c r="O22" i="86" s="1"/>
  <c r="H22" i="86" s="1"/>
  <c r="J21" i="86"/>
  <c r="E21" i="86"/>
  <c r="L21" i="86" s="1"/>
  <c r="M21" i="86" s="1"/>
  <c r="N21" i="86" s="1"/>
  <c r="O21" i="86" s="1"/>
  <c r="H21" i="86" s="1"/>
  <c r="J20" i="86"/>
  <c r="E20" i="86"/>
  <c r="L20" i="86" s="1"/>
  <c r="M20" i="86" s="1"/>
  <c r="N20" i="86" s="1"/>
  <c r="O20" i="86" s="1"/>
  <c r="H20" i="86" s="1"/>
  <c r="J19" i="86"/>
  <c r="E19" i="86"/>
  <c r="L19" i="86" s="1"/>
  <c r="M19" i="86" s="1"/>
  <c r="N19" i="86" s="1"/>
  <c r="O19" i="86" s="1"/>
  <c r="H19" i="86" s="1"/>
  <c r="J18" i="86"/>
  <c r="E18" i="86"/>
  <c r="L18" i="86" s="1"/>
  <c r="M18" i="86" s="1"/>
  <c r="N18" i="86" s="1"/>
  <c r="O18" i="86" s="1"/>
  <c r="H18" i="86" s="1"/>
  <c r="J17" i="86"/>
  <c r="E17" i="86"/>
  <c r="L17" i="86" s="1"/>
  <c r="M17" i="86" s="1"/>
  <c r="N17" i="86" s="1"/>
  <c r="O17" i="86" s="1"/>
  <c r="H17" i="86" s="1"/>
  <c r="J16" i="86"/>
  <c r="E16" i="86"/>
  <c r="L16" i="86" s="1"/>
  <c r="M16" i="86" s="1"/>
  <c r="N16" i="86" s="1"/>
  <c r="O16" i="86" s="1"/>
  <c r="H16" i="86" s="1"/>
  <c r="J15" i="86"/>
  <c r="E15" i="86"/>
  <c r="L15" i="86" s="1"/>
  <c r="M15" i="86" s="1"/>
  <c r="N15" i="86" s="1"/>
  <c r="O15" i="86" s="1"/>
  <c r="H15" i="86" s="1"/>
  <c r="J14" i="86"/>
  <c r="E14" i="86"/>
  <c r="L14" i="86" s="1"/>
  <c r="M14" i="86" s="1"/>
  <c r="N14" i="86" s="1"/>
  <c r="O14" i="86" s="1"/>
  <c r="H14" i="86" s="1"/>
  <c r="J13" i="86"/>
  <c r="E13" i="86"/>
  <c r="L13" i="86" s="1"/>
  <c r="M13" i="86" s="1"/>
  <c r="N13" i="86" s="1"/>
  <c r="O13" i="86" s="1"/>
  <c r="H13" i="86" s="1"/>
  <c r="J12" i="86"/>
  <c r="E12" i="86"/>
  <c r="L12" i="86" s="1"/>
  <c r="M12" i="86" s="1"/>
  <c r="N12" i="86" s="1"/>
  <c r="O12" i="86" s="1"/>
  <c r="H12" i="86" s="1"/>
  <c r="J11" i="86"/>
  <c r="E11" i="86"/>
  <c r="L11" i="86" s="1"/>
  <c r="M11" i="86" s="1"/>
  <c r="N11" i="86" s="1"/>
  <c r="O11" i="86" s="1"/>
  <c r="H11" i="86" s="1"/>
  <c r="J10" i="86"/>
  <c r="E10" i="86"/>
  <c r="L10" i="86" s="1"/>
  <c r="M10" i="86" s="1"/>
  <c r="N10" i="86" s="1"/>
  <c r="O10" i="86" s="1"/>
  <c r="H10" i="86" s="1"/>
  <c r="J9" i="86"/>
  <c r="E9" i="86"/>
  <c r="L9" i="86" s="1"/>
  <c r="M9" i="86" s="1"/>
  <c r="N9" i="86" s="1"/>
  <c r="O9" i="86" s="1"/>
  <c r="H9" i="86" s="1"/>
  <c r="J8" i="86"/>
  <c r="E8" i="86"/>
  <c r="L8" i="86" s="1"/>
  <c r="M8" i="86" s="1"/>
  <c r="N8" i="86" s="1"/>
  <c r="O8" i="86" s="1"/>
  <c r="H8" i="86" s="1"/>
  <c r="J7" i="86"/>
  <c r="E7" i="86"/>
  <c r="L7" i="86" s="1"/>
  <c r="M7" i="86" s="1"/>
  <c r="N7" i="86" s="1"/>
  <c r="O7" i="86" s="1"/>
  <c r="E15" i="85"/>
  <c r="K14" i="85"/>
  <c r="L14" i="85" s="1"/>
  <c r="I14" i="85"/>
  <c r="I15" i="85" s="1"/>
  <c r="K13" i="85"/>
  <c r="L13" i="85" s="1"/>
  <c r="I13" i="85"/>
  <c r="K12" i="85"/>
  <c r="L12" i="85" s="1"/>
  <c r="I12" i="85"/>
  <c r="F11" i="85"/>
  <c r="I11" i="85" s="1"/>
  <c r="D11" i="85"/>
  <c r="K11" i="85" s="1"/>
  <c r="L11" i="85" s="1"/>
  <c r="K9" i="85"/>
  <c r="L9" i="85" s="1"/>
  <c r="G9" i="85"/>
  <c r="F9" i="85"/>
  <c r="K8" i="85"/>
  <c r="L8" i="85" s="1"/>
  <c r="F8" i="85"/>
  <c r="I8" i="85" s="1"/>
  <c r="K34" i="84"/>
  <c r="L34" i="84" s="1"/>
  <c r="K33" i="84"/>
  <c r="L33" i="84" s="1"/>
  <c r="I33" i="84"/>
  <c r="K32" i="84"/>
  <c r="L32" i="84" s="1"/>
  <c r="I32" i="84"/>
  <c r="K31" i="84"/>
  <c r="L31" i="84" s="1"/>
  <c r="I31" i="84"/>
  <c r="K30" i="84"/>
  <c r="L30" i="84" s="1"/>
  <c r="I30" i="84"/>
  <c r="K29" i="84"/>
  <c r="L29" i="84" s="1"/>
  <c r="M29" i="84" s="1"/>
  <c r="N29" i="84" s="1"/>
  <c r="G29" i="84" s="1"/>
  <c r="I29" i="84"/>
  <c r="K28" i="84"/>
  <c r="L28" i="84" s="1"/>
  <c r="M28" i="84" s="1"/>
  <c r="N28" i="84" s="1"/>
  <c r="G28" i="84" s="1"/>
  <c r="I28" i="84"/>
  <c r="K27" i="84"/>
  <c r="L27" i="84" s="1"/>
  <c r="M27" i="84" s="1"/>
  <c r="N27" i="84" s="1"/>
  <c r="G27" i="84" s="1"/>
  <c r="I27" i="84"/>
  <c r="K26" i="84"/>
  <c r="L26" i="84" s="1"/>
  <c r="M26" i="84" s="1"/>
  <c r="N26" i="84" s="1"/>
  <c r="G26" i="84" s="1"/>
  <c r="I26" i="84"/>
  <c r="K25" i="84"/>
  <c r="L25" i="84" s="1"/>
  <c r="M25" i="84" s="1"/>
  <c r="N25" i="84" s="1"/>
  <c r="G25" i="84" s="1"/>
  <c r="I25" i="84"/>
  <c r="K24" i="84"/>
  <c r="L24" i="84" s="1"/>
  <c r="M24" i="84" s="1"/>
  <c r="N24" i="84" s="1"/>
  <c r="G24" i="84" s="1"/>
  <c r="I24" i="84"/>
  <c r="K23" i="84"/>
  <c r="L23" i="84" s="1"/>
  <c r="M23" i="84" s="1"/>
  <c r="N23" i="84" s="1"/>
  <c r="G23" i="84" s="1"/>
  <c r="I23" i="84"/>
  <c r="K22" i="84"/>
  <c r="L22" i="84" s="1"/>
  <c r="M22" i="84" s="1"/>
  <c r="N22" i="84" s="1"/>
  <c r="G22" i="84" s="1"/>
  <c r="I22" i="84"/>
  <c r="K21" i="84"/>
  <c r="L21" i="84" s="1"/>
  <c r="M21" i="84" s="1"/>
  <c r="N21" i="84" s="1"/>
  <c r="G21" i="84" s="1"/>
  <c r="I21" i="84"/>
  <c r="K20" i="84"/>
  <c r="L20" i="84" s="1"/>
  <c r="M20" i="84" s="1"/>
  <c r="N20" i="84" s="1"/>
  <c r="G20" i="84" s="1"/>
  <c r="I20" i="84"/>
  <c r="I19" i="84"/>
  <c r="D19" i="84"/>
  <c r="K19" i="84" s="1"/>
  <c r="L19" i="84" s="1"/>
  <c r="M19" i="84" s="1"/>
  <c r="N19" i="84" s="1"/>
  <c r="G19" i="84" s="1"/>
  <c r="I18" i="84"/>
  <c r="D18" i="84"/>
  <c r="K18" i="84" s="1"/>
  <c r="L18" i="84" s="1"/>
  <c r="M18" i="84" s="1"/>
  <c r="N18" i="84" s="1"/>
  <c r="G18" i="84" s="1"/>
  <c r="I17" i="84"/>
  <c r="D17" i="84"/>
  <c r="K17" i="84" s="1"/>
  <c r="L17" i="84" s="1"/>
  <c r="M17" i="84" s="1"/>
  <c r="N17" i="84" s="1"/>
  <c r="G17" i="84" s="1"/>
  <c r="I16" i="84"/>
  <c r="D16" i="84"/>
  <c r="K16" i="84" s="1"/>
  <c r="L16" i="84" s="1"/>
  <c r="M16" i="84" s="1"/>
  <c r="N16" i="84" s="1"/>
  <c r="G16" i="84" s="1"/>
  <c r="I15" i="84"/>
  <c r="D15" i="84"/>
  <c r="K15" i="84" s="1"/>
  <c r="L15" i="84" s="1"/>
  <c r="M15" i="84" s="1"/>
  <c r="N15" i="84" s="1"/>
  <c r="G15" i="84" s="1"/>
  <c r="I14" i="84"/>
  <c r="D14" i="84"/>
  <c r="K14" i="84" s="1"/>
  <c r="L14" i="84" s="1"/>
  <c r="M14" i="84" s="1"/>
  <c r="N14" i="84" s="1"/>
  <c r="I13" i="84"/>
  <c r="D13" i="84"/>
  <c r="K13" i="84" s="1"/>
  <c r="L13" i="84" s="1"/>
  <c r="M13" i="84" s="1"/>
  <c r="N13" i="84" s="1"/>
  <c r="G13" i="84" s="1"/>
  <c r="I12" i="84"/>
  <c r="D12" i="84"/>
  <c r="K12" i="84" s="1"/>
  <c r="L12" i="84" s="1"/>
  <c r="M12" i="84" s="1"/>
  <c r="N12" i="84" s="1"/>
  <c r="G12" i="84" s="1"/>
  <c r="I11" i="84"/>
  <c r="D11" i="84"/>
  <c r="K11" i="84" s="1"/>
  <c r="L11" i="84" s="1"/>
  <c r="M11" i="84" s="1"/>
  <c r="N11" i="84" s="1"/>
  <c r="G11" i="84" s="1"/>
  <c r="D10" i="84"/>
  <c r="K10" i="84" s="1"/>
  <c r="L10" i="84" s="1"/>
  <c r="M10" i="84" s="1"/>
  <c r="N10" i="84" s="1"/>
  <c r="A3" i="84"/>
  <c r="A2" i="84"/>
  <c r="A1" i="84"/>
  <c r="P193" i="83"/>
  <c r="K189" i="83"/>
  <c r="L189" i="83" s="1"/>
  <c r="I189" i="83"/>
  <c r="K188" i="83"/>
  <c r="L188" i="83" s="1"/>
  <c r="C188" i="83"/>
  <c r="H188" i="83" s="1"/>
  <c r="I188" i="83" s="1"/>
  <c r="K187" i="83"/>
  <c r="L187" i="83" s="1"/>
  <c r="C187" i="83"/>
  <c r="H187" i="83" s="1"/>
  <c r="I187" i="83" s="1"/>
  <c r="K186" i="83"/>
  <c r="L186" i="83" s="1"/>
  <c r="C186" i="83"/>
  <c r="H186" i="83" s="1"/>
  <c r="I186" i="83" s="1"/>
  <c r="K185" i="83"/>
  <c r="L185" i="83" s="1"/>
  <c r="I185" i="83"/>
  <c r="K184" i="83"/>
  <c r="L184" i="83" s="1"/>
  <c r="I184" i="83"/>
  <c r="K183" i="83"/>
  <c r="L183" i="83" s="1"/>
  <c r="I183" i="83"/>
  <c r="K182" i="83"/>
  <c r="L182" i="83" s="1"/>
  <c r="I182" i="83"/>
  <c r="K181" i="83"/>
  <c r="L181" i="83" s="1"/>
  <c r="C181" i="83"/>
  <c r="H181" i="83" s="1"/>
  <c r="K180" i="83"/>
  <c r="L180" i="83" s="1"/>
  <c r="I180" i="83"/>
  <c r="K179" i="83"/>
  <c r="L179" i="83" s="1"/>
  <c r="I179" i="83"/>
  <c r="K178" i="83"/>
  <c r="L178" i="83" s="1"/>
  <c r="I178" i="83"/>
  <c r="K177" i="83"/>
  <c r="L177" i="83" s="1"/>
  <c r="I177" i="83"/>
  <c r="K176" i="83"/>
  <c r="L176" i="83" s="1"/>
  <c r="I176" i="83"/>
  <c r="K175" i="83"/>
  <c r="L175" i="83" s="1"/>
  <c r="K174" i="83"/>
  <c r="L174" i="83" s="1"/>
  <c r="I172" i="83"/>
  <c r="D172" i="83"/>
  <c r="K172" i="83" s="1"/>
  <c r="L172" i="83" s="1"/>
  <c r="M172" i="83" s="1"/>
  <c r="N172" i="83" s="1"/>
  <c r="G172" i="83" s="1"/>
  <c r="I171" i="83"/>
  <c r="D171" i="83"/>
  <c r="K171" i="83" s="1"/>
  <c r="L171" i="83" s="1"/>
  <c r="M171" i="83" s="1"/>
  <c r="N171" i="83" s="1"/>
  <c r="G171" i="83" s="1"/>
  <c r="K169" i="83"/>
  <c r="L169" i="83" s="1"/>
  <c r="I169" i="83"/>
  <c r="K168" i="83"/>
  <c r="L168" i="83" s="1"/>
  <c r="I168" i="83"/>
  <c r="K167" i="83"/>
  <c r="L167" i="83" s="1"/>
  <c r="I167" i="83"/>
  <c r="K166" i="83"/>
  <c r="L166" i="83" s="1"/>
  <c r="I166" i="83"/>
  <c r="K165" i="83"/>
  <c r="L165" i="83" s="1"/>
  <c r="I165" i="83"/>
  <c r="K164" i="83"/>
  <c r="L164" i="83" s="1"/>
  <c r="I164" i="83"/>
  <c r="K163" i="83"/>
  <c r="L163" i="83" s="1"/>
  <c r="I163" i="83"/>
  <c r="K162" i="83"/>
  <c r="L162" i="83" s="1"/>
  <c r="I162" i="83"/>
  <c r="K161" i="83"/>
  <c r="L161" i="83" s="1"/>
  <c r="I161" i="83"/>
  <c r="K160" i="83"/>
  <c r="L160" i="83" s="1"/>
  <c r="I160" i="83"/>
  <c r="K159" i="83"/>
  <c r="L159" i="83" s="1"/>
  <c r="K158" i="83"/>
  <c r="L158" i="83" s="1"/>
  <c r="K157" i="83"/>
  <c r="L157" i="83" s="1"/>
  <c r="I157" i="83"/>
  <c r="K156" i="83"/>
  <c r="L156" i="83" s="1"/>
  <c r="I156" i="83"/>
  <c r="K155" i="83"/>
  <c r="L155" i="83" s="1"/>
  <c r="I155" i="83"/>
  <c r="K154" i="83"/>
  <c r="L154" i="83" s="1"/>
  <c r="I154" i="83"/>
  <c r="K153" i="83"/>
  <c r="L153" i="83" s="1"/>
  <c r="I153" i="83"/>
  <c r="K152" i="83"/>
  <c r="L152" i="83" s="1"/>
  <c r="I152" i="83"/>
  <c r="K151" i="83"/>
  <c r="L151" i="83" s="1"/>
  <c r="I151" i="83"/>
  <c r="K150" i="83"/>
  <c r="L150" i="83" s="1"/>
  <c r="I150" i="83"/>
  <c r="K149" i="83"/>
  <c r="L149" i="83" s="1"/>
  <c r="I149" i="83"/>
  <c r="K148" i="83"/>
  <c r="L148" i="83" s="1"/>
  <c r="I148" i="83"/>
  <c r="K147" i="83"/>
  <c r="L147" i="83" s="1"/>
  <c r="I147" i="83"/>
  <c r="K146" i="83"/>
  <c r="L146" i="83" s="1"/>
  <c r="I146" i="83"/>
  <c r="K145" i="83"/>
  <c r="L145" i="83" s="1"/>
  <c r="I145" i="83"/>
  <c r="K144" i="83"/>
  <c r="L144" i="83" s="1"/>
  <c r="I144" i="83"/>
  <c r="K143" i="83"/>
  <c r="L143" i="83" s="1"/>
  <c r="I143" i="83"/>
  <c r="A143" i="83"/>
  <c r="A144" i="83" s="1"/>
  <c r="A145" i="83" s="1"/>
  <c r="A146" i="83" s="1"/>
  <c r="A147" i="83" s="1"/>
  <c r="A148" i="83" s="1"/>
  <c r="A149" i="83" s="1"/>
  <c r="A150" i="83" s="1"/>
  <c r="A151" i="83" s="1"/>
  <c r="A152" i="83" s="1"/>
  <c r="A153" i="83" s="1"/>
  <c r="K142" i="83"/>
  <c r="L142" i="83" s="1"/>
  <c r="I142" i="83"/>
  <c r="K141" i="83"/>
  <c r="L141" i="83" s="1"/>
  <c r="I141" i="83"/>
  <c r="K140" i="83"/>
  <c r="L140" i="83" s="1"/>
  <c r="I140" i="83"/>
  <c r="K139" i="83"/>
  <c r="L139" i="83" s="1"/>
  <c r="I139" i="83"/>
  <c r="K138" i="83"/>
  <c r="L138" i="83" s="1"/>
  <c r="K137" i="83"/>
  <c r="L137" i="83" s="1"/>
  <c r="K136" i="83"/>
  <c r="L136" i="83" s="1"/>
  <c r="K135" i="83"/>
  <c r="L135" i="83" s="1"/>
  <c r="D134" i="83"/>
  <c r="K134" i="83" s="1"/>
  <c r="L134" i="83" s="1"/>
  <c r="M134" i="83" s="1"/>
  <c r="N134" i="83" s="1"/>
  <c r="G134" i="83" s="1"/>
  <c r="I133" i="83"/>
  <c r="D133" i="83"/>
  <c r="K133" i="83" s="1"/>
  <c r="L133" i="83" s="1"/>
  <c r="M133" i="83" s="1"/>
  <c r="N133" i="83" s="1"/>
  <c r="G133" i="83" s="1"/>
  <c r="I132" i="83"/>
  <c r="D132" i="83"/>
  <c r="K132" i="83" s="1"/>
  <c r="L132" i="83" s="1"/>
  <c r="M132" i="83" s="1"/>
  <c r="N132" i="83" s="1"/>
  <c r="G132" i="83" s="1"/>
  <c r="I131" i="83"/>
  <c r="D131" i="83"/>
  <c r="K131" i="83" s="1"/>
  <c r="L131" i="83" s="1"/>
  <c r="M131" i="83" s="1"/>
  <c r="N131" i="83" s="1"/>
  <c r="G131" i="83" s="1"/>
  <c r="I130" i="83"/>
  <c r="D130" i="83"/>
  <c r="K130" i="83" s="1"/>
  <c r="L130" i="83" s="1"/>
  <c r="M130" i="83" s="1"/>
  <c r="N130" i="83" s="1"/>
  <c r="G130" i="83" s="1"/>
  <c r="I129" i="83"/>
  <c r="D129" i="83"/>
  <c r="K129" i="83" s="1"/>
  <c r="L129" i="83" s="1"/>
  <c r="M129" i="83" s="1"/>
  <c r="N129" i="83" s="1"/>
  <c r="G129" i="83" s="1"/>
  <c r="I128" i="83"/>
  <c r="D128" i="83"/>
  <c r="K128" i="83" s="1"/>
  <c r="L128" i="83" s="1"/>
  <c r="M128" i="83" s="1"/>
  <c r="N128" i="83" s="1"/>
  <c r="G128" i="83" s="1"/>
  <c r="I127" i="83"/>
  <c r="D127" i="83"/>
  <c r="K127" i="83" s="1"/>
  <c r="L127" i="83" s="1"/>
  <c r="M127" i="83" s="1"/>
  <c r="N127" i="83" s="1"/>
  <c r="G127" i="83" s="1"/>
  <c r="I126" i="83"/>
  <c r="D126" i="83"/>
  <c r="K126" i="83" s="1"/>
  <c r="L126" i="83" s="1"/>
  <c r="M126" i="83" s="1"/>
  <c r="N126" i="83" s="1"/>
  <c r="G126" i="83" s="1"/>
  <c r="D125" i="83"/>
  <c r="K125" i="83" s="1"/>
  <c r="L125" i="83" s="1"/>
  <c r="M125" i="83" s="1"/>
  <c r="N125" i="83" s="1"/>
  <c r="G125" i="83" s="1"/>
  <c r="I124" i="83"/>
  <c r="D124" i="83"/>
  <c r="K124" i="83" s="1"/>
  <c r="L124" i="83" s="1"/>
  <c r="M124" i="83" s="1"/>
  <c r="N124" i="83" s="1"/>
  <c r="G124" i="83" s="1"/>
  <c r="D123" i="83"/>
  <c r="K123" i="83" s="1"/>
  <c r="L123" i="83" s="1"/>
  <c r="M123" i="83" s="1"/>
  <c r="N123" i="83" s="1"/>
  <c r="G123" i="83" s="1"/>
  <c r="I122" i="83"/>
  <c r="D122" i="83"/>
  <c r="K122" i="83" s="1"/>
  <c r="L122" i="83" s="1"/>
  <c r="M122" i="83" s="1"/>
  <c r="N122" i="83" s="1"/>
  <c r="G122" i="83" s="1"/>
  <c r="I121" i="83"/>
  <c r="D121" i="83"/>
  <c r="K121" i="83" s="1"/>
  <c r="L121" i="83" s="1"/>
  <c r="M121" i="83" s="1"/>
  <c r="N121" i="83" s="1"/>
  <c r="G121" i="83" s="1"/>
  <c r="I120" i="83"/>
  <c r="D120" i="83"/>
  <c r="K120" i="83" s="1"/>
  <c r="L120" i="83" s="1"/>
  <c r="M120" i="83" s="1"/>
  <c r="N120" i="83" s="1"/>
  <c r="G120" i="83" s="1"/>
  <c r="I119" i="83"/>
  <c r="D119" i="83"/>
  <c r="K119" i="83" s="1"/>
  <c r="L119" i="83" s="1"/>
  <c r="M119" i="83" s="1"/>
  <c r="N119" i="83" s="1"/>
  <c r="G119" i="83" s="1"/>
  <c r="I118" i="83"/>
  <c r="D118" i="83"/>
  <c r="K118" i="83" s="1"/>
  <c r="L118" i="83" s="1"/>
  <c r="M118" i="83" s="1"/>
  <c r="N118" i="83" s="1"/>
  <c r="G118" i="83" s="1"/>
  <c r="I117" i="83"/>
  <c r="D117" i="83"/>
  <c r="K117" i="83" s="1"/>
  <c r="L117" i="83" s="1"/>
  <c r="M117" i="83" s="1"/>
  <c r="N117" i="83" s="1"/>
  <c r="G117" i="83" s="1"/>
  <c r="I116" i="83"/>
  <c r="D116" i="83"/>
  <c r="K116" i="83" s="1"/>
  <c r="L116" i="83" s="1"/>
  <c r="M116" i="83" s="1"/>
  <c r="N116" i="83" s="1"/>
  <c r="G116" i="83" s="1"/>
  <c r="I115" i="83"/>
  <c r="D115" i="83"/>
  <c r="K115" i="83" s="1"/>
  <c r="L115" i="83" s="1"/>
  <c r="M115" i="83" s="1"/>
  <c r="N115" i="83" s="1"/>
  <c r="G115" i="83" s="1"/>
  <c r="I114" i="83"/>
  <c r="D114" i="83"/>
  <c r="K114" i="83" s="1"/>
  <c r="L114" i="83" s="1"/>
  <c r="M114" i="83" s="1"/>
  <c r="N114" i="83" s="1"/>
  <c r="G114" i="83" s="1"/>
  <c r="I113" i="83"/>
  <c r="D113" i="83"/>
  <c r="K113" i="83" s="1"/>
  <c r="L113" i="83" s="1"/>
  <c r="M113" i="83" s="1"/>
  <c r="N113" i="83" s="1"/>
  <c r="G113" i="83" s="1"/>
  <c r="I112" i="83"/>
  <c r="D112" i="83"/>
  <c r="K112" i="83" s="1"/>
  <c r="L112" i="83" s="1"/>
  <c r="M112" i="83" s="1"/>
  <c r="N112" i="83" s="1"/>
  <c r="G112" i="83" s="1"/>
  <c r="I111" i="83"/>
  <c r="D111" i="83"/>
  <c r="K111" i="83" s="1"/>
  <c r="L111" i="83" s="1"/>
  <c r="M111" i="83" s="1"/>
  <c r="N111" i="83" s="1"/>
  <c r="G111" i="83" s="1"/>
  <c r="I110" i="83"/>
  <c r="D110" i="83"/>
  <c r="K110" i="83" s="1"/>
  <c r="L110" i="83" s="1"/>
  <c r="M110" i="83" s="1"/>
  <c r="N110" i="83" s="1"/>
  <c r="G110" i="83" s="1"/>
  <c r="I109" i="83"/>
  <c r="D109" i="83"/>
  <c r="K109" i="83" s="1"/>
  <c r="L109" i="83" s="1"/>
  <c r="M109" i="83" s="1"/>
  <c r="N109" i="83" s="1"/>
  <c r="G109" i="83" s="1"/>
  <c r="K107" i="83"/>
  <c r="L107" i="83" s="1"/>
  <c r="I107" i="83"/>
  <c r="K106" i="83"/>
  <c r="L106" i="83" s="1"/>
  <c r="I106" i="83"/>
  <c r="K105" i="83"/>
  <c r="L105" i="83" s="1"/>
  <c r="I105" i="83"/>
  <c r="K104" i="83"/>
  <c r="L104" i="83" s="1"/>
  <c r="K103" i="83"/>
  <c r="L103" i="83" s="1"/>
  <c r="I103" i="83"/>
  <c r="K102" i="83"/>
  <c r="L102" i="83" s="1"/>
  <c r="I102" i="83"/>
  <c r="K101" i="83"/>
  <c r="L101" i="83" s="1"/>
  <c r="I101" i="83"/>
  <c r="K100" i="83"/>
  <c r="L100" i="83" s="1"/>
  <c r="I100" i="83"/>
  <c r="K99" i="83"/>
  <c r="L99" i="83" s="1"/>
  <c r="I99" i="83"/>
  <c r="I98" i="83"/>
  <c r="D98" i="83"/>
  <c r="K98" i="83" s="1"/>
  <c r="L98" i="83" s="1"/>
  <c r="M98" i="83" s="1"/>
  <c r="N98" i="83" s="1"/>
  <c r="G98" i="83" s="1"/>
  <c r="I97" i="83"/>
  <c r="D97" i="83"/>
  <c r="K97" i="83" s="1"/>
  <c r="L97" i="83" s="1"/>
  <c r="M97" i="83" s="1"/>
  <c r="N97" i="83" s="1"/>
  <c r="G97" i="83" s="1"/>
  <c r="K95" i="83"/>
  <c r="L95" i="83" s="1"/>
  <c r="I95" i="83"/>
  <c r="K94" i="83"/>
  <c r="L94" i="83" s="1"/>
  <c r="I94" i="83"/>
  <c r="I93" i="83"/>
  <c r="D93" i="83"/>
  <c r="K93" i="83" s="1"/>
  <c r="L93" i="83" s="1"/>
  <c r="M93" i="83" s="1"/>
  <c r="N93" i="83" s="1"/>
  <c r="G93" i="83" s="1"/>
  <c r="I92" i="83"/>
  <c r="D92" i="83"/>
  <c r="K92" i="83" s="1"/>
  <c r="L92" i="83" s="1"/>
  <c r="M92" i="83" s="1"/>
  <c r="N92" i="83" s="1"/>
  <c r="G92" i="83" s="1"/>
  <c r="D91" i="83"/>
  <c r="K91" i="83" s="1"/>
  <c r="L91" i="83" s="1"/>
  <c r="M91" i="83" s="1"/>
  <c r="N91" i="83" s="1"/>
  <c r="G91" i="83" s="1"/>
  <c r="K89" i="83"/>
  <c r="L89" i="83" s="1"/>
  <c r="I89" i="83"/>
  <c r="K86" i="83"/>
  <c r="L86" i="83" s="1"/>
  <c r="I86" i="83"/>
  <c r="K85" i="83"/>
  <c r="L85" i="83" s="1"/>
  <c r="I85" i="83"/>
  <c r="K84" i="83"/>
  <c r="L84" i="83" s="1"/>
  <c r="I84" i="83"/>
  <c r="N83" i="83"/>
  <c r="G83" i="83" s="1"/>
  <c r="K83" i="83"/>
  <c r="L83" i="83" s="1"/>
  <c r="I83" i="83"/>
  <c r="I82" i="83"/>
  <c r="D82" i="83"/>
  <c r="K82" i="83" s="1"/>
  <c r="L82" i="83" s="1"/>
  <c r="M82" i="83" s="1"/>
  <c r="N82" i="83" s="1"/>
  <c r="G82" i="83" s="1"/>
  <c r="I81" i="83"/>
  <c r="D81" i="83"/>
  <c r="K81" i="83" s="1"/>
  <c r="L81" i="83" s="1"/>
  <c r="M81" i="83" s="1"/>
  <c r="N81" i="83" s="1"/>
  <c r="G81" i="83" s="1"/>
  <c r="K79" i="83"/>
  <c r="L79" i="83" s="1"/>
  <c r="I79" i="83"/>
  <c r="K78" i="83"/>
  <c r="L78" i="83" s="1"/>
  <c r="I78" i="83"/>
  <c r="K77" i="83"/>
  <c r="L77" i="83" s="1"/>
  <c r="I77" i="83"/>
  <c r="K76" i="83"/>
  <c r="L76" i="83" s="1"/>
  <c r="I76" i="83"/>
  <c r="K75" i="83"/>
  <c r="L75" i="83" s="1"/>
  <c r="I75" i="83"/>
  <c r="K74" i="83"/>
  <c r="L74" i="83" s="1"/>
  <c r="I74" i="83"/>
  <c r="K73" i="83"/>
  <c r="L73" i="83" s="1"/>
  <c r="I73" i="83"/>
  <c r="K72" i="83"/>
  <c r="L72" i="83" s="1"/>
  <c r="I72" i="83"/>
  <c r="K71" i="83"/>
  <c r="L71" i="83" s="1"/>
  <c r="I71" i="83"/>
  <c r="K70" i="83"/>
  <c r="L70" i="83" s="1"/>
  <c r="I70" i="83"/>
  <c r="K69" i="83"/>
  <c r="L69" i="83" s="1"/>
  <c r="I69" i="83"/>
  <c r="K68" i="83"/>
  <c r="L68" i="83" s="1"/>
  <c r="I68" i="83"/>
  <c r="K67" i="83"/>
  <c r="L67" i="83" s="1"/>
  <c r="I67" i="83"/>
  <c r="K66" i="83"/>
  <c r="L66" i="83" s="1"/>
  <c r="K65" i="83"/>
  <c r="L65" i="83" s="1"/>
  <c r="I65" i="83"/>
  <c r="K64" i="83"/>
  <c r="L64" i="83" s="1"/>
  <c r="I64" i="83"/>
  <c r="K63" i="83"/>
  <c r="L63" i="83" s="1"/>
  <c r="I63" i="83"/>
  <c r="K62" i="83"/>
  <c r="L62" i="83" s="1"/>
  <c r="I62" i="83"/>
  <c r="K61" i="83"/>
  <c r="L61" i="83" s="1"/>
  <c r="I61" i="83"/>
  <c r="K60" i="83"/>
  <c r="L60" i="83" s="1"/>
  <c r="I60" i="83"/>
  <c r="K59" i="83"/>
  <c r="L59" i="83" s="1"/>
  <c r="I59" i="83"/>
  <c r="K58" i="83"/>
  <c r="L58" i="83" s="1"/>
  <c r="K57" i="83"/>
  <c r="L57" i="83" s="1"/>
  <c r="I57" i="83"/>
  <c r="K56" i="83"/>
  <c r="L56" i="83" s="1"/>
  <c r="I56" i="83"/>
  <c r="K55" i="83"/>
  <c r="L55" i="83" s="1"/>
  <c r="I55" i="83"/>
  <c r="K54" i="83"/>
  <c r="L54" i="83" s="1"/>
  <c r="I54" i="83"/>
  <c r="K53" i="83"/>
  <c r="L53" i="83" s="1"/>
  <c r="I53" i="83"/>
  <c r="K52" i="83"/>
  <c r="L52" i="83" s="1"/>
  <c r="I52" i="83"/>
  <c r="K51" i="83"/>
  <c r="L51" i="83" s="1"/>
  <c r="I51" i="83"/>
  <c r="N50" i="83"/>
  <c r="G50" i="83" s="1"/>
  <c r="K50" i="83"/>
  <c r="L50" i="83" s="1"/>
  <c r="K49" i="83"/>
  <c r="L49" i="83" s="1"/>
  <c r="I49" i="83"/>
  <c r="K48" i="83"/>
  <c r="L48" i="83" s="1"/>
  <c r="I48" i="83"/>
  <c r="K47" i="83"/>
  <c r="L47" i="83" s="1"/>
  <c r="I47" i="83"/>
  <c r="K46" i="83"/>
  <c r="L46" i="83" s="1"/>
  <c r="I46" i="83"/>
  <c r="K45" i="83"/>
  <c r="L45" i="83" s="1"/>
  <c r="I45" i="83"/>
  <c r="K44" i="83"/>
  <c r="L44" i="83" s="1"/>
  <c r="I44" i="83"/>
  <c r="K43" i="83"/>
  <c r="L43" i="83" s="1"/>
  <c r="K42" i="83"/>
  <c r="L42" i="83" s="1"/>
  <c r="I42" i="83"/>
  <c r="K41" i="83"/>
  <c r="L41" i="83" s="1"/>
  <c r="I41" i="83"/>
  <c r="K40" i="83"/>
  <c r="L40" i="83" s="1"/>
  <c r="I40" i="83"/>
  <c r="K39" i="83"/>
  <c r="L39" i="83" s="1"/>
  <c r="I39" i="83"/>
  <c r="K38" i="83"/>
  <c r="L38" i="83" s="1"/>
  <c r="I38" i="83"/>
  <c r="K37" i="83"/>
  <c r="L37" i="83" s="1"/>
  <c r="I37" i="83"/>
  <c r="K36" i="83"/>
  <c r="L36" i="83" s="1"/>
  <c r="I36" i="83"/>
  <c r="K35" i="83"/>
  <c r="L35" i="83" s="1"/>
  <c r="I35" i="83"/>
  <c r="K34" i="83"/>
  <c r="L34" i="83" s="1"/>
  <c r="I34" i="83"/>
  <c r="K33" i="83"/>
  <c r="L33" i="83" s="1"/>
  <c r="I33" i="83"/>
  <c r="K32" i="83"/>
  <c r="L32" i="83" s="1"/>
  <c r="I32" i="83"/>
  <c r="K31" i="83"/>
  <c r="L31" i="83" s="1"/>
  <c r="M31" i="83" s="1"/>
  <c r="N31" i="83" s="1"/>
  <c r="G31" i="83" s="1"/>
  <c r="K30" i="83"/>
  <c r="L30" i="83" s="1"/>
  <c r="M30" i="83" s="1"/>
  <c r="N30" i="83" s="1"/>
  <c r="G30" i="83" s="1"/>
  <c r="K28" i="83"/>
  <c r="L28" i="83" s="1"/>
  <c r="M28" i="83" s="1"/>
  <c r="N28" i="83" s="1"/>
  <c r="G28" i="83" s="1"/>
  <c r="K27" i="83"/>
  <c r="L27" i="83" s="1"/>
  <c r="M27" i="83" s="1"/>
  <c r="N27" i="83" s="1"/>
  <c r="G27" i="83" s="1"/>
  <c r="I27" i="83" s="1"/>
  <c r="K26" i="83"/>
  <c r="L26" i="83" s="1"/>
  <c r="M26" i="83" s="1"/>
  <c r="N26" i="83" s="1"/>
  <c r="G26" i="83" s="1"/>
  <c r="I26" i="83"/>
  <c r="N25" i="83"/>
  <c r="G25" i="83" s="1"/>
  <c r="K25" i="83"/>
  <c r="L25" i="83" s="1"/>
  <c r="K24" i="83"/>
  <c r="L24" i="83" s="1"/>
  <c r="M24" i="83" s="1"/>
  <c r="N24" i="83" s="1"/>
  <c r="G24" i="83" s="1"/>
  <c r="K23" i="83"/>
  <c r="L23" i="83" s="1"/>
  <c r="M23" i="83" s="1"/>
  <c r="N23" i="83" s="1"/>
  <c r="G23" i="83" s="1"/>
  <c r="K22" i="83"/>
  <c r="L22" i="83" s="1"/>
  <c r="M22" i="83" s="1"/>
  <c r="N22" i="83" s="1"/>
  <c r="G22" i="83" s="1"/>
  <c r="I21" i="83"/>
  <c r="D21" i="83"/>
  <c r="K21" i="83" s="1"/>
  <c r="L21" i="83" s="1"/>
  <c r="M21" i="83" s="1"/>
  <c r="N21" i="83" s="1"/>
  <c r="G21" i="83" s="1"/>
  <c r="I20" i="83"/>
  <c r="D20" i="83"/>
  <c r="K20" i="83" s="1"/>
  <c r="L20" i="83" s="1"/>
  <c r="M20" i="83" s="1"/>
  <c r="N20" i="83" s="1"/>
  <c r="G20" i="83" s="1"/>
  <c r="I19" i="83"/>
  <c r="D19" i="83"/>
  <c r="K19" i="83" s="1"/>
  <c r="L19" i="83" s="1"/>
  <c r="M19" i="83" s="1"/>
  <c r="N19" i="83" s="1"/>
  <c r="G19" i="83" s="1"/>
  <c r="I18" i="83"/>
  <c r="D18" i="83"/>
  <c r="K18" i="83" s="1"/>
  <c r="L18" i="83" s="1"/>
  <c r="M18" i="83" s="1"/>
  <c r="N18" i="83" s="1"/>
  <c r="G18" i="83" s="1"/>
  <c r="D17" i="83"/>
  <c r="K17" i="83" s="1"/>
  <c r="L17" i="83" s="1"/>
  <c r="M17" i="83" s="1"/>
  <c r="N17" i="83" s="1"/>
  <c r="G17" i="83" s="1"/>
  <c r="D16" i="83"/>
  <c r="K16" i="83" s="1"/>
  <c r="L16" i="83" s="1"/>
  <c r="M16" i="83" s="1"/>
  <c r="N16" i="83" s="1"/>
  <c r="G16" i="83" s="1"/>
  <c r="D15" i="83"/>
  <c r="K15" i="83" s="1"/>
  <c r="L15" i="83" s="1"/>
  <c r="M15" i="83" s="1"/>
  <c r="N15" i="83" s="1"/>
  <c r="G15" i="83" s="1"/>
  <c r="D14" i="83"/>
  <c r="K14" i="83" s="1"/>
  <c r="L14" i="83" s="1"/>
  <c r="M14" i="83" s="1"/>
  <c r="N14" i="83" s="1"/>
  <c r="G14" i="83" s="1"/>
  <c r="D13" i="83"/>
  <c r="K13" i="83" s="1"/>
  <c r="L13" i="83" s="1"/>
  <c r="M13" i="83" s="1"/>
  <c r="N13" i="83" s="1"/>
  <c r="G13" i="83" s="1"/>
  <c r="D12" i="83"/>
  <c r="K12" i="83" s="1"/>
  <c r="L12" i="83" s="1"/>
  <c r="M12" i="83" s="1"/>
  <c r="N12" i="83" s="1"/>
  <c r="G12" i="83" s="1"/>
  <c r="D11" i="83"/>
  <c r="K11" i="83" s="1"/>
  <c r="L11" i="83" s="1"/>
  <c r="M11" i="83" s="1"/>
  <c r="N11" i="83" s="1"/>
  <c r="G11" i="83" s="1"/>
  <c r="D10" i="83"/>
  <c r="K10" i="83" s="1"/>
  <c r="L10" i="83" s="1"/>
  <c r="M10" i="83" s="1"/>
  <c r="N10" i="83" s="1"/>
  <c r="G10" i="83" s="1"/>
  <c r="D9" i="83"/>
  <c r="K9" i="83" s="1"/>
  <c r="L9" i="83" s="1"/>
  <c r="M9" i="83" s="1"/>
  <c r="N9" i="83" s="1"/>
  <c r="G9" i="83" s="1"/>
  <c r="D8" i="83"/>
  <c r="K8" i="83" s="1"/>
  <c r="L8" i="83" s="1"/>
  <c r="M8" i="83" s="1"/>
  <c r="N8" i="83" s="1"/>
  <c r="G8" i="83" s="1"/>
  <c r="D7" i="83"/>
  <c r="K7" i="83" s="1"/>
  <c r="L7" i="83" s="1"/>
  <c r="M7" i="83" s="1"/>
  <c r="N7" i="83" s="1"/>
  <c r="G7" i="83" s="1"/>
  <c r="D6" i="83"/>
  <c r="K6" i="83" s="1"/>
  <c r="L6" i="83" s="1"/>
  <c r="M6" i="83" s="1"/>
  <c r="N6" i="83" s="1"/>
  <c r="F44" i="82"/>
  <c r="E44" i="82"/>
  <c r="C44" i="82"/>
  <c r="K43" i="82"/>
  <c r="L43" i="82" s="1"/>
  <c r="I43" i="82"/>
  <c r="K42" i="82"/>
  <c r="L42" i="82" s="1"/>
  <c r="I42" i="82"/>
  <c r="K41" i="82"/>
  <c r="L41" i="82" s="1"/>
  <c r="I41" i="82"/>
  <c r="K40" i="82"/>
  <c r="L40" i="82" s="1"/>
  <c r="I40" i="82"/>
  <c r="K39" i="82"/>
  <c r="L39" i="82" s="1"/>
  <c r="M39" i="82" s="1"/>
  <c r="N39" i="82" s="1"/>
  <c r="G39" i="82" s="1"/>
  <c r="I39" i="82"/>
  <c r="K38" i="82"/>
  <c r="L38" i="82" s="1"/>
  <c r="I38" i="82"/>
  <c r="K37" i="82"/>
  <c r="L37" i="82" s="1"/>
  <c r="I37" i="82"/>
  <c r="K36" i="82"/>
  <c r="L36" i="82" s="1"/>
  <c r="I36" i="82"/>
  <c r="K35" i="82"/>
  <c r="L35" i="82" s="1"/>
  <c r="I35" i="82"/>
  <c r="I34" i="82"/>
  <c r="D34" i="82"/>
  <c r="K34" i="82" s="1"/>
  <c r="L34" i="82" s="1"/>
  <c r="M34" i="82" s="1"/>
  <c r="N34" i="82" s="1"/>
  <c r="G34" i="82" s="1"/>
  <c r="I33" i="82"/>
  <c r="D33" i="82"/>
  <c r="K33" i="82" s="1"/>
  <c r="L33" i="82" s="1"/>
  <c r="I32" i="82"/>
  <c r="D32" i="82"/>
  <c r="K32" i="82" s="1"/>
  <c r="L32" i="82" s="1"/>
  <c r="I31" i="82"/>
  <c r="D31" i="82"/>
  <c r="K31" i="82" s="1"/>
  <c r="L31" i="82" s="1"/>
  <c r="D30" i="82"/>
  <c r="K30" i="82" s="1"/>
  <c r="L30" i="82" s="1"/>
  <c r="F27" i="82"/>
  <c r="E27" i="82"/>
  <c r="C27" i="82"/>
  <c r="K24" i="82"/>
  <c r="L24" i="82" s="1"/>
  <c r="I24" i="82"/>
  <c r="K23" i="82"/>
  <c r="L23" i="82" s="1"/>
  <c r="I23" i="82"/>
  <c r="K22" i="82"/>
  <c r="L22" i="82" s="1"/>
  <c r="I22" i="82"/>
  <c r="K21" i="82"/>
  <c r="L21" i="82" s="1"/>
  <c r="I21" i="82"/>
  <c r="K20" i="82"/>
  <c r="L20" i="82" s="1"/>
  <c r="I20" i="82"/>
  <c r="K19" i="82"/>
  <c r="L19" i="82" s="1"/>
  <c r="I19" i="82"/>
  <c r="K18" i="82"/>
  <c r="L18" i="82" s="1"/>
  <c r="G18" i="82" s="1"/>
  <c r="I18" i="82"/>
  <c r="K17" i="82"/>
  <c r="L17" i="82" s="1"/>
  <c r="M17" i="82" s="1"/>
  <c r="N17" i="82" s="1"/>
  <c r="G17" i="82" s="1"/>
  <c r="I17" i="82"/>
  <c r="K16" i="82"/>
  <c r="L16" i="82" s="1"/>
  <c r="M16" i="82" s="1"/>
  <c r="N16" i="82" s="1"/>
  <c r="G16" i="82" s="1"/>
  <c r="I16" i="82"/>
  <c r="L15" i="82"/>
  <c r="M15" i="82" s="1"/>
  <c r="N15" i="82" s="1"/>
  <c r="G15" i="82" s="1"/>
  <c r="I15" i="82"/>
  <c r="K14" i="82"/>
  <c r="L14" i="82" s="1"/>
  <c r="I14" i="82"/>
  <c r="K13" i="82"/>
  <c r="L13" i="82" s="1"/>
  <c r="I13" i="82"/>
  <c r="K12" i="82"/>
  <c r="L12" i="82" s="1"/>
  <c r="I12" i="82"/>
  <c r="K11" i="82"/>
  <c r="L11" i="82" s="1"/>
  <c r="I11" i="82"/>
  <c r="I10" i="82"/>
  <c r="D10" i="82"/>
  <c r="K10" i="82" s="1"/>
  <c r="L10" i="82" s="1"/>
  <c r="M10" i="82" s="1"/>
  <c r="N10" i="82" s="1"/>
  <c r="G10" i="82" s="1"/>
  <c r="I9" i="82"/>
  <c r="D9" i="82"/>
  <c r="K9" i="82" s="1"/>
  <c r="L9" i="82" s="1"/>
  <c r="M9" i="82" s="1"/>
  <c r="N9" i="82" s="1"/>
  <c r="G9" i="82" s="1"/>
  <c r="I8" i="82"/>
  <c r="D8" i="82"/>
  <c r="K8" i="82" s="1"/>
  <c r="L8" i="82" s="1"/>
  <c r="M8" i="82" s="1"/>
  <c r="N8" i="82" s="1"/>
  <c r="H7" i="82"/>
  <c r="I7" i="82" s="1"/>
  <c r="F8" i="81"/>
  <c r="E8" i="81"/>
  <c r="C8" i="81"/>
  <c r="I6" i="81"/>
  <c r="I8" i="81" s="1"/>
  <c r="D6" i="81"/>
  <c r="K6" i="81" s="1"/>
  <c r="L6" i="81" s="1"/>
  <c r="F13" i="80"/>
  <c r="E13" i="80"/>
  <c r="C13" i="80"/>
  <c r="L11" i="80"/>
  <c r="M11" i="80" s="1"/>
  <c r="N11" i="80" s="1"/>
  <c r="G11" i="80" s="1"/>
  <c r="I11" i="80"/>
  <c r="D11" i="80"/>
  <c r="L10" i="80"/>
  <c r="M10" i="80" s="1"/>
  <c r="N10" i="80" s="1"/>
  <c r="G10" i="80" s="1"/>
  <c r="I10" i="80"/>
  <c r="D10" i="80"/>
  <c r="L9" i="80"/>
  <c r="M9" i="80" s="1"/>
  <c r="N9" i="80" s="1"/>
  <c r="G9" i="80" s="1"/>
  <c r="I9" i="80"/>
  <c r="D9" i="80"/>
  <c r="L8" i="80"/>
  <c r="M8" i="80" s="1"/>
  <c r="N8" i="80" s="1"/>
  <c r="G8" i="80" s="1"/>
  <c r="I8" i="80"/>
  <c r="D8" i="80"/>
  <c r="L7" i="80"/>
  <c r="M7" i="80" s="1"/>
  <c r="N7" i="80" s="1"/>
  <c r="G7" i="80" s="1"/>
  <c r="I7" i="80"/>
  <c r="D7" i="80"/>
  <c r="L6" i="80"/>
  <c r="M6" i="80" s="1"/>
  <c r="D6" i="80"/>
  <c r="G14" i="84" l="1"/>
  <c r="E138" i="87"/>
  <c r="I48" i="87"/>
  <c r="M134" i="87"/>
  <c r="N134" i="87" s="1"/>
  <c r="M135" i="87"/>
  <c r="N135" i="87" s="1"/>
  <c r="I181" i="83"/>
  <c r="H193" i="83"/>
  <c r="H128" i="87"/>
  <c r="G6" i="83"/>
  <c r="I10" i="84"/>
  <c r="L143" i="87"/>
  <c r="N143" i="87" s="1"/>
  <c r="N148" i="87" s="1"/>
  <c r="M35" i="84"/>
  <c r="N35" i="84" s="1"/>
  <c r="N12" i="85"/>
  <c r="M14" i="85"/>
  <c r="N14" i="85" s="1"/>
  <c r="N15" i="85" s="1"/>
  <c r="H51" i="87"/>
  <c r="M42" i="83"/>
  <c r="N42" i="83" s="1"/>
  <c r="G42" i="83" s="1"/>
  <c r="N105" i="86"/>
  <c r="O105" i="86" s="1"/>
  <c r="H105" i="86" s="1"/>
  <c r="M13" i="82"/>
  <c r="N13" i="82" s="1"/>
  <c r="G13" i="82" s="1"/>
  <c r="N133" i="87"/>
  <c r="M143" i="83"/>
  <c r="N143" i="83" s="1"/>
  <c r="G143" i="83" s="1"/>
  <c r="M147" i="83"/>
  <c r="N147" i="83" s="1"/>
  <c r="G147" i="83" s="1"/>
  <c r="N101" i="86"/>
  <c r="O101" i="86" s="1"/>
  <c r="H101" i="86" s="1"/>
  <c r="N104" i="86"/>
  <c r="O104" i="86" s="1"/>
  <c r="H104" i="86" s="1"/>
  <c r="M129" i="87"/>
  <c r="N129" i="87" s="1"/>
  <c r="G129" i="87" s="1"/>
  <c r="M132" i="87"/>
  <c r="N132" i="87" s="1"/>
  <c r="G132" i="87" s="1"/>
  <c r="G5" i="87"/>
  <c r="G51" i="87" s="1"/>
  <c r="N51" i="87"/>
  <c r="G55" i="87"/>
  <c r="I5" i="87"/>
  <c r="M103" i="83"/>
  <c r="N103" i="83" s="1"/>
  <c r="G103" i="83" s="1"/>
  <c r="M105" i="83"/>
  <c r="N105" i="83" s="1"/>
  <c r="G105" i="83" s="1"/>
  <c r="M31" i="82"/>
  <c r="N31" i="82" s="1"/>
  <c r="G31" i="82" s="1"/>
  <c r="M33" i="82"/>
  <c r="N33" i="82" s="1"/>
  <c r="G33" i="82" s="1"/>
  <c r="M49" i="83"/>
  <c r="N49" i="83" s="1"/>
  <c r="G49" i="83" s="1"/>
  <c r="M86" i="83"/>
  <c r="N86" i="83" s="1"/>
  <c r="G86" i="83" s="1"/>
  <c r="M104" i="83"/>
  <c r="N104" i="83" s="1"/>
  <c r="G104" i="83" s="1"/>
  <c r="M188" i="83"/>
  <c r="N188" i="83" s="1"/>
  <c r="G188" i="83" s="1"/>
  <c r="M30" i="84"/>
  <c r="N30" i="84" s="1"/>
  <c r="G30" i="84" s="1"/>
  <c r="I134" i="87"/>
  <c r="N8" i="85"/>
  <c r="J123" i="86"/>
  <c r="N138" i="83"/>
  <c r="G138" i="83" s="1"/>
  <c r="M33" i="84"/>
  <c r="N33" i="84" s="1"/>
  <c r="G33" i="84" s="1"/>
  <c r="N11" i="85"/>
  <c r="N13" i="85"/>
  <c r="N103" i="86"/>
  <c r="O103" i="86" s="1"/>
  <c r="H103" i="86" s="1"/>
  <c r="C51" i="87"/>
  <c r="H7" i="86"/>
  <c r="M52" i="83"/>
  <c r="N52" i="83" s="1"/>
  <c r="G52" i="83" s="1"/>
  <c r="M139" i="83"/>
  <c r="N139" i="83" s="1"/>
  <c r="G139" i="83" s="1"/>
  <c r="M152" i="83"/>
  <c r="N152" i="83" s="1"/>
  <c r="G152" i="83" s="1"/>
  <c r="M180" i="83"/>
  <c r="N180" i="83" s="1"/>
  <c r="G180" i="83" s="1"/>
  <c r="N102" i="86"/>
  <c r="O102" i="86" s="1"/>
  <c r="H102" i="86" s="1"/>
  <c r="M184" i="83"/>
  <c r="N184" i="83" s="1"/>
  <c r="G184" i="83" s="1"/>
  <c r="M187" i="83"/>
  <c r="N187" i="83" s="1"/>
  <c r="G187" i="83" s="1"/>
  <c r="M32" i="82"/>
  <c r="N32" i="82" s="1"/>
  <c r="G32" i="82" s="1"/>
  <c r="M60" i="83"/>
  <c r="N60" i="83" s="1"/>
  <c r="G60" i="83" s="1"/>
  <c r="M167" i="83"/>
  <c r="N167" i="83" s="1"/>
  <c r="G167" i="83" s="1"/>
  <c r="I123" i="86"/>
  <c r="M64" i="83"/>
  <c r="N64" i="83" s="1"/>
  <c r="G64" i="83" s="1"/>
  <c r="M66" i="83"/>
  <c r="N66" i="83" s="1"/>
  <c r="G66" i="83" s="1"/>
  <c r="M141" i="83"/>
  <c r="N141" i="83" s="1"/>
  <c r="G141" i="83" s="1"/>
  <c r="M154" i="83"/>
  <c r="N154" i="83" s="1"/>
  <c r="G154" i="83" s="1"/>
  <c r="M156" i="83"/>
  <c r="N156" i="83" s="1"/>
  <c r="G156" i="83" s="1"/>
  <c r="M164" i="83"/>
  <c r="N164" i="83" s="1"/>
  <c r="G164" i="83" s="1"/>
  <c r="M183" i="83"/>
  <c r="N183" i="83" s="1"/>
  <c r="G183" i="83" s="1"/>
  <c r="M38" i="83"/>
  <c r="N38" i="83" s="1"/>
  <c r="G38" i="83" s="1"/>
  <c r="M68" i="83"/>
  <c r="N68" i="83" s="1"/>
  <c r="G68" i="83" s="1"/>
  <c r="M99" i="83"/>
  <c r="N99" i="83" s="1"/>
  <c r="G99" i="83" s="1"/>
  <c r="M151" i="83"/>
  <c r="N151" i="83" s="1"/>
  <c r="G151" i="83" s="1"/>
  <c r="M169" i="83"/>
  <c r="N169" i="83" s="1"/>
  <c r="G169" i="83" s="1"/>
  <c r="M177" i="83"/>
  <c r="N177" i="83" s="1"/>
  <c r="G177" i="83" s="1"/>
  <c r="M38" i="82"/>
  <c r="N38" i="82" s="1"/>
  <c r="G38" i="82" s="1"/>
  <c r="M42" i="82"/>
  <c r="N42" i="82" s="1"/>
  <c r="G42" i="82" s="1"/>
  <c r="M40" i="83"/>
  <c r="N40" i="83" s="1"/>
  <c r="G40" i="83" s="1"/>
  <c r="M46" i="83"/>
  <c r="N46" i="83" s="1"/>
  <c r="G46" i="83" s="1"/>
  <c r="M76" i="83"/>
  <c r="N76" i="83" s="1"/>
  <c r="G76" i="83" s="1"/>
  <c r="M144" i="83"/>
  <c r="N144" i="83" s="1"/>
  <c r="G144" i="83" s="1"/>
  <c r="M166" i="83"/>
  <c r="N166" i="83" s="1"/>
  <c r="G166" i="83" s="1"/>
  <c r="M31" i="84"/>
  <c r="N31" i="84" s="1"/>
  <c r="G31" i="84" s="1"/>
  <c r="M30" i="82"/>
  <c r="N30" i="82" s="1"/>
  <c r="G30" i="82" s="1"/>
  <c r="M45" i="83"/>
  <c r="N45" i="83" s="1"/>
  <c r="G45" i="83" s="1"/>
  <c r="M100" i="83"/>
  <c r="N100" i="83" s="1"/>
  <c r="G100" i="83" s="1"/>
  <c r="M146" i="83"/>
  <c r="N146" i="83" s="1"/>
  <c r="G146" i="83" s="1"/>
  <c r="M163" i="83"/>
  <c r="N163" i="83" s="1"/>
  <c r="G163" i="83" s="1"/>
  <c r="M189" i="83"/>
  <c r="N189" i="83" s="1"/>
  <c r="G189" i="83" s="1"/>
  <c r="M6" i="81"/>
  <c r="M8" i="81" s="1"/>
  <c r="E45" i="82"/>
  <c r="M41" i="83"/>
  <c r="N41" i="83" s="1"/>
  <c r="G41" i="83" s="1"/>
  <c r="M56" i="83"/>
  <c r="N56" i="83" s="1"/>
  <c r="G56" i="83" s="1"/>
  <c r="M58" i="83"/>
  <c r="N58" i="83" s="1"/>
  <c r="G58" i="83" s="1"/>
  <c r="M72" i="83"/>
  <c r="N72" i="83" s="1"/>
  <c r="G72" i="83" s="1"/>
  <c r="M106" i="83"/>
  <c r="N106" i="83" s="1"/>
  <c r="G106" i="83" s="1"/>
  <c r="N137" i="83"/>
  <c r="G137" i="83" s="1"/>
  <c r="M148" i="83"/>
  <c r="N148" i="83" s="1"/>
  <c r="G148" i="83" s="1"/>
  <c r="M155" i="83"/>
  <c r="N155" i="83" s="1"/>
  <c r="G155" i="83" s="1"/>
  <c r="M157" i="83"/>
  <c r="N157" i="83" s="1"/>
  <c r="G157" i="83" s="1"/>
  <c r="M160" i="83"/>
  <c r="N160" i="83" s="1"/>
  <c r="G160" i="83" s="1"/>
  <c r="M165" i="83"/>
  <c r="N165" i="83" s="1"/>
  <c r="G165" i="83" s="1"/>
  <c r="M168" i="83"/>
  <c r="N168" i="83" s="1"/>
  <c r="G168" i="83" s="1"/>
  <c r="M32" i="84"/>
  <c r="N32" i="84" s="1"/>
  <c r="G32" i="84" s="1"/>
  <c r="G10" i="84"/>
  <c r="M20" i="82"/>
  <c r="N20" i="82" s="1"/>
  <c r="G20" i="82" s="1"/>
  <c r="M43" i="83"/>
  <c r="N43" i="83" s="1"/>
  <c r="G43" i="83" s="1"/>
  <c r="I43" i="83"/>
  <c r="I104" i="83"/>
  <c r="M162" i="83"/>
  <c r="N162" i="83" s="1"/>
  <c r="G162" i="83" s="1"/>
  <c r="M37" i="82"/>
  <c r="N37" i="82" s="1"/>
  <c r="G37" i="82" s="1"/>
  <c r="M35" i="83"/>
  <c r="N35" i="83" s="1"/>
  <c r="G35" i="83" s="1"/>
  <c r="M37" i="83"/>
  <c r="N37" i="83" s="1"/>
  <c r="G37" i="83" s="1"/>
  <c r="M89" i="83"/>
  <c r="N89" i="83" s="1"/>
  <c r="G89" i="83" s="1"/>
  <c r="M95" i="83"/>
  <c r="N95" i="83" s="1"/>
  <c r="G95" i="83" s="1"/>
  <c r="M101" i="83"/>
  <c r="N101" i="83" s="1"/>
  <c r="G101" i="83" s="1"/>
  <c r="M150" i="83"/>
  <c r="N150" i="83" s="1"/>
  <c r="G150" i="83" s="1"/>
  <c r="M153" i="83"/>
  <c r="N153" i="83" s="1"/>
  <c r="G153" i="83" s="1"/>
  <c r="I34" i="84"/>
  <c r="M12" i="82"/>
  <c r="N12" i="82" s="1"/>
  <c r="G12" i="82" s="1"/>
  <c r="M22" i="82"/>
  <c r="N22" i="82" s="1"/>
  <c r="G22" i="82" s="1"/>
  <c r="M34" i="83"/>
  <c r="N34" i="83" s="1"/>
  <c r="G34" i="83" s="1"/>
  <c r="M44" i="83"/>
  <c r="N44" i="83" s="1"/>
  <c r="G44" i="83" s="1"/>
  <c r="M47" i="83"/>
  <c r="N47" i="83" s="1"/>
  <c r="G47" i="83" s="1"/>
  <c r="M84" i="83"/>
  <c r="N84" i="83" s="1"/>
  <c r="G84" i="83" s="1"/>
  <c r="M178" i="83"/>
  <c r="N178" i="83" s="1"/>
  <c r="G178" i="83" s="1"/>
  <c r="M182" i="83"/>
  <c r="N182" i="83" s="1"/>
  <c r="G182" i="83" s="1"/>
  <c r="M19" i="82"/>
  <c r="N19" i="82" s="1"/>
  <c r="G19" i="82" s="1"/>
  <c r="M33" i="83"/>
  <c r="N33" i="83" s="1"/>
  <c r="G33" i="83" s="1"/>
  <c r="M36" i="83"/>
  <c r="N36" i="83" s="1"/>
  <c r="G36" i="83" s="1"/>
  <c r="N136" i="83"/>
  <c r="G136" i="83" s="1"/>
  <c r="M140" i="83"/>
  <c r="N140" i="83" s="1"/>
  <c r="G140" i="83" s="1"/>
  <c r="M176" i="83"/>
  <c r="N176" i="83" s="1"/>
  <c r="G176" i="83" s="1"/>
  <c r="M179" i="83"/>
  <c r="N179" i="83" s="1"/>
  <c r="G179" i="83" s="1"/>
  <c r="M181" i="83"/>
  <c r="N181" i="83" s="1"/>
  <c r="G181" i="83" s="1"/>
  <c r="M32" i="83"/>
  <c r="N32" i="83" s="1"/>
  <c r="G32" i="83" s="1"/>
  <c r="M39" i="83"/>
  <c r="N39" i="83" s="1"/>
  <c r="G39" i="83" s="1"/>
  <c r="M48" i="83"/>
  <c r="N48" i="83" s="1"/>
  <c r="G48" i="83" s="1"/>
  <c r="M51" i="83"/>
  <c r="N51" i="83" s="1"/>
  <c r="G51" i="83" s="1"/>
  <c r="M55" i="83"/>
  <c r="N55" i="83" s="1"/>
  <c r="G55" i="83" s="1"/>
  <c r="M59" i="83"/>
  <c r="N59" i="83" s="1"/>
  <c r="G59" i="83" s="1"/>
  <c r="M63" i="83"/>
  <c r="N63" i="83" s="1"/>
  <c r="G63" i="83" s="1"/>
  <c r="M67" i="83"/>
  <c r="N67" i="83" s="1"/>
  <c r="G67" i="83" s="1"/>
  <c r="M71" i="83"/>
  <c r="N71" i="83" s="1"/>
  <c r="G71" i="83" s="1"/>
  <c r="M75" i="83"/>
  <c r="N75" i="83" s="1"/>
  <c r="G75" i="83" s="1"/>
  <c r="M79" i="83"/>
  <c r="N79" i="83" s="1"/>
  <c r="G79" i="83" s="1"/>
  <c r="M85" i="83"/>
  <c r="N85" i="83" s="1"/>
  <c r="G85" i="83" s="1"/>
  <c r="M102" i="83"/>
  <c r="N102" i="83" s="1"/>
  <c r="G102" i="83" s="1"/>
  <c r="M142" i="83"/>
  <c r="N142" i="83" s="1"/>
  <c r="G142" i="83" s="1"/>
  <c r="M145" i="83"/>
  <c r="N145" i="83" s="1"/>
  <c r="G145" i="83" s="1"/>
  <c r="M149" i="83"/>
  <c r="N149" i="83" s="1"/>
  <c r="G149" i="83" s="1"/>
  <c r="M161" i="83"/>
  <c r="N161" i="83" s="1"/>
  <c r="G161" i="83" s="1"/>
  <c r="M185" i="83"/>
  <c r="N185" i="83" s="1"/>
  <c r="G185" i="83" s="1"/>
  <c r="M186" i="83"/>
  <c r="N186" i="83" s="1"/>
  <c r="G186" i="83" s="1"/>
  <c r="M54" i="83"/>
  <c r="N54" i="83" s="1"/>
  <c r="G54" i="83" s="1"/>
  <c r="I158" i="83"/>
  <c r="M158" i="83"/>
  <c r="N158" i="83" s="1"/>
  <c r="G158" i="83" s="1"/>
  <c r="H13" i="80"/>
  <c r="I58" i="83"/>
  <c r="I66" i="83"/>
  <c r="C45" i="82"/>
  <c r="M53" i="83"/>
  <c r="N53" i="83" s="1"/>
  <c r="G53" i="83" s="1"/>
  <c r="M57" i="83"/>
  <c r="N57" i="83" s="1"/>
  <c r="G57" i="83" s="1"/>
  <c r="M61" i="83"/>
  <c r="N61" i="83" s="1"/>
  <c r="G61" i="83" s="1"/>
  <c r="M65" i="83"/>
  <c r="N65" i="83" s="1"/>
  <c r="G65" i="83" s="1"/>
  <c r="M69" i="83"/>
  <c r="N69" i="83" s="1"/>
  <c r="G69" i="83" s="1"/>
  <c r="M73" i="83"/>
  <c r="N73" i="83" s="1"/>
  <c r="G73" i="83" s="1"/>
  <c r="M77" i="83"/>
  <c r="N77" i="83" s="1"/>
  <c r="G77" i="83" s="1"/>
  <c r="I159" i="83"/>
  <c r="M159" i="83"/>
  <c r="N159" i="83" s="1"/>
  <c r="G159" i="83" s="1"/>
  <c r="M62" i="83"/>
  <c r="N62" i="83" s="1"/>
  <c r="G62" i="83" s="1"/>
  <c r="M70" i="83"/>
  <c r="N70" i="83" s="1"/>
  <c r="G70" i="83" s="1"/>
  <c r="M74" i="83"/>
  <c r="N74" i="83" s="1"/>
  <c r="G74" i="83" s="1"/>
  <c r="M78" i="83"/>
  <c r="N78" i="83" s="1"/>
  <c r="G78" i="83" s="1"/>
  <c r="M94" i="83"/>
  <c r="N94" i="83" s="1"/>
  <c r="G94" i="83" s="1"/>
  <c r="G135" i="83"/>
  <c r="I175" i="83"/>
  <c r="M175" i="83"/>
  <c r="N175" i="83" s="1"/>
  <c r="G175" i="83" s="1"/>
  <c r="M21" i="82"/>
  <c r="N21" i="82" s="1"/>
  <c r="G21" i="82" s="1"/>
  <c r="M41" i="82"/>
  <c r="N41" i="82" s="1"/>
  <c r="G41" i="82" s="1"/>
  <c r="M107" i="83"/>
  <c r="N107" i="83" s="1"/>
  <c r="G107" i="83" s="1"/>
  <c r="I174" i="83"/>
  <c r="M174" i="83"/>
  <c r="N174" i="83" s="1"/>
  <c r="G174" i="83" s="1"/>
  <c r="H8" i="81"/>
  <c r="M14" i="82"/>
  <c r="N14" i="82" s="1"/>
  <c r="G14" i="82" s="1"/>
  <c r="M36" i="82"/>
  <c r="N36" i="82" s="1"/>
  <c r="G36" i="82" s="1"/>
  <c r="F45" i="82"/>
  <c r="C8" i="73" s="1"/>
  <c r="I27" i="82"/>
  <c r="M11" i="82"/>
  <c r="N11" i="82" s="1"/>
  <c r="G11" i="82" s="1"/>
  <c r="M23" i="82"/>
  <c r="N23" i="82" s="1"/>
  <c r="G23" i="82" s="1"/>
  <c r="M24" i="82"/>
  <c r="N24" i="82" s="1"/>
  <c r="G24" i="82" s="1"/>
  <c r="M35" i="82"/>
  <c r="N35" i="82" s="1"/>
  <c r="G35" i="82" s="1"/>
  <c r="M40" i="82"/>
  <c r="N40" i="82" s="1"/>
  <c r="G40" i="82" s="1"/>
  <c r="M43" i="82"/>
  <c r="N43" i="82" s="1"/>
  <c r="G43" i="82" s="1"/>
  <c r="G8" i="82"/>
  <c r="H27" i="82"/>
  <c r="H44" i="82"/>
  <c r="I30" i="82"/>
  <c r="I44" i="82" s="1"/>
  <c r="M13" i="80"/>
  <c r="N6" i="80"/>
  <c r="I6" i="80"/>
  <c r="I13" i="80" s="1"/>
  <c r="H124" i="86" l="1"/>
  <c r="I51" i="87"/>
  <c r="C138" i="87"/>
  <c r="C142" i="87" s="1"/>
  <c r="C13" i="73"/>
  <c r="I128" i="87"/>
  <c r="I136" i="87" s="1"/>
  <c r="H136" i="87"/>
  <c r="H138" i="87" s="1"/>
  <c r="I193" i="83"/>
  <c r="N193" i="83"/>
  <c r="G193" i="83"/>
  <c r="N136" i="87"/>
  <c r="N138" i="87" s="1"/>
  <c r="G133" i="87"/>
  <c r="G35" i="84"/>
  <c r="O123" i="86"/>
  <c r="G135" i="87"/>
  <c r="G14" i="85"/>
  <c r="G15" i="85" s="1"/>
  <c r="G11" i="73"/>
  <c r="I37" i="84"/>
  <c r="H37" i="84"/>
  <c r="H45" i="82"/>
  <c r="H123" i="86"/>
  <c r="N6" i="81"/>
  <c r="M34" i="84"/>
  <c r="N34" i="84" s="1"/>
  <c r="G34" i="84" s="1"/>
  <c r="G37" i="84" s="1"/>
  <c r="G44" i="82"/>
  <c r="N27" i="82"/>
  <c r="N44" i="82"/>
  <c r="I45" i="82"/>
  <c r="G27" i="82"/>
  <c r="G6" i="80"/>
  <c r="G13" i="80" s="1"/>
  <c r="N13" i="80"/>
  <c r="I138" i="87" l="1"/>
  <c r="G12" i="73"/>
  <c r="G9" i="73"/>
  <c r="G13" i="73"/>
  <c r="N37" i="84"/>
  <c r="N8" i="81"/>
  <c r="G7" i="73" s="1"/>
  <c r="G6" i="81"/>
  <c r="G8" i="81" s="1"/>
  <c r="G134" i="87"/>
  <c r="G136" i="87" s="1"/>
  <c r="G138" i="87" s="1"/>
  <c r="G45" i="82"/>
  <c r="N45" i="82"/>
  <c r="G8" i="73" s="1"/>
  <c r="G10" i="73" l="1"/>
  <c r="F19" i="73" l="1"/>
  <c r="G19" i="73"/>
  <c r="B19" i="73"/>
  <c r="H14" i="73"/>
  <c r="H22" i="73" s="1"/>
  <c r="F14" i="73"/>
  <c r="I13" i="73"/>
  <c r="I12" i="73"/>
  <c r="C12" i="73"/>
  <c r="K12" i="73"/>
  <c r="I11" i="73"/>
  <c r="C11" i="73"/>
  <c r="K11" i="73"/>
  <c r="I10" i="73"/>
  <c r="K10" i="73"/>
  <c r="I8" i="73"/>
  <c r="K8" i="73"/>
  <c r="I7" i="73"/>
  <c r="K7" i="73"/>
  <c r="G6" i="73"/>
  <c r="I6" i="73" s="1"/>
  <c r="D14" i="73" l="1"/>
  <c r="E7" i="73"/>
  <c r="F22" i="73"/>
  <c r="I9" i="73"/>
  <c r="I14" i="73" s="1"/>
  <c r="E9" i="73"/>
  <c r="J7" i="73"/>
  <c r="E13" i="73"/>
  <c r="J13" i="73" s="1"/>
  <c r="K9" i="73"/>
  <c r="K13" i="73"/>
  <c r="E18" i="73"/>
  <c r="E19" i="73" s="1"/>
  <c r="E10" i="73"/>
  <c r="J10" i="73" s="1"/>
  <c r="I16" i="73"/>
  <c r="K18" i="73"/>
  <c r="K19" i="73" s="1"/>
  <c r="K20" i="73" s="1"/>
  <c r="C14" i="73"/>
  <c r="G14" i="73"/>
  <c r="G22" i="73" s="1"/>
  <c r="K24" i="73" s="1"/>
  <c r="E6" i="73"/>
  <c r="K6" i="73"/>
  <c r="E11" i="73"/>
  <c r="J11" i="73" s="1"/>
  <c r="I18" i="73"/>
  <c r="E8" i="73"/>
  <c r="J8" i="73" s="1"/>
  <c r="E12" i="73"/>
  <c r="J12" i="73" s="1"/>
  <c r="D22" i="73" l="1"/>
  <c r="M14" i="73"/>
  <c r="L25" i="73"/>
  <c r="C22" i="73"/>
  <c r="I19" i="73"/>
  <c r="J9" i="73"/>
  <c r="K14" i="73"/>
  <c r="K22" i="73" s="1"/>
  <c r="B22" i="73"/>
  <c r="I22" i="73"/>
  <c r="J18" i="73"/>
  <c r="E14" i="73"/>
  <c r="E22" i="73" s="1"/>
  <c r="J6" i="73"/>
  <c r="J14" i="73" l="1"/>
  <c r="J19" i="73"/>
  <c r="J22" i="73" l="1"/>
  <c r="K25" i="73" s="1"/>
  <c r="M25" i="73" s="1"/>
  <c r="M26" i="73" s="1"/>
  <c r="G146" i="87"/>
  <c r="G148" i="87" s="1"/>
  <c r="E148" i="87"/>
  <c r="H148" i="87"/>
  <c r="I148" i="87" l="1"/>
  <c r="D8" i="88" l="1"/>
  <c r="D21" i="88"/>
</calcChain>
</file>

<file path=xl/sharedStrings.xml><?xml version="1.0" encoding="utf-8"?>
<sst xmlns="http://schemas.openxmlformats.org/spreadsheetml/2006/main" count="1224" uniqueCount="622">
  <si>
    <t>N E T B L O C K</t>
  </si>
  <si>
    <t>Capital Work-In-Progress</t>
  </si>
  <si>
    <t>FREEHOLD LAND</t>
  </si>
  <si>
    <t>OFFICE EQUIPMENT</t>
  </si>
  <si>
    <t>FURNITURE &amp; FIXTURE</t>
  </si>
  <si>
    <t>TOTAL</t>
  </si>
  <si>
    <t>Additions</t>
  </si>
  <si>
    <t>Particulars</t>
  </si>
  <si>
    <t>BUILDING</t>
  </si>
  <si>
    <t>GRAND TOTAL</t>
  </si>
  <si>
    <t>D E P R E C I A T I O N</t>
  </si>
  <si>
    <t>Adjustment</t>
  </si>
  <si>
    <t xml:space="preserve"> </t>
  </si>
  <si>
    <t>LEASE HOLD RIGHT</t>
  </si>
  <si>
    <t>ELECTRICAL INSTALLATION</t>
  </si>
  <si>
    <t>Others</t>
  </si>
  <si>
    <t>NOTE NO. 9</t>
  </si>
  <si>
    <t>PLANT &amp; EQUIPMENT</t>
  </si>
  <si>
    <t>CENTURY ALUMINIUM MANUFACTRUING CO LTD. (KOLKATA)</t>
  </si>
  <si>
    <t>G R O S S  B L O C K</t>
  </si>
  <si>
    <t>Sales/ Adjustment</t>
  </si>
  <si>
    <t>For the Year</t>
  </si>
  <si>
    <t>VEHICLES</t>
  </si>
  <si>
    <t>PREVIOUS YEAR</t>
  </si>
  <si>
    <t>INTANGIBLE ASSETS</t>
  </si>
  <si>
    <t>COMPUTER SOFTWARE</t>
  </si>
  <si>
    <t>Conveyer &amp; Vibrating Screen</t>
  </si>
  <si>
    <t>Dross Recovery Shed</t>
  </si>
  <si>
    <t>LAND</t>
  </si>
  <si>
    <t>PRINTER</t>
  </si>
  <si>
    <t>Structural Shed &amp; Flooring</t>
  </si>
  <si>
    <t>TROLLY</t>
  </si>
  <si>
    <t>Grand Total</t>
  </si>
  <si>
    <t>Building</t>
  </si>
  <si>
    <t>Sl. No.</t>
  </si>
  <si>
    <t xml:space="preserve">              P a r t i c u l a r s</t>
  </si>
  <si>
    <t>Original Cost/Gross Block</t>
  </si>
  <si>
    <t>Date</t>
  </si>
  <si>
    <t xml:space="preserve">  Addition</t>
  </si>
  <si>
    <t>5% Residual value</t>
  </si>
  <si>
    <t>Balance 95%</t>
  </si>
  <si>
    <t>Estimated Life as per Co. Act 2013</t>
  </si>
  <si>
    <t>Life already Expired</t>
  </si>
  <si>
    <t>Balance life</t>
  </si>
  <si>
    <t xml:space="preserve">Rate of Dep. </t>
  </si>
  <si>
    <t>Dep. Amount during the year</t>
  </si>
  <si>
    <t>A</t>
  </si>
  <si>
    <t>At Kharda</t>
  </si>
  <si>
    <t>B</t>
  </si>
  <si>
    <t>At Mankundu</t>
  </si>
  <si>
    <t>Land Development at Mankundu</t>
  </si>
  <si>
    <t>Allocated expenses</t>
  </si>
  <si>
    <t>Agricultural To Industrial</t>
  </si>
  <si>
    <t>Holiday Resort</t>
  </si>
  <si>
    <t>CENTURY ALUMINIUM MFG. CO. LTD.</t>
  </si>
  <si>
    <t>RAJA ROAD, SUKCHAR</t>
  </si>
  <si>
    <t>KOLKATA</t>
  </si>
  <si>
    <t>P a r t i c u l a r s</t>
  </si>
  <si>
    <t>Factory Building</t>
  </si>
  <si>
    <t>Factory Shed &amp; Godown</t>
  </si>
  <si>
    <t>Factory Wall</t>
  </si>
  <si>
    <t>Factory Road</t>
  </si>
  <si>
    <t>New Shed (FB)</t>
  </si>
  <si>
    <t>Old Shed (FB)</t>
  </si>
  <si>
    <t>LTDG Room (FB)</t>
  </si>
  <si>
    <t>Admn.Building (Gr.Fl.)</t>
  </si>
  <si>
    <t xml:space="preserve">Deep Tubewell (FB) </t>
  </si>
  <si>
    <t>Water Pipe Line (FB)</t>
  </si>
  <si>
    <t>Boundary Wall</t>
  </si>
  <si>
    <t>Main Gate</t>
  </si>
  <si>
    <t>Worker's Toilet</t>
  </si>
  <si>
    <t>Septic Tank</t>
  </si>
  <si>
    <t>New Shed (FB - R/M)</t>
  </si>
  <si>
    <t>(A)</t>
  </si>
  <si>
    <t>Non Factory Building</t>
  </si>
  <si>
    <t>Sodpur Flat - B</t>
  </si>
  <si>
    <t>Madras Flat</t>
  </si>
  <si>
    <t>Sodpur Flat - C</t>
  </si>
  <si>
    <t>Boundry wall (Mankundu)</t>
  </si>
  <si>
    <t>Admn.Building (1st.fl.,2nd fl.,3rd fl.)</t>
  </si>
  <si>
    <t>Admn.Building (Staircase Railing)</t>
  </si>
  <si>
    <t>Security Room</t>
  </si>
  <si>
    <t>Change Room</t>
  </si>
  <si>
    <t>Factory Shed-3 no</t>
  </si>
  <si>
    <t>Civil Work (Flooring)</t>
  </si>
  <si>
    <t xml:space="preserve"> Store Yard Partition Wall-12</t>
  </si>
  <si>
    <t>(B)</t>
  </si>
  <si>
    <t>(A+B)</t>
  </si>
  <si>
    <t>No.</t>
  </si>
  <si>
    <t>C</t>
  </si>
  <si>
    <t>PLANT &amp; MACHINERIES</t>
  </si>
  <si>
    <t>DHP 100  HOT CHAMBER PDC</t>
  </si>
  <si>
    <t>1 No.Bhati</t>
  </si>
  <si>
    <t>1 No.Furnace</t>
  </si>
  <si>
    <t>1 No Pumping Machine</t>
  </si>
  <si>
    <t>ii</t>
  </si>
  <si>
    <t>1 No.Hand Lever Machine</t>
  </si>
  <si>
    <t>1 No.Furnace (Wesman)</t>
  </si>
  <si>
    <t>iii</t>
  </si>
  <si>
    <t>10 h.p.motors for oil tank</t>
  </si>
  <si>
    <t>Pumping &amp; Heating machine</t>
  </si>
  <si>
    <t>1 no oil tank(10 K.L.)</t>
  </si>
  <si>
    <t>Shots machine</t>
  </si>
  <si>
    <t>Time Recorder machine</t>
  </si>
  <si>
    <t>2 Nos Motor(Siemens) for oil tank</t>
  </si>
  <si>
    <t>1 No Furnace(Shyam Engg.)</t>
  </si>
  <si>
    <t>i</t>
  </si>
  <si>
    <t>2 Nos Furnace (Niharika)</t>
  </si>
  <si>
    <t>3 Nos Fire Engine(50 Ltr.)</t>
  </si>
  <si>
    <t>2 Nos Fire Engine(22.5kg.)</t>
  </si>
  <si>
    <t>1 No Furnace Top Cover</t>
  </si>
  <si>
    <t xml:space="preserve">1No Bag Closing Machine </t>
  </si>
  <si>
    <t>2No Bag Closing Machine</t>
  </si>
  <si>
    <t>1No Bag Closing Machine (Kutir)</t>
  </si>
  <si>
    <t>1No M S Shot Plate</t>
  </si>
  <si>
    <t>1No Strapping Machine</t>
  </si>
  <si>
    <t>Oil Tank for Furnace</t>
  </si>
  <si>
    <t>Chimney ( Industrial Equip Engg)</t>
  </si>
  <si>
    <t>Section Cutting Machine</t>
  </si>
  <si>
    <t>Sample Cutting Machine</t>
  </si>
  <si>
    <t>Shorts Plate Machine</t>
  </si>
  <si>
    <t>Welding Machine</t>
  </si>
  <si>
    <t>Caster (Rotary)</t>
  </si>
  <si>
    <t>Rotary Caster Distributor (Allied Ther.)</t>
  </si>
  <si>
    <t>Rotary Caster Distributor (Amit Cast.)</t>
  </si>
  <si>
    <t>Surface Drain</t>
  </si>
  <si>
    <t>Main Oil Storage Tank</t>
  </si>
  <si>
    <t>Heating &amp; Pumping Unit 1</t>
  </si>
  <si>
    <t>Heating &amp; Pumping Unit 2</t>
  </si>
  <si>
    <t>Furnace Oil Pipe Line</t>
  </si>
  <si>
    <t>Oil Service Tank 1</t>
  </si>
  <si>
    <t>Oil Service Tank 2</t>
  </si>
  <si>
    <t>Oil Service Tank 3</t>
  </si>
  <si>
    <t xml:space="preserve">Chimney </t>
  </si>
  <si>
    <t>Ducts &amp; Hoods for Chimney</t>
  </si>
  <si>
    <t>ID Fan for Chimney</t>
  </si>
  <si>
    <t>2 Nos. Bag Closing Machine</t>
  </si>
  <si>
    <t>1 No.Automatic Flux Feeder Machine</t>
  </si>
  <si>
    <t>1 No. Portable Oil Burner</t>
  </si>
  <si>
    <t>1 No. Nibler Hydraulic Machine(CNFC)</t>
  </si>
  <si>
    <t>1 NoNibler Hydraulic Machine(Advance Hyd)</t>
  </si>
  <si>
    <t>Crank for Nibler Hydraulic Machine(Adv.Hyd)</t>
  </si>
  <si>
    <t>6 No. Wind Driven Eco Ventilator(Syguru)</t>
  </si>
  <si>
    <t xml:space="preserve">6 No. Wind Driven Eco Ventilator(Syguru)  </t>
  </si>
  <si>
    <t>LAXSON' Metal Cutting Bandsaw Machine</t>
  </si>
  <si>
    <t>Hydraulic Manual Stacker (Puma Lift)</t>
  </si>
  <si>
    <t>Outflow Heater of 2nd main oil storage Tank</t>
  </si>
  <si>
    <t>Baling Press</t>
  </si>
  <si>
    <t>Shots Plate</t>
  </si>
  <si>
    <t xml:space="preserve">Dross Recovery Machine (Preetam) </t>
  </si>
  <si>
    <t xml:space="preserve">Dross Recovery Machine (Preetam)  </t>
  </si>
  <si>
    <t>2No. Furnace (Kutir)</t>
  </si>
  <si>
    <t>1No. Furnace (Kutir)</t>
  </si>
  <si>
    <t>Gas Cutter Machine (Kutir)</t>
  </si>
  <si>
    <t>Oil Service Tank (3 nos.)</t>
  </si>
  <si>
    <t>Heating &amp; Pumping Unit (3 nos.)</t>
  </si>
  <si>
    <t>Vibrating Screen (Old &amp; Used) CNFC</t>
  </si>
  <si>
    <t>1 no. Scrap Bailing Press</t>
  </si>
  <si>
    <t>1 no. Vacuum Testing Machine</t>
  </si>
  <si>
    <t>4 nos. Fire Extinguisher</t>
  </si>
  <si>
    <t xml:space="preserve">1No Bag Closing Machine  </t>
  </si>
  <si>
    <t xml:space="preserve">1No Bag Closing Machine   </t>
  </si>
  <si>
    <t>1No old &amp; used Bailing Press</t>
  </si>
  <si>
    <t>1No Ball mill Drum</t>
  </si>
  <si>
    <t>Crompton Submarsible pump</t>
  </si>
  <si>
    <t>Weighing Scale</t>
  </si>
  <si>
    <t>1 No.1000 K.gs</t>
  </si>
  <si>
    <t>1 No.500 K.gs</t>
  </si>
  <si>
    <t>Avery 1000 KGS (KUK)</t>
  </si>
  <si>
    <t>ii)</t>
  </si>
  <si>
    <t>Electronic Weighing Machine</t>
  </si>
  <si>
    <t>iii)</t>
  </si>
  <si>
    <t>Electronic Weighing Machine (2000K.G.)</t>
  </si>
  <si>
    <t>iv)</t>
  </si>
  <si>
    <t>Electronic Weighing Machine (100 Kgs)</t>
  </si>
  <si>
    <t>v)</t>
  </si>
  <si>
    <t>Generator</t>
  </si>
  <si>
    <t>DG Set (Factory)</t>
  </si>
  <si>
    <t>Laboretory equipment</t>
  </si>
  <si>
    <t>1.Vaccum Pump &amp; Acessories</t>
  </si>
  <si>
    <t>1 No.Drilling Machine</t>
  </si>
  <si>
    <t>1 No Calorimeter</t>
  </si>
  <si>
    <t>Spectrometer</t>
  </si>
  <si>
    <t>1 NO.PLASMA GENERATOR W/LGNITION</t>
  </si>
  <si>
    <t>Trolly</t>
  </si>
  <si>
    <t>Grinding machine</t>
  </si>
  <si>
    <t xml:space="preserve">2 Nos. Trolly </t>
  </si>
  <si>
    <t>2 Nos.Trolly (Kali Mata Industries)</t>
  </si>
  <si>
    <t>2 Nos.Trolly (Voltas Limited)</t>
  </si>
  <si>
    <t>1 No.Trolly (Kali Mata Industries)</t>
  </si>
  <si>
    <t>2 Nos.Hand Pallet Truck (Voltas Ltd)</t>
  </si>
  <si>
    <t>2 nos. HP Truck with Nylon Wheels</t>
  </si>
  <si>
    <t>3 Nos. Hand Trolly</t>
  </si>
  <si>
    <t>1 No.Hydralic Hand Pallet Truck (Macneil)</t>
  </si>
  <si>
    <t>1 No.Hydralic Hand Pallet Truck (McCoy)</t>
  </si>
  <si>
    <t>DICE &amp; MOULD</t>
  </si>
  <si>
    <t>Balaji</t>
  </si>
  <si>
    <t>do</t>
  </si>
  <si>
    <t xml:space="preserve">do </t>
  </si>
  <si>
    <t xml:space="preserve">do  </t>
  </si>
  <si>
    <t xml:space="preserve">do   </t>
  </si>
  <si>
    <t>Swastik</t>
  </si>
  <si>
    <t xml:space="preserve">do    </t>
  </si>
  <si>
    <t xml:space="preserve">do     </t>
  </si>
  <si>
    <t xml:space="preserve">do      </t>
  </si>
  <si>
    <t>13 Pcs Caste Plate</t>
  </si>
  <si>
    <t>206 Pcs C.I.Casting</t>
  </si>
  <si>
    <t>43 Pcs C.I.Casting Die</t>
  </si>
  <si>
    <t>C.I.Casting Die</t>
  </si>
  <si>
    <t>48 Pcs C.I.Ingot</t>
  </si>
  <si>
    <t>9 Pcs C.I.Crucible</t>
  </si>
  <si>
    <t>2910 K.G.Cast &amp; C.I</t>
  </si>
  <si>
    <t>2070 K.G.Cast &amp; C.I</t>
  </si>
  <si>
    <t>1850k.g.cast &amp; c.i.</t>
  </si>
  <si>
    <t>723k.g.cast &amp; c.i.</t>
  </si>
  <si>
    <t>409k.g.cast &amp; c.i.</t>
  </si>
  <si>
    <t>1021k.g.cast &amp; c.i.</t>
  </si>
  <si>
    <t>2351k.g.cast &amp; c.i.</t>
  </si>
  <si>
    <t>274k.g.cast &amp; c.i.</t>
  </si>
  <si>
    <t>269k.g.cast &amp; c.i.</t>
  </si>
  <si>
    <t>1485k.g.cast &amp; c.i.</t>
  </si>
  <si>
    <t>10 Sets Al.slab Die machining</t>
  </si>
  <si>
    <t>1KG Notch Bar Dice- 148 nos.</t>
  </si>
  <si>
    <t>10 kg Zinc Ingot Dice - 35 nos.</t>
  </si>
  <si>
    <t>8 kg Ingot Dice - 6 nos.</t>
  </si>
  <si>
    <t>Cube Dice - 49 Nos.</t>
  </si>
  <si>
    <t>8 kg Ingot Dice - 60 nos. (Amit Cas)</t>
  </si>
  <si>
    <t>6 kg Ingot Dice - 60 nos. (Amit Cas)</t>
  </si>
  <si>
    <t>Star Dice -56 nos.(450 to 500 gm.)</t>
  </si>
  <si>
    <t>1 Complete set -2 Cavity Mould (IEE)</t>
  </si>
  <si>
    <t>6 kg Ingot Dice - 6 nos. (Amit Cas)</t>
  </si>
  <si>
    <t>6 kg Ingot Dice - 44 nos. (Amit Cas)</t>
  </si>
  <si>
    <t>Ingot Dice - 32 Pcs. (Amit Castings)</t>
  </si>
  <si>
    <t>Ingot Dice - 18 Pcs. (Amit Castings)</t>
  </si>
  <si>
    <t>Die for Test Bar (CNFC)</t>
  </si>
  <si>
    <t>864.650 kgs C.I.Castings</t>
  </si>
  <si>
    <t>1 pc. Dice &amp; Mould (CNFC)</t>
  </si>
  <si>
    <t>20 pcs. Dice of Notch Bar</t>
  </si>
  <si>
    <t>40 pcs. Dice of Notch Bar</t>
  </si>
  <si>
    <t>60 pcs. Dice of Notch Bar</t>
  </si>
  <si>
    <t>50 pcs. Dice of Notch Bar</t>
  </si>
  <si>
    <t>125 pcs. Dice of Notch Bar</t>
  </si>
  <si>
    <t>149 pcs. Dice of Notch Bar &amp; Lumps</t>
  </si>
  <si>
    <t>14 pcs. Dice of Lump</t>
  </si>
  <si>
    <t>13 pcs. Dice of Lump</t>
  </si>
  <si>
    <t>23 pcs. Dice of Lump</t>
  </si>
  <si>
    <t>172 pcs. Dice of Cubes,Notch Bar &amp; Lumps</t>
  </si>
  <si>
    <t>134 pcs. Dice of Notch Bar &amp; Lumps</t>
  </si>
  <si>
    <t>147 pcs. Dice of Notch Bar &amp; Lumps</t>
  </si>
  <si>
    <t>178 pcs. Dice of Notch Bar &amp; Lumps</t>
  </si>
  <si>
    <t>212 pcs. Dice of Notcg Bar</t>
  </si>
  <si>
    <t>25 Pcs. Dice of Alloy Ingot</t>
  </si>
  <si>
    <t>27 Pcs. Dice of Cubes</t>
  </si>
  <si>
    <t>23 Pcs. Dice of Cubes</t>
  </si>
  <si>
    <t>50 Pcs. Dice of Cubes</t>
  </si>
  <si>
    <t>51 Pcs. Dice of Cubes</t>
  </si>
  <si>
    <t xml:space="preserve">51 Pcs. Dice of Cubes  </t>
  </si>
  <si>
    <t>Water System (Mankundu)</t>
  </si>
  <si>
    <t>Water Pump</t>
  </si>
  <si>
    <t>Syntex Tank</t>
  </si>
  <si>
    <t>DICES &amp; MOUDLES</t>
  </si>
  <si>
    <t>HYDRAULIC CYLINDER, PRESSURE BLOCK</t>
  </si>
  <si>
    <t>BAILING PRESS MACHINE</t>
  </si>
  <si>
    <t>1 NO. CHIMNEY</t>
  </si>
  <si>
    <t>BAG STICHING MSCHINR</t>
  </si>
  <si>
    <t>FURNANCE OIL WATER TEST MACHINE</t>
  </si>
  <si>
    <t>HYDRAULIC SHEARING MACHINE</t>
  </si>
  <si>
    <t>LABORATORY EQUIPMENT</t>
  </si>
  <si>
    <t>NIBBLER HYDRALIC MACHINE</t>
  </si>
  <si>
    <t>INDUCTION MOTOR</t>
  </si>
  <si>
    <t>Chimney</t>
  </si>
  <si>
    <t>Fume Extraction System-2</t>
  </si>
  <si>
    <t>D</t>
  </si>
  <si>
    <t>2 Nos Fan</t>
  </si>
  <si>
    <t>Elec.fittings in office</t>
  </si>
  <si>
    <t>Elec.fittings in Factory</t>
  </si>
  <si>
    <t>Elec.Install with equipment</t>
  </si>
  <si>
    <t>Air Conditioner (2 Nos)</t>
  </si>
  <si>
    <t xml:space="preserve">Air Conditioner </t>
  </si>
  <si>
    <t>voltage Stabilizer (2 Nos)</t>
  </si>
  <si>
    <t>Spare Parts &amp; Fittings (Fact)</t>
  </si>
  <si>
    <t>Videocon Split Aircondition</t>
  </si>
  <si>
    <t>Air Conditioner / ADMACO</t>
  </si>
  <si>
    <t>AC - LG Split /ADMACO</t>
  </si>
  <si>
    <t>Electrical Installation for Furnace</t>
  </si>
  <si>
    <t>AC-Daikin Shriram</t>
  </si>
  <si>
    <t>Electrical Installation at Factory</t>
  </si>
  <si>
    <t>LG  1.5 TON WINDOW AC</t>
  </si>
  <si>
    <t>Electrical Installation for 3 Furnace</t>
  </si>
  <si>
    <t>5 Nos. old &amp; used AC machine(NDSA)</t>
  </si>
  <si>
    <t>1 no. old &amp; used AC machine (VCML)</t>
  </si>
  <si>
    <t>Air Conditioner (Hitachi)</t>
  </si>
  <si>
    <t>Air Conditioner (Carrier)</t>
  </si>
  <si>
    <t xml:space="preserve">      P a r t ic u l a r s</t>
  </si>
  <si>
    <t>J</t>
  </si>
  <si>
    <t>VEHICLE</t>
  </si>
  <si>
    <t>MOTOR CAR</t>
  </si>
  <si>
    <t>WB-02X-7463(Cheverolet)</t>
  </si>
  <si>
    <t>WB-24K-8697 (Tata Nano)</t>
  </si>
  <si>
    <t>MOTOR CYCLE</t>
  </si>
  <si>
    <t>WB-01-H-9279</t>
  </si>
  <si>
    <t>WB-20Q-0822 (Amit Motorcycles)</t>
  </si>
  <si>
    <t>WB-07A-3894 (Hero Honda- Glamourdrs)</t>
  </si>
  <si>
    <t>JH-05AH-8098 (Pleasure -10 Black)</t>
  </si>
  <si>
    <t>Furniture / Fixture</t>
  </si>
  <si>
    <t>5 Nos Fan</t>
  </si>
  <si>
    <t>2 Nos Almirah</t>
  </si>
  <si>
    <t>3 Nos Tables</t>
  </si>
  <si>
    <t>6 Nos Chairs</t>
  </si>
  <si>
    <t>Wooden structure</t>
  </si>
  <si>
    <t>4 Nos Fan</t>
  </si>
  <si>
    <t>1 No Fan</t>
  </si>
  <si>
    <t>1 No.Table &amp; Chair ( FBD )</t>
  </si>
  <si>
    <t>Water Rotofic System</t>
  </si>
  <si>
    <t>Heavy electric Fan (Factory)</t>
  </si>
  <si>
    <t>Bombay Safe Almirah</t>
  </si>
  <si>
    <t>Almirah from Raj &amp; Raj</t>
  </si>
  <si>
    <t>off.Furniture etc.(Plywood)</t>
  </si>
  <si>
    <t>Office Cabinet,tables,chairs</t>
  </si>
  <si>
    <t>4 Nos staffs tables</t>
  </si>
  <si>
    <t>Office Cabinet,Shelf etc.</t>
  </si>
  <si>
    <t>1 No Air Cool Fan</t>
  </si>
  <si>
    <t>2 Nos Exhaust Fan Heavy Duty</t>
  </si>
  <si>
    <t>2.Wooden Cabinet</t>
  </si>
  <si>
    <t>Water cooler</t>
  </si>
  <si>
    <t>1.pc Wardrobe</t>
  </si>
  <si>
    <t>2 pcs revol.chair</t>
  </si>
  <si>
    <t>3pc revol.com.chair</t>
  </si>
  <si>
    <t>1no.revol.com.chair</t>
  </si>
  <si>
    <t>Centre Table</t>
  </si>
  <si>
    <t>Sofa SideTable</t>
  </si>
  <si>
    <t>Bed Side Table</t>
  </si>
  <si>
    <t>Almirah</t>
  </si>
  <si>
    <t>Dressing Table</t>
  </si>
  <si>
    <t>Dinning Table</t>
  </si>
  <si>
    <t>Chair</t>
  </si>
  <si>
    <t>Dinning Cup Board</t>
  </si>
  <si>
    <t>Wall Almirah</t>
  </si>
  <si>
    <t>Wall Cup Board</t>
  </si>
  <si>
    <t>Toilet Almirah</t>
  </si>
  <si>
    <t>T.V.Cabinet</t>
  </si>
  <si>
    <t>Kithen Cup Board</t>
  </si>
  <si>
    <t>Shoe Almirah</t>
  </si>
  <si>
    <t>Key Box</t>
  </si>
  <si>
    <t>File Box</t>
  </si>
  <si>
    <t>Reading Table</t>
  </si>
  <si>
    <t>Window Curtain Rod</t>
  </si>
  <si>
    <t>Cane Chair</t>
  </si>
  <si>
    <t>Cane Table</t>
  </si>
  <si>
    <t>Fan</t>
  </si>
  <si>
    <t>Oil Paintig Picture</t>
  </si>
  <si>
    <t>1 pcs. Single Bed</t>
  </si>
  <si>
    <t>1 pcs Dinning Table</t>
  </si>
  <si>
    <t>4 pcs.Chair</t>
  </si>
  <si>
    <t>1 pcs Wall Almirah</t>
  </si>
  <si>
    <t>1 pcs Centre Table</t>
  </si>
  <si>
    <t>1 pcs Sofa Table</t>
  </si>
  <si>
    <t>1 pcs Bed Side Table</t>
  </si>
  <si>
    <t>1 pcs KithenCupBoard</t>
  </si>
  <si>
    <t>1 pcs Toilet Almirah</t>
  </si>
  <si>
    <t>1 pcs File Box</t>
  </si>
  <si>
    <t>1 pcs Key Box</t>
  </si>
  <si>
    <t>1 pcs Almirah</t>
  </si>
  <si>
    <t>1 pcsSteelRoadFixing</t>
  </si>
  <si>
    <t>1 pcs Sunmaika Bed</t>
  </si>
  <si>
    <t>1 pcs Mattress</t>
  </si>
  <si>
    <t>3 pcs Fan</t>
  </si>
  <si>
    <t>1 pcs Steel Almirah</t>
  </si>
  <si>
    <t>1 pc Steel Off Table</t>
  </si>
  <si>
    <t>1 pc Steel Off.Chair</t>
  </si>
  <si>
    <t>2.no Off.Table (Office F/F)</t>
  </si>
  <si>
    <t>Coffee table ( - Do - )</t>
  </si>
  <si>
    <t>Execitive Table 1 pcs</t>
  </si>
  <si>
    <t>Office Table 1 pcs</t>
  </si>
  <si>
    <t>Low back chair 1 pcs</t>
  </si>
  <si>
    <t>1 pcs chair (Madras)</t>
  </si>
  <si>
    <t>3 pcs steel chair</t>
  </si>
  <si>
    <t>CEILING FAN</t>
  </si>
  <si>
    <t>1 No Almirah (Madras)</t>
  </si>
  <si>
    <t>1 No Ceiling Fan (Madras)</t>
  </si>
  <si>
    <t>1 No godrej Refrigerator</t>
  </si>
  <si>
    <t>1 No Sony 21" T.V.</t>
  </si>
  <si>
    <t>1 No.Chair at godown</t>
  </si>
  <si>
    <t>Acquaguard Water Filter</t>
  </si>
  <si>
    <t>Shoe Rack (Pretoria)</t>
  </si>
  <si>
    <t xml:space="preserve">1 No Exhaust Fan </t>
  </si>
  <si>
    <t>8 Pcs. Orient Fans 48''</t>
  </si>
  <si>
    <t>34 Nos. Revolving Computer Chair</t>
  </si>
  <si>
    <t>1 Pc. Pedastal Fan</t>
  </si>
  <si>
    <t>Showcase for Admn. Building</t>
  </si>
  <si>
    <t>Supervisor's wooden chamber</t>
  </si>
  <si>
    <t>Exhaust Fan for wodden chamber</t>
  </si>
  <si>
    <t>1 pc. Industrial Fan Hi Speed</t>
  </si>
  <si>
    <t>Aluminim Door at Gr. Floor</t>
  </si>
  <si>
    <t>2 pcs. Calcutta Pedestal Fan</t>
  </si>
  <si>
    <t>3 pcs. Exhaust Fan</t>
  </si>
  <si>
    <t>FURNITURE &amp; FIXTURE (Mankundu)</t>
  </si>
  <si>
    <t>1 Pc.Steel Almirah</t>
  </si>
  <si>
    <t>Electrical Fixtures</t>
  </si>
  <si>
    <t>4 Pcs Table Fan</t>
  </si>
  <si>
    <t>Table</t>
  </si>
  <si>
    <t>Secretariat Table</t>
  </si>
  <si>
    <t>2 Pcs Iron Chair</t>
  </si>
  <si>
    <t>Electrial Fittings</t>
  </si>
  <si>
    <t>Furniture &amp; Fixtures  (Guest House)</t>
  </si>
  <si>
    <t>1 Pc. Dining Table &amp; 4 Pcs. Chair</t>
  </si>
  <si>
    <t>1 Pc. Godrej Refrigerator Set</t>
  </si>
  <si>
    <t>1 Pc.  Colour LG 21" TV</t>
  </si>
  <si>
    <t>4 Pcs. Steel Almirah</t>
  </si>
  <si>
    <t>Furniture &amp; Fixtures  (Mumbai)</t>
  </si>
  <si>
    <t>2 Nos. Plastic Chairs</t>
  </si>
  <si>
    <t>Addition</t>
  </si>
  <si>
    <t>(OFFICE EQUIPTMENT)</t>
  </si>
  <si>
    <t>1 no Calculating Machine</t>
  </si>
  <si>
    <t>1 no Calculator</t>
  </si>
  <si>
    <t>Godrej Typewriter (Madrid)</t>
  </si>
  <si>
    <t>Auto Dialing telephone</t>
  </si>
  <si>
    <t>Inter com Phone</t>
  </si>
  <si>
    <t>Fan (3 Nos )</t>
  </si>
  <si>
    <t>R.K.Engg.Co.</t>
  </si>
  <si>
    <t>Telephone</t>
  </si>
  <si>
    <t>1 No.Super Phone</t>
  </si>
  <si>
    <t>Electronic Typewriter</t>
  </si>
  <si>
    <t>On Line UPS (1 K.V.A)</t>
  </si>
  <si>
    <t>1.Pc Safe Cabinet</t>
  </si>
  <si>
    <t>1PcAuto Constant voltage regulator</t>
  </si>
  <si>
    <t>Fax</t>
  </si>
  <si>
    <t>Fan  -Factory</t>
  </si>
  <si>
    <t>Godrej Typewriter</t>
  </si>
  <si>
    <t>2 PCS CEASEFIRE</t>
  </si>
  <si>
    <t>MOTOROLA PAGER 300890</t>
  </si>
  <si>
    <t>ACQUA GUARD</t>
  </si>
  <si>
    <t>Electronic Punching</t>
  </si>
  <si>
    <t>Pager no 301240</t>
  </si>
  <si>
    <t>Pager no 316399</t>
  </si>
  <si>
    <t>Pager no 305603</t>
  </si>
  <si>
    <t>1 Pc.Minolta Camera</t>
  </si>
  <si>
    <t>1No Mobile Phone</t>
  </si>
  <si>
    <t>1 No. Camera</t>
  </si>
  <si>
    <t>1 Pc.Canon Digital Camera</t>
  </si>
  <si>
    <t xml:space="preserve">1 Pc. LG 5130 M.Phone for Coimbatore </t>
  </si>
  <si>
    <t>Samsung Mobile Hand Set</t>
  </si>
  <si>
    <t>3 Nos Mobile Phone NOKIA</t>
  </si>
  <si>
    <t>1 No Water Filter cum purifier (Eureka)</t>
  </si>
  <si>
    <t>1 no.Vedeocon Refrigerator 50 Ltr.</t>
  </si>
  <si>
    <t>1 No. Canon Powershot Camera(A470)</t>
  </si>
  <si>
    <t>1No Mobile LG 3600 (9331704610)</t>
  </si>
  <si>
    <t>Door Frame Metal Detector</t>
  </si>
  <si>
    <t>EPABX Panasonic</t>
  </si>
  <si>
    <t>VPL-ES7/C Projector</t>
  </si>
  <si>
    <t>1 no. Smart Reader &amp; 40nos ID Card</t>
  </si>
  <si>
    <t xml:space="preserve">Samsung Duas Touch Mobile (W.A.) </t>
  </si>
  <si>
    <t>Samsung -5350</t>
  </si>
  <si>
    <t>1 no.Digital Copier with printer &amp; scanner</t>
  </si>
  <si>
    <t>1 No.LED Panasonic</t>
  </si>
  <si>
    <t>1 No. Canon Digital Camera</t>
  </si>
  <si>
    <t>1 No. GVR Channel</t>
  </si>
  <si>
    <t>CCTV Camera &amp; Instalation</t>
  </si>
  <si>
    <t xml:space="preserve">COMPUTERS </t>
  </si>
  <si>
    <t>1.PC/XT/40 MB SIVA</t>
  </si>
  <si>
    <t>1.PC/AT/40 MB SIVA 286</t>
  </si>
  <si>
    <t>1.Pc.Dot Mat Printer.TVSE</t>
  </si>
  <si>
    <t>1.Pc.Dot Mat Printer.</t>
  </si>
  <si>
    <t>1.Pc Auto Battery</t>
  </si>
  <si>
    <t>3.Pcs Exide Battery</t>
  </si>
  <si>
    <t>1.Turbo PC/AT/386</t>
  </si>
  <si>
    <t>Lan Installation</t>
  </si>
  <si>
    <t>1.PC/AT/286 16mhz</t>
  </si>
  <si>
    <t>Lan system</t>
  </si>
  <si>
    <t>Accessories</t>
  </si>
  <si>
    <t>Hard Disk</t>
  </si>
  <si>
    <t>High gradation of RAM</t>
  </si>
  <si>
    <t>1.no Computer</t>
  </si>
  <si>
    <t>1.Accer Note</t>
  </si>
  <si>
    <t>1.Comp.94050918</t>
  </si>
  <si>
    <t>UPS</t>
  </si>
  <si>
    <t>1.Comp 94050918</t>
  </si>
  <si>
    <t>Software 94050918</t>
  </si>
  <si>
    <t>1 No Wipro Fx1170 printer</t>
  </si>
  <si>
    <t>Upgradation RAM 1MB to 16MB</t>
  </si>
  <si>
    <t>Vintron VGA Monitor</t>
  </si>
  <si>
    <t>1 kva ups with SMF Battery</t>
  </si>
  <si>
    <t>Upgradation of CPU &amp; RAM</t>
  </si>
  <si>
    <t>Upgradation of Memory</t>
  </si>
  <si>
    <t>PC/AT P-233 MHZ 32 MB</t>
  </si>
  <si>
    <t>Ink Jet Printer BJC 210</t>
  </si>
  <si>
    <t>Fax Modem 32.6 KBPS</t>
  </si>
  <si>
    <t>500 VA UPS With SMF Battery</t>
  </si>
  <si>
    <t>PC/AT PII-333 MHZ 64 MB</t>
  </si>
  <si>
    <t>Price List Software</t>
  </si>
  <si>
    <t>5 No's Computer</t>
  </si>
  <si>
    <t>1 Laserjet Printer</t>
  </si>
  <si>
    <t>1 no computer( Upgradation )</t>
  </si>
  <si>
    <t xml:space="preserve">UTP Cable fitting </t>
  </si>
  <si>
    <t>1No Hard Disk Drive</t>
  </si>
  <si>
    <t>Upgradation 386 to 486</t>
  </si>
  <si>
    <t>1No Computer</t>
  </si>
  <si>
    <t>1no Printer</t>
  </si>
  <si>
    <t>1 no CD Writer</t>
  </si>
  <si>
    <t>3 No UPS ( Switching Electronics)</t>
  </si>
  <si>
    <t>Printer-Deskjet 5550</t>
  </si>
  <si>
    <t>1 no CD Writer (Samsung)</t>
  </si>
  <si>
    <t>IBM THINKPAD</t>
  </si>
  <si>
    <t xml:space="preserve">HCL  EB  P4  2.26  GHZ              </t>
  </si>
  <si>
    <t>1 No. P-IV Computer</t>
  </si>
  <si>
    <t>1 No. Printer HP for COIMBATOR</t>
  </si>
  <si>
    <t>Multiuser Tally 7.2</t>
  </si>
  <si>
    <t>Computer Server for Factory</t>
  </si>
  <si>
    <t>Pen Drive</t>
  </si>
  <si>
    <t>Patch Pane(24 Ports)&amp;14Connect.</t>
  </si>
  <si>
    <t>1 No. HCL BS P-IV Computer</t>
  </si>
  <si>
    <t>TVSE MSP 345 Printer</t>
  </si>
  <si>
    <t>HP I.J. Printer 1 No.</t>
  </si>
  <si>
    <t>5 Nos. Computer from Vintage Cap</t>
  </si>
  <si>
    <t>RAM 256 MB DDR (Digital Tech.)</t>
  </si>
  <si>
    <t>2 Nos. Computer (Digital Tech. Sol)</t>
  </si>
  <si>
    <t>Colour Monitor -S/N:708NLBU146653</t>
  </si>
  <si>
    <t>Pentium 42.8 GHZ  with Intel (HCS)</t>
  </si>
  <si>
    <t>HP 1505 Laser Printer</t>
  </si>
  <si>
    <t>HP D 2480 Printer</t>
  </si>
  <si>
    <t>1 no. IBM server</t>
  </si>
  <si>
    <t>1 no. Computer Server</t>
  </si>
  <si>
    <t>1 no. HP Office Jet Printer</t>
  </si>
  <si>
    <t>1No Computer system</t>
  </si>
  <si>
    <t>1No  HP Laserjet 1007 Printer</t>
  </si>
  <si>
    <t>Laptop HP Pavilion G6-1200tx</t>
  </si>
  <si>
    <t>Printer TVSE MSP</t>
  </si>
  <si>
    <t>Old &amp; used P-4 machine  (VCML)</t>
  </si>
  <si>
    <t>1 No.TVSE MSP Star Printer</t>
  </si>
  <si>
    <t>Lenovo Laptop G-50 (SN. No. YB05108360)</t>
  </si>
  <si>
    <t>One No. HP DESKJET Printer 3545</t>
  </si>
  <si>
    <t>6KVA/4.2W Emerson Make UPS</t>
  </si>
  <si>
    <t>1 NO. HP LAPTOP 240 G4</t>
  </si>
  <si>
    <t>1 NO.ACSR DESKTOP</t>
  </si>
  <si>
    <t>16 CHANNEL DVR</t>
  </si>
  <si>
    <t>COMPUTER</t>
  </si>
  <si>
    <t>TOTAL (A+B)</t>
  </si>
  <si>
    <t>Dr.Solomon's antivirus Package</t>
  </si>
  <si>
    <t>Tally Accounting Software</t>
  </si>
  <si>
    <t>Share Movement Software(DNS)</t>
  </si>
  <si>
    <t>Tally 9 to Tally ERP9</t>
  </si>
  <si>
    <t>WDV as on 31-03-2021</t>
  </si>
  <si>
    <t>Air Conditioner</t>
  </si>
  <si>
    <t>As At 31.03.2021</t>
  </si>
  <si>
    <t>Coal Furnace</t>
  </si>
  <si>
    <t>Electrical Installation</t>
  </si>
  <si>
    <t>Block</t>
  </si>
  <si>
    <t>Head</t>
  </si>
  <si>
    <t>Amount</t>
  </si>
  <si>
    <t>Air Conditioner at Office</t>
  </si>
  <si>
    <t>DESCRIPTION</t>
  </si>
  <si>
    <t>SUPPLIER</t>
  </si>
  <si>
    <t xml:space="preserve">ORIGINAL </t>
  </si>
  <si>
    <t xml:space="preserve">TOTAL </t>
  </si>
  <si>
    <t>CAPITALISED</t>
  </si>
  <si>
    <t>COST IN INR</t>
  </si>
  <si>
    <t>COST</t>
  </si>
  <si>
    <t>ON</t>
  </si>
  <si>
    <t>IGST</t>
  </si>
  <si>
    <t>CGST</t>
  </si>
  <si>
    <t>SGST</t>
  </si>
  <si>
    <t>Air Condition Machine</t>
  </si>
  <si>
    <t>Polar Cooling Industries</t>
  </si>
  <si>
    <t>Invoice No.</t>
  </si>
  <si>
    <t>CARYING/</t>
  </si>
  <si>
    <t>OTHER COST</t>
  </si>
  <si>
    <t>Total Adddition to FA</t>
  </si>
  <si>
    <t>Place</t>
  </si>
  <si>
    <t>At Admin Building</t>
  </si>
  <si>
    <t>Inv.</t>
  </si>
  <si>
    <t>WDV as on 31-03-2022</t>
  </si>
  <si>
    <t>Amortisation of residual value</t>
  </si>
  <si>
    <t>As At  01.04.2021</t>
  </si>
  <si>
    <t>As At 31.03.2022</t>
  </si>
  <si>
    <t>Up to 31.03.2021</t>
  </si>
  <si>
    <t>PCI/37/21-22</t>
  </si>
  <si>
    <t>Addition in FA during 2021-22</t>
  </si>
  <si>
    <t>Discarded</t>
  </si>
  <si>
    <t>Remarks</t>
  </si>
  <si>
    <t>Damaged/Not found</t>
  </si>
  <si>
    <t>1)</t>
  </si>
  <si>
    <t>Adjustment for Discard of Plant &amp; Machinery</t>
  </si>
  <si>
    <t>2)</t>
  </si>
  <si>
    <t>Adjustment for Discard of Electrical Installation</t>
  </si>
  <si>
    <t>1 Pc.  Colour LG 21" TV (Guest House)</t>
  </si>
  <si>
    <t>3)</t>
  </si>
  <si>
    <t>Adjustment for Discard of Furniture &amp; Fixture</t>
  </si>
  <si>
    <t>Total</t>
  </si>
  <si>
    <t>4)</t>
  </si>
  <si>
    <t>Adjustment for Discard of Office Equipments</t>
  </si>
  <si>
    <t>Depreciation Reserve</t>
  </si>
  <si>
    <t>To Tangible Assets</t>
  </si>
  <si>
    <t>Dr</t>
  </si>
  <si>
    <t>Cr</t>
  </si>
  <si>
    <t>Statement of Loss/Gain on Sale of Furnace</t>
  </si>
  <si>
    <t>30.04.2022</t>
  </si>
  <si>
    <t>Accumulated Depreciation</t>
  </si>
  <si>
    <t>1 Nos Furnace (Industrial Engg Equ)</t>
  </si>
  <si>
    <t>Iron Scrap of Above Furnaces</t>
  </si>
  <si>
    <t>kgs</t>
  </si>
  <si>
    <t>@ RS.36/-</t>
  </si>
  <si>
    <t>Profit on Sale of Fixed Assets</t>
  </si>
  <si>
    <t>Sale Invoice No: CAM/G/072/22-23 dt 23.04.2022</t>
  </si>
  <si>
    <t>Iron Scrap/Sale</t>
  </si>
  <si>
    <t>Fixed Assets/Plant &amp; Machuinery</t>
  </si>
  <si>
    <t>Sl</t>
  </si>
  <si>
    <t>Not Found</t>
  </si>
  <si>
    <t>1 No.Bhati-Coal</t>
  </si>
  <si>
    <t>Damaged / Discarded</t>
  </si>
  <si>
    <t>Damaged &amp; Scrapped</t>
  </si>
  <si>
    <t>Damaged</t>
  </si>
  <si>
    <t>* Damaged Items (Old Furnaces) Scrapped &amp; Sold in 22-23 3.240MT @ Rs.36= Rs.116640/-</t>
  </si>
  <si>
    <t>* Estimated Scrap Value Rs.163500/-</t>
  </si>
  <si>
    <t>Asset held as scrap (Old Furnace)</t>
  </si>
  <si>
    <t>Asset held as scrap (Old Acs)</t>
  </si>
  <si>
    <t>Loss on impairment</t>
  </si>
  <si>
    <t>PROPERTY , PLANT &amp; EQUIPMENTS 2021-22</t>
  </si>
  <si>
    <t>Assets Held for Sale</t>
  </si>
  <si>
    <t>Recorded as on 31.03.2022</t>
  </si>
  <si>
    <t>Assets Held for sale</t>
  </si>
  <si>
    <t>Record as on date of Sale</t>
  </si>
  <si>
    <t>Less : Assets Held for 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</si>
</sst>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0_)"/>
    <numFmt numFmtId="167" formatCode="_(* #,##0_);_(* \(#,##0\);_(* &quot;-&quot;??_);_(@_)"/>
    <numFmt numFmtId="168" formatCode="_([$€-2]* #,##0.00_);_([$€-2]* \(#,##0.00\);_([$€-2]* &quot;-&quot;??_)"/>
    <numFmt numFmtId="169" formatCode="[$-409]d\-mmm\-yy;@"/>
    <numFmt numFmtId="170" formatCode="dd\-mmm\-yy_)"/>
    <numFmt numFmtId="171" formatCode="0_);[Red]\(0\)"/>
    <numFmt numFmtId="172" formatCode="0.000%"/>
    <numFmt numFmtId="173" formatCode="0.00_);[Red]\(0.00\)"/>
    <numFmt numFmtId="174" formatCode="[$-14009]dd/mm/yyyy;@"/>
    <numFmt numFmtId="175" formatCode="_-* #,##0_-;\-* #,##0_-;_-* &quot;-&quot;??_-;_-@_-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name val="Courier New"/>
      <family val="3"/>
    </font>
    <font>
      <b/>
      <sz val="9"/>
      <name val="Arial"/>
      <family val="2"/>
    </font>
    <font>
      <b/>
      <u val="singleAccounting"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color theme="0"/>
      <name val="Cambria"/>
      <family val="1"/>
      <scheme val="major"/>
    </font>
    <font>
      <b/>
      <sz val="10"/>
      <color theme="0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b/>
      <u/>
      <sz val="10"/>
      <name val="Cambria"/>
      <family val="1"/>
      <scheme val="major"/>
    </font>
    <font>
      <sz val="10"/>
      <color indexed="10"/>
      <name val="Cambria"/>
      <family val="1"/>
      <scheme val="major"/>
    </font>
    <font>
      <sz val="10"/>
      <name val="Times New Roman"/>
      <family val="1"/>
    </font>
    <font>
      <sz val="9"/>
      <name val="Times New Roman"/>
      <family val="1"/>
    </font>
    <font>
      <b/>
      <u/>
      <sz val="9"/>
      <name val="Arial"/>
      <family val="2"/>
    </font>
    <font>
      <u/>
      <sz val="9"/>
      <name val="Arial"/>
      <family val="2"/>
    </font>
    <font>
      <sz val="10"/>
      <color rgb="FFFF0000"/>
      <name val="Cambria"/>
      <family val="1"/>
      <scheme val="major"/>
    </font>
    <font>
      <sz val="9"/>
      <color indexed="10"/>
      <name val="Arial"/>
      <family val="2"/>
    </font>
    <font>
      <sz val="9"/>
      <color rgb="FFFF0000"/>
      <name val="Arial"/>
      <family val="2"/>
    </font>
    <font>
      <sz val="10"/>
      <color theme="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name val="Century Gothic"/>
      <family val="2"/>
    </font>
    <font>
      <sz val="10"/>
      <name val="Century Gothic"/>
      <family val="2"/>
    </font>
    <font>
      <b/>
      <u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73">
    <xf numFmtId="39" fontId="0" fillId="0" borderId="0"/>
    <xf numFmtId="165" fontId="27" fillId="0" borderId="0" applyFont="0" applyFill="0" applyBorder="0" applyAlignment="0" applyProtection="0"/>
    <xf numFmtId="168" fontId="3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7" fillId="0" borderId="0"/>
    <xf numFmtId="0" fontId="27" fillId="0" borderId="0" applyFill="0" applyBorder="0" applyAlignment="0" applyProtection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27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6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7" fillId="0" borderId="0"/>
    <xf numFmtId="165" fontId="27" fillId="0" borderId="0" applyFont="0" applyFill="0" applyBorder="0" applyAlignment="0" applyProtection="0"/>
    <xf numFmtId="0" fontId="27" fillId="0" borderId="0"/>
    <xf numFmtId="0" fontId="27" fillId="0" borderId="0"/>
    <xf numFmtId="165" fontId="27" fillId="0" borderId="0" applyFont="0" applyFill="0" applyBorder="0" applyAlignment="0" applyProtection="0"/>
    <xf numFmtId="0" fontId="1" fillId="0" borderId="0"/>
    <xf numFmtId="9" fontId="5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5">
    <xf numFmtId="39" fontId="0" fillId="0" borderId="0" xfId="0"/>
    <xf numFmtId="165" fontId="0" fillId="0" borderId="0" xfId="1" applyFont="1"/>
    <xf numFmtId="167" fontId="0" fillId="0" borderId="16" xfId="1" applyNumberFormat="1" applyFont="1" applyFill="1" applyBorder="1"/>
    <xf numFmtId="167" fontId="0" fillId="0" borderId="22" xfId="1" applyNumberFormat="1" applyFont="1" applyFill="1" applyBorder="1"/>
    <xf numFmtId="167" fontId="0" fillId="0" borderId="16" xfId="1" applyNumberFormat="1" applyFont="1" applyBorder="1"/>
    <xf numFmtId="167" fontId="0" fillId="0" borderId="22" xfId="1" applyNumberFormat="1" applyFont="1" applyBorder="1"/>
    <xf numFmtId="167" fontId="0" fillId="0" borderId="20" xfId="1" applyNumberFormat="1" applyFont="1" applyFill="1" applyBorder="1"/>
    <xf numFmtId="167" fontId="34" fillId="0" borderId="16" xfId="1" applyNumberFormat="1" applyFont="1" applyFill="1" applyBorder="1"/>
    <xf numFmtId="167" fontId="34" fillId="0" borderId="16" xfId="1" applyNumberFormat="1" applyFont="1" applyBorder="1"/>
    <xf numFmtId="167" fontId="28" fillId="0" borderId="20" xfId="1" applyNumberFormat="1" applyFont="1" applyBorder="1"/>
    <xf numFmtId="167" fontId="28" fillId="0" borderId="20" xfId="1" applyNumberFormat="1" applyFont="1" applyFill="1" applyBorder="1"/>
    <xf numFmtId="167" fontId="0" fillId="0" borderId="18" xfId="1" applyNumberFormat="1" applyFont="1" applyBorder="1"/>
    <xf numFmtId="167" fontId="0" fillId="0" borderId="19" xfId="1" applyNumberFormat="1" applyFont="1" applyBorder="1"/>
    <xf numFmtId="167" fontId="0" fillId="0" borderId="0" xfId="1" applyNumberFormat="1" applyFont="1" applyBorder="1"/>
    <xf numFmtId="167" fontId="35" fillId="0" borderId="3" xfId="21" applyNumberFormat="1" applyFont="1" applyBorder="1"/>
    <xf numFmtId="0" fontId="0" fillId="0" borderId="0" xfId="352" applyFont="1"/>
    <xf numFmtId="0" fontId="33" fillId="0" borderId="16" xfId="352" applyFont="1" applyBorder="1" applyAlignment="1">
      <alignment horizontal="center" vertical="center" wrapText="1"/>
    </xf>
    <xf numFmtId="0" fontId="33" fillId="0" borderId="16" xfId="352" applyFont="1" applyBorder="1" applyAlignment="1">
      <alignment horizontal="center" vertical="center"/>
    </xf>
    <xf numFmtId="0" fontId="33" fillId="0" borderId="21" xfId="352" applyFont="1" applyBorder="1" applyAlignment="1">
      <alignment horizontal="center" vertical="center" wrapText="1"/>
    </xf>
    <xf numFmtId="0" fontId="33" fillId="0" borderId="21" xfId="352" applyFont="1" applyBorder="1" applyAlignment="1">
      <alignment horizontal="center" vertical="center"/>
    </xf>
    <xf numFmtId="0" fontId="28" fillId="0" borderId="16" xfId="352" applyFont="1" applyFill="1" applyBorder="1"/>
    <xf numFmtId="0" fontId="28" fillId="0" borderId="22" xfId="352" applyFont="1" applyFill="1" applyBorder="1"/>
    <xf numFmtId="167" fontId="0" fillId="0" borderId="0" xfId="352" applyNumberFormat="1" applyFont="1"/>
    <xf numFmtId="0" fontId="28" fillId="0" borderId="20" xfId="352" applyFont="1" applyFill="1" applyBorder="1"/>
    <xf numFmtId="0" fontId="28" fillId="0" borderId="20" xfId="352" applyFont="1" applyBorder="1"/>
    <xf numFmtId="0" fontId="28" fillId="0" borderId="17" xfId="352" applyFont="1" applyBorder="1"/>
    <xf numFmtId="0" fontId="28" fillId="0" borderId="0" xfId="352" applyFont="1" applyBorder="1"/>
    <xf numFmtId="0" fontId="0" fillId="0" borderId="0" xfId="352" applyFont="1" applyBorder="1"/>
    <xf numFmtId="0" fontId="35" fillId="0" borderId="3" xfId="352" applyFont="1" applyBorder="1"/>
    <xf numFmtId="0" fontId="37" fillId="0" borderId="8" xfId="361" applyFont="1" applyBorder="1"/>
    <xf numFmtId="0" fontId="37" fillId="0" borderId="8" xfId="361" applyFont="1" applyFill="1" applyBorder="1"/>
    <xf numFmtId="167" fontId="37" fillId="0" borderId="8" xfId="1" applyNumberFormat="1" applyFont="1" applyFill="1" applyBorder="1"/>
    <xf numFmtId="14" fontId="37" fillId="0" borderId="8" xfId="361" applyNumberFormat="1" applyFont="1" applyFill="1" applyBorder="1"/>
    <xf numFmtId="169" fontId="38" fillId="0" borderId="8" xfId="361" applyNumberFormat="1" applyFont="1" applyFill="1" applyBorder="1" applyAlignment="1">
      <alignment horizontal="center" vertical="center"/>
    </xf>
    <xf numFmtId="0" fontId="37" fillId="0" borderId="0" xfId="361" applyFont="1" applyBorder="1"/>
    <xf numFmtId="0" fontId="39" fillId="0" borderId="8" xfId="361" applyFont="1" applyBorder="1"/>
    <xf numFmtId="0" fontId="39" fillId="0" borderId="8" xfId="361" applyFont="1" applyFill="1" applyBorder="1"/>
    <xf numFmtId="167" fontId="39" fillId="0" borderId="8" xfId="1" applyNumberFormat="1" applyFont="1" applyFill="1" applyBorder="1"/>
    <xf numFmtId="0" fontId="39" fillId="0" borderId="0" xfId="361" applyFont="1" applyBorder="1"/>
    <xf numFmtId="167" fontId="40" fillId="4" borderId="8" xfId="1" applyNumberFormat="1" applyFont="1" applyFill="1" applyBorder="1" applyAlignment="1">
      <alignment horizontal="center" vertical="center" wrapText="1"/>
    </xf>
    <xf numFmtId="15" fontId="40" fillId="4" borderId="8" xfId="352" applyNumberFormat="1" applyFont="1" applyFill="1" applyBorder="1" applyAlignment="1">
      <alignment horizontal="center" vertical="center" wrapText="1"/>
    </xf>
    <xf numFmtId="0" fontId="40" fillId="4" borderId="13" xfId="352" applyNumberFormat="1" applyFont="1" applyFill="1" applyBorder="1" applyAlignment="1">
      <alignment horizontal="center" vertical="center" wrapText="1"/>
    </xf>
    <xf numFmtId="10" fontId="40" fillId="4" borderId="13" xfId="362" applyNumberFormat="1" applyFont="1" applyFill="1" applyBorder="1" applyAlignment="1">
      <alignment horizontal="center" vertical="center" wrapText="1"/>
    </xf>
    <xf numFmtId="0" fontId="40" fillId="0" borderId="15" xfId="361" applyFont="1" applyFill="1" applyBorder="1"/>
    <xf numFmtId="0" fontId="41" fillId="0" borderId="8" xfId="361" applyFont="1" applyFill="1" applyBorder="1"/>
    <xf numFmtId="0" fontId="39" fillId="0" borderId="0" xfId="361" applyFont="1" applyFill="1" applyBorder="1"/>
    <xf numFmtId="0" fontId="40" fillId="0" borderId="8" xfId="361" applyFont="1" applyFill="1" applyBorder="1"/>
    <xf numFmtId="0" fontId="39" fillId="0" borderId="8" xfId="1" applyNumberFormat="1" applyFont="1" applyFill="1" applyBorder="1"/>
    <xf numFmtId="0" fontId="40" fillId="0" borderId="15" xfId="361" applyFont="1" applyFill="1" applyBorder="1" applyAlignment="1">
      <alignment horizontal="center"/>
    </xf>
    <xf numFmtId="166" fontId="29" fillId="0" borderId="8" xfId="361" applyNumberFormat="1" applyFont="1" applyBorder="1" applyAlignment="1" applyProtection="1">
      <alignment horizontal="left"/>
    </xf>
    <xf numFmtId="37" fontId="29" fillId="0" borderId="8" xfId="361" applyNumberFormat="1" applyFont="1" applyBorder="1" applyProtection="1"/>
    <xf numFmtId="170" fontId="29" fillId="0" borderId="8" xfId="361" applyNumberFormat="1" applyFont="1" applyBorder="1" applyProtection="1"/>
    <xf numFmtId="1" fontId="39" fillId="0" borderId="8" xfId="1" applyNumberFormat="1" applyFont="1" applyFill="1" applyBorder="1"/>
    <xf numFmtId="0" fontId="39" fillId="0" borderId="0" xfId="361" applyFont="1" applyFill="1"/>
    <xf numFmtId="2" fontId="39" fillId="0" borderId="0" xfId="361" applyNumberFormat="1" applyFont="1" applyFill="1" applyBorder="1"/>
    <xf numFmtId="37" fontId="29" fillId="0" borderId="8" xfId="361" applyNumberFormat="1" applyFont="1" applyBorder="1"/>
    <xf numFmtId="0" fontId="40" fillId="0" borderId="15" xfId="361" applyFont="1" applyBorder="1"/>
    <xf numFmtId="15" fontId="42" fillId="0" borderId="8" xfId="361" applyNumberFormat="1" applyFont="1" applyFill="1" applyBorder="1"/>
    <xf numFmtId="0" fontId="40" fillId="3" borderId="8" xfId="361" applyFont="1" applyFill="1" applyBorder="1"/>
    <xf numFmtId="167" fontId="40" fillId="3" borderId="8" xfId="1" applyNumberFormat="1" applyFont="1" applyFill="1" applyBorder="1"/>
    <xf numFmtId="15" fontId="42" fillId="3" borderId="8" xfId="361" applyNumberFormat="1" applyFont="1" applyFill="1" applyBorder="1"/>
    <xf numFmtId="0" fontId="40" fillId="0" borderId="0" xfId="361" applyFont="1" applyBorder="1"/>
    <xf numFmtId="167" fontId="39" fillId="0" borderId="0" xfId="1" applyNumberFormat="1" applyFont="1" applyBorder="1"/>
    <xf numFmtId="15" fontId="42" fillId="0" borderId="0" xfId="361" applyNumberFormat="1" applyFont="1" applyFill="1" applyBorder="1"/>
    <xf numFmtId="0" fontId="37" fillId="0" borderId="8" xfId="352" applyFont="1" applyBorder="1"/>
    <xf numFmtId="0" fontId="37" fillId="0" borderId="8" xfId="352" applyFont="1" applyFill="1" applyBorder="1"/>
    <xf numFmtId="14" fontId="37" fillId="0" borderId="8" xfId="352" applyNumberFormat="1" applyFont="1" applyFill="1" applyBorder="1"/>
    <xf numFmtId="169" fontId="38" fillId="0" borderId="8" xfId="352" applyNumberFormat="1" applyFont="1" applyFill="1" applyBorder="1" applyAlignment="1">
      <alignment horizontal="center" vertical="center"/>
    </xf>
    <xf numFmtId="0" fontId="37" fillId="0" borderId="0" xfId="352" applyFont="1" applyBorder="1"/>
    <xf numFmtId="0" fontId="39" fillId="0" borderId="8" xfId="352" applyFont="1" applyBorder="1"/>
    <xf numFmtId="0" fontId="39" fillId="0" borderId="8" xfId="352" applyFont="1" applyFill="1" applyBorder="1"/>
    <xf numFmtId="0" fontId="39" fillId="0" borderId="0" xfId="352" applyFont="1" applyBorder="1"/>
    <xf numFmtId="0" fontId="40" fillId="0" borderId="8" xfId="352" applyFont="1" applyBorder="1" applyAlignment="1">
      <alignment vertical="center"/>
    </xf>
    <xf numFmtId="0" fontId="40" fillId="4" borderId="8" xfId="352" applyFont="1" applyFill="1" applyBorder="1" applyAlignment="1">
      <alignment vertical="center"/>
    </xf>
    <xf numFmtId="0" fontId="40" fillId="0" borderId="15" xfId="352" applyFont="1" applyFill="1" applyBorder="1"/>
    <xf numFmtId="0" fontId="41" fillId="0" borderId="8" xfId="352" applyFont="1" applyFill="1" applyBorder="1"/>
    <xf numFmtId="0" fontId="39" fillId="0" borderId="0" xfId="352" applyFont="1" applyFill="1" applyBorder="1"/>
    <xf numFmtId="0" fontId="40" fillId="0" borderId="8" xfId="352" applyFont="1" applyFill="1" applyBorder="1"/>
    <xf numFmtId="0" fontId="40" fillId="0" borderId="15" xfId="352" applyFont="1" applyFill="1" applyBorder="1" applyAlignment="1">
      <alignment horizontal="center"/>
    </xf>
    <xf numFmtId="166" fontId="29" fillId="0" borderId="8" xfId="352" applyNumberFormat="1" applyFont="1" applyBorder="1" applyAlignment="1" applyProtection="1">
      <alignment horizontal="left"/>
    </xf>
    <xf numFmtId="37" fontId="29" fillId="0" borderId="8" xfId="352" applyNumberFormat="1" applyFont="1" applyBorder="1" applyAlignment="1" applyProtection="1">
      <alignment horizontal="center"/>
    </xf>
    <xf numFmtId="170" fontId="29" fillId="0" borderId="8" xfId="352" applyNumberFormat="1" applyFont="1" applyBorder="1" applyAlignment="1" applyProtection="1">
      <alignment horizontal="center"/>
    </xf>
    <xf numFmtId="37" fontId="29" fillId="0" borderId="8" xfId="352" applyNumberFormat="1" applyFont="1" applyBorder="1" applyProtection="1"/>
    <xf numFmtId="167" fontId="39" fillId="0" borderId="8" xfId="1" applyNumberFormat="1" applyFont="1" applyFill="1" applyBorder="1" applyAlignment="1">
      <alignment horizontal="center"/>
    </xf>
    <xf numFmtId="10" fontId="39" fillId="0" borderId="8" xfId="1" applyNumberFormat="1" applyFont="1" applyFill="1" applyBorder="1"/>
    <xf numFmtId="2" fontId="39" fillId="0" borderId="0" xfId="352" applyNumberFormat="1" applyFont="1" applyFill="1" applyBorder="1"/>
    <xf numFmtId="0" fontId="40" fillId="0" borderId="15" xfId="352" applyFont="1" applyBorder="1"/>
    <xf numFmtId="15" fontId="42" fillId="0" borderId="8" xfId="352" applyNumberFormat="1" applyFont="1" applyFill="1" applyBorder="1"/>
    <xf numFmtId="0" fontId="40" fillId="3" borderId="8" xfId="352" applyFont="1" applyFill="1" applyBorder="1"/>
    <xf numFmtId="15" fontId="42" fillId="3" borderId="8" xfId="352" applyNumberFormat="1" applyFont="1" applyFill="1" applyBorder="1"/>
    <xf numFmtId="0" fontId="40" fillId="0" borderId="0" xfId="352" applyFont="1" applyBorder="1"/>
    <xf numFmtId="15" fontId="42" fillId="0" borderId="0" xfId="352" applyNumberFormat="1" applyFont="1" applyFill="1" applyBorder="1"/>
    <xf numFmtId="0" fontId="40" fillId="0" borderId="8" xfId="352" applyFont="1" applyBorder="1" applyAlignment="1">
      <alignment horizontal="left" vertical="center"/>
    </xf>
    <xf numFmtId="167" fontId="39" fillId="0" borderId="8" xfId="1" applyNumberFormat="1" applyFont="1" applyBorder="1" applyAlignment="1">
      <alignment vertical="center"/>
    </xf>
    <xf numFmtId="15" fontId="39" fillId="0" borderId="8" xfId="352" applyNumberFormat="1" applyFont="1" applyBorder="1" applyAlignment="1">
      <alignment vertical="center"/>
    </xf>
    <xf numFmtId="0" fontId="39" fillId="0" borderId="8" xfId="352" applyNumberFormat="1" applyFont="1" applyBorder="1" applyAlignment="1">
      <alignment horizontal="center" vertical="center"/>
    </xf>
    <xf numFmtId="0" fontId="39" fillId="0" borderId="0" xfId="352" applyFont="1" applyBorder="1" applyAlignment="1">
      <alignment vertical="center"/>
    </xf>
    <xf numFmtId="167" fontId="40" fillId="0" borderId="8" xfId="1" applyNumberFormat="1" applyFont="1" applyBorder="1" applyAlignment="1">
      <alignment vertical="center"/>
    </xf>
    <xf numFmtId="0" fontId="37" fillId="0" borderId="8" xfId="352" applyFont="1" applyBorder="1" applyAlignment="1">
      <alignment horizontal="center" vertical="center"/>
    </xf>
    <xf numFmtId="0" fontId="37" fillId="0" borderId="8" xfId="352" applyFont="1" applyFill="1" applyBorder="1" applyAlignment="1">
      <alignment vertical="center"/>
    </xf>
    <xf numFmtId="15" fontId="37" fillId="0" borderId="8" xfId="352" applyNumberFormat="1" applyFont="1" applyBorder="1" applyAlignment="1">
      <alignment vertical="center"/>
    </xf>
    <xf numFmtId="15" fontId="37" fillId="0" borderId="8" xfId="352" applyNumberFormat="1" applyFont="1" applyFill="1" applyBorder="1" applyAlignment="1">
      <alignment vertical="center"/>
    </xf>
    <xf numFmtId="0" fontId="37" fillId="0" borderId="8" xfId="352" applyNumberFormat="1" applyFont="1" applyFill="1" applyBorder="1" applyAlignment="1">
      <alignment horizontal="center" vertical="center"/>
    </xf>
    <xf numFmtId="0" fontId="37" fillId="0" borderId="0" xfId="352" applyFont="1" applyAlignment="1">
      <alignment vertical="center"/>
    </xf>
    <xf numFmtId="0" fontId="40" fillId="3" borderId="8" xfId="352" applyFont="1" applyFill="1" applyBorder="1" applyAlignment="1">
      <alignment horizontal="center" vertical="center" wrapText="1"/>
    </xf>
    <xf numFmtId="0" fontId="40" fillId="3" borderId="8" xfId="352" applyFont="1" applyFill="1" applyBorder="1" applyAlignment="1">
      <alignment vertical="center" wrapText="1"/>
    </xf>
    <xf numFmtId="167" fontId="40" fillId="3" borderId="8" xfId="1" applyNumberFormat="1" applyFont="1" applyFill="1" applyBorder="1" applyAlignment="1">
      <alignment horizontal="center" vertical="center" wrapText="1"/>
    </xf>
    <xf numFmtId="15" fontId="40" fillId="3" borderId="8" xfId="352" applyNumberFormat="1" applyFont="1" applyFill="1" applyBorder="1" applyAlignment="1">
      <alignment horizontal="center" vertical="center" wrapText="1"/>
    </xf>
    <xf numFmtId="0" fontId="40" fillId="3" borderId="13" xfId="352" applyNumberFormat="1" applyFont="1" applyFill="1" applyBorder="1" applyAlignment="1">
      <alignment horizontal="center" vertical="center" wrapText="1"/>
    </xf>
    <xf numFmtId="10" fontId="40" fillId="3" borderId="13" xfId="362" applyNumberFormat="1" applyFont="1" applyFill="1" applyBorder="1" applyAlignment="1">
      <alignment horizontal="center" vertical="center" wrapText="1"/>
    </xf>
    <xf numFmtId="0" fontId="39" fillId="0" borderId="0" xfId="352" applyFont="1" applyAlignment="1">
      <alignment vertical="center" wrapText="1"/>
    </xf>
    <xf numFmtId="0" fontId="39" fillId="0" borderId="6" xfId="352" applyFont="1" applyBorder="1" applyAlignment="1">
      <alignment horizontal="center" vertical="center"/>
    </xf>
    <xf numFmtId="0" fontId="41" fillId="0" borderId="11" xfId="352" applyFont="1" applyFill="1" applyBorder="1" applyAlignment="1">
      <alignment vertical="center"/>
    </xf>
    <xf numFmtId="167" fontId="39" fillId="0" borderId="6" xfId="1" applyNumberFormat="1" applyFont="1" applyBorder="1" applyAlignment="1">
      <alignment vertical="center"/>
    </xf>
    <xf numFmtId="15" fontId="39" fillId="0" borderId="8" xfId="352" applyNumberFormat="1" applyFont="1" applyFill="1" applyBorder="1" applyAlignment="1">
      <alignment vertical="center"/>
    </xf>
    <xf numFmtId="0" fontId="39" fillId="0" borderId="12" xfId="352" applyNumberFormat="1" applyFont="1" applyFill="1" applyBorder="1" applyAlignment="1">
      <alignment horizontal="center" vertical="center"/>
    </xf>
    <xf numFmtId="0" fontId="39" fillId="0" borderId="0" xfId="352" applyFont="1" applyAlignment="1">
      <alignment vertical="center"/>
    </xf>
    <xf numFmtId="0" fontId="40" fillId="0" borderId="8" xfId="352" applyFont="1" applyBorder="1" applyAlignment="1">
      <alignment horizontal="center" vertical="center"/>
    </xf>
    <xf numFmtId="0" fontId="40" fillId="0" borderId="7" xfId="352" applyFont="1" applyFill="1" applyBorder="1" applyAlignment="1">
      <alignment vertical="center"/>
    </xf>
    <xf numFmtId="167" fontId="39" fillId="0" borderId="7" xfId="1" applyNumberFormat="1" applyFont="1" applyFill="1" applyBorder="1" applyAlignment="1">
      <alignment vertical="center"/>
    </xf>
    <xf numFmtId="0" fontId="39" fillId="0" borderId="8" xfId="352" applyFont="1" applyBorder="1" applyAlignment="1">
      <alignment vertical="center"/>
    </xf>
    <xf numFmtId="0" fontId="39" fillId="0" borderId="8" xfId="352" applyNumberFormat="1" applyFont="1" applyFill="1" applyBorder="1" applyAlignment="1">
      <alignment horizontal="center" vertical="center"/>
    </xf>
    <xf numFmtId="1" fontId="39" fillId="0" borderId="8" xfId="352" applyNumberFormat="1" applyFont="1" applyFill="1" applyBorder="1" applyAlignment="1">
      <alignment horizontal="center" vertical="center"/>
    </xf>
    <xf numFmtId="0" fontId="39" fillId="0" borderId="8" xfId="352" applyFont="1" applyFill="1" applyBorder="1" applyAlignment="1">
      <alignment horizontal="center" vertical="center"/>
    </xf>
    <xf numFmtId="166" fontId="29" fillId="0" borderId="8" xfId="352" applyNumberFormat="1" applyFont="1" applyFill="1" applyBorder="1" applyAlignment="1" applyProtection="1">
      <alignment horizontal="left"/>
    </xf>
    <xf numFmtId="167" fontId="39" fillId="0" borderId="8" xfId="1" applyNumberFormat="1" applyFont="1" applyFill="1" applyBorder="1" applyAlignment="1">
      <alignment vertical="center"/>
    </xf>
    <xf numFmtId="170" fontId="29" fillId="0" borderId="8" xfId="352" applyNumberFormat="1" applyFont="1" applyFill="1" applyBorder="1" applyProtection="1"/>
    <xf numFmtId="167" fontId="39" fillId="0" borderId="8" xfId="363" applyNumberFormat="1" applyFont="1" applyFill="1" applyBorder="1" applyAlignment="1">
      <alignment vertical="center"/>
    </xf>
    <xf numFmtId="0" fontId="39" fillId="0" borderId="0" xfId="352" applyFont="1" applyFill="1" applyAlignment="1">
      <alignment vertical="center"/>
    </xf>
    <xf numFmtId="166" fontId="29" fillId="0" borderId="8" xfId="352" quotePrefix="1" applyNumberFormat="1" applyFont="1" applyFill="1" applyBorder="1" applyAlignment="1" applyProtection="1">
      <alignment horizontal="left"/>
    </xf>
    <xf numFmtId="0" fontId="39" fillId="0" borderId="8" xfId="352" applyFont="1" applyBorder="1" applyAlignment="1">
      <alignment horizontal="center" vertical="center"/>
    </xf>
    <xf numFmtId="170" fontId="29" fillId="0" borderId="8" xfId="352" applyNumberFormat="1" applyFont="1" applyBorder="1" applyProtection="1"/>
    <xf numFmtId="166" fontId="29" fillId="0" borderId="8" xfId="352" quotePrefix="1" applyNumberFormat="1" applyFont="1" applyBorder="1" applyAlignment="1" applyProtection="1">
      <alignment horizontal="left"/>
    </xf>
    <xf numFmtId="0" fontId="40" fillId="4" borderId="8" xfId="352" applyFont="1" applyFill="1" applyBorder="1" applyAlignment="1">
      <alignment horizontal="center" vertical="center"/>
    </xf>
    <xf numFmtId="0" fontId="39" fillId="4" borderId="8" xfId="352" applyFont="1" applyFill="1" applyBorder="1" applyAlignment="1">
      <alignment vertical="center"/>
    </xf>
    <xf numFmtId="167" fontId="40" fillId="4" borderId="8" xfId="1" applyNumberFormat="1" applyFont="1" applyFill="1" applyBorder="1" applyAlignment="1">
      <alignment vertical="center"/>
    </xf>
    <xf numFmtId="2" fontId="40" fillId="4" borderId="8" xfId="352" applyNumberFormat="1" applyFont="1" applyFill="1" applyBorder="1" applyAlignment="1">
      <alignment vertical="center"/>
    </xf>
    <xf numFmtId="0" fontId="40" fillId="4" borderId="8" xfId="352" applyNumberFormat="1" applyFont="1" applyFill="1" applyBorder="1" applyAlignment="1">
      <alignment horizontal="center" vertical="center"/>
    </xf>
    <xf numFmtId="0" fontId="40" fillId="0" borderId="8" xfId="352" applyFont="1" applyFill="1" applyBorder="1" applyAlignment="1">
      <alignment horizontal="center" vertical="center"/>
    </xf>
    <xf numFmtId="167" fontId="40" fillId="0" borderId="8" xfId="1" applyNumberFormat="1" applyFont="1" applyFill="1" applyBorder="1" applyAlignment="1">
      <alignment vertical="center"/>
    </xf>
    <xf numFmtId="2" fontId="40" fillId="0" borderId="8" xfId="352" applyNumberFormat="1" applyFont="1" applyFill="1" applyBorder="1" applyAlignment="1">
      <alignment vertical="center"/>
    </xf>
    <xf numFmtId="0" fontId="40" fillId="0" borderId="8" xfId="352" applyNumberFormat="1" applyFont="1" applyFill="1" applyBorder="1" applyAlignment="1">
      <alignment horizontal="center" vertical="center"/>
    </xf>
    <xf numFmtId="0" fontId="40" fillId="0" borderId="8" xfId="352" applyFont="1" applyFill="1" applyBorder="1" applyAlignment="1">
      <alignment vertical="center"/>
    </xf>
    <xf numFmtId="15" fontId="39" fillId="0" borderId="8" xfId="352" applyNumberFormat="1" applyFont="1" applyFill="1" applyBorder="1" applyAlignment="1">
      <alignment horizontal="center" vertical="center"/>
    </xf>
    <xf numFmtId="167" fontId="39" fillId="0" borderId="8" xfId="364" applyNumberFormat="1" applyFont="1" applyFill="1" applyBorder="1" applyAlignment="1">
      <alignment vertical="center"/>
    </xf>
    <xf numFmtId="37" fontId="29" fillId="0" borderId="8" xfId="352" applyNumberFormat="1" applyFont="1" applyBorder="1"/>
    <xf numFmtId="0" fontId="43" fillId="0" borderId="8" xfId="365" applyFont="1" applyFill="1" applyBorder="1" applyAlignment="1">
      <alignment horizontal="left"/>
    </xf>
    <xf numFmtId="0" fontId="44" fillId="0" borderId="8" xfId="365" applyFont="1" applyFill="1" applyBorder="1" applyAlignment="1">
      <alignment horizontal="left"/>
    </xf>
    <xf numFmtId="0" fontId="39" fillId="0" borderId="8" xfId="352" applyFont="1" applyFill="1" applyBorder="1" applyAlignment="1">
      <alignment vertical="center"/>
    </xf>
    <xf numFmtId="0" fontId="40" fillId="3" borderId="8" xfId="352" applyFont="1" applyFill="1" applyBorder="1" applyAlignment="1">
      <alignment horizontal="center"/>
    </xf>
    <xf numFmtId="0" fontId="39" fillId="0" borderId="0" xfId="352" applyFont="1" applyAlignment="1">
      <alignment horizontal="center" vertical="center"/>
    </xf>
    <xf numFmtId="167" fontId="39" fillId="0" borderId="0" xfId="1" applyNumberFormat="1" applyFont="1" applyBorder="1" applyAlignment="1">
      <alignment vertical="center"/>
    </xf>
    <xf numFmtId="15" fontId="39" fillId="0" borderId="0" xfId="352" applyNumberFormat="1" applyFont="1" applyBorder="1" applyAlignment="1">
      <alignment vertical="center"/>
    </xf>
    <xf numFmtId="0" fontId="39" fillId="0" borderId="0" xfId="352" applyNumberFormat="1" applyFont="1" applyBorder="1" applyAlignment="1">
      <alignment horizontal="center" vertical="center"/>
    </xf>
    <xf numFmtId="0" fontId="39" fillId="0" borderId="0" xfId="352" applyFont="1" applyBorder="1" applyAlignment="1">
      <alignment horizontal="center" vertical="center"/>
    </xf>
    <xf numFmtId="0" fontId="37" fillId="0" borderId="0" xfId="352" applyFont="1" applyFill="1" applyBorder="1"/>
    <xf numFmtId="167" fontId="37" fillId="0" borderId="0" xfId="1" applyNumberFormat="1" applyFont="1" applyFill="1" applyBorder="1"/>
    <xf numFmtId="169" fontId="38" fillId="0" borderId="0" xfId="352" applyNumberFormat="1" applyFont="1" applyFill="1" applyAlignment="1">
      <alignment horizontal="center" vertical="center"/>
    </xf>
    <xf numFmtId="10" fontId="37" fillId="0" borderId="0" xfId="1" applyNumberFormat="1" applyFont="1" applyFill="1" applyBorder="1"/>
    <xf numFmtId="169" fontId="38" fillId="0" borderId="0" xfId="352" applyNumberFormat="1" applyFont="1" applyFill="1" applyBorder="1" applyAlignment="1">
      <alignment horizontal="center" vertical="center"/>
    </xf>
    <xf numFmtId="167" fontId="40" fillId="0" borderId="8" xfId="1" applyNumberFormat="1" applyFont="1" applyFill="1" applyBorder="1"/>
    <xf numFmtId="10" fontId="40" fillId="0" borderId="8" xfId="1" applyNumberFormat="1" applyFont="1" applyFill="1" applyBorder="1"/>
    <xf numFmtId="0" fontId="40" fillId="4" borderId="8" xfId="352" applyFont="1" applyFill="1" applyBorder="1"/>
    <xf numFmtId="167" fontId="39" fillId="0" borderId="0" xfId="1" applyNumberFormat="1" applyFont="1" applyBorder="1" applyAlignment="1">
      <alignment vertical="center" wrapText="1"/>
    </xf>
    <xf numFmtId="0" fontId="39" fillId="0" borderId="8" xfId="352" applyFont="1" applyFill="1" applyBorder="1" applyAlignment="1">
      <alignment horizontal="right"/>
    </xf>
    <xf numFmtId="15" fontId="39" fillId="0" borderId="8" xfId="352" applyNumberFormat="1" applyFont="1" applyFill="1" applyBorder="1"/>
    <xf numFmtId="167" fontId="39" fillId="0" borderId="14" xfId="366" applyNumberFormat="1" applyFont="1" applyFill="1" applyBorder="1"/>
    <xf numFmtId="165" fontId="39" fillId="0" borderId="0" xfId="1" applyFont="1" applyFill="1" applyBorder="1"/>
    <xf numFmtId="165" fontId="40" fillId="0" borderId="0" xfId="1" applyFont="1" applyFill="1" applyBorder="1"/>
    <xf numFmtId="0" fontId="40" fillId="0" borderId="0" xfId="352" applyFont="1" applyFill="1" applyBorder="1"/>
    <xf numFmtId="167" fontId="39" fillId="0" borderId="0" xfId="1" applyNumberFormat="1" applyFont="1" applyFill="1" applyBorder="1"/>
    <xf numFmtId="0" fontId="40" fillId="0" borderId="8" xfId="352" applyFont="1" applyFill="1" applyBorder="1" applyAlignment="1">
      <alignment horizontal="right"/>
    </xf>
    <xf numFmtId="166" fontId="31" fillId="0" borderId="8" xfId="352" applyNumberFormat="1" applyFont="1" applyFill="1" applyBorder="1" applyAlignment="1" applyProtection="1">
      <alignment horizontal="left"/>
    </xf>
    <xf numFmtId="37" fontId="29" fillId="0" borderId="8" xfId="352" applyNumberFormat="1" applyFont="1" applyFill="1" applyBorder="1"/>
    <xf numFmtId="166" fontId="31" fillId="0" borderId="8" xfId="352" applyNumberFormat="1" applyFont="1" applyBorder="1" applyAlignment="1" applyProtection="1">
      <alignment horizontal="left"/>
    </xf>
    <xf numFmtId="166" fontId="31" fillId="0" borderId="8" xfId="352" quotePrefix="1" applyNumberFormat="1" applyFont="1" applyBorder="1" applyAlignment="1" applyProtection="1">
      <alignment horizontal="left"/>
    </xf>
    <xf numFmtId="167" fontId="40" fillId="0" borderId="0" xfId="1" applyNumberFormat="1" applyFont="1" applyFill="1" applyBorder="1"/>
    <xf numFmtId="166" fontId="45" fillId="0" borderId="8" xfId="352" applyNumberFormat="1" applyFont="1" applyBorder="1" applyAlignment="1" applyProtection="1">
      <alignment horizontal="left"/>
    </xf>
    <xf numFmtId="166" fontId="29" fillId="5" borderId="8" xfId="352" applyNumberFormat="1" applyFont="1" applyFill="1" applyBorder="1" applyAlignment="1" applyProtection="1">
      <alignment horizontal="left"/>
    </xf>
    <xf numFmtId="37" fontId="29" fillId="5" borderId="8" xfId="352" applyNumberFormat="1" applyFont="1" applyFill="1" applyBorder="1" applyProtection="1"/>
    <xf numFmtId="170" fontId="29" fillId="5" borderId="8" xfId="352" applyNumberFormat="1" applyFont="1" applyFill="1" applyBorder="1" applyProtection="1"/>
    <xf numFmtId="166" fontId="29" fillId="0" borderId="0" xfId="352" applyNumberFormat="1" applyFont="1" applyAlignment="1" applyProtection="1">
      <alignment horizontal="left"/>
    </xf>
    <xf numFmtId="170" fontId="29" fillId="0" borderId="0" xfId="352" applyNumberFormat="1" applyFont="1" applyProtection="1"/>
    <xf numFmtId="0" fontId="40" fillId="0" borderId="8" xfId="352" applyFont="1" applyFill="1" applyBorder="1" applyAlignment="1">
      <alignment horizontal="left"/>
    </xf>
    <xf numFmtId="1" fontId="29" fillId="0" borderId="8" xfId="352" applyNumberFormat="1" applyFont="1" applyBorder="1" applyProtection="1"/>
    <xf numFmtId="1" fontId="39" fillId="0" borderId="15" xfId="1" applyNumberFormat="1" applyFont="1" applyFill="1" applyBorder="1"/>
    <xf numFmtId="0" fontId="27" fillId="0" borderId="8" xfId="352" applyFont="1" applyBorder="1"/>
    <xf numFmtId="1" fontId="0" fillId="0" borderId="8" xfId="352" applyNumberFormat="1" applyFont="1" applyBorder="1"/>
    <xf numFmtId="14" fontId="39" fillId="0" borderId="8" xfId="352" applyNumberFormat="1" applyFont="1" applyFill="1" applyBorder="1"/>
    <xf numFmtId="10" fontId="39" fillId="0" borderId="0" xfId="1" applyNumberFormat="1" applyFont="1" applyFill="1" applyBorder="1"/>
    <xf numFmtId="0" fontId="40" fillId="0" borderId="3" xfId="352" applyFont="1" applyFill="1" applyBorder="1"/>
    <xf numFmtId="167" fontId="40" fillId="0" borderId="3" xfId="1" applyNumberFormat="1" applyFont="1" applyFill="1" applyBorder="1"/>
    <xf numFmtId="10" fontId="40" fillId="0" borderId="3" xfId="1" applyNumberFormat="1" applyFont="1" applyFill="1" applyBorder="1"/>
    <xf numFmtId="10" fontId="40" fillId="0" borderId="0" xfId="1" applyNumberFormat="1" applyFont="1" applyFill="1" applyBorder="1"/>
    <xf numFmtId="167" fontId="37" fillId="0" borderId="0" xfId="1" applyNumberFormat="1" applyFont="1" applyBorder="1"/>
    <xf numFmtId="169" fontId="38" fillId="0" borderId="8" xfId="1" applyNumberFormat="1" applyFont="1" applyFill="1" applyBorder="1"/>
    <xf numFmtId="169" fontId="38" fillId="0" borderId="0" xfId="1" applyNumberFormat="1" applyFont="1" applyFill="1" applyBorder="1"/>
    <xf numFmtId="167" fontId="40" fillId="0" borderId="0" xfId="1" applyNumberFormat="1" applyFont="1" applyFill="1" applyBorder="1" applyAlignment="1">
      <alignment horizontal="center" vertical="center" wrapText="1"/>
    </xf>
    <xf numFmtId="0" fontId="40" fillId="0" borderId="8" xfId="352" applyFont="1" applyBorder="1" applyAlignment="1">
      <alignment horizontal="right"/>
    </xf>
    <xf numFmtId="167" fontId="39" fillId="6" borderId="8" xfId="1" applyNumberFormat="1" applyFont="1" applyFill="1" applyBorder="1"/>
    <xf numFmtId="37" fontId="29" fillId="0" borderId="8" xfId="352" applyNumberFormat="1" applyFont="1" applyFill="1" applyBorder="1" applyProtection="1"/>
    <xf numFmtId="37" fontId="29" fillId="0" borderId="8" xfId="367" applyNumberFormat="1" applyFont="1" applyFill="1" applyBorder="1" applyProtection="1"/>
    <xf numFmtId="167" fontId="39" fillId="0" borderId="0" xfId="352" applyNumberFormat="1" applyFont="1" applyFill="1" applyBorder="1"/>
    <xf numFmtId="0" fontId="39" fillId="7" borderId="0" xfId="352" applyFont="1" applyFill="1" applyBorder="1"/>
    <xf numFmtId="167" fontId="39" fillId="7" borderId="0" xfId="1" applyNumberFormat="1" applyFont="1" applyFill="1" applyBorder="1"/>
    <xf numFmtId="0" fontId="37" fillId="0" borderId="5" xfId="352" applyFont="1" applyBorder="1"/>
    <xf numFmtId="0" fontId="37" fillId="0" borderId="4" xfId="352" applyFont="1" applyFill="1" applyBorder="1"/>
    <xf numFmtId="167" fontId="37" fillId="0" borderId="4" xfId="1" applyNumberFormat="1" applyFont="1" applyFill="1" applyBorder="1"/>
    <xf numFmtId="169" fontId="37" fillId="0" borderId="0" xfId="352" applyNumberFormat="1" applyFont="1" applyFill="1" applyAlignment="1">
      <alignment horizontal="center" vertical="center"/>
    </xf>
    <xf numFmtId="167" fontId="38" fillId="0" borderId="4" xfId="1" applyNumberFormat="1" applyFont="1" applyFill="1" applyBorder="1"/>
    <xf numFmtId="0" fontId="37" fillId="0" borderId="0" xfId="352" applyFont="1"/>
    <xf numFmtId="0" fontId="39" fillId="0" borderId="5" xfId="352" applyFont="1" applyBorder="1"/>
    <xf numFmtId="0" fontId="39" fillId="0" borderId="7" xfId="352" applyFont="1" applyFill="1" applyBorder="1"/>
    <xf numFmtId="0" fontId="39" fillId="0" borderId="14" xfId="352" applyFont="1" applyFill="1" applyBorder="1" applyAlignment="1">
      <alignment horizontal="center"/>
    </xf>
    <xf numFmtId="0" fontId="39" fillId="0" borderId="2" xfId="352" applyFont="1" applyFill="1" applyBorder="1" applyAlignment="1">
      <alignment horizontal="center"/>
    </xf>
    <xf numFmtId="0" fontId="40" fillId="0" borderId="2" xfId="352" applyFont="1" applyFill="1" applyBorder="1" applyAlignment="1">
      <alignment horizontal="center"/>
    </xf>
    <xf numFmtId="0" fontId="39" fillId="0" borderId="0" xfId="352" applyFont="1" applyFill="1" applyBorder="1" applyAlignment="1">
      <alignment horizontal="center"/>
    </xf>
    <xf numFmtId="0" fontId="39" fillId="0" borderId="0" xfId="352" applyFont="1"/>
    <xf numFmtId="0" fontId="39" fillId="0" borderId="6" xfId="352" applyFont="1" applyBorder="1"/>
    <xf numFmtId="0" fontId="40" fillId="3" borderId="11" xfId="352" applyFont="1" applyFill="1" applyBorder="1"/>
    <xf numFmtId="167" fontId="40" fillId="3" borderId="13" xfId="1" applyNumberFormat="1" applyFont="1" applyFill="1" applyBorder="1" applyAlignment="1">
      <alignment horizontal="center" vertical="center" wrapText="1"/>
    </xf>
    <xf numFmtId="167" fontId="39" fillId="0" borderId="0" xfId="1" applyNumberFormat="1" applyFont="1" applyFill="1" applyBorder="1" applyAlignment="1">
      <alignment horizontal="center"/>
    </xf>
    <xf numFmtId="0" fontId="39" fillId="0" borderId="10" xfId="352" applyFont="1" applyBorder="1"/>
    <xf numFmtId="0" fontId="39" fillId="0" borderId="9" xfId="352" applyFont="1" applyFill="1" applyBorder="1"/>
    <xf numFmtId="15" fontId="39" fillId="0" borderId="8" xfId="352" applyNumberFormat="1" applyFont="1" applyBorder="1" applyAlignment="1">
      <alignment horizontal="center" vertical="center"/>
    </xf>
    <xf numFmtId="167" fontId="39" fillId="0" borderId="12" xfId="1" applyNumberFormat="1" applyFont="1" applyFill="1" applyBorder="1" applyAlignment="1">
      <alignment horizontal="center"/>
    </xf>
    <xf numFmtId="167" fontId="39" fillId="6" borderId="12" xfId="1" applyNumberFormat="1" applyFont="1" applyFill="1" applyBorder="1" applyAlignment="1">
      <alignment horizontal="center"/>
    </xf>
    <xf numFmtId="0" fontId="39" fillId="0" borderId="5" xfId="352" applyFont="1" applyFill="1" applyBorder="1"/>
    <xf numFmtId="15" fontId="39" fillId="0" borderId="8" xfId="352" applyNumberFormat="1" applyFont="1" applyFill="1" applyBorder="1" applyAlignment="1">
      <alignment horizontal="center"/>
    </xf>
    <xf numFmtId="15" fontId="39" fillId="0" borderId="7" xfId="352" applyNumberFormat="1" applyFont="1" applyFill="1" applyBorder="1" applyAlignment="1">
      <alignment horizontal="center"/>
    </xf>
    <xf numFmtId="167" fontId="39" fillId="0" borderId="13" xfId="1" applyNumberFormat="1" applyFont="1" applyFill="1" applyBorder="1"/>
    <xf numFmtId="15" fontId="39" fillId="6" borderId="7" xfId="352" applyNumberFormat="1" applyFont="1" applyFill="1" applyBorder="1" applyAlignment="1">
      <alignment horizontal="center"/>
    </xf>
    <xf numFmtId="15" fontId="39" fillId="0" borderId="0" xfId="352" applyNumberFormat="1" applyFont="1" applyFill="1" applyBorder="1" applyAlignment="1">
      <alignment horizontal="center"/>
    </xf>
    <xf numFmtId="0" fontId="40" fillId="0" borderId="6" xfId="352" applyFont="1" applyBorder="1" applyAlignment="1">
      <alignment horizontal="right"/>
    </xf>
    <xf numFmtId="166" fontId="46" fillId="0" borderId="0" xfId="352" applyNumberFormat="1" applyFont="1" applyAlignment="1" applyProtection="1">
      <alignment horizontal="left"/>
    </xf>
    <xf numFmtId="167" fontId="39" fillId="0" borderId="7" xfId="1" applyNumberFormat="1" applyFont="1" applyFill="1" applyBorder="1"/>
    <xf numFmtId="2" fontId="39" fillId="0" borderId="8" xfId="1" applyNumberFormat="1" applyFont="1" applyFill="1" applyBorder="1"/>
    <xf numFmtId="165" fontId="39" fillId="0" borderId="8" xfId="1" applyNumberFormat="1" applyFont="1" applyFill="1" applyBorder="1"/>
    <xf numFmtId="0" fontId="40" fillId="0" borderId="0" xfId="352" applyFont="1"/>
    <xf numFmtId="166" fontId="45" fillId="0" borderId="0" xfId="352" applyNumberFormat="1" applyFont="1" applyAlignment="1" applyProtection="1">
      <alignment horizontal="left"/>
    </xf>
    <xf numFmtId="39" fontId="29" fillId="0" borderId="8" xfId="352" applyNumberFormat="1" applyFont="1" applyBorder="1"/>
    <xf numFmtId="166" fontId="31" fillId="0" borderId="0" xfId="352" applyNumberFormat="1" applyFont="1" applyAlignment="1" applyProtection="1">
      <alignment horizontal="left"/>
    </xf>
    <xf numFmtId="171" fontId="39" fillId="0" borderId="8" xfId="352" applyNumberFormat="1" applyFont="1" applyFill="1" applyBorder="1"/>
    <xf numFmtId="0" fontId="39" fillId="0" borderId="15" xfId="352" applyFont="1" applyBorder="1"/>
    <xf numFmtId="0" fontId="39" fillId="8" borderId="8" xfId="352" applyFont="1" applyFill="1" applyBorder="1"/>
    <xf numFmtId="167" fontId="40" fillId="8" borderId="8" xfId="1" applyNumberFormat="1" applyFont="1" applyFill="1" applyBorder="1"/>
    <xf numFmtId="167" fontId="40" fillId="0" borderId="0" xfId="1" applyNumberFormat="1" applyFont="1" applyBorder="1"/>
    <xf numFmtId="0" fontId="40" fillId="0" borderId="0" xfId="352" applyFont="1" applyBorder="1" applyAlignment="1">
      <alignment horizontal="left" vertical="center"/>
    </xf>
    <xf numFmtId="10" fontId="39" fillId="0" borderId="0" xfId="1" applyNumberFormat="1" applyFont="1" applyBorder="1"/>
    <xf numFmtId="0" fontId="40" fillId="0" borderId="0" xfId="352" applyFont="1" applyBorder="1" applyAlignment="1">
      <alignment vertical="center"/>
    </xf>
    <xf numFmtId="167" fontId="40" fillId="0" borderId="0" xfId="1" applyNumberFormat="1" applyFont="1" applyBorder="1" applyAlignment="1">
      <alignment vertical="center"/>
    </xf>
    <xf numFmtId="167" fontId="39" fillId="0" borderId="1" xfId="1" applyNumberFormat="1" applyFont="1" applyFill="1" applyBorder="1"/>
    <xf numFmtId="10" fontId="39" fillId="0" borderId="1" xfId="1" applyNumberFormat="1" applyFont="1" applyFill="1" applyBorder="1"/>
    <xf numFmtId="0" fontId="39" fillId="0" borderId="11" xfId="352" applyFont="1" applyBorder="1"/>
    <xf numFmtId="0" fontId="39" fillId="0" borderId="9" xfId="352" applyFont="1" applyBorder="1"/>
    <xf numFmtId="0" fontId="39" fillId="0" borderId="14" xfId="352" applyNumberFormat="1" applyFont="1" applyFill="1" applyBorder="1" applyAlignment="1">
      <alignment horizontal="center" vertical="center"/>
    </xf>
    <xf numFmtId="172" fontId="39" fillId="0" borderId="14" xfId="362" applyNumberFormat="1" applyFont="1" applyFill="1" applyBorder="1" applyAlignment="1">
      <alignment horizontal="center" vertical="center"/>
    </xf>
    <xf numFmtId="167" fontId="39" fillId="0" borderId="14" xfId="1" applyNumberFormat="1" applyFont="1" applyFill="1" applyBorder="1" applyAlignment="1">
      <alignment vertical="center"/>
    </xf>
    <xf numFmtId="0" fontId="39" fillId="0" borderId="6" xfId="352" applyFont="1" applyBorder="1" applyAlignment="1">
      <alignment horizontal="right"/>
    </xf>
    <xf numFmtId="0" fontId="41" fillId="0" borderId="7" xfId="352" applyFont="1" applyFill="1" applyBorder="1"/>
    <xf numFmtId="0" fontId="39" fillId="0" borderId="8" xfId="352" applyFont="1" applyBorder="1" applyAlignment="1">
      <alignment horizontal="right"/>
    </xf>
    <xf numFmtId="0" fontId="39" fillId="0" borderId="0" xfId="352" applyFont="1" applyFill="1"/>
    <xf numFmtId="0" fontId="39" fillId="9" borderId="8" xfId="352" applyFont="1" applyFill="1" applyBorder="1" applyAlignment="1">
      <alignment horizontal="right"/>
    </xf>
    <xf numFmtId="173" fontId="39" fillId="0" borderId="8" xfId="352" applyNumberFormat="1" applyFont="1" applyFill="1" applyBorder="1"/>
    <xf numFmtId="39" fontId="29" fillId="0" borderId="0" xfId="352" applyNumberFormat="1" applyFont="1" applyBorder="1"/>
    <xf numFmtId="166" fontId="46" fillId="0" borderId="8" xfId="352" applyNumberFormat="1" applyFont="1" applyBorder="1" applyAlignment="1" applyProtection="1">
      <alignment horizontal="left"/>
    </xf>
    <xf numFmtId="167" fontId="39" fillId="0" borderId="9" xfId="1" applyNumberFormat="1" applyFont="1" applyFill="1" applyBorder="1"/>
    <xf numFmtId="173" fontId="39" fillId="0" borderId="9" xfId="352" applyNumberFormat="1" applyFont="1" applyFill="1" applyBorder="1"/>
    <xf numFmtId="0" fontId="40" fillId="8" borderId="8" xfId="352" applyFont="1" applyFill="1" applyBorder="1" applyAlignment="1">
      <alignment horizontal="center"/>
    </xf>
    <xf numFmtId="10" fontId="40" fillId="8" borderId="8" xfId="1" applyNumberFormat="1" applyFont="1" applyFill="1" applyBorder="1"/>
    <xf numFmtId="167" fontId="39" fillId="0" borderId="0" xfId="1" applyNumberFormat="1" applyFont="1"/>
    <xf numFmtId="10" fontId="39" fillId="0" borderId="0" xfId="1" applyNumberFormat="1" applyFont="1"/>
    <xf numFmtId="167" fontId="39" fillId="0" borderId="0" xfId="1" applyNumberFormat="1" applyFont="1" applyFill="1"/>
    <xf numFmtId="10" fontId="39" fillId="0" borderId="0" xfId="1" applyNumberFormat="1" applyFont="1" applyFill="1"/>
    <xf numFmtId="0" fontId="37" fillId="0" borderId="5" xfId="352" applyFont="1" applyFill="1" applyBorder="1"/>
    <xf numFmtId="0" fontId="37" fillId="0" borderId="2" xfId="352" applyFont="1" applyFill="1" applyBorder="1"/>
    <xf numFmtId="167" fontId="37" fillId="0" borderId="2" xfId="1" applyNumberFormat="1" applyFont="1" applyFill="1" applyBorder="1"/>
    <xf numFmtId="169" fontId="37" fillId="0" borderId="0" xfId="352" applyNumberFormat="1" applyFont="1" applyFill="1" applyBorder="1"/>
    <xf numFmtId="0" fontId="39" fillId="0" borderId="6" xfId="352" applyFont="1" applyFill="1" applyBorder="1"/>
    <xf numFmtId="0" fontId="40" fillId="3" borderId="8" xfId="352" applyFont="1" applyFill="1" applyBorder="1" applyAlignment="1">
      <alignment vertical="center"/>
    </xf>
    <xf numFmtId="0" fontId="39" fillId="0" borderId="10" xfId="352" applyFont="1" applyFill="1" applyBorder="1"/>
    <xf numFmtId="37" fontId="29" fillId="5" borderId="8" xfId="368" applyNumberFormat="1" applyFont="1" applyFill="1" applyBorder="1" applyProtection="1"/>
    <xf numFmtId="167" fontId="39" fillId="0" borderId="8" xfId="369" applyNumberFormat="1" applyFont="1" applyFill="1" applyBorder="1"/>
    <xf numFmtId="0" fontId="47" fillId="0" borderId="8" xfId="352" applyFont="1" applyFill="1" applyBorder="1"/>
    <xf numFmtId="166" fontId="29" fillId="0" borderId="0" xfId="352" applyNumberFormat="1" applyFont="1" applyFill="1" applyAlignment="1" applyProtection="1">
      <alignment horizontal="left"/>
    </xf>
    <xf numFmtId="0" fontId="27" fillId="0" borderId="8" xfId="352" applyFont="1" applyFill="1" applyBorder="1"/>
    <xf numFmtId="0" fontId="40" fillId="0" borderId="3" xfId="352" applyFont="1" applyFill="1" applyBorder="1" applyAlignment="1">
      <alignment horizontal="center"/>
    </xf>
    <xf numFmtId="167" fontId="40" fillId="2" borderId="3" xfId="1" applyNumberFormat="1" applyFont="1" applyFill="1" applyBorder="1"/>
    <xf numFmtId="167" fontId="38" fillId="0" borderId="0" xfId="1" applyNumberFormat="1" applyFont="1" applyFill="1" applyBorder="1"/>
    <xf numFmtId="166" fontId="48" fillId="0" borderId="8" xfId="352" applyNumberFormat="1" applyFont="1" applyBorder="1" applyAlignment="1" applyProtection="1">
      <alignment horizontal="left"/>
    </xf>
    <xf numFmtId="166" fontId="49" fillId="0" borderId="8" xfId="352" applyNumberFormat="1" applyFont="1" applyBorder="1" applyAlignment="1" applyProtection="1">
      <alignment horizontal="left"/>
    </xf>
    <xf numFmtId="165" fontId="47" fillId="0" borderId="0" xfId="1" applyFont="1" applyFill="1" applyBorder="1"/>
    <xf numFmtId="167" fontId="47" fillId="0" borderId="0" xfId="1" applyNumberFormat="1" applyFont="1" applyFill="1" applyBorder="1"/>
    <xf numFmtId="167" fontId="50" fillId="0" borderId="18" xfId="1" applyNumberFormat="1" applyFont="1" applyBorder="1"/>
    <xf numFmtId="43" fontId="0" fillId="0" borderId="0" xfId="352" applyNumberFormat="1" applyFont="1"/>
    <xf numFmtId="167" fontId="0" fillId="0" borderId="8" xfId="1" applyNumberFormat="1" applyFont="1" applyBorder="1"/>
    <xf numFmtId="0" fontId="28" fillId="0" borderId="8" xfId="352" applyFont="1" applyBorder="1"/>
    <xf numFmtId="167" fontId="0" fillId="0" borderId="8" xfId="1" applyNumberFormat="1" applyFont="1" applyFill="1" applyBorder="1"/>
    <xf numFmtId="37" fontId="29" fillId="2" borderId="8" xfId="352" applyNumberFormat="1" applyFont="1" applyFill="1" applyBorder="1" applyProtection="1"/>
    <xf numFmtId="39" fontId="51" fillId="0" borderId="0" xfId="0" applyFont="1"/>
    <xf numFmtId="39" fontId="51" fillId="0" borderId="8" xfId="0" applyFont="1" applyBorder="1"/>
    <xf numFmtId="39" fontId="0" fillId="0" borderId="8" xfId="0" applyBorder="1"/>
    <xf numFmtId="170" fontId="29" fillId="0" borderId="0" xfId="361" applyNumberFormat="1" applyFont="1" applyBorder="1" applyProtection="1"/>
    <xf numFmtId="39" fontId="28" fillId="0" borderId="0" xfId="0" applyFont="1"/>
    <xf numFmtId="39" fontId="27" fillId="0" borderId="0" xfId="0" applyFont="1"/>
    <xf numFmtId="43" fontId="39" fillId="0" borderId="0" xfId="352" applyNumberFormat="1" applyFont="1" applyFill="1" applyAlignment="1">
      <alignment vertical="center"/>
    </xf>
    <xf numFmtId="37" fontId="0" fillId="0" borderId="0" xfId="0" applyNumberFormat="1"/>
    <xf numFmtId="37" fontId="28" fillId="0" borderId="3" xfId="0" applyNumberFormat="1" applyFont="1" applyBorder="1"/>
    <xf numFmtId="37" fontId="28" fillId="0" borderId="23" xfId="0" applyNumberFormat="1" applyFont="1" applyBorder="1"/>
    <xf numFmtId="39" fontId="28" fillId="0" borderId="4" xfId="0" applyFont="1" applyBorder="1" applyAlignment="1">
      <alignment horizontal="center"/>
    </xf>
    <xf numFmtId="39" fontId="52" fillId="0" borderId="4" xfId="0" applyFont="1" applyBorder="1" applyAlignment="1">
      <alignment horizontal="center"/>
    </xf>
    <xf numFmtId="39" fontId="28" fillId="0" borderId="4" xfId="0" applyFont="1" applyBorder="1"/>
    <xf numFmtId="39" fontId="28" fillId="0" borderId="24" xfId="0" applyFont="1" applyBorder="1" applyAlignment="1">
      <alignment horizontal="center"/>
    </xf>
    <xf numFmtId="39" fontId="52" fillId="0" borderId="24" xfId="0" applyFont="1" applyBorder="1" applyAlignment="1">
      <alignment horizontal="center"/>
    </xf>
    <xf numFmtId="10" fontId="52" fillId="0" borderId="24" xfId="0" applyNumberFormat="1" applyFont="1" applyBorder="1" applyAlignment="1">
      <alignment horizontal="center"/>
    </xf>
    <xf numFmtId="39" fontId="28" fillId="0" borderId="24" xfId="0" applyFont="1" applyBorder="1"/>
    <xf numFmtId="39" fontId="0" fillId="0" borderId="23" xfId="0" applyBorder="1"/>
    <xf numFmtId="170" fontId="29" fillId="0" borderId="23" xfId="361" applyNumberFormat="1" applyFont="1" applyBorder="1" applyProtection="1"/>
    <xf numFmtId="37" fontId="0" fillId="0" borderId="8" xfId="0" applyNumberFormat="1" applyBorder="1"/>
    <xf numFmtId="37" fontId="28" fillId="0" borderId="8" xfId="0" applyNumberFormat="1" applyFont="1" applyBorder="1"/>
    <xf numFmtId="39" fontId="27" fillId="0" borderId="0" xfId="0" applyFont="1" applyFill="1"/>
    <xf numFmtId="39" fontId="0" fillId="0" borderId="0" xfId="0" applyFill="1"/>
    <xf numFmtId="170" fontId="29" fillId="0" borderId="0" xfId="361" applyNumberFormat="1" applyFont="1" applyFill="1" applyBorder="1" applyProtection="1"/>
    <xf numFmtId="39" fontId="0" fillId="0" borderId="0" xfId="0" quotePrefix="1" applyFill="1"/>
    <xf numFmtId="167" fontId="0" fillId="0" borderId="0" xfId="1" applyNumberFormat="1" applyFont="1"/>
    <xf numFmtId="167" fontId="0" fillId="0" borderId="0" xfId="1" applyNumberFormat="1" applyFont="1" applyFill="1"/>
    <xf numFmtId="165" fontId="39" fillId="0" borderId="0" xfId="1" applyNumberFormat="1" applyFont="1" applyBorder="1"/>
    <xf numFmtId="9" fontId="39" fillId="0" borderId="0" xfId="371" applyFont="1" applyBorder="1"/>
    <xf numFmtId="0" fontId="39" fillId="0" borderId="8" xfId="361" applyFont="1" applyBorder="1" applyAlignment="1">
      <alignment horizontal="center" vertical="center"/>
    </xf>
    <xf numFmtId="0" fontId="40" fillId="4" borderId="8" xfId="361" applyFont="1" applyFill="1" applyBorder="1" applyAlignment="1">
      <alignment horizontal="center" vertical="center"/>
    </xf>
    <xf numFmtId="0" fontId="39" fillId="0" borderId="0" xfId="361" applyFont="1" applyBorder="1" applyAlignment="1">
      <alignment horizontal="center" vertical="center"/>
    </xf>
    <xf numFmtId="9" fontId="39" fillId="0" borderId="0" xfId="371" applyFont="1" applyAlignment="1">
      <alignment vertical="center"/>
    </xf>
    <xf numFmtId="43" fontId="39" fillId="0" borderId="0" xfId="352" applyNumberFormat="1" applyFont="1" applyAlignment="1">
      <alignment vertical="center"/>
    </xf>
    <xf numFmtId="165" fontId="29" fillId="0" borderId="8" xfId="1" applyFont="1" applyFill="1" applyBorder="1" applyProtection="1"/>
    <xf numFmtId="0" fontId="41" fillId="0" borderId="0" xfId="352" applyFont="1" applyFill="1" applyBorder="1"/>
    <xf numFmtId="165" fontId="39" fillId="0" borderId="8" xfId="1" applyFont="1" applyFill="1" applyBorder="1"/>
    <xf numFmtId="39" fontId="27" fillId="0" borderId="8" xfId="0" applyFont="1" applyBorder="1"/>
    <xf numFmtId="167" fontId="40" fillId="0" borderId="8" xfId="1" applyNumberFormat="1" applyFont="1" applyFill="1" applyBorder="1" applyAlignment="1">
      <alignment horizontal="center" vertical="center" wrapText="1"/>
    </xf>
    <xf numFmtId="15" fontId="40" fillId="0" borderId="8" xfId="352" applyNumberFormat="1" applyFont="1" applyFill="1" applyBorder="1" applyAlignment="1">
      <alignment horizontal="center" vertical="center" wrapText="1"/>
    </xf>
    <xf numFmtId="0" fontId="40" fillId="0" borderId="13" xfId="352" applyNumberFormat="1" applyFont="1" applyFill="1" applyBorder="1" applyAlignment="1">
      <alignment horizontal="center" vertical="center" wrapText="1"/>
    </xf>
    <xf numFmtId="10" fontId="40" fillId="0" borderId="13" xfId="362" applyNumberFormat="1" applyFont="1" applyFill="1" applyBorder="1" applyAlignment="1">
      <alignment horizontal="center" vertical="center" wrapText="1"/>
    </xf>
    <xf numFmtId="39" fontId="0" fillId="0" borderId="0" xfId="0" applyFill="1" applyAlignment="1">
      <alignment horizontal="center" vertical="center"/>
    </xf>
    <xf numFmtId="166" fontId="29" fillId="10" borderId="8" xfId="352" applyNumberFormat="1" applyFont="1" applyFill="1" applyBorder="1" applyAlignment="1" applyProtection="1">
      <alignment horizontal="left"/>
    </xf>
    <xf numFmtId="37" fontId="29" fillId="10" borderId="8" xfId="352" applyNumberFormat="1" applyFont="1" applyFill="1" applyBorder="1" applyProtection="1"/>
    <xf numFmtId="170" fontId="29" fillId="10" borderId="8" xfId="352" applyNumberFormat="1" applyFont="1" applyFill="1" applyBorder="1" applyProtection="1"/>
    <xf numFmtId="167" fontId="39" fillId="10" borderId="14" xfId="366" applyNumberFormat="1" applyFont="1" applyFill="1" applyBorder="1"/>
    <xf numFmtId="167" fontId="39" fillId="10" borderId="8" xfId="1" applyNumberFormat="1" applyFont="1" applyFill="1" applyBorder="1"/>
    <xf numFmtId="1" fontId="39" fillId="10" borderId="8" xfId="1" applyNumberFormat="1" applyFont="1" applyFill="1" applyBorder="1"/>
    <xf numFmtId="167" fontId="39" fillId="10" borderId="8" xfId="1" applyNumberFormat="1" applyFont="1" applyFill="1" applyBorder="1" applyAlignment="1">
      <alignment horizontal="center"/>
    </xf>
    <xf numFmtId="10" fontId="39" fillId="10" borderId="8" xfId="1" applyNumberFormat="1" applyFont="1" applyFill="1" applyBorder="1"/>
    <xf numFmtId="37" fontId="29" fillId="10" borderId="8" xfId="352" applyNumberFormat="1" applyFont="1" applyFill="1" applyBorder="1"/>
    <xf numFmtId="166" fontId="29" fillId="10" borderId="8" xfId="352" quotePrefix="1" applyNumberFormat="1" applyFont="1" applyFill="1" applyBorder="1" applyAlignment="1" applyProtection="1">
      <alignment horizontal="left"/>
    </xf>
    <xf numFmtId="166" fontId="31" fillId="10" borderId="8" xfId="352" applyNumberFormat="1" applyFont="1" applyFill="1" applyBorder="1" applyAlignment="1" applyProtection="1">
      <alignment horizontal="left"/>
    </xf>
    <xf numFmtId="166" fontId="29" fillId="11" borderId="8" xfId="352" applyNumberFormat="1" applyFont="1" applyFill="1" applyBorder="1" applyAlignment="1" applyProtection="1">
      <alignment horizontal="left"/>
    </xf>
    <xf numFmtId="37" fontId="29" fillId="11" borderId="8" xfId="352" applyNumberFormat="1" applyFont="1" applyFill="1" applyBorder="1" applyProtection="1"/>
    <xf numFmtId="170" fontId="29" fillId="11" borderId="8" xfId="352" applyNumberFormat="1" applyFont="1" applyFill="1" applyBorder="1" applyProtection="1"/>
    <xf numFmtId="167" fontId="39" fillId="11" borderId="8" xfId="1" applyNumberFormat="1" applyFont="1" applyFill="1" applyBorder="1"/>
    <xf numFmtId="1" fontId="39" fillId="11" borderId="8" xfId="1" applyNumberFormat="1" applyFont="1" applyFill="1" applyBorder="1"/>
    <xf numFmtId="167" fontId="39" fillId="11" borderId="8" xfId="1" applyNumberFormat="1" applyFont="1" applyFill="1" applyBorder="1" applyAlignment="1">
      <alignment horizontal="center"/>
    </xf>
    <xf numFmtId="10" fontId="39" fillId="11" borderId="8" xfId="1" applyNumberFormat="1" applyFont="1" applyFill="1" applyBorder="1"/>
    <xf numFmtId="37" fontId="29" fillId="11" borderId="8" xfId="352" applyNumberFormat="1" applyFont="1" applyFill="1" applyBorder="1"/>
    <xf numFmtId="166" fontId="29" fillId="11" borderId="8" xfId="352" quotePrefix="1" applyNumberFormat="1" applyFont="1" applyFill="1" applyBorder="1" applyAlignment="1" applyProtection="1">
      <alignment horizontal="left"/>
    </xf>
    <xf numFmtId="166" fontId="31" fillId="11" borderId="8" xfId="352" applyNumberFormat="1" applyFont="1" applyFill="1" applyBorder="1" applyAlignment="1" applyProtection="1">
      <alignment horizontal="left"/>
    </xf>
    <xf numFmtId="0" fontId="40" fillId="10" borderId="8" xfId="352" applyFont="1" applyFill="1" applyBorder="1"/>
    <xf numFmtId="37" fontId="29" fillId="10" borderId="8" xfId="367" applyNumberFormat="1" applyFont="1" applyFill="1" applyBorder="1" applyProtection="1"/>
    <xf numFmtId="167" fontId="39" fillId="10" borderId="0" xfId="1" applyNumberFormat="1" applyFont="1" applyFill="1" applyBorder="1"/>
    <xf numFmtId="37" fontId="29" fillId="11" borderId="8" xfId="368" applyNumberFormat="1" applyFont="1" applyFill="1" applyBorder="1" applyProtection="1"/>
    <xf numFmtId="0" fontId="39" fillId="11" borderId="0" xfId="352" applyFont="1" applyFill="1" applyBorder="1"/>
    <xf numFmtId="166" fontId="31" fillId="11" borderId="8" xfId="352" quotePrefix="1" applyNumberFormat="1" applyFont="1" applyFill="1" applyBorder="1" applyAlignment="1" applyProtection="1">
      <alignment horizontal="left"/>
    </xf>
    <xf numFmtId="167" fontId="39" fillId="11" borderId="8" xfId="369" applyNumberFormat="1" applyFont="1" applyFill="1" applyBorder="1"/>
    <xf numFmtId="171" fontId="39" fillId="11" borderId="8" xfId="352" applyNumberFormat="1" applyFont="1" applyFill="1" applyBorder="1"/>
    <xf numFmtId="167" fontId="40" fillId="0" borderId="0" xfId="1" applyNumberFormat="1" applyFont="1"/>
    <xf numFmtId="0" fontId="40" fillId="0" borderId="8" xfId="352" applyNumberFormat="1" applyFont="1" applyFill="1" applyBorder="1" applyAlignment="1">
      <alignment horizontal="center" vertical="center" wrapText="1"/>
    </xf>
    <xf numFmtId="10" fontId="40" fillId="0" borderId="8" xfId="362" applyNumberFormat="1" applyFont="1" applyFill="1" applyBorder="1" applyAlignment="1">
      <alignment horizontal="center" vertical="center" wrapText="1"/>
    </xf>
    <xf numFmtId="165" fontId="39" fillId="0" borderId="8" xfId="1" applyFont="1" applyFill="1" applyBorder="1" applyAlignment="1">
      <alignment horizontal="center" vertical="center"/>
    </xf>
    <xf numFmtId="167" fontId="39" fillId="0" borderId="8" xfId="1" applyNumberFormat="1" applyFont="1" applyFill="1" applyBorder="1" applyAlignment="1">
      <alignment horizontal="center" vertical="center"/>
    </xf>
    <xf numFmtId="37" fontId="29" fillId="0" borderId="8" xfId="368" applyNumberFormat="1" applyFont="1" applyFill="1" applyBorder="1" applyProtection="1"/>
    <xf numFmtId="166" fontId="31" fillId="0" borderId="8" xfId="352" quotePrefix="1" applyNumberFormat="1" applyFont="1" applyFill="1" applyBorder="1" applyAlignment="1" applyProtection="1">
      <alignment horizontal="left"/>
    </xf>
    <xf numFmtId="174" fontId="40" fillId="0" borderId="8" xfId="1" applyNumberFormat="1" applyFont="1" applyFill="1" applyBorder="1" applyAlignment="1">
      <alignment horizontal="center" vertical="center"/>
    </xf>
    <xf numFmtId="39" fontId="0" fillId="0" borderId="3" xfId="0" applyFill="1" applyBorder="1"/>
    <xf numFmtId="39" fontId="28" fillId="0" borderId="3" xfId="0" applyFont="1" applyFill="1" applyBorder="1"/>
    <xf numFmtId="165" fontId="28" fillId="0" borderId="3" xfId="1" applyFont="1" applyFill="1" applyBorder="1"/>
    <xf numFmtId="39" fontId="0" fillId="0" borderId="3" xfId="0" applyFill="1" applyBorder="1" applyAlignment="1">
      <alignment horizontal="center" vertical="center"/>
    </xf>
    <xf numFmtId="37" fontId="28" fillId="0" borderId="3" xfId="0" applyNumberFormat="1" applyFont="1" applyFill="1" applyBorder="1"/>
    <xf numFmtId="167" fontId="28" fillId="0" borderId="3" xfId="1" applyNumberFormat="1" applyFont="1" applyFill="1" applyBorder="1"/>
    <xf numFmtId="175" fontId="0" fillId="0" borderId="0" xfId="1" applyNumberFormat="1" applyFont="1" applyFill="1"/>
    <xf numFmtId="167" fontId="40" fillId="3" borderId="15" xfId="1" applyNumberFormat="1" applyFont="1" applyFill="1" applyBorder="1" applyAlignment="1">
      <alignment horizontal="center" vertical="center" wrapText="1"/>
    </xf>
    <xf numFmtId="167" fontId="39" fillId="10" borderId="15" xfId="1" applyNumberFormat="1" applyFont="1" applyFill="1" applyBorder="1"/>
    <xf numFmtId="167" fontId="39" fillId="0" borderId="15" xfId="1" applyNumberFormat="1" applyFont="1" applyFill="1" applyBorder="1"/>
    <xf numFmtId="165" fontId="39" fillId="10" borderId="8" xfId="1" applyFont="1" applyFill="1" applyBorder="1"/>
    <xf numFmtId="1" fontId="40" fillId="0" borderId="8" xfId="352" applyNumberFormat="1" applyFont="1" applyFill="1" applyBorder="1"/>
    <xf numFmtId="0" fontId="1" fillId="0" borderId="0" xfId="370"/>
    <xf numFmtId="167" fontId="40" fillId="0" borderId="8" xfId="366" applyNumberFormat="1" applyFont="1" applyFill="1" applyBorder="1" applyAlignment="1">
      <alignment horizontal="center" vertical="center" wrapText="1"/>
    </xf>
    <xf numFmtId="166" fontId="54" fillId="0" borderId="8" xfId="352" applyNumberFormat="1" applyFont="1" applyFill="1" applyBorder="1" applyAlignment="1" applyProtection="1">
      <alignment horizontal="left"/>
    </xf>
    <xf numFmtId="37" fontId="54" fillId="0" borderId="8" xfId="352" applyNumberFormat="1" applyFont="1" applyFill="1" applyBorder="1" applyProtection="1"/>
    <xf numFmtId="170" fontId="54" fillId="0" borderId="8" xfId="352" applyNumberFormat="1" applyFont="1" applyFill="1" applyBorder="1" applyProtection="1"/>
    <xf numFmtId="167" fontId="55" fillId="0" borderId="14" xfId="366" applyNumberFormat="1" applyFont="1" applyFill="1" applyBorder="1"/>
    <xf numFmtId="167" fontId="55" fillId="0" borderId="8" xfId="366" applyNumberFormat="1" applyFont="1" applyFill="1" applyBorder="1"/>
    <xf numFmtId="167" fontId="1" fillId="0" borderId="8" xfId="370" applyNumberFormat="1" applyBorder="1"/>
    <xf numFmtId="167" fontId="40" fillId="0" borderId="3" xfId="366" applyNumberFormat="1" applyFont="1" applyFill="1" applyBorder="1"/>
    <xf numFmtId="37" fontId="29" fillId="0" borderId="0" xfId="352" applyNumberFormat="1" applyFont="1" applyFill="1" applyBorder="1"/>
    <xf numFmtId="0" fontId="1" fillId="0" borderId="0" xfId="370" quotePrefix="1"/>
    <xf numFmtId="175" fontId="0" fillId="0" borderId="0" xfId="372" applyNumberFormat="1" applyFont="1"/>
    <xf numFmtId="167" fontId="1" fillId="0" borderId="0" xfId="370" applyNumberFormat="1"/>
    <xf numFmtId="167" fontId="1" fillId="0" borderId="0" xfId="370" quotePrefix="1" applyNumberFormat="1"/>
    <xf numFmtId="0" fontId="39" fillId="0" borderId="6" xfId="352" applyFont="1" applyFill="1" applyBorder="1" applyAlignment="1">
      <alignment horizontal="right"/>
    </xf>
    <xf numFmtId="39" fontId="28" fillId="12" borderId="0" xfId="0" applyFont="1" applyFill="1"/>
    <xf numFmtId="39" fontId="0" fillId="12" borderId="0" xfId="0" applyFill="1"/>
    <xf numFmtId="165" fontId="39" fillId="0" borderId="0" xfId="1" applyFont="1" applyFill="1" applyBorder="1" applyAlignment="1">
      <alignment horizontal="center" vertical="center"/>
    </xf>
    <xf numFmtId="167" fontId="39" fillId="0" borderId="0" xfId="1" applyNumberFormat="1" applyFont="1" applyFill="1" applyBorder="1" applyAlignment="1">
      <alignment horizontal="center" vertical="center"/>
    </xf>
    <xf numFmtId="39" fontId="27" fillId="0" borderId="0" xfId="0" applyFont="1" applyFill="1" applyAlignment="1">
      <alignment horizontal="center" vertical="center"/>
    </xf>
    <xf numFmtId="43" fontId="0" fillId="0" borderId="0" xfId="1" applyNumberFormat="1" applyFont="1" applyFill="1"/>
    <xf numFmtId="0" fontId="28" fillId="0" borderId="0" xfId="352" applyFont="1" applyAlignment="1">
      <alignment horizontal="center"/>
    </xf>
    <xf numFmtId="0" fontId="30" fillId="0" borderId="16" xfId="352" applyFont="1" applyBorder="1" applyAlignment="1">
      <alignment horizontal="center" vertical="center"/>
    </xf>
    <xf numFmtId="0" fontId="30" fillId="0" borderId="20" xfId="352" applyFont="1" applyBorder="1" applyAlignment="1">
      <alignment horizontal="center" vertical="center"/>
    </xf>
    <xf numFmtId="0" fontId="28" fillId="0" borderId="17" xfId="352" applyFont="1" applyBorder="1" applyAlignment="1">
      <alignment horizontal="center"/>
    </xf>
    <xf numFmtId="0" fontId="28" fillId="0" borderId="18" xfId="352" applyFont="1" applyBorder="1" applyAlignment="1">
      <alignment horizontal="center"/>
    </xf>
    <xf numFmtId="0" fontId="28" fillId="0" borderId="19" xfId="352" applyFont="1" applyBorder="1" applyAlignment="1">
      <alignment horizontal="center"/>
    </xf>
    <xf numFmtId="0" fontId="40" fillId="0" borderId="15" xfId="352" applyFont="1" applyBorder="1" applyAlignment="1">
      <alignment vertical="center"/>
    </xf>
    <xf numFmtId="0" fontId="40" fillId="0" borderId="2" xfId="352" applyFont="1" applyBorder="1" applyAlignment="1">
      <alignment vertical="center"/>
    </xf>
    <xf numFmtId="0" fontId="40" fillId="0" borderId="14" xfId="352" applyFont="1" applyBorder="1" applyAlignment="1">
      <alignment vertical="center"/>
    </xf>
    <xf numFmtId="0" fontId="38" fillId="0" borderId="0" xfId="352" applyFont="1" applyBorder="1" applyAlignment="1">
      <alignment horizontal="left"/>
    </xf>
    <xf numFmtId="0" fontId="40" fillId="0" borderId="0" xfId="352" applyFont="1" applyBorder="1" applyAlignment="1">
      <alignment horizontal="left" vertical="center"/>
    </xf>
    <xf numFmtId="167" fontId="40" fillId="0" borderId="0" xfId="366" applyNumberFormat="1" applyFont="1" applyFill="1" applyBorder="1"/>
    <xf numFmtId="0" fontId="56" fillId="0" borderId="0" xfId="370" applyFont="1"/>
  </cellXfs>
  <cellStyles count="373">
    <cellStyle name="Comma" xfId="1" builtinId="3"/>
    <cellStyle name="Comma 2" xfId="22"/>
    <cellStyle name="Comma 2 2" xfId="92"/>
    <cellStyle name="Comma 2 2 9" xfId="363"/>
    <cellStyle name="Comma 2 4" xfId="366"/>
    <cellStyle name="Comma 3" xfId="354"/>
    <cellStyle name="Comma 3 2" xfId="364"/>
    <cellStyle name="Comma 4" xfId="356"/>
    <cellStyle name="Comma 5" xfId="360"/>
    <cellStyle name="Comma 5 2" xfId="369"/>
    <cellStyle name="Comma 6" xfId="372"/>
    <cellStyle name="Euro" xfId="2"/>
    <cellStyle name="Normal" xfId="0" builtinId="0"/>
    <cellStyle name="Normal 10" xfId="12"/>
    <cellStyle name="Normal 10 2" xfId="83"/>
    <cellStyle name="Normal 10 3" xfId="152"/>
    <cellStyle name="Normal 10 4" xfId="220"/>
    <cellStyle name="Normal 10 5" xfId="316"/>
    <cellStyle name="Normal 11" xfId="13"/>
    <cellStyle name="Normal 11 2" xfId="84"/>
    <cellStyle name="Normal 11 3" xfId="153"/>
    <cellStyle name="Normal 11 4" xfId="221"/>
    <cellStyle name="Normal 11 5" xfId="282"/>
    <cellStyle name="Normal 12" xfId="6"/>
    <cellStyle name="Normal 12 2" xfId="77"/>
    <cellStyle name="Normal 12 3" xfId="146"/>
    <cellStyle name="Normal 12 4" xfId="214"/>
    <cellStyle name="Normal 12 5" xfId="346"/>
    <cellStyle name="Normal 13" xfId="14"/>
    <cellStyle name="Normal 13 2" xfId="85"/>
    <cellStyle name="Normal 13 3" xfId="154"/>
    <cellStyle name="Normal 13 4" xfId="222"/>
    <cellStyle name="Normal 13 5" xfId="345"/>
    <cellStyle name="Normal 14" xfId="15"/>
    <cellStyle name="Normal 14 2" xfId="86"/>
    <cellStyle name="Normal 14 3" xfId="155"/>
    <cellStyle name="Normal 14 4" xfId="223"/>
    <cellStyle name="Normal 14 5" xfId="311"/>
    <cellStyle name="Normal 15" xfId="17"/>
    <cellStyle name="Normal 15 2" xfId="88"/>
    <cellStyle name="Normal 15 3" xfId="157"/>
    <cellStyle name="Normal 15 4" xfId="225"/>
    <cellStyle name="Normal 15 5" xfId="308"/>
    <cellStyle name="Normal 16" xfId="18"/>
    <cellStyle name="Normal 16 2" xfId="89"/>
    <cellStyle name="Normal 16 3" xfId="158"/>
    <cellStyle name="Normal 16 4" xfId="226"/>
    <cellStyle name="Normal 16 5" xfId="341"/>
    <cellStyle name="Normal 17" xfId="21"/>
    <cellStyle name="Normal 18" xfId="23"/>
    <cellStyle name="Normal 18 2" xfId="93"/>
    <cellStyle name="Normal 18 3" xfId="162"/>
    <cellStyle name="Normal 18 4" xfId="229"/>
    <cellStyle name="Normal 18 5" xfId="303"/>
    <cellStyle name="Normal 19" xfId="16"/>
    <cellStyle name="Normal 19 2" xfId="87"/>
    <cellStyle name="Normal 19 3" xfId="156"/>
    <cellStyle name="Normal 19 4" xfId="224"/>
    <cellStyle name="Normal 19 5" xfId="342"/>
    <cellStyle name="Normal 2" xfId="3"/>
    <cellStyle name="Normal 2 2" xfId="74"/>
    <cellStyle name="Normal 2 3" xfId="365"/>
    <cellStyle name="Normal 20" xfId="19"/>
    <cellStyle name="Normal 20 2" xfId="90"/>
    <cellStyle name="Normal 20 3" xfId="159"/>
    <cellStyle name="Normal 20 4" xfId="227"/>
    <cellStyle name="Normal 20 5" xfId="307"/>
    <cellStyle name="Normal 21" xfId="20"/>
    <cellStyle name="Normal 21 2" xfId="91"/>
    <cellStyle name="Normal 21 3" xfId="160"/>
    <cellStyle name="Normal 21 4" xfId="228"/>
    <cellStyle name="Normal 21 5" xfId="337"/>
    <cellStyle name="Normal 22" xfId="24"/>
    <cellStyle name="Normal 22 2" xfId="94"/>
    <cellStyle name="Normal 22 3" xfId="163"/>
    <cellStyle name="Normal 22 4" xfId="230"/>
    <cellStyle name="Normal 22 5" xfId="340"/>
    <cellStyle name="Normal 23" xfId="25"/>
    <cellStyle name="Normal 23 2" xfId="95"/>
    <cellStyle name="Normal 23 3" xfId="164"/>
    <cellStyle name="Normal 23 4" xfId="231"/>
    <cellStyle name="Normal 23 5" xfId="306"/>
    <cellStyle name="Normal 24" xfId="26"/>
    <cellStyle name="Normal 24 2" xfId="96"/>
    <cellStyle name="Normal 24 3" xfId="165"/>
    <cellStyle name="Normal 24 4" xfId="232"/>
    <cellStyle name="Normal 24 5" xfId="339"/>
    <cellStyle name="Normal 25" xfId="27"/>
    <cellStyle name="Normal 25 2" xfId="97"/>
    <cellStyle name="Normal 25 3" xfId="166"/>
    <cellStyle name="Normal 25 4" xfId="233"/>
    <cellStyle name="Normal 25 5" xfId="305"/>
    <cellStyle name="Normal 26" xfId="28"/>
    <cellStyle name="Normal 26 2" xfId="98"/>
    <cellStyle name="Normal 26 3" xfId="167"/>
    <cellStyle name="Normal 26 4" xfId="234"/>
    <cellStyle name="Normal 26 5" xfId="338"/>
    <cellStyle name="Normal 27" xfId="29"/>
    <cellStyle name="Normal 27 2" xfId="99"/>
    <cellStyle name="Normal 27 3" xfId="168"/>
    <cellStyle name="Normal 27 4" xfId="235"/>
    <cellStyle name="Normal 27 5" xfId="304"/>
    <cellStyle name="Normal 28" xfId="30"/>
    <cellStyle name="Normal 28 2" xfId="100"/>
    <cellStyle name="Normal 28 3" xfId="169"/>
    <cellStyle name="Normal 28 4" xfId="236"/>
    <cellStyle name="Normal 28 5" xfId="315"/>
    <cellStyle name="Normal 29" xfId="31"/>
    <cellStyle name="Normal 29 2" xfId="101"/>
    <cellStyle name="Normal 29 3" xfId="170"/>
    <cellStyle name="Normal 29 4" xfId="237"/>
    <cellStyle name="Normal 29 5" xfId="281"/>
    <cellStyle name="Normal 3" xfId="7"/>
    <cellStyle name="Normal 3 2" xfId="78"/>
    <cellStyle name="Normal 3 3" xfId="147"/>
    <cellStyle name="Normal 3 4" xfId="215"/>
    <cellStyle name="Normal 3 5" xfId="312"/>
    <cellStyle name="Normal 30" xfId="32"/>
    <cellStyle name="Normal 30 2" xfId="102"/>
    <cellStyle name="Normal 30 3" xfId="171"/>
    <cellStyle name="Normal 30 4" xfId="238"/>
    <cellStyle name="Normal 30 5" xfId="336"/>
    <cellStyle name="Normal 31" xfId="33"/>
    <cellStyle name="Normal 31 2" xfId="103"/>
    <cellStyle name="Normal 31 3" xfId="172"/>
    <cellStyle name="Normal 31 4" xfId="239"/>
    <cellStyle name="Normal 31 5" xfId="302"/>
    <cellStyle name="Normal 32" xfId="34"/>
    <cellStyle name="Normal 32 2" xfId="104"/>
    <cellStyle name="Normal 32 3" xfId="173"/>
    <cellStyle name="Normal 32 4" xfId="240"/>
    <cellStyle name="Normal 32 5" xfId="334"/>
    <cellStyle name="Normal 33" xfId="35"/>
    <cellStyle name="Normal 33 2" xfId="105"/>
    <cellStyle name="Normal 33 3" xfId="174"/>
    <cellStyle name="Normal 33 4" xfId="241"/>
    <cellStyle name="Normal 33 5" xfId="300"/>
    <cellStyle name="Normal 34" xfId="39"/>
    <cellStyle name="Normal 34 2" xfId="109"/>
    <cellStyle name="Normal 34 3" xfId="178"/>
    <cellStyle name="Normal 34 4" xfId="245"/>
    <cellStyle name="Normal 34 5" xfId="299"/>
    <cellStyle name="Normal 35" xfId="40"/>
    <cellStyle name="Normal 35 2" xfId="110"/>
    <cellStyle name="Normal 35 3" xfId="179"/>
    <cellStyle name="Normal 35 4" xfId="246"/>
    <cellStyle name="Normal 35 5" xfId="332"/>
    <cellStyle name="Normal 36" xfId="36"/>
    <cellStyle name="Normal 36 2" xfId="106"/>
    <cellStyle name="Normal 36 3" xfId="175"/>
    <cellStyle name="Normal 36 4" xfId="242"/>
    <cellStyle name="Normal 36 5" xfId="335"/>
    <cellStyle name="Normal 37" xfId="37"/>
    <cellStyle name="Normal 37 2" xfId="107"/>
    <cellStyle name="Normal 37 3" xfId="176"/>
    <cellStyle name="Normal 37 4" xfId="243"/>
    <cellStyle name="Normal 37 5" xfId="301"/>
    <cellStyle name="Normal 38" xfId="38"/>
    <cellStyle name="Normal 38 2" xfId="108"/>
    <cellStyle name="Normal 38 3" xfId="177"/>
    <cellStyle name="Normal 38 4" xfId="244"/>
    <cellStyle name="Normal 38 5" xfId="333"/>
    <cellStyle name="Normal 39" xfId="41"/>
    <cellStyle name="Normal 39 2" xfId="111"/>
    <cellStyle name="Normal 39 3" xfId="180"/>
    <cellStyle name="Normal 39 4" xfId="247"/>
    <cellStyle name="Normal 39 5" xfId="298"/>
    <cellStyle name="Normal 4" xfId="4"/>
    <cellStyle name="Normal 4 2" xfId="75"/>
    <cellStyle name="Normal 4 2 2" xfId="368"/>
    <cellStyle name="Normal 4 3" xfId="144"/>
    <cellStyle name="Normal 4 4" xfId="161"/>
    <cellStyle name="Normal 4 5" xfId="347"/>
    <cellStyle name="Normal 40" xfId="42"/>
    <cellStyle name="Normal 40 2" xfId="112"/>
    <cellStyle name="Normal 40 3" xfId="181"/>
    <cellStyle name="Normal 40 4" xfId="248"/>
    <cellStyle name="Normal 40 5" xfId="330"/>
    <cellStyle name="Normal 41" xfId="43"/>
    <cellStyle name="Normal 41 2" xfId="113"/>
    <cellStyle name="Normal 41 3" xfId="182"/>
    <cellStyle name="Normal 41 4" xfId="249"/>
    <cellStyle name="Normal 41 5" xfId="296"/>
    <cellStyle name="Normal 42" xfId="44"/>
    <cellStyle name="Normal 42 2" xfId="114"/>
    <cellStyle name="Normal 42 3" xfId="183"/>
    <cellStyle name="Normal 42 4" xfId="250"/>
    <cellStyle name="Normal 42 5" xfId="329"/>
    <cellStyle name="Normal 43" xfId="45"/>
    <cellStyle name="Normal 43 2" xfId="115"/>
    <cellStyle name="Normal 43 3" xfId="184"/>
    <cellStyle name="Normal 43 4" xfId="251"/>
    <cellStyle name="Normal 43 5" xfId="295"/>
    <cellStyle name="Normal 44" xfId="46"/>
    <cellStyle name="Normal 44 2" xfId="116"/>
    <cellStyle name="Normal 44 3" xfId="185"/>
    <cellStyle name="Normal 44 4" xfId="252"/>
    <cellStyle name="Normal 44 5" xfId="331"/>
    <cellStyle name="Normal 45" xfId="47"/>
    <cellStyle name="Normal 45 2" xfId="117"/>
    <cellStyle name="Normal 45 3" xfId="186"/>
    <cellStyle name="Normal 45 4" xfId="253"/>
    <cellStyle name="Normal 45 5" xfId="297"/>
    <cellStyle name="Normal 46" xfId="48"/>
    <cellStyle name="Normal 46 2" xfId="118"/>
    <cellStyle name="Normal 46 3" xfId="187"/>
    <cellStyle name="Normal 46 4" xfId="254"/>
    <cellStyle name="Normal 46 5" xfId="327"/>
    <cellStyle name="Normal 47" xfId="53"/>
    <cellStyle name="Normal 47 2" xfId="123"/>
    <cellStyle name="Normal 47 3" xfId="192"/>
    <cellStyle name="Normal 47 4" xfId="259"/>
    <cellStyle name="Normal 47 5" xfId="280"/>
    <cellStyle name="Normal 48" xfId="49"/>
    <cellStyle name="Normal 48 2" xfId="119"/>
    <cellStyle name="Normal 48 3" xfId="188"/>
    <cellStyle name="Normal 48 4" xfId="255"/>
    <cellStyle name="Normal 48 5" xfId="293"/>
    <cellStyle name="Normal 49" xfId="50"/>
    <cellStyle name="Normal 49 2" xfId="120"/>
    <cellStyle name="Normal 49 3" xfId="189"/>
    <cellStyle name="Normal 49 4" xfId="256"/>
    <cellStyle name="Normal 49 5" xfId="326"/>
    <cellStyle name="Normal 5" xfId="5"/>
    <cellStyle name="Normal 5 2" xfId="76"/>
    <cellStyle name="Normal 5 3" xfId="145"/>
    <cellStyle name="Normal 5 4" xfId="213"/>
    <cellStyle name="Normal 5 5" xfId="313"/>
    <cellStyle name="Normal 50" xfId="51"/>
    <cellStyle name="Normal 50 2" xfId="121"/>
    <cellStyle name="Normal 50 3" xfId="190"/>
    <cellStyle name="Normal 50 4" xfId="257"/>
    <cellStyle name="Normal 50 5" xfId="292"/>
    <cellStyle name="Normal 51" xfId="52"/>
    <cellStyle name="Normal 51 2" xfId="122"/>
    <cellStyle name="Normal 51 3" xfId="191"/>
    <cellStyle name="Normal 51 4" xfId="258"/>
    <cellStyle name="Normal 51 5" xfId="314"/>
    <cellStyle name="Normal 52" xfId="56"/>
    <cellStyle name="Normal 52 2" xfId="126"/>
    <cellStyle name="Normal 52 3" xfId="195"/>
    <cellStyle name="Normal 52 4" xfId="262"/>
    <cellStyle name="Normal 52 5" xfId="324"/>
    <cellStyle name="Normal 53" xfId="54"/>
    <cellStyle name="Normal 53 2" xfId="124"/>
    <cellStyle name="Normal 53 3" xfId="193"/>
    <cellStyle name="Normal 53 4" xfId="260"/>
    <cellStyle name="Normal 53 5" xfId="325"/>
    <cellStyle name="Normal 54" xfId="55"/>
    <cellStyle name="Normal 54 2" xfId="125"/>
    <cellStyle name="Normal 54 3" xfId="194"/>
    <cellStyle name="Normal 54 4" xfId="261"/>
    <cellStyle name="Normal 54 5" xfId="291"/>
    <cellStyle name="Normal 55" xfId="57"/>
    <cellStyle name="Normal 55 2" xfId="127"/>
    <cellStyle name="Normal 55 3" xfId="196"/>
    <cellStyle name="Normal 55 4" xfId="263"/>
    <cellStyle name="Normal 55 5" xfId="290"/>
    <cellStyle name="Normal 56" xfId="58"/>
    <cellStyle name="Normal 56 2" xfId="128"/>
    <cellStyle name="Normal 56 3" xfId="197"/>
    <cellStyle name="Normal 56 4" xfId="264"/>
    <cellStyle name="Normal 56 5" xfId="328"/>
    <cellStyle name="Normal 57" xfId="60"/>
    <cellStyle name="Normal 57 2" xfId="130"/>
    <cellStyle name="Normal 57 3" xfId="199"/>
    <cellStyle name="Normal 57 4" xfId="266"/>
    <cellStyle name="Normal 57 5" xfId="323"/>
    <cellStyle name="Normal 58" xfId="59"/>
    <cellStyle name="Normal 58 2" xfId="129"/>
    <cellStyle name="Normal 58 3" xfId="198"/>
    <cellStyle name="Normal 58 4" xfId="265"/>
    <cellStyle name="Normal 58 5" xfId="294"/>
    <cellStyle name="Normal 59" xfId="61"/>
    <cellStyle name="Normal 59 2" xfId="131"/>
    <cellStyle name="Normal 59 3" xfId="200"/>
    <cellStyle name="Normal 59 4" xfId="267"/>
    <cellStyle name="Normal 59 5" xfId="289"/>
    <cellStyle name="Normal 6" xfId="8"/>
    <cellStyle name="Normal 6 2" xfId="79"/>
    <cellStyle name="Normal 6 2 2" xfId="367"/>
    <cellStyle name="Normal 6 3" xfId="148"/>
    <cellStyle name="Normal 6 4" xfId="216"/>
    <cellStyle name="Normal 6 5" xfId="344"/>
    <cellStyle name="Normal 60" xfId="64"/>
    <cellStyle name="Normal 60 2" xfId="134"/>
    <cellStyle name="Normal 60 3" xfId="203"/>
    <cellStyle name="Normal 60 4" xfId="270"/>
    <cellStyle name="Normal 60 5" xfId="321"/>
    <cellStyle name="Normal 61" xfId="65"/>
    <cellStyle name="Normal 61 2" xfId="135"/>
    <cellStyle name="Normal 61 3" xfId="204"/>
    <cellStyle name="Normal 61 4" xfId="271"/>
    <cellStyle name="Normal 61 5" xfId="287"/>
    <cellStyle name="Normal 62" xfId="66"/>
    <cellStyle name="Normal 62 2" xfId="136"/>
    <cellStyle name="Normal 62 3" xfId="205"/>
    <cellStyle name="Normal 62 4" xfId="272"/>
    <cellStyle name="Normal 62 5" xfId="320"/>
    <cellStyle name="Normal 63" xfId="348"/>
    <cellStyle name="Normal 64" xfId="62"/>
    <cellStyle name="Normal 64 2" xfId="132"/>
    <cellStyle name="Normal 64 3" xfId="201"/>
    <cellStyle name="Normal 64 4" xfId="268"/>
    <cellStyle name="Normal 64 5" xfId="322"/>
    <cellStyle name="Normal 65" xfId="63"/>
    <cellStyle name="Normal 65 2" xfId="133"/>
    <cellStyle name="Normal 65 3" xfId="202"/>
    <cellStyle name="Normal 65 4" xfId="269"/>
    <cellStyle name="Normal 65 5" xfId="288"/>
    <cellStyle name="Normal 66" xfId="67"/>
    <cellStyle name="Normal 66 2" xfId="137"/>
    <cellStyle name="Normal 66 3" xfId="206"/>
    <cellStyle name="Normal 66 4" xfId="273"/>
    <cellStyle name="Normal 66 5" xfId="286"/>
    <cellStyle name="Normal 67" xfId="68"/>
    <cellStyle name="Normal 67 2" xfId="138"/>
    <cellStyle name="Normal 67 3" xfId="207"/>
    <cellStyle name="Normal 67 4" xfId="274"/>
    <cellStyle name="Normal 67 5" xfId="319"/>
    <cellStyle name="Normal 68" xfId="349"/>
    <cellStyle name="Normal 68 2" xfId="352"/>
    <cellStyle name="Normal 69" xfId="71"/>
    <cellStyle name="Normal 69 2" xfId="141"/>
    <cellStyle name="Normal 69 3" xfId="210"/>
    <cellStyle name="Normal 69 4" xfId="277"/>
    <cellStyle name="Normal 69 5" xfId="284"/>
    <cellStyle name="Normal 7" xfId="9"/>
    <cellStyle name="Normal 7 2" xfId="80"/>
    <cellStyle name="Normal 7 3" xfId="149"/>
    <cellStyle name="Normal 7 4" xfId="217"/>
    <cellStyle name="Normal 7 5" xfId="310"/>
    <cellStyle name="Normal 70" xfId="69"/>
    <cellStyle name="Normal 70 2" xfId="139"/>
    <cellStyle name="Normal 70 3" xfId="208"/>
    <cellStyle name="Normal 70 4" xfId="275"/>
    <cellStyle name="Normal 70 5" xfId="285"/>
    <cellStyle name="Normal 71" xfId="70"/>
    <cellStyle name="Normal 71 2" xfId="140"/>
    <cellStyle name="Normal 71 3" xfId="209"/>
    <cellStyle name="Normal 71 4" xfId="276"/>
    <cellStyle name="Normal 71 5" xfId="318"/>
    <cellStyle name="Normal 72" xfId="72"/>
    <cellStyle name="Normal 72 2" xfId="142"/>
    <cellStyle name="Normal 72 3" xfId="211"/>
    <cellStyle name="Normal 72 4" xfId="278"/>
    <cellStyle name="Normal 72 5" xfId="317"/>
    <cellStyle name="Normal 73" xfId="73"/>
    <cellStyle name="Normal 73 2" xfId="143"/>
    <cellStyle name="Normal 73 3" xfId="212"/>
    <cellStyle name="Normal 73 4" xfId="279"/>
    <cellStyle name="Normal 73 5" xfId="283"/>
    <cellStyle name="Normal 74" xfId="350"/>
    <cellStyle name="Normal 74 2" xfId="361"/>
    <cellStyle name="Normal 75" xfId="351"/>
    <cellStyle name="Normal 75 2" xfId="359"/>
    <cellStyle name="Normal 76" xfId="353"/>
    <cellStyle name="Normal 77" xfId="355"/>
    <cellStyle name="Normal 78" xfId="357"/>
    <cellStyle name="Normal 79" xfId="358"/>
    <cellStyle name="Normal 8" xfId="10"/>
    <cellStyle name="Normal 8 2" xfId="81"/>
    <cellStyle name="Normal 8 3" xfId="150"/>
    <cellStyle name="Normal 8 4" xfId="218"/>
    <cellStyle name="Normal 8 5" xfId="343"/>
    <cellStyle name="Normal 80" xfId="370"/>
    <cellStyle name="Normal 9" xfId="11"/>
    <cellStyle name="Normal 9 2" xfId="82"/>
    <cellStyle name="Normal 9 3" xfId="151"/>
    <cellStyle name="Normal 9 4" xfId="219"/>
    <cellStyle name="Normal 9 5" xfId="309"/>
    <cellStyle name="Percent" xfId="371" builtinId="5"/>
    <cellStyle name="Percent 2" xfId="36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1971675</xdr:colOff>
      <xdr:row>51</xdr:row>
      <xdr:rowOff>0</xdr:rowOff>
    </xdr:from>
    <xdr:to>
      <xdr:col>2</xdr:col>
      <xdr:colOff>0</xdr:colOff>
      <xdr:row>51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971675" y="9925050"/>
          <a:ext cx="1619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1971675</xdr:colOff>
      <xdr:row>51</xdr:row>
      <xdr:rowOff>0</xdr:rowOff>
    </xdr:from>
    <xdr:to>
      <xdr:col>2</xdr:col>
      <xdr:colOff>0</xdr:colOff>
      <xdr:row>51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971675" y="9925050"/>
          <a:ext cx="1619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1971675</xdr:colOff>
      <xdr:row>51</xdr:row>
      <xdr:rowOff>0</xdr:rowOff>
    </xdr:from>
    <xdr:to>
      <xdr:col>2</xdr:col>
      <xdr:colOff>0</xdr:colOff>
      <xdr:row>51</xdr:row>
      <xdr:rowOff>0</xdr:rowOff>
    </xdr:to>
    <xdr:sp macro="" textlink="">
      <xdr:nvSpPr>
        <xdr:cNvPr id="4" name="AutoShape 1"/>
        <xdr:cNvSpPr>
          <a:spLocks/>
        </xdr:cNvSpPr>
      </xdr:nvSpPr>
      <xdr:spPr bwMode="auto">
        <a:xfrm>
          <a:off x="1971675" y="9925050"/>
          <a:ext cx="1619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1971675</xdr:colOff>
      <xdr:row>51</xdr:row>
      <xdr:rowOff>0</xdr:rowOff>
    </xdr:from>
    <xdr:to>
      <xdr:col>2</xdr:col>
      <xdr:colOff>0</xdr:colOff>
      <xdr:row>51</xdr:row>
      <xdr:rowOff>0</xdr:rowOff>
    </xdr:to>
    <xdr:sp macro="" textlink="">
      <xdr:nvSpPr>
        <xdr:cNvPr id="5" name="AutoShape 2"/>
        <xdr:cNvSpPr>
          <a:spLocks/>
        </xdr:cNvSpPr>
      </xdr:nvSpPr>
      <xdr:spPr bwMode="auto">
        <a:xfrm>
          <a:off x="1971675" y="9925050"/>
          <a:ext cx="16192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1009650</xdr:colOff>
      <xdr:row>29</xdr:row>
      <xdr:rowOff>0</xdr:rowOff>
    </xdr:from>
    <xdr:to>
      <xdr:col>0</xdr:col>
      <xdr:colOff>390525</xdr:colOff>
      <xdr:row>29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390525" y="45434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1733550</xdr:colOff>
      <xdr:row>29</xdr:row>
      <xdr:rowOff>0</xdr:rowOff>
    </xdr:from>
    <xdr:to>
      <xdr:col>0</xdr:col>
      <xdr:colOff>390525</xdr:colOff>
      <xdr:row>29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390525" y="45434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1009650</xdr:colOff>
      <xdr:row>29</xdr:row>
      <xdr:rowOff>0</xdr:rowOff>
    </xdr:from>
    <xdr:to>
      <xdr:col>1</xdr:col>
      <xdr:colOff>1085850</xdr:colOff>
      <xdr:row>29</xdr:row>
      <xdr:rowOff>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400175" y="454342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1733550</xdr:colOff>
      <xdr:row>29</xdr:row>
      <xdr:rowOff>0</xdr:rowOff>
    </xdr:from>
    <xdr:to>
      <xdr:col>1</xdr:col>
      <xdr:colOff>1762125</xdr:colOff>
      <xdr:row>29</xdr:row>
      <xdr:rowOff>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2124075" y="4543425"/>
          <a:ext cx="2857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1009650</xdr:colOff>
      <xdr:row>29</xdr:row>
      <xdr:rowOff>0</xdr:rowOff>
    </xdr:from>
    <xdr:to>
      <xdr:col>0</xdr:col>
      <xdr:colOff>390525</xdr:colOff>
      <xdr:row>29</xdr:row>
      <xdr:rowOff>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390525" y="45434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1733550</xdr:colOff>
      <xdr:row>29</xdr:row>
      <xdr:rowOff>0</xdr:rowOff>
    </xdr:from>
    <xdr:to>
      <xdr:col>0</xdr:col>
      <xdr:colOff>390525</xdr:colOff>
      <xdr:row>29</xdr:row>
      <xdr:rowOff>0</xdr:rowOff>
    </xdr:to>
    <xdr:sp macro="" textlink="">
      <xdr:nvSpPr>
        <xdr:cNvPr id="7" name="AutoShape 6"/>
        <xdr:cNvSpPr>
          <a:spLocks/>
        </xdr:cNvSpPr>
      </xdr:nvSpPr>
      <xdr:spPr bwMode="auto">
        <a:xfrm>
          <a:off x="390525" y="45434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1009650</xdr:colOff>
      <xdr:row>29</xdr:row>
      <xdr:rowOff>0</xdr:rowOff>
    </xdr:from>
    <xdr:to>
      <xdr:col>1</xdr:col>
      <xdr:colOff>1085850</xdr:colOff>
      <xdr:row>29</xdr:row>
      <xdr:rowOff>0</xdr:rowOff>
    </xdr:to>
    <xdr:sp macro="" textlink="">
      <xdr:nvSpPr>
        <xdr:cNvPr id="8" name="AutoShape 7"/>
        <xdr:cNvSpPr>
          <a:spLocks/>
        </xdr:cNvSpPr>
      </xdr:nvSpPr>
      <xdr:spPr bwMode="auto">
        <a:xfrm>
          <a:off x="1400175" y="454342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1733550</xdr:colOff>
      <xdr:row>29</xdr:row>
      <xdr:rowOff>0</xdr:rowOff>
    </xdr:from>
    <xdr:to>
      <xdr:col>1</xdr:col>
      <xdr:colOff>1762125</xdr:colOff>
      <xdr:row>29</xdr:row>
      <xdr:rowOff>0</xdr:rowOff>
    </xdr:to>
    <xdr:sp macro="" textlink="">
      <xdr:nvSpPr>
        <xdr:cNvPr id="9" name="AutoShape 8"/>
        <xdr:cNvSpPr>
          <a:spLocks/>
        </xdr:cNvSpPr>
      </xdr:nvSpPr>
      <xdr:spPr bwMode="auto">
        <a:xfrm>
          <a:off x="2124075" y="4543425"/>
          <a:ext cx="2857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1009650</xdr:colOff>
      <xdr:row>29</xdr:row>
      <xdr:rowOff>0</xdr:rowOff>
    </xdr:from>
    <xdr:to>
      <xdr:col>0</xdr:col>
      <xdr:colOff>390525</xdr:colOff>
      <xdr:row>29</xdr:row>
      <xdr:rowOff>0</xdr:rowOff>
    </xdr:to>
    <xdr:sp macro="" textlink="">
      <xdr:nvSpPr>
        <xdr:cNvPr id="10" name="AutoShape 9"/>
        <xdr:cNvSpPr>
          <a:spLocks/>
        </xdr:cNvSpPr>
      </xdr:nvSpPr>
      <xdr:spPr bwMode="auto">
        <a:xfrm>
          <a:off x="390525" y="45434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1733550</xdr:colOff>
      <xdr:row>29</xdr:row>
      <xdr:rowOff>0</xdr:rowOff>
    </xdr:from>
    <xdr:to>
      <xdr:col>0</xdr:col>
      <xdr:colOff>390525</xdr:colOff>
      <xdr:row>29</xdr:row>
      <xdr:rowOff>0</xdr:rowOff>
    </xdr:to>
    <xdr:sp macro="" textlink="">
      <xdr:nvSpPr>
        <xdr:cNvPr id="11" name="AutoShape 10"/>
        <xdr:cNvSpPr>
          <a:spLocks/>
        </xdr:cNvSpPr>
      </xdr:nvSpPr>
      <xdr:spPr bwMode="auto">
        <a:xfrm>
          <a:off x="390525" y="45434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1009650</xdr:colOff>
      <xdr:row>29</xdr:row>
      <xdr:rowOff>0</xdr:rowOff>
    </xdr:from>
    <xdr:to>
      <xdr:col>1</xdr:col>
      <xdr:colOff>1085850</xdr:colOff>
      <xdr:row>29</xdr:row>
      <xdr:rowOff>0</xdr:rowOff>
    </xdr:to>
    <xdr:sp macro="" textlink="">
      <xdr:nvSpPr>
        <xdr:cNvPr id="12" name="AutoShape 11"/>
        <xdr:cNvSpPr>
          <a:spLocks/>
        </xdr:cNvSpPr>
      </xdr:nvSpPr>
      <xdr:spPr bwMode="auto">
        <a:xfrm>
          <a:off x="1400175" y="454342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1733550</xdr:colOff>
      <xdr:row>29</xdr:row>
      <xdr:rowOff>0</xdr:rowOff>
    </xdr:from>
    <xdr:to>
      <xdr:col>1</xdr:col>
      <xdr:colOff>1762125</xdr:colOff>
      <xdr:row>29</xdr:row>
      <xdr:rowOff>0</xdr:rowOff>
    </xdr:to>
    <xdr:sp macro="" textlink="">
      <xdr:nvSpPr>
        <xdr:cNvPr id="13" name="AutoShape 12"/>
        <xdr:cNvSpPr>
          <a:spLocks/>
        </xdr:cNvSpPr>
      </xdr:nvSpPr>
      <xdr:spPr bwMode="auto">
        <a:xfrm>
          <a:off x="2124075" y="4543425"/>
          <a:ext cx="28575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9</xdr:row>
      <xdr:rowOff>28575</xdr:rowOff>
    </xdr:from>
    <xdr:to>
      <xdr:col>5</xdr:col>
      <xdr:colOff>419100</xdr:colOff>
      <xdr:row>9</xdr:row>
      <xdr:rowOff>190500</xdr:rowOff>
    </xdr:to>
    <xdr:cxnSp macro="">
      <xdr:nvCxnSpPr>
        <xdr:cNvPr id="3" name="Straight Arrow Connector 2"/>
        <xdr:cNvCxnSpPr/>
      </xdr:nvCxnSpPr>
      <xdr:spPr bwMode="auto">
        <a:xfrm>
          <a:off x="5514975" y="2095500"/>
          <a:ext cx="0" cy="16192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Century%20Aluminium\Balance%20Sheet\2019-20\Mail%20-%2021.07.2020\24.07.2020\KHARDA_BS_31%2003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Century%20Aluminium\Balance%20Sheet\2019-20\Mail%20-%2021.07.2020\24.07.2020\Final%20Dep%20for%20BS%202019-20-22.07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VI"/>
      <sheetName val="Addition during the year"/>
      <sheetName val="D-LAND"/>
      <sheetName val="D-LEASE HOLD RIGHT"/>
      <sheetName val="D-BUILDING"/>
      <sheetName val="D-MACHINERY"/>
      <sheetName val="D-ELECTRI."/>
      <sheetName val="D-VEHICLE"/>
      <sheetName val="D-FURNITURE"/>
      <sheetName val="D-EQUIP."/>
      <sheetName val="Re sch vi 31.03.20"/>
      <sheetName val="Re- Notes 31.03.20"/>
      <sheetName val="Trial Balance(1)"/>
      <sheetName val="Details"/>
    </sheetNames>
    <sheetDataSet>
      <sheetData sheetId="0"/>
      <sheetData sheetId="1"/>
      <sheetData sheetId="2">
        <row r="13">
          <cell r="C13">
            <v>6744712</v>
          </cell>
          <cell r="N13">
            <v>0</v>
          </cell>
        </row>
      </sheetData>
      <sheetData sheetId="3">
        <row r="8">
          <cell r="C8">
            <v>100000</v>
          </cell>
        </row>
      </sheetData>
      <sheetData sheetId="4">
        <row r="44">
          <cell r="C44">
            <v>19083439</v>
          </cell>
        </row>
      </sheetData>
      <sheetData sheetId="5">
        <row r="13">
          <cell r="C13">
            <v>6744712</v>
          </cell>
        </row>
      </sheetData>
      <sheetData sheetId="6">
        <row r="8">
          <cell r="C8">
            <v>100000</v>
          </cell>
        </row>
      </sheetData>
      <sheetData sheetId="7">
        <row r="15">
          <cell r="C15">
            <v>47030</v>
          </cell>
          <cell r="F15">
            <v>0</v>
          </cell>
        </row>
      </sheetData>
      <sheetData sheetId="8">
        <row r="123">
          <cell r="D123">
            <v>1114208</v>
          </cell>
          <cell r="G123">
            <v>0</v>
          </cell>
        </row>
      </sheetData>
      <sheetData sheetId="9">
        <row r="35">
          <cell r="C35">
            <v>1686053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VI"/>
      <sheetName val="LAND"/>
      <sheetName val="LEASE HOLD RIGHT"/>
      <sheetName val="D-BUILDING"/>
      <sheetName val="D-MACHINERY"/>
      <sheetName val="D-ELECTRI."/>
      <sheetName val="D-VEHICLE"/>
      <sheetName val="D-FURNITURE"/>
      <sheetName val="D-EQUIP."/>
      <sheetName val="Addition of Fixed Assets"/>
      <sheetName val="D-COMP."/>
      <sheetName val="Summary-2013"/>
      <sheetName val="Sheet1"/>
      <sheetName val="Sheet4"/>
      <sheetName val="Sheet2"/>
      <sheetName val="Addition of FA 17-18"/>
      <sheetName val="CWIP 17-18"/>
      <sheetName val="Chimney 17-18"/>
      <sheetName val="Balance Amount 871564 17-18"/>
      <sheetName val="D-EQUIP. (2)"/>
      <sheetName val="Sheet3"/>
      <sheetName val="Addition during the year"/>
      <sheetName val="D-LAND"/>
      <sheetName val="D-LEASE HOLD RIGHT"/>
    </sheetNames>
    <sheetDataSet>
      <sheetData sheetId="0">
        <row r="8">
          <cell r="I8">
            <v>8710353</v>
          </cell>
        </row>
      </sheetData>
      <sheetData sheetId="1"/>
      <sheetData sheetId="2">
        <row r="8">
          <cell r="I8">
            <v>0</v>
          </cell>
        </row>
      </sheetData>
      <sheetData sheetId="3">
        <row r="1">
          <cell r="A1" t="str">
            <v>CENTURY ALUMINIUM MFG. CO. LTD.</v>
          </cell>
          <cell r="B1">
            <v>0</v>
          </cell>
          <cell r="C1">
            <v>0</v>
          </cell>
        </row>
        <row r="3">
          <cell r="A3" t="str">
            <v>KOLKATA</v>
          </cell>
        </row>
      </sheetData>
      <sheetData sheetId="4">
        <row r="1">
          <cell r="A1" t="str">
            <v>CENTURY ALUMINIUM MFG. CO. LTD.</v>
          </cell>
        </row>
      </sheetData>
      <sheetData sheetId="5"/>
      <sheetData sheetId="6"/>
      <sheetData sheetId="7"/>
      <sheetData sheetId="8">
        <row r="166">
          <cell r="C166">
            <v>67300</v>
          </cell>
        </row>
      </sheetData>
      <sheetData sheetId="9">
        <row r="166">
          <cell r="C166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view="pageBreakPreview" topLeftCell="A7" zoomScaleSheetLayoutView="100" workbookViewId="0">
      <selection activeCell="H25" sqref="H25"/>
    </sheetView>
  </sheetViews>
  <sheetFormatPr defaultRowHeight="12.75" x14ac:dyDescent="0.2"/>
  <cols>
    <col min="1" max="1" width="28" style="15" customWidth="1"/>
    <col min="2" max="2" width="12.85546875" style="15" customWidth="1"/>
    <col min="3" max="3" width="12.5703125" style="15" customWidth="1"/>
    <col min="4" max="4" width="11.85546875" style="15" customWidth="1"/>
    <col min="5" max="5" width="12.42578125" style="15" customWidth="1"/>
    <col min="6" max="6" width="11.85546875" style="15" customWidth="1"/>
    <col min="7" max="7" width="10.5703125" style="15" customWidth="1"/>
    <col min="8" max="8" width="11.28515625" style="15" customWidth="1"/>
    <col min="9" max="9" width="12.28515625" style="15" customWidth="1"/>
    <col min="10" max="10" width="11.85546875" style="15" customWidth="1"/>
    <col min="11" max="11" width="12.42578125" style="15" customWidth="1"/>
    <col min="12" max="12" width="14.85546875" style="1" bestFit="1" customWidth="1"/>
    <col min="13" max="13" width="9.42578125" style="15" bestFit="1" customWidth="1"/>
    <col min="14" max="16384" width="9.140625" style="15"/>
  </cols>
  <sheetData>
    <row r="1" spans="1:14" x14ac:dyDescent="0.2">
      <c r="A1" s="412" t="s">
        <v>18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</row>
    <row r="2" spans="1:14" x14ac:dyDescent="0.2">
      <c r="A2" s="412" t="s">
        <v>16</v>
      </c>
      <c r="B2" s="412"/>
      <c r="C2" s="412"/>
      <c r="D2" s="412"/>
      <c r="E2" s="412"/>
      <c r="F2" s="412"/>
      <c r="G2" s="412"/>
      <c r="H2" s="412"/>
      <c r="I2" s="412"/>
      <c r="J2" s="412"/>
      <c r="K2" s="412"/>
    </row>
    <row r="3" spans="1:14" ht="13.5" thickBot="1" x14ac:dyDescent="0.25">
      <c r="A3" s="412" t="s">
        <v>616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</row>
    <row r="4" spans="1:14" ht="13.5" thickBot="1" x14ac:dyDescent="0.25">
      <c r="A4" s="413" t="s">
        <v>7</v>
      </c>
      <c r="B4" s="415" t="s">
        <v>19</v>
      </c>
      <c r="C4" s="416"/>
      <c r="D4" s="416"/>
      <c r="E4" s="417"/>
      <c r="F4" s="415" t="s">
        <v>10</v>
      </c>
      <c r="G4" s="416"/>
      <c r="H4" s="416"/>
      <c r="I4" s="417"/>
      <c r="J4" s="415" t="s">
        <v>0</v>
      </c>
      <c r="K4" s="417"/>
    </row>
    <row r="5" spans="1:14" ht="31.5" customHeight="1" thickBot="1" x14ac:dyDescent="0.25">
      <c r="A5" s="414"/>
      <c r="B5" s="16" t="s">
        <v>572</v>
      </c>
      <c r="C5" s="17" t="s">
        <v>6</v>
      </c>
      <c r="D5" s="16" t="s">
        <v>20</v>
      </c>
      <c r="E5" s="16" t="s">
        <v>573</v>
      </c>
      <c r="F5" s="18" t="s">
        <v>574</v>
      </c>
      <c r="G5" s="18" t="s">
        <v>21</v>
      </c>
      <c r="H5" s="19" t="s">
        <v>11</v>
      </c>
      <c r="I5" s="18" t="s">
        <v>573</v>
      </c>
      <c r="J5" s="18" t="s">
        <v>573</v>
      </c>
      <c r="K5" s="18" t="s">
        <v>543</v>
      </c>
    </row>
    <row r="6" spans="1:14" ht="24" customHeight="1" x14ac:dyDescent="0.2">
      <c r="A6" s="20" t="s">
        <v>2</v>
      </c>
      <c r="B6" s="2">
        <v>6744712</v>
      </c>
      <c r="C6" s="2">
        <v>0</v>
      </c>
      <c r="D6" s="2">
        <v>0</v>
      </c>
      <c r="E6" s="2">
        <f>+B6+C6-D6</f>
        <v>6744712</v>
      </c>
      <c r="F6" s="3">
        <v>0</v>
      </c>
      <c r="G6" s="4">
        <f>'[1]D-LAND'!N13</f>
        <v>0</v>
      </c>
      <c r="H6" s="4">
        <v>0</v>
      </c>
      <c r="I6" s="4">
        <f>+F6+G6-H6</f>
        <v>0</v>
      </c>
      <c r="J6" s="2">
        <f>+E6-I6</f>
        <v>6744712</v>
      </c>
      <c r="K6" s="2">
        <f>+B6-F6</f>
        <v>6744712</v>
      </c>
    </row>
    <row r="7" spans="1:14" ht="21.75" customHeight="1" x14ac:dyDescent="0.2">
      <c r="A7" s="21" t="s">
        <v>13</v>
      </c>
      <c r="B7" s="3">
        <v>100000</v>
      </c>
      <c r="C7" s="3">
        <v>0</v>
      </c>
      <c r="D7" s="3">
        <v>0</v>
      </c>
      <c r="E7" s="3">
        <f>+B7+C7-D7</f>
        <v>100000</v>
      </c>
      <c r="F7" s="3">
        <v>31419</v>
      </c>
      <c r="G7" s="5">
        <f>'D-LEASE HOLD RIGHT'!N8</f>
        <v>2929</v>
      </c>
      <c r="H7" s="5">
        <v>0</v>
      </c>
      <c r="I7" s="5">
        <f>+F7+G7-H7</f>
        <v>34348</v>
      </c>
      <c r="J7" s="3">
        <f t="shared" ref="J7:J9" si="0">+E7-I7</f>
        <v>65652</v>
      </c>
      <c r="K7" s="3">
        <f t="shared" ref="K7:K13" si="1">+B7-F7</f>
        <v>68581</v>
      </c>
      <c r="M7" s="22"/>
      <c r="N7" s="22"/>
    </row>
    <row r="8" spans="1:14" ht="21" customHeight="1" x14ac:dyDescent="0.2">
      <c r="A8" s="21" t="s">
        <v>8</v>
      </c>
      <c r="B8" s="3">
        <v>19083439</v>
      </c>
      <c r="C8" s="3">
        <f>'D-BUILDING'!F45</f>
        <v>0</v>
      </c>
      <c r="D8" s="3">
        <v>0</v>
      </c>
      <c r="E8" s="3">
        <f t="shared" ref="E8:E12" si="2">+B8+C8-D8</f>
        <v>19083439</v>
      </c>
      <c r="F8" s="3">
        <v>8710353</v>
      </c>
      <c r="G8" s="3">
        <f>'D-BUILDING'!N45</f>
        <v>571852</v>
      </c>
      <c r="H8" s="5">
        <v>0</v>
      </c>
      <c r="I8" s="3">
        <f t="shared" ref="I8:I13" si="3">+F8+G8-H8</f>
        <v>9282205</v>
      </c>
      <c r="J8" s="3">
        <f t="shared" si="0"/>
        <v>9801234</v>
      </c>
      <c r="K8" s="3">
        <f t="shared" si="1"/>
        <v>10373086</v>
      </c>
      <c r="M8" s="22"/>
    </row>
    <row r="9" spans="1:14" ht="21.75" customHeight="1" x14ac:dyDescent="0.2">
      <c r="A9" s="21" t="s">
        <v>17</v>
      </c>
      <c r="B9" s="3">
        <v>14290996</v>
      </c>
      <c r="C9" s="3">
        <f>'D-MACHINERY'!F193</f>
        <v>0</v>
      </c>
      <c r="D9" s="3">
        <f>+Adjustment!C22</f>
        <v>966261.5</v>
      </c>
      <c r="E9" s="3">
        <f>+B9+C9-D9</f>
        <v>13324734.5</v>
      </c>
      <c r="F9" s="3">
        <v>10401244</v>
      </c>
      <c r="G9" s="3">
        <f>'D-MACHINERY'!N193</f>
        <v>441973</v>
      </c>
      <c r="H9" s="5">
        <f>+Adjustment!C22-Adjustment!G22</f>
        <v>860226.60000000009</v>
      </c>
      <c r="I9" s="3">
        <f t="shared" si="3"/>
        <v>9982990.4000000004</v>
      </c>
      <c r="J9" s="3">
        <f t="shared" si="0"/>
        <v>3341744.0999999996</v>
      </c>
      <c r="K9" s="3">
        <f t="shared" si="1"/>
        <v>3889752</v>
      </c>
      <c r="M9" s="22"/>
    </row>
    <row r="10" spans="1:14" ht="21" customHeight="1" x14ac:dyDescent="0.2">
      <c r="A10" s="21" t="s">
        <v>14</v>
      </c>
      <c r="B10" s="3">
        <v>1736906.05</v>
      </c>
      <c r="C10" s="3">
        <f>'D-ELECTRI.'!F37</f>
        <v>25390.63</v>
      </c>
      <c r="D10" s="3">
        <f>+Adjustment!C37</f>
        <v>350201</v>
      </c>
      <c r="E10" s="3">
        <f t="shared" si="2"/>
        <v>1412095.68</v>
      </c>
      <c r="F10" s="3">
        <v>1554693</v>
      </c>
      <c r="G10" s="3">
        <f>'D-ELECTRI.'!N37</f>
        <v>16302</v>
      </c>
      <c r="H10" s="5">
        <f>+Adjustment!C37-Adjustment!G37</f>
        <v>328438</v>
      </c>
      <c r="I10" s="3">
        <f t="shared" si="3"/>
        <v>1242557</v>
      </c>
      <c r="J10" s="3">
        <f>+E10-I10</f>
        <v>169538.67999999993</v>
      </c>
      <c r="K10" s="3">
        <f>+B10-F10</f>
        <v>182213.05000000005</v>
      </c>
      <c r="M10" s="22"/>
    </row>
    <row r="11" spans="1:14" ht="21.75" customHeight="1" x14ac:dyDescent="0.2">
      <c r="A11" s="21" t="s">
        <v>22</v>
      </c>
      <c r="B11" s="3">
        <v>47030</v>
      </c>
      <c r="C11" s="3">
        <f>'[1]D-VEHICLE'!F15</f>
        <v>0</v>
      </c>
      <c r="D11" s="3">
        <v>0</v>
      </c>
      <c r="E11" s="3">
        <f t="shared" si="2"/>
        <v>47030</v>
      </c>
      <c r="F11" s="3">
        <v>42339</v>
      </c>
      <c r="G11" s="3">
        <f>'D-VEHICLE'!N14</f>
        <v>313</v>
      </c>
      <c r="H11" s="5">
        <v>0</v>
      </c>
      <c r="I11" s="3">
        <f t="shared" si="3"/>
        <v>42652</v>
      </c>
      <c r="J11" s="3">
        <f>+E11-I11</f>
        <v>4378</v>
      </c>
      <c r="K11" s="3">
        <f t="shared" si="1"/>
        <v>4691</v>
      </c>
      <c r="M11" s="22"/>
    </row>
    <row r="12" spans="1:14" ht="21" customHeight="1" x14ac:dyDescent="0.2">
      <c r="A12" s="21" t="s">
        <v>4</v>
      </c>
      <c r="B12" s="3">
        <v>1114208</v>
      </c>
      <c r="C12" s="3">
        <f>'[1]D-FURNITURE'!G123</f>
        <v>0</v>
      </c>
      <c r="D12" s="3">
        <f>+Adjustment!C59</f>
        <v>93537</v>
      </c>
      <c r="E12" s="3">
        <f t="shared" si="2"/>
        <v>1020671</v>
      </c>
      <c r="F12" s="3">
        <v>1079781</v>
      </c>
      <c r="G12" s="3">
        <f>'D-FURNITURE'!O123</f>
        <v>619</v>
      </c>
      <c r="H12" s="5">
        <f>+Adjustment!C59-Adjustment!G59</f>
        <v>89014.25</v>
      </c>
      <c r="I12" s="3">
        <f t="shared" si="3"/>
        <v>991385.75</v>
      </c>
      <c r="J12" s="3">
        <f t="shared" ref="J12" si="4">+E12-I12</f>
        <v>29285.25</v>
      </c>
      <c r="K12" s="3">
        <f t="shared" si="1"/>
        <v>34427</v>
      </c>
      <c r="M12" s="22"/>
    </row>
    <row r="13" spans="1:14" ht="21" customHeight="1" thickBot="1" x14ac:dyDescent="0.25">
      <c r="A13" s="23" t="s">
        <v>3</v>
      </c>
      <c r="B13" s="6">
        <v>2662228</v>
      </c>
      <c r="C13" s="6">
        <f>'D-EQUIP.'!F138</f>
        <v>0</v>
      </c>
      <c r="D13" s="6">
        <f>+Adjustment!C138</f>
        <v>1411156</v>
      </c>
      <c r="E13" s="6">
        <f>+B13+C13-D13</f>
        <v>1251072</v>
      </c>
      <c r="F13" s="6">
        <v>2481963</v>
      </c>
      <c r="G13" s="6">
        <f>'D-EQUIP.'!N136</f>
        <v>17490</v>
      </c>
      <c r="H13" s="5">
        <f>+Adjustment!C138-Adjustment!G138</f>
        <v>1341900</v>
      </c>
      <c r="I13" s="6">
        <f t="shared" si="3"/>
        <v>1157553</v>
      </c>
      <c r="J13" s="6">
        <f>+E13-I13</f>
        <v>93519</v>
      </c>
      <c r="K13" s="6">
        <f t="shared" si="1"/>
        <v>180265</v>
      </c>
      <c r="M13" s="22"/>
    </row>
    <row r="14" spans="1:14" ht="21" customHeight="1" x14ac:dyDescent="0.35">
      <c r="A14" s="20" t="s">
        <v>9</v>
      </c>
      <c r="B14" s="7">
        <f>SUM(B6:B13)</f>
        <v>45779519.049999997</v>
      </c>
      <c r="C14" s="7">
        <f>SUM(C6:C13)</f>
        <v>25390.63</v>
      </c>
      <c r="D14" s="7">
        <f t="shared" ref="D14:J14" si="5">SUM(D6:D13)</f>
        <v>2821155.5</v>
      </c>
      <c r="E14" s="7">
        <f t="shared" si="5"/>
        <v>42983754.18</v>
      </c>
      <c r="F14" s="7">
        <f t="shared" si="5"/>
        <v>24301792</v>
      </c>
      <c r="G14" s="8">
        <f t="shared" si="5"/>
        <v>1051478</v>
      </c>
      <c r="H14" s="8">
        <f t="shared" si="5"/>
        <v>2619578.85</v>
      </c>
      <c r="I14" s="8">
        <f t="shared" si="5"/>
        <v>22733691.149999999</v>
      </c>
      <c r="J14" s="8">
        <f t="shared" si="5"/>
        <v>20250063.030000001</v>
      </c>
      <c r="K14" s="8">
        <f>ROUND(SUM(K6:K13),0)</f>
        <v>21477727</v>
      </c>
      <c r="M14" s="22">
        <f>+D14-H14</f>
        <v>201576.64999999991</v>
      </c>
    </row>
    <row r="15" spans="1:14" ht="21.75" customHeight="1" thickBot="1" x14ac:dyDescent="0.25">
      <c r="A15" s="24" t="s">
        <v>23</v>
      </c>
      <c r="B15" s="9">
        <v>45704737</v>
      </c>
      <c r="C15" s="10">
        <v>74781.75</v>
      </c>
      <c r="D15" s="10">
        <v>0</v>
      </c>
      <c r="E15" s="10">
        <f>+B15+C15</f>
        <v>45779518.75</v>
      </c>
      <c r="F15" s="10">
        <v>23071707</v>
      </c>
      <c r="G15" s="10">
        <v>1230085</v>
      </c>
      <c r="H15" s="10">
        <v>0</v>
      </c>
      <c r="I15" s="10">
        <v>24301792</v>
      </c>
      <c r="J15" s="10">
        <v>21477727</v>
      </c>
      <c r="K15" s="10">
        <v>22633030</v>
      </c>
    </row>
    <row r="16" spans="1:14" ht="21" customHeight="1" thickBot="1" x14ac:dyDescent="0.25">
      <c r="A16" s="25" t="s">
        <v>1</v>
      </c>
      <c r="B16" s="11">
        <v>0</v>
      </c>
      <c r="C16" s="11"/>
      <c r="D16" s="11"/>
      <c r="E16" s="11"/>
      <c r="F16" s="11"/>
      <c r="G16" s="11"/>
      <c r="H16" s="11"/>
      <c r="I16" s="293">
        <f>B14-F14</f>
        <v>21477727.049999997</v>
      </c>
      <c r="J16" s="11">
        <v>181029.65</v>
      </c>
      <c r="K16" s="12">
        <v>0</v>
      </c>
      <c r="M16" s="22"/>
    </row>
    <row r="17" spans="1:13" ht="15.75" customHeight="1" x14ac:dyDescent="0.2">
      <c r="A17" s="26" t="s">
        <v>24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</row>
    <row r="18" spans="1:13" ht="21" customHeight="1" x14ac:dyDescent="0.2">
      <c r="A18" s="296" t="s">
        <v>25</v>
      </c>
      <c r="B18" s="297">
        <v>67300</v>
      </c>
      <c r="C18" s="297">
        <v>0</v>
      </c>
      <c r="D18" s="297">
        <v>67300</v>
      </c>
      <c r="E18" s="297">
        <f t="shared" ref="E18" si="6">+B18+C18-D18</f>
        <v>0</v>
      </c>
      <c r="F18" s="297">
        <v>61806</v>
      </c>
      <c r="G18" s="297">
        <v>0</v>
      </c>
      <c r="H18" s="297">
        <v>61806</v>
      </c>
      <c r="I18" s="297">
        <f t="shared" ref="I18" si="7">+F18+G18-H18</f>
        <v>0</v>
      </c>
      <c r="J18" s="297">
        <f t="shared" ref="J18" si="8">+E18-I18</f>
        <v>0</v>
      </c>
      <c r="K18" s="297">
        <f t="shared" ref="K18" si="9">+B18-F18</f>
        <v>5494</v>
      </c>
      <c r="M18" s="22"/>
    </row>
    <row r="19" spans="1:13" ht="21" customHeight="1" x14ac:dyDescent="0.2">
      <c r="A19" s="296" t="s">
        <v>5</v>
      </c>
      <c r="B19" s="295">
        <f>SUM(B18)</f>
        <v>67300</v>
      </c>
      <c r="C19" s="295"/>
      <c r="D19" s="295">
        <f>+D18</f>
        <v>67300</v>
      </c>
      <c r="E19" s="295">
        <f t="shared" ref="E19:K19" si="10">SUM(E18)</f>
        <v>0</v>
      </c>
      <c r="F19" s="295">
        <f t="shared" si="10"/>
        <v>61806</v>
      </c>
      <c r="G19" s="295">
        <f t="shared" si="10"/>
        <v>0</v>
      </c>
      <c r="H19" s="295">
        <f t="shared" si="10"/>
        <v>61806</v>
      </c>
      <c r="I19" s="295">
        <f t="shared" si="10"/>
        <v>0</v>
      </c>
      <c r="J19" s="295">
        <f t="shared" si="10"/>
        <v>0</v>
      </c>
      <c r="K19" s="295">
        <f t="shared" si="10"/>
        <v>5494</v>
      </c>
    </row>
    <row r="20" spans="1:13" ht="20.25" customHeight="1" x14ac:dyDescent="0.2">
      <c r="A20" s="296" t="s">
        <v>23</v>
      </c>
      <c r="B20" s="295">
        <v>61806</v>
      </c>
      <c r="C20" s="295"/>
      <c r="D20" s="295"/>
      <c r="E20" s="295">
        <v>67300</v>
      </c>
      <c r="F20" s="295">
        <f>SUM(F19)</f>
        <v>61806</v>
      </c>
      <c r="G20" s="295">
        <v>0</v>
      </c>
      <c r="H20" s="295">
        <v>0</v>
      </c>
      <c r="I20" s="297">
        <v>0</v>
      </c>
      <c r="J20" s="297">
        <v>0</v>
      </c>
      <c r="K20" s="295">
        <f>SUM(K19)</f>
        <v>5494</v>
      </c>
      <c r="M20" s="294"/>
    </row>
    <row r="21" spans="1:13" x14ac:dyDescent="0.2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</row>
    <row r="22" spans="1:13" ht="13.5" thickBot="1" x14ac:dyDescent="0.25">
      <c r="A22" s="28"/>
      <c r="B22" s="14">
        <f t="shared" ref="B22:H22" si="11">+B14+B19</f>
        <v>45846819.049999997</v>
      </c>
      <c r="C22" s="14">
        <f t="shared" si="11"/>
        <v>25390.63</v>
      </c>
      <c r="D22" s="14">
        <f t="shared" si="11"/>
        <v>2888455.5</v>
      </c>
      <c r="E22" s="14">
        <f t="shared" si="11"/>
        <v>42983754.18</v>
      </c>
      <c r="F22" s="14">
        <f t="shared" si="11"/>
        <v>24363598</v>
      </c>
      <c r="G22" s="14">
        <f t="shared" si="11"/>
        <v>1051478</v>
      </c>
      <c r="H22" s="14">
        <f t="shared" si="11"/>
        <v>2681384.85</v>
      </c>
      <c r="I22" s="14">
        <f>+I14+I19</f>
        <v>22733691.149999999</v>
      </c>
      <c r="J22" s="14">
        <f>+J14+J19</f>
        <v>20250063.030000001</v>
      </c>
      <c r="K22" s="14">
        <f>+K14+K19</f>
        <v>21483221</v>
      </c>
    </row>
    <row r="23" spans="1:13" ht="13.5" thickTop="1" x14ac:dyDescent="0.2"/>
    <row r="24" spans="1:13" x14ac:dyDescent="0.2">
      <c r="B24" s="22"/>
      <c r="K24" s="22">
        <f>+K22-G22</f>
        <v>20431743</v>
      </c>
    </row>
    <row r="25" spans="1:13" x14ac:dyDescent="0.2">
      <c r="K25" s="22">
        <f>ROUND(J22-K24,0)</f>
        <v>-181680</v>
      </c>
      <c r="L25" s="324">
        <f>+ROUND(D14-C14-H14+D19-H19,0)</f>
        <v>181680</v>
      </c>
      <c r="M25" s="22">
        <f>+L25+K25</f>
        <v>0</v>
      </c>
    </row>
    <row r="26" spans="1:13" x14ac:dyDescent="0.2">
      <c r="M26" s="15" t="b">
        <f>IF(M25=0,TRUE,FALSE)</f>
        <v>1</v>
      </c>
    </row>
    <row r="29" spans="1:13" x14ac:dyDescent="0.2">
      <c r="C29" s="22"/>
    </row>
    <row r="32" spans="1:13" x14ac:dyDescent="0.2">
      <c r="C32" s="22"/>
    </row>
  </sheetData>
  <mergeCells count="7">
    <mergeCell ref="A1:K1"/>
    <mergeCell ref="A2:K2"/>
    <mergeCell ref="A3:K3"/>
    <mergeCell ref="A4:A5"/>
    <mergeCell ref="B4:E4"/>
    <mergeCell ref="F4:I4"/>
    <mergeCell ref="J4:K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154"/>
  <sheetViews>
    <sheetView topLeftCell="A82" zoomScaleNormal="100" zoomScaleSheetLayoutView="100" workbookViewId="0">
      <selection activeCell="O137" sqref="O137"/>
    </sheetView>
  </sheetViews>
  <sheetFormatPr defaultRowHeight="12.75" x14ac:dyDescent="0.2"/>
  <cols>
    <col min="1" max="1" width="4.140625" style="76" customWidth="1"/>
    <col min="2" max="2" width="35.7109375" style="76" customWidth="1"/>
    <col min="3" max="3" width="12.85546875" style="170" customWidth="1"/>
    <col min="4" max="4" width="12.42578125" style="170" customWidth="1"/>
    <col min="5" max="8" width="10.42578125" style="170" customWidth="1"/>
    <col min="9" max="9" width="10.85546875" style="170" customWidth="1"/>
    <col min="10" max="10" width="10.140625" style="170" customWidth="1"/>
    <col min="11" max="11" width="9.42578125" style="170" customWidth="1"/>
    <col min="12" max="12" width="8.140625" style="170" customWidth="1"/>
    <col min="13" max="13" width="9.5703125" style="170" customWidth="1"/>
    <col min="14" max="14" width="12.7109375" style="170" bestFit="1" customWidth="1"/>
    <col min="15" max="15" width="12.85546875" style="76" customWidth="1"/>
    <col min="16" max="16" width="10.42578125" style="76" bestFit="1" customWidth="1"/>
    <col min="17" max="16384" width="9.140625" style="76"/>
  </cols>
  <sheetData>
    <row r="1" spans="1:16" s="155" customFormat="1" x14ac:dyDescent="0.2">
      <c r="A1" s="274"/>
      <c r="B1" s="275"/>
      <c r="C1" s="276"/>
      <c r="D1" s="276"/>
      <c r="E1" s="276"/>
      <c r="F1" s="276"/>
      <c r="G1" s="276"/>
      <c r="H1" s="276"/>
      <c r="I1" s="276"/>
      <c r="J1" s="276"/>
      <c r="K1" s="208">
        <v>44286</v>
      </c>
      <c r="L1" s="276"/>
      <c r="M1" s="276"/>
      <c r="N1" s="276"/>
      <c r="P1" s="277"/>
    </row>
    <row r="2" spans="1:16" x14ac:dyDescent="0.2">
      <c r="A2" s="227"/>
      <c r="B2" s="70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6" ht="51" x14ac:dyDescent="0.2">
      <c r="A3" s="278" t="s">
        <v>34</v>
      </c>
      <c r="B3" s="279" t="s">
        <v>35</v>
      </c>
      <c r="C3" s="106" t="s">
        <v>36</v>
      </c>
      <c r="D3" s="107" t="s">
        <v>37</v>
      </c>
      <c r="E3" s="106" t="s">
        <v>541</v>
      </c>
      <c r="F3" s="106" t="s">
        <v>411</v>
      </c>
      <c r="G3" s="106" t="s">
        <v>570</v>
      </c>
      <c r="H3" s="106" t="s">
        <v>39</v>
      </c>
      <c r="I3" s="106" t="s">
        <v>40</v>
      </c>
      <c r="J3" s="108" t="s">
        <v>41</v>
      </c>
      <c r="K3" s="108" t="s">
        <v>42</v>
      </c>
      <c r="L3" s="108" t="s">
        <v>43</v>
      </c>
      <c r="M3" s="109" t="s">
        <v>44</v>
      </c>
      <c r="N3" s="220" t="s">
        <v>45</v>
      </c>
    </row>
    <row r="4" spans="1:16" x14ac:dyDescent="0.2">
      <c r="A4" s="280"/>
      <c r="B4" s="75" t="s">
        <v>412</v>
      </c>
      <c r="C4" s="37"/>
      <c r="D4" s="70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6" x14ac:dyDescent="0.2">
      <c r="A5" s="405">
        <v>1</v>
      </c>
      <c r="B5" s="79" t="s">
        <v>413</v>
      </c>
      <c r="C5" s="82">
        <v>2800</v>
      </c>
      <c r="D5" s="131">
        <f>DATE(75,1,30)</f>
        <v>27424</v>
      </c>
      <c r="E5" s="281">
        <v>140</v>
      </c>
      <c r="F5" s="281"/>
      <c r="G5" s="37">
        <f>E5+F5-N5</f>
        <v>140</v>
      </c>
      <c r="H5" s="52">
        <f>(C5+F5)*5%</f>
        <v>140</v>
      </c>
      <c r="I5" s="37">
        <f t="shared" ref="I5:I50" si="0">E5-H5</f>
        <v>0</v>
      </c>
      <c r="J5" s="37">
        <v>3</v>
      </c>
      <c r="K5" s="37">
        <f t="shared" ref="K5:K50" si="1">($K$1-D5)/365</f>
        <v>46.197260273972603</v>
      </c>
      <c r="L5" s="37">
        <f t="shared" ref="L5:L50" si="2">J5-K5</f>
        <v>-43.197260273972603</v>
      </c>
      <c r="M5" s="84">
        <f>IF(L5&gt;0,(1-(H5/(E5+F5))^(1/J5)),0)</f>
        <v>0</v>
      </c>
      <c r="N5" s="37">
        <f>(E5+F5)*M5</f>
        <v>0</v>
      </c>
    </row>
    <row r="6" spans="1:16" x14ac:dyDescent="0.2">
      <c r="A6" s="405">
        <f>+A5+1</f>
        <v>2</v>
      </c>
      <c r="B6" s="79" t="s">
        <v>414</v>
      </c>
      <c r="C6" s="82">
        <v>230</v>
      </c>
      <c r="D6" s="131">
        <f>DATE(78,8,9)</f>
        <v>28711</v>
      </c>
      <c r="E6" s="281">
        <v>11</v>
      </c>
      <c r="F6" s="281"/>
      <c r="G6" s="37">
        <f t="shared" ref="G6:G50" si="3">E6+F6-N6</f>
        <v>11</v>
      </c>
      <c r="H6" s="52">
        <f>+E6</f>
        <v>11</v>
      </c>
      <c r="I6" s="37">
        <f t="shared" si="0"/>
        <v>0</v>
      </c>
      <c r="J6" s="37">
        <v>3</v>
      </c>
      <c r="K6" s="37">
        <f t="shared" si="1"/>
        <v>42.671232876712331</v>
      </c>
      <c r="L6" s="37">
        <f t="shared" si="2"/>
        <v>-39.671232876712331</v>
      </c>
      <c r="M6" s="84">
        <f t="shared" ref="M6:M50" si="4">IF(L6&gt;0,(1-(H6/(E6+F6))^(1/J6)),0)</f>
        <v>0</v>
      </c>
      <c r="N6" s="37">
        <f t="shared" ref="N6:N50" si="5">(E6+F6)*M6</f>
        <v>0</v>
      </c>
    </row>
    <row r="7" spans="1:16" x14ac:dyDescent="0.2">
      <c r="A7" s="405">
        <f t="shared" ref="A7:A50" si="6">+A6+1</f>
        <v>3</v>
      </c>
      <c r="B7" s="353" t="s">
        <v>415</v>
      </c>
      <c r="C7" s="354">
        <v>5800</v>
      </c>
      <c r="D7" s="355">
        <f>DATE(85,6,25)</f>
        <v>31223</v>
      </c>
      <c r="E7" s="366">
        <v>290</v>
      </c>
      <c r="F7" s="366"/>
      <c r="G7" s="356">
        <f t="shared" si="3"/>
        <v>290</v>
      </c>
      <c r="H7" s="357">
        <f t="shared" ref="H7:H50" si="7">(C7+F7)*5%</f>
        <v>290</v>
      </c>
      <c r="I7" s="356">
        <f t="shared" si="0"/>
        <v>0</v>
      </c>
      <c r="J7" s="356">
        <v>3</v>
      </c>
      <c r="K7" s="356">
        <f t="shared" si="1"/>
        <v>35.789041095890411</v>
      </c>
      <c r="L7" s="356">
        <f t="shared" si="2"/>
        <v>-32.789041095890411</v>
      </c>
      <c r="M7" s="359">
        <f t="shared" si="4"/>
        <v>0</v>
      </c>
      <c r="N7" s="356">
        <f t="shared" si="5"/>
        <v>0</v>
      </c>
      <c r="O7" s="367" t="s">
        <v>579</v>
      </c>
    </row>
    <row r="8" spans="1:16" x14ac:dyDescent="0.2">
      <c r="A8" s="405">
        <f t="shared" si="6"/>
        <v>4</v>
      </c>
      <c r="B8" s="353" t="s">
        <v>416</v>
      </c>
      <c r="C8" s="354">
        <v>4200</v>
      </c>
      <c r="D8" s="355">
        <f>DATE(85,9,14)</f>
        <v>31304</v>
      </c>
      <c r="E8" s="366">
        <v>210</v>
      </c>
      <c r="F8" s="366"/>
      <c r="G8" s="356">
        <f t="shared" si="3"/>
        <v>210</v>
      </c>
      <c r="H8" s="357">
        <f t="shared" si="7"/>
        <v>210</v>
      </c>
      <c r="I8" s="356">
        <f t="shared" si="0"/>
        <v>0</v>
      </c>
      <c r="J8" s="356">
        <v>3</v>
      </c>
      <c r="K8" s="356">
        <f t="shared" si="1"/>
        <v>35.56712328767123</v>
      </c>
      <c r="L8" s="356">
        <f t="shared" si="2"/>
        <v>-32.56712328767123</v>
      </c>
      <c r="M8" s="359">
        <f t="shared" si="4"/>
        <v>0</v>
      </c>
      <c r="N8" s="356">
        <f t="shared" si="5"/>
        <v>0</v>
      </c>
      <c r="O8" s="367" t="s">
        <v>579</v>
      </c>
    </row>
    <row r="9" spans="1:16" x14ac:dyDescent="0.2">
      <c r="A9" s="405">
        <f t="shared" si="6"/>
        <v>5</v>
      </c>
      <c r="B9" s="79" t="s">
        <v>417</v>
      </c>
      <c r="C9" s="82">
        <v>17890</v>
      </c>
      <c r="D9" s="131">
        <f>DATE(87,12,7)</f>
        <v>32118</v>
      </c>
      <c r="E9" s="281">
        <v>660</v>
      </c>
      <c r="F9" s="281"/>
      <c r="G9" s="37">
        <f t="shared" si="3"/>
        <v>660</v>
      </c>
      <c r="H9" s="52">
        <f>+E9</f>
        <v>660</v>
      </c>
      <c r="I9" s="37">
        <f t="shared" si="0"/>
        <v>0</v>
      </c>
      <c r="J9" s="37">
        <v>3</v>
      </c>
      <c r="K9" s="37">
        <f t="shared" si="1"/>
        <v>33.336986301369862</v>
      </c>
      <c r="L9" s="37">
        <f t="shared" si="2"/>
        <v>-30.336986301369862</v>
      </c>
      <c r="M9" s="84">
        <f t="shared" si="4"/>
        <v>0</v>
      </c>
      <c r="N9" s="37">
        <f t="shared" si="5"/>
        <v>0</v>
      </c>
    </row>
    <row r="10" spans="1:16" x14ac:dyDescent="0.2">
      <c r="A10" s="405">
        <f t="shared" si="6"/>
        <v>6</v>
      </c>
      <c r="B10" s="79" t="s">
        <v>418</v>
      </c>
      <c r="C10" s="82">
        <v>1282</v>
      </c>
      <c r="D10" s="131">
        <f>DATE(87,12,7)</f>
        <v>32118</v>
      </c>
      <c r="E10" s="281">
        <v>47</v>
      </c>
      <c r="F10" s="281"/>
      <c r="G10" s="37">
        <f t="shared" si="3"/>
        <v>47</v>
      </c>
      <c r="H10" s="52">
        <f>+E10</f>
        <v>47</v>
      </c>
      <c r="I10" s="37">
        <f t="shared" si="0"/>
        <v>0</v>
      </c>
      <c r="J10" s="37">
        <v>3</v>
      </c>
      <c r="K10" s="37">
        <f t="shared" si="1"/>
        <v>33.336986301369862</v>
      </c>
      <c r="L10" s="37">
        <f t="shared" si="2"/>
        <v>-30.336986301369862</v>
      </c>
      <c r="M10" s="84">
        <f t="shared" si="4"/>
        <v>0</v>
      </c>
      <c r="N10" s="37">
        <f t="shared" si="5"/>
        <v>0</v>
      </c>
    </row>
    <row r="11" spans="1:16" x14ac:dyDescent="0.2">
      <c r="A11" s="405">
        <f t="shared" si="6"/>
        <v>7</v>
      </c>
      <c r="B11" s="353" t="s">
        <v>419</v>
      </c>
      <c r="C11" s="354">
        <v>5495</v>
      </c>
      <c r="D11" s="355">
        <f>DATE(87,8,29)</f>
        <v>32018</v>
      </c>
      <c r="E11" s="366">
        <v>202</v>
      </c>
      <c r="F11" s="366"/>
      <c r="G11" s="356">
        <f t="shared" si="3"/>
        <v>202</v>
      </c>
      <c r="H11" s="357">
        <f>+E11</f>
        <v>202</v>
      </c>
      <c r="I11" s="356">
        <f t="shared" si="0"/>
        <v>0</v>
      </c>
      <c r="J11" s="356">
        <v>3</v>
      </c>
      <c r="K11" s="356">
        <f t="shared" si="1"/>
        <v>33.610958904109587</v>
      </c>
      <c r="L11" s="356">
        <f t="shared" si="2"/>
        <v>-30.610958904109587</v>
      </c>
      <c r="M11" s="359">
        <f t="shared" si="4"/>
        <v>0</v>
      </c>
      <c r="N11" s="356">
        <f t="shared" si="5"/>
        <v>0</v>
      </c>
      <c r="O11" s="367" t="s">
        <v>579</v>
      </c>
    </row>
    <row r="12" spans="1:16" x14ac:dyDescent="0.2">
      <c r="A12" s="405">
        <f t="shared" si="6"/>
        <v>8</v>
      </c>
      <c r="B12" s="79" t="s">
        <v>420</v>
      </c>
      <c r="C12" s="82">
        <v>1368</v>
      </c>
      <c r="D12" s="131">
        <f>DATE(87,6,10)</f>
        <v>31938</v>
      </c>
      <c r="E12" s="281">
        <v>52</v>
      </c>
      <c r="F12" s="281"/>
      <c r="G12" s="37">
        <f t="shared" si="3"/>
        <v>52</v>
      </c>
      <c r="H12" s="52">
        <f>+E12</f>
        <v>52</v>
      </c>
      <c r="I12" s="37">
        <f t="shared" si="0"/>
        <v>0</v>
      </c>
      <c r="J12" s="37">
        <v>3</v>
      </c>
      <c r="K12" s="37">
        <f t="shared" si="1"/>
        <v>33.830136986301369</v>
      </c>
      <c r="L12" s="37">
        <f t="shared" si="2"/>
        <v>-30.830136986301369</v>
      </c>
      <c r="M12" s="84">
        <f t="shared" si="4"/>
        <v>0</v>
      </c>
      <c r="N12" s="37">
        <f t="shared" si="5"/>
        <v>0</v>
      </c>
    </row>
    <row r="13" spans="1:16" x14ac:dyDescent="0.2">
      <c r="A13" s="405">
        <f t="shared" si="6"/>
        <v>9</v>
      </c>
      <c r="B13" s="79" t="s">
        <v>421</v>
      </c>
      <c r="C13" s="82">
        <v>2540</v>
      </c>
      <c r="D13" s="131">
        <f>DATE(89,1,17)</f>
        <v>32525</v>
      </c>
      <c r="E13" s="281">
        <v>127</v>
      </c>
      <c r="F13" s="281"/>
      <c r="G13" s="37">
        <f t="shared" si="3"/>
        <v>127</v>
      </c>
      <c r="H13" s="52">
        <f t="shared" si="7"/>
        <v>127</v>
      </c>
      <c r="I13" s="37">
        <f t="shared" si="0"/>
        <v>0</v>
      </c>
      <c r="J13" s="37">
        <v>3</v>
      </c>
      <c r="K13" s="37">
        <f t="shared" si="1"/>
        <v>32.221917808219175</v>
      </c>
      <c r="L13" s="37">
        <f t="shared" si="2"/>
        <v>-29.221917808219175</v>
      </c>
      <c r="M13" s="84">
        <f t="shared" si="4"/>
        <v>0</v>
      </c>
      <c r="N13" s="37">
        <f t="shared" si="5"/>
        <v>0</v>
      </c>
    </row>
    <row r="14" spans="1:16" x14ac:dyDescent="0.2">
      <c r="A14" s="405">
        <f t="shared" si="6"/>
        <v>10</v>
      </c>
      <c r="B14" s="353" t="s">
        <v>422</v>
      </c>
      <c r="C14" s="354">
        <v>20604</v>
      </c>
      <c r="D14" s="355">
        <f>DATE(90,1,4)</f>
        <v>32877</v>
      </c>
      <c r="E14" s="366">
        <v>1030</v>
      </c>
      <c r="F14" s="366"/>
      <c r="G14" s="356">
        <f t="shared" si="3"/>
        <v>1030</v>
      </c>
      <c r="H14" s="357">
        <f t="shared" si="7"/>
        <v>1030.2</v>
      </c>
      <c r="I14" s="356">
        <f t="shared" si="0"/>
        <v>-0.20000000000004547</v>
      </c>
      <c r="J14" s="356">
        <v>3</v>
      </c>
      <c r="K14" s="356">
        <f t="shared" si="1"/>
        <v>31.257534246575343</v>
      </c>
      <c r="L14" s="356">
        <f t="shared" si="2"/>
        <v>-28.257534246575343</v>
      </c>
      <c r="M14" s="359">
        <f t="shared" si="4"/>
        <v>0</v>
      </c>
      <c r="N14" s="356">
        <f t="shared" si="5"/>
        <v>0</v>
      </c>
      <c r="O14" s="367" t="s">
        <v>579</v>
      </c>
    </row>
    <row r="15" spans="1:16" x14ac:dyDescent="0.2">
      <c r="A15" s="405">
        <f t="shared" si="6"/>
        <v>11</v>
      </c>
      <c r="B15" s="353" t="s">
        <v>423</v>
      </c>
      <c r="C15" s="354">
        <v>30344</v>
      </c>
      <c r="D15" s="355">
        <f>DATE(91,8,28)</f>
        <v>33478</v>
      </c>
      <c r="E15" s="366">
        <v>1517</v>
      </c>
      <c r="F15" s="366"/>
      <c r="G15" s="356">
        <f t="shared" si="3"/>
        <v>1517</v>
      </c>
      <c r="H15" s="357">
        <f t="shared" si="7"/>
        <v>1517.2</v>
      </c>
      <c r="I15" s="356">
        <f t="shared" si="0"/>
        <v>-0.20000000000004547</v>
      </c>
      <c r="J15" s="356">
        <v>3</v>
      </c>
      <c r="K15" s="356">
        <f t="shared" si="1"/>
        <v>29.610958904109587</v>
      </c>
      <c r="L15" s="356">
        <f t="shared" si="2"/>
        <v>-26.610958904109587</v>
      </c>
      <c r="M15" s="359">
        <f t="shared" si="4"/>
        <v>0</v>
      </c>
      <c r="N15" s="356">
        <f t="shared" si="5"/>
        <v>0</v>
      </c>
      <c r="O15" s="367" t="s">
        <v>579</v>
      </c>
    </row>
    <row r="16" spans="1:16" x14ac:dyDescent="0.2">
      <c r="A16" s="405">
        <f t="shared" si="6"/>
        <v>12</v>
      </c>
      <c r="B16" s="79" t="s">
        <v>424</v>
      </c>
      <c r="C16" s="82">
        <v>18111</v>
      </c>
      <c r="D16" s="131">
        <f>DATE(93,5,19)</f>
        <v>34108</v>
      </c>
      <c r="E16" s="281">
        <v>906</v>
      </c>
      <c r="F16" s="281"/>
      <c r="G16" s="37">
        <f t="shared" si="3"/>
        <v>906</v>
      </c>
      <c r="H16" s="52">
        <f t="shared" si="7"/>
        <v>905.55000000000007</v>
      </c>
      <c r="I16" s="37">
        <f t="shared" si="0"/>
        <v>0.44999999999993179</v>
      </c>
      <c r="J16" s="37">
        <v>3</v>
      </c>
      <c r="K16" s="37">
        <f t="shared" si="1"/>
        <v>27.884931506849316</v>
      </c>
      <c r="L16" s="37">
        <f t="shared" si="2"/>
        <v>-24.884931506849316</v>
      </c>
      <c r="M16" s="84">
        <f t="shared" si="4"/>
        <v>0</v>
      </c>
      <c r="N16" s="37">
        <f t="shared" si="5"/>
        <v>0</v>
      </c>
    </row>
    <row r="17" spans="1:15" x14ac:dyDescent="0.2">
      <c r="A17" s="405">
        <f t="shared" si="6"/>
        <v>13</v>
      </c>
      <c r="B17" s="79" t="s">
        <v>425</v>
      </c>
      <c r="C17" s="82">
        <v>2839</v>
      </c>
      <c r="D17" s="131">
        <f>DATE(93,12,15)</f>
        <v>34318</v>
      </c>
      <c r="E17" s="281">
        <v>142</v>
      </c>
      <c r="F17" s="281"/>
      <c r="G17" s="37">
        <f t="shared" si="3"/>
        <v>142</v>
      </c>
      <c r="H17" s="52">
        <f t="shared" si="7"/>
        <v>141.95000000000002</v>
      </c>
      <c r="I17" s="37">
        <f t="shared" si="0"/>
        <v>4.9999999999982947E-2</v>
      </c>
      <c r="J17" s="37">
        <v>3</v>
      </c>
      <c r="K17" s="37">
        <f t="shared" si="1"/>
        <v>27.30958904109589</v>
      </c>
      <c r="L17" s="37">
        <f t="shared" si="2"/>
        <v>-24.30958904109589</v>
      </c>
      <c r="M17" s="84">
        <f t="shared" si="4"/>
        <v>0</v>
      </c>
      <c r="N17" s="37">
        <f t="shared" si="5"/>
        <v>0</v>
      </c>
    </row>
    <row r="18" spans="1:15" x14ac:dyDescent="0.2">
      <c r="A18" s="405">
        <f t="shared" si="6"/>
        <v>14</v>
      </c>
      <c r="B18" s="353" t="s">
        <v>426</v>
      </c>
      <c r="C18" s="354">
        <v>62000</v>
      </c>
      <c r="D18" s="355">
        <f>DATE(93,9,1)</f>
        <v>34213</v>
      </c>
      <c r="E18" s="366">
        <v>3100</v>
      </c>
      <c r="F18" s="366"/>
      <c r="G18" s="356">
        <f t="shared" si="3"/>
        <v>3100</v>
      </c>
      <c r="H18" s="357">
        <f t="shared" si="7"/>
        <v>3100</v>
      </c>
      <c r="I18" s="356">
        <f t="shared" si="0"/>
        <v>0</v>
      </c>
      <c r="J18" s="356">
        <v>3</v>
      </c>
      <c r="K18" s="356">
        <f t="shared" si="1"/>
        <v>27.597260273972601</v>
      </c>
      <c r="L18" s="356">
        <f t="shared" si="2"/>
        <v>-24.597260273972601</v>
      </c>
      <c r="M18" s="359">
        <f t="shared" si="4"/>
        <v>0</v>
      </c>
      <c r="N18" s="356">
        <f t="shared" si="5"/>
        <v>0</v>
      </c>
      <c r="O18" s="367" t="s">
        <v>579</v>
      </c>
    </row>
    <row r="19" spans="1:15" x14ac:dyDescent="0.2">
      <c r="A19" s="405">
        <f t="shared" si="6"/>
        <v>15</v>
      </c>
      <c r="B19" s="79" t="s">
        <v>427</v>
      </c>
      <c r="C19" s="82">
        <v>1000</v>
      </c>
      <c r="D19" s="131">
        <f>DATE(94,10,31)</f>
        <v>34638</v>
      </c>
      <c r="E19" s="281">
        <v>50</v>
      </c>
      <c r="F19" s="281"/>
      <c r="G19" s="37">
        <f t="shared" si="3"/>
        <v>50</v>
      </c>
      <c r="H19" s="52">
        <f t="shared" si="7"/>
        <v>50</v>
      </c>
      <c r="I19" s="37">
        <f t="shared" si="0"/>
        <v>0</v>
      </c>
      <c r="J19" s="37">
        <v>3</v>
      </c>
      <c r="K19" s="37">
        <f t="shared" si="1"/>
        <v>26.432876712328767</v>
      </c>
      <c r="L19" s="37">
        <f t="shared" si="2"/>
        <v>-23.432876712328767</v>
      </c>
      <c r="M19" s="84">
        <f t="shared" si="4"/>
        <v>0</v>
      </c>
      <c r="N19" s="37">
        <f t="shared" si="5"/>
        <v>0</v>
      </c>
    </row>
    <row r="20" spans="1:15" x14ac:dyDescent="0.2">
      <c r="A20" s="405">
        <f t="shared" si="6"/>
        <v>16</v>
      </c>
      <c r="B20" s="353" t="s">
        <v>426</v>
      </c>
      <c r="C20" s="354">
        <v>24000</v>
      </c>
      <c r="D20" s="355">
        <f>DATE(95,12,5)</f>
        <v>35038</v>
      </c>
      <c r="E20" s="366">
        <v>1200</v>
      </c>
      <c r="F20" s="366"/>
      <c r="G20" s="356">
        <f t="shared" si="3"/>
        <v>1200</v>
      </c>
      <c r="H20" s="357">
        <f t="shared" si="7"/>
        <v>1200</v>
      </c>
      <c r="I20" s="356">
        <f t="shared" si="0"/>
        <v>0</v>
      </c>
      <c r="J20" s="356">
        <v>3</v>
      </c>
      <c r="K20" s="356">
        <f t="shared" si="1"/>
        <v>25.336986301369862</v>
      </c>
      <c r="L20" s="356">
        <f t="shared" si="2"/>
        <v>-22.336986301369862</v>
      </c>
      <c r="M20" s="359">
        <f t="shared" si="4"/>
        <v>0</v>
      </c>
      <c r="N20" s="356">
        <f t="shared" si="5"/>
        <v>0</v>
      </c>
      <c r="O20" s="367" t="s">
        <v>579</v>
      </c>
    </row>
    <row r="21" spans="1:15" x14ac:dyDescent="0.2">
      <c r="A21" s="405">
        <f t="shared" si="6"/>
        <v>17</v>
      </c>
      <c r="B21" s="353" t="s">
        <v>428</v>
      </c>
      <c r="C21" s="354">
        <v>25700</v>
      </c>
      <c r="D21" s="355">
        <f>DATE(95,12,29)</f>
        <v>35062</v>
      </c>
      <c r="E21" s="366">
        <v>1285</v>
      </c>
      <c r="F21" s="366"/>
      <c r="G21" s="356">
        <f t="shared" si="3"/>
        <v>1285</v>
      </c>
      <c r="H21" s="357">
        <f t="shared" si="7"/>
        <v>1285</v>
      </c>
      <c r="I21" s="356">
        <f t="shared" si="0"/>
        <v>0</v>
      </c>
      <c r="J21" s="356">
        <v>3</v>
      </c>
      <c r="K21" s="356">
        <f t="shared" si="1"/>
        <v>25.271232876712329</v>
      </c>
      <c r="L21" s="356">
        <f t="shared" si="2"/>
        <v>-22.271232876712329</v>
      </c>
      <c r="M21" s="359">
        <f t="shared" si="4"/>
        <v>0</v>
      </c>
      <c r="N21" s="356">
        <f t="shared" si="5"/>
        <v>0</v>
      </c>
      <c r="O21" s="367" t="s">
        <v>579</v>
      </c>
    </row>
    <row r="22" spans="1:15" x14ac:dyDescent="0.2">
      <c r="A22" s="405">
        <f t="shared" si="6"/>
        <v>18</v>
      </c>
      <c r="B22" s="353" t="s">
        <v>429</v>
      </c>
      <c r="C22" s="354">
        <v>2800</v>
      </c>
      <c r="D22" s="355">
        <f>DATE(96,11,19)</f>
        <v>35388</v>
      </c>
      <c r="E22" s="366">
        <v>140</v>
      </c>
      <c r="F22" s="366"/>
      <c r="G22" s="356">
        <f t="shared" si="3"/>
        <v>140</v>
      </c>
      <c r="H22" s="357">
        <f t="shared" si="7"/>
        <v>140</v>
      </c>
      <c r="I22" s="356">
        <f t="shared" si="0"/>
        <v>0</v>
      </c>
      <c r="J22" s="356">
        <v>3</v>
      </c>
      <c r="K22" s="356">
        <f t="shared" si="1"/>
        <v>24.378082191780823</v>
      </c>
      <c r="L22" s="356">
        <f t="shared" si="2"/>
        <v>-21.378082191780823</v>
      </c>
      <c r="M22" s="359">
        <f t="shared" si="4"/>
        <v>0</v>
      </c>
      <c r="N22" s="356">
        <f t="shared" si="5"/>
        <v>0</v>
      </c>
      <c r="O22" s="367" t="s">
        <v>579</v>
      </c>
    </row>
    <row r="23" spans="1:15" x14ac:dyDescent="0.2">
      <c r="A23" s="405">
        <f t="shared" si="6"/>
        <v>19</v>
      </c>
      <c r="B23" s="353" t="s">
        <v>430</v>
      </c>
      <c r="C23" s="354">
        <v>10100</v>
      </c>
      <c r="D23" s="355">
        <f>DATE(96,5,8)</f>
        <v>35193</v>
      </c>
      <c r="E23" s="366">
        <v>505</v>
      </c>
      <c r="F23" s="366"/>
      <c r="G23" s="356">
        <f t="shared" si="3"/>
        <v>505</v>
      </c>
      <c r="H23" s="357">
        <f t="shared" si="7"/>
        <v>505</v>
      </c>
      <c r="I23" s="356">
        <f t="shared" si="0"/>
        <v>0</v>
      </c>
      <c r="J23" s="356">
        <v>3</v>
      </c>
      <c r="K23" s="356">
        <f t="shared" si="1"/>
        <v>24.912328767123288</v>
      </c>
      <c r="L23" s="356">
        <f t="shared" si="2"/>
        <v>-21.912328767123288</v>
      </c>
      <c r="M23" s="359">
        <f t="shared" si="4"/>
        <v>0</v>
      </c>
      <c r="N23" s="356">
        <f t="shared" si="5"/>
        <v>0</v>
      </c>
      <c r="O23" s="367" t="s">
        <v>579</v>
      </c>
    </row>
    <row r="24" spans="1:15" x14ac:dyDescent="0.2">
      <c r="A24" s="405">
        <f t="shared" si="6"/>
        <v>20</v>
      </c>
      <c r="B24" s="79" t="s">
        <v>431</v>
      </c>
      <c r="C24" s="82">
        <v>5540</v>
      </c>
      <c r="D24" s="131">
        <f>DATE(96,12,12)</f>
        <v>35411</v>
      </c>
      <c r="E24" s="281">
        <v>277</v>
      </c>
      <c r="F24" s="281"/>
      <c r="G24" s="37">
        <f t="shared" si="3"/>
        <v>277</v>
      </c>
      <c r="H24" s="52">
        <f t="shared" si="7"/>
        <v>277</v>
      </c>
      <c r="I24" s="37">
        <f t="shared" si="0"/>
        <v>0</v>
      </c>
      <c r="J24" s="37">
        <v>3</v>
      </c>
      <c r="K24" s="37">
        <f t="shared" si="1"/>
        <v>24.315068493150687</v>
      </c>
      <c r="L24" s="37">
        <f t="shared" si="2"/>
        <v>-21.315068493150687</v>
      </c>
      <c r="M24" s="84">
        <f t="shared" si="4"/>
        <v>0</v>
      </c>
      <c r="N24" s="37">
        <f t="shared" si="5"/>
        <v>0</v>
      </c>
    </row>
    <row r="25" spans="1:15" x14ac:dyDescent="0.2">
      <c r="A25" s="405">
        <f t="shared" si="6"/>
        <v>21</v>
      </c>
      <c r="B25" s="79" t="s">
        <v>432</v>
      </c>
      <c r="C25" s="82">
        <v>33990</v>
      </c>
      <c r="D25" s="131">
        <f>DATE(97,9,1)</f>
        <v>35674</v>
      </c>
      <c r="E25" s="281">
        <v>1700</v>
      </c>
      <c r="F25" s="281"/>
      <c r="G25" s="37">
        <f t="shared" si="3"/>
        <v>1700</v>
      </c>
      <c r="H25" s="52">
        <f t="shared" si="7"/>
        <v>1699.5</v>
      </c>
      <c r="I25" s="37">
        <f t="shared" si="0"/>
        <v>0.5</v>
      </c>
      <c r="J25" s="37">
        <v>3</v>
      </c>
      <c r="K25" s="37">
        <f t="shared" si="1"/>
        <v>23.594520547945205</v>
      </c>
      <c r="L25" s="37">
        <f t="shared" si="2"/>
        <v>-20.594520547945205</v>
      </c>
      <c r="M25" s="84">
        <f t="shared" si="4"/>
        <v>0</v>
      </c>
      <c r="N25" s="37">
        <f t="shared" si="5"/>
        <v>0</v>
      </c>
    </row>
    <row r="26" spans="1:15" x14ac:dyDescent="0.2">
      <c r="A26" s="405">
        <f t="shared" si="6"/>
        <v>22</v>
      </c>
      <c r="B26" s="353" t="s">
        <v>433</v>
      </c>
      <c r="C26" s="354">
        <v>6485</v>
      </c>
      <c r="D26" s="355">
        <f>DATE(96,4,8)</f>
        <v>35163</v>
      </c>
      <c r="E26" s="366">
        <v>324</v>
      </c>
      <c r="F26" s="366"/>
      <c r="G26" s="356">
        <f t="shared" si="3"/>
        <v>324</v>
      </c>
      <c r="H26" s="357">
        <f t="shared" si="7"/>
        <v>324.25</v>
      </c>
      <c r="I26" s="356">
        <f t="shared" si="0"/>
        <v>-0.25</v>
      </c>
      <c r="J26" s="356">
        <v>3</v>
      </c>
      <c r="K26" s="356">
        <f t="shared" si="1"/>
        <v>24.994520547945207</v>
      </c>
      <c r="L26" s="356">
        <f t="shared" si="2"/>
        <v>-21.994520547945207</v>
      </c>
      <c r="M26" s="359">
        <f t="shared" si="4"/>
        <v>0</v>
      </c>
      <c r="N26" s="356">
        <f t="shared" si="5"/>
        <v>0</v>
      </c>
      <c r="O26" s="367" t="s">
        <v>579</v>
      </c>
    </row>
    <row r="27" spans="1:15" x14ac:dyDescent="0.2">
      <c r="A27" s="405">
        <f t="shared" si="6"/>
        <v>23</v>
      </c>
      <c r="B27" s="353" t="s">
        <v>434</v>
      </c>
      <c r="C27" s="354">
        <v>8300</v>
      </c>
      <c r="D27" s="355">
        <f>DATE(96,2,10)</f>
        <v>35105</v>
      </c>
      <c r="E27" s="366">
        <v>414</v>
      </c>
      <c r="F27" s="366"/>
      <c r="G27" s="356">
        <f t="shared" si="3"/>
        <v>414</v>
      </c>
      <c r="H27" s="357">
        <f t="shared" si="7"/>
        <v>415</v>
      </c>
      <c r="I27" s="356">
        <f t="shared" si="0"/>
        <v>-1</v>
      </c>
      <c r="J27" s="356">
        <v>3</v>
      </c>
      <c r="K27" s="356">
        <f t="shared" si="1"/>
        <v>25.153424657534245</v>
      </c>
      <c r="L27" s="356">
        <f t="shared" si="2"/>
        <v>-22.153424657534245</v>
      </c>
      <c r="M27" s="359">
        <f t="shared" si="4"/>
        <v>0</v>
      </c>
      <c r="N27" s="356">
        <f t="shared" si="5"/>
        <v>0</v>
      </c>
      <c r="O27" s="367" t="s">
        <v>579</v>
      </c>
    </row>
    <row r="28" spans="1:15" x14ac:dyDescent="0.2">
      <c r="A28" s="405">
        <f t="shared" si="6"/>
        <v>24</v>
      </c>
      <c r="B28" s="353" t="s">
        <v>435</v>
      </c>
      <c r="C28" s="354">
        <v>12000</v>
      </c>
      <c r="D28" s="355">
        <f>DATE(96,4,8)</f>
        <v>35163</v>
      </c>
      <c r="E28" s="366">
        <v>600</v>
      </c>
      <c r="F28" s="366"/>
      <c r="G28" s="356">
        <f t="shared" si="3"/>
        <v>600</v>
      </c>
      <c r="H28" s="357">
        <f t="shared" si="7"/>
        <v>600</v>
      </c>
      <c r="I28" s="356">
        <f t="shared" si="0"/>
        <v>0</v>
      </c>
      <c r="J28" s="356">
        <v>3</v>
      </c>
      <c r="K28" s="356">
        <f t="shared" si="1"/>
        <v>24.994520547945207</v>
      </c>
      <c r="L28" s="356">
        <f t="shared" si="2"/>
        <v>-21.994520547945207</v>
      </c>
      <c r="M28" s="359">
        <f t="shared" si="4"/>
        <v>0</v>
      </c>
      <c r="N28" s="356">
        <f t="shared" si="5"/>
        <v>0</v>
      </c>
      <c r="O28" s="367" t="s">
        <v>579</v>
      </c>
    </row>
    <row r="29" spans="1:15" x14ac:dyDescent="0.2">
      <c r="A29" s="405">
        <f t="shared" si="6"/>
        <v>25</v>
      </c>
      <c r="B29" s="353" t="s">
        <v>436</v>
      </c>
      <c r="C29" s="360">
        <v>6300</v>
      </c>
      <c r="D29" s="355">
        <f>DATE(99,3,17)</f>
        <v>36236</v>
      </c>
      <c r="E29" s="366">
        <v>315</v>
      </c>
      <c r="F29" s="366"/>
      <c r="G29" s="356">
        <f t="shared" si="3"/>
        <v>315</v>
      </c>
      <c r="H29" s="357">
        <f t="shared" si="7"/>
        <v>315</v>
      </c>
      <c r="I29" s="356">
        <f t="shared" si="0"/>
        <v>0</v>
      </c>
      <c r="J29" s="356">
        <v>3</v>
      </c>
      <c r="K29" s="356">
        <f t="shared" si="1"/>
        <v>22.054794520547944</v>
      </c>
      <c r="L29" s="356">
        <f t="shared" si="2"/>
        <v>-19.054794520547944</v>
      </c>
      <c r="M29" s="359">
        <f t="shared" si="4"/>
        <v>0</v>
      </c>
      <c r="N29" s="356">
        <f t="shared" si="5"/>
        <v>0</v>
      </c>
      <c r="O29" s="367" t="s">
        <v>579</v>
      </c>
    </row>
    <row r="30" spans="1:15" x14ac:dyDescent="0.2">
      <c r="A30" s="405">
        <f t="shared" si="6"/>
        <v>26</v>
      </c>
      <c r="B30" s="353" t="s">
        <v>437</v>
      </c>
      <c r="C30" s="360">
        <v>23000</v>
      </c>
      <c r="D30" s="355">
        <v>36664</v>
      </c>
      <c r="E30" s="366">
        <v>1150</v>
      </c>
      <c r="F30" s="366"/>
      <c r="G30" s="356">
        <f t="shared" si="3"/>
        <v>1150</v>
      </c>
      <c r="H30" s="357">
        <f t="shared" si="7"/>
        <v>1150</v>
      </c>
      <c r="I30" s="356">
        <f t="shared" si="0"/>
        <v>0</v>
      </c>
      <c r="J30" s="356">
        <v>3</v>
      </c>
      <c r="K30" s="356">
        <f t="shared" si="1"/>
        <v>20.882191780821916</v>
      </c>
      <c r="L30" s="356">
        <f t="shared" si="2"/>
        <v>-17.882191780821916</v>
      </c>
      <c r="M30" s="359">
        <f t="shared" si="4"/>
        <v>0</v>
      </c>
      <c r="N30" s="356">
        <f t="shared" si="5"/>
        <v>0</v>
      </c>
      <c r="O30" s="367" t="s">
        <v>579</v>
      </c>
    </row>
    <row r="31" spans="1:15" x14ac:dyDescent="0.2">
      <c r="A31" s="405">
        <f t="shared" si="6"/>
        <v>27</v>
      </c>
      <c r="B31" s="353" t="s">
        <v>438</v>
      </c>
      <c r="C31" s="354">
        <v>20000</v>
      </c>
      <c r="D31" s="355">
        <v>37744</v>
      </c>
      <c r="E31" s="366">
        <v>1000</v>
      </c>
      <c r="F31" s="366"/>
      <c r="G31" s="356">
        <f t="shared" si="3"/>
        <v>1000</v>
      </c>
      <c r="H31" s="357">
        <f t="shared" si="7"/>
        <v>1000</v>
      </c>
      <c r="I31" s="356">
        <f t="shared" si="0"/>
        <v>0</v>
      </c>
      <c r="J31" s="356">
        <v>3</v>
      </c>
      <c r="K31" s="356">
        <f t="shared" si="1"/>
        <v>17.923287671232877</v>
      </c>
      <c r="L31" s="356">
        <f t="shared" si="2"/>
        <v>-14.923287671232877</v>
      </c>
      <c r="M31" s="359">
        <f t="shared" si="4"/>
        <v>0</v>
      </c>
      <c r="N31" s="356">
        <f t="shared" si="5"/>
        <v>0</v>
      </c>
      <c r="O31" s="367" t="s">
        <v>579</v>
      </c>
    </row>
    <row r="32" spans="1:15" x14ac:dyDescent="0.2">
      <c r="A32" s="405">
        <f t="shared" si="6"/>
        <v>28</v>
      </c>
      <c r="B32" s="132" t="s">
        <v>439</v>
      </c>
      <c r="C32" s="82">
        <v>12100</v>
      </c>
      <c r="D32" s="131">
        <v>38693</v>
      </c>
      <c r="E32" s="281">
        <v>605</v>
      </c>
      <c r="F32" s="281"/>
      <c r="G32" s="37">
        <f t="shared" si="3"/>
        <v>605</v>
      </c>
      <c r="H32" s="52">
        <f t="shared" si="7"/>
        <v>605</v>
      </c>
      <c r="I32" s="37">
        <f t="shared" si="0"/>
        <v>0</v>
      </c>
      <c r="J32" s="37">
        <v>3</v>
      </c>
      <c r="K32" s="37">
        <f t="shared" si="1"/>
        <v>15.323287671232876</v>
      </c>
      <c r="L32" s="37">
        <f t="shared" si="2"/>
        <v>-12.323287671232876</v>
      </c>
      <c r="M32" s="84">
        <f t="shared" si="4"/>
        <v>0</v>
      </c>
      <c r="N32" s="37">
        <f t="shared" si="5"/>
        <v>0</v>
      </c>
    </row>
    <row r="33" spans="1:15" x14ac:dyDescent="0.2">
      <c r="A33" s="405">
        <f t="shared" si="6"/>
        <v>29</v>
      </c>
      <c r="B33" s="368" t="s">
        <v>440</v>
      </c>
      <c r="C33" s="354">
        <v>4200</v>
      </c>
      <c r="D33" s="355">
        <v>38563</v>
      </c>
      <c r="E33" s="366">
        <v>210</v>
      </c>
      <c r="F33" s="366"/>
      <c r="G33" s="356">
        <f t="shared" si="3"/>
        <v>210</v>
      </c>
      <c r="H33" s="357">
        <f t="shared" si="7"/>
        <v>210</v>
      </c>
      <c r="I33" s="356">
        <f t="shared" si="0"/>
        <v>0</v>
      </c>
      <c r="J33" s="356">
        <v>3</v>
      </c>
      <c r="K33" s="356">
        <f t="shared" si="1"/>
        <v>15.67945205479452</v>
      </c>
      <c r="L33" s="356">
        <f t="shared" si="2"/>
        <v>-12.67945205479452</v>
      </c>
      <c r="M33" s="359">
        <f t="shared" si="4"/>
        <v>0</v>
      </c>
      <c r="N33" s="356">
        <f t="shared" si="5"/>
        <v>0</v>
      </c>
      <c r="O33" s="367" t="s">
        <v>579</v>
      </c>
    </row>
    <row r="34" spans="1:15" x14ac:dyDescent="0.2">
      <c r="A34" s="405">
        <f t="shared" si="6"/>
        <v>30</v>
      </c>
      <c r="B34" s="353" t="s">
        <v>441</v>
      </c>
      <c r="C34" s="354">
        <v>2500</v>
      </c>
      <c r="D34" s="355">
        <v>38450</v>
      </c>
      <c r="E34" s="366">
        <v>125</v>
      </c>
      <c r="F34" s="366"/>
      <c r="G34" s="356">
        <f t="shared" si="3"/>
        <v>125</v>
      </c>
      <c r="H34" s="357">
        <f t="shared" si="7"/>
        <v>125</v>
      </c>
      <c r="I34" s="356">
        <f t="shared" si="0"/>
        <v>0</v>
      </c>
      <c r="J34" s="356">
        <v>3</v>
      </c>
      <c r="K34" s="356">
        <f t="shared" si="1"/>
        <v>15.989041095890411</v>
      </c>
      <c r="L34" s="356">
        <f t="shared" si="2"/>
        <v>-12.989041095890411</v>
      </c>
      <c r="M34" s="359">
        <f t="shared" si="4"/>
        <v>0</v>
      </c>
      <c r="N34" s="356">
        <f t="shared" si="5"/>
        <v>0</v>
      </c>
      <c r="O34" s="367" t="s">
        <v>579</v>
      </c>
    </row>
    <row r="35" spans="1:15" x14ac:dyDescent="0.2">
      <c r="A35" s="405">
        <f t="shared" si="6"/>
        <v>31</v>
      </c>
      <c r="B35" s="353" t="s">
        <v>442</v>
      </c>
      <c r="C35" s="354">
        <v>19500</v>
      </c>
      <c r="D35" s="355">
        <v>39074</v>
      </c>
      <c r="E35" s="366">
        <v>975</v>
      </c>
      <c r="F35" s="366"/>
      <c r="G35" s="356">
        <f t="shared" si="3"/>
        <v>975</v>
      </c>
      <c r="H35" s="357">
        <f t="shared" si="7"/>
        <v>975</v>
      </c>
      <c r="I35" s="356">
        <f t="shared" si="0"/>
        <v>0</v>
      </c>
      <c r="J35" s="356">
        <v>3</v>
      </c>
      <c r="K35" s="356">
        <f t="shared" si="1"/>
        <v>14.27945205479452</v>
      </c>
      <c r="L35" s="356">
        <f t="shared" si="2"/>
        <v>-11.27945205479452</v>
      </c>
      <c r="M35" s="359">
        <f t="shared" si="4"/>
        <v>0</v>
      </c>
      <c r="N35" s="356">
        <f t="shared" si="5"/>
        <v>0</v>
      </c>
      <c r="O35" s="367" t="s">
        <v>579</v>
      </c>
    </row>
    <row r="36" spans="1:15" x14ac:dyDescent="0.2">
      <c r="A36" s="405">
        <f t="shared" si="6"/>
        <v>32</v>
      </c>
      <c r="B36" s="79" t="s">
        <v>443</v>
      </c>
      <c r="C36" s="82">
        <v>7350</v>
      </c>
      <c r="D36" s="131">
        <v>39238</v>
      </c>
      <c r="E36" s="281">
        <v>368</v>
      </c>
      <c r="F36" s="281"/>
      <c r="G36" s="37">
        <f t="shared" si="3"/>
        <v>368</v>
      </c>
      <c r="H36" s="52">
        <f t="shared" si="7"/>
        <v>367.5</v>
      </c>
      <c r="I36" s="37">
        <f t="shared" si="0"/>
        <v>0.5</v>
      </c>
      <c r="J36" s="37">
        <v>3</v>
      </c>
      <c r="K36" s="37">
        <f t="shared" si="1"/>
        <v>13.830136986301369</v>
      </c>
      <c r="L36" s="37">
        <f t="shared" si="2"/>
        <v>-10.830136986301369</v>
      </c>
      <c r="M36" s="84">
        <f t="shared" si="4"/>
        <v>0</v>
      </c>
      <c r="N36" s="37">
        <f t="shared" si="5"/>
        <v>0</v>
      </c>
    </row>
    <row r="37" spans="1:15" x14ac:dyDescent="0.2">
      <c r="A37" s="405">
        <f t="shared" si="6"/>
        <v>33</v>
      </c>
      <c r="B37" s="79" t="s">
        <v>444</v>
      </c>
      <c r="C37" s="82">
        <v>5600</v>
      </c>
      <c r="D37" s="131">
        <v>39573</v>
      </c>
      <c r="E37" s="281">
        <v>280</v>
      </c>
      <c r="F37" s="281"/>
      <c r="G37" s="37">
        <f t="shared" si="3"/>
        <v>280</v>
      </c>
      <c r="H37" s="52">
        <f t="shared" si="7"/>
        <v>280</v>
      </c>
      <c r="I37" s="37">
        <f t="shared" si="0"/>
        <v>0</v>
      </c>
      <c r="J37" s="37">
        <v>3</v>
      </c>
      <c r="K37" s="37">
        <f t="shared" si="1"/>
        <v>12.912328767123288</v>
      </c>
      <c r="L37" s="37">
        <f t="shared" si="2"/>
        <v>-9.912328767123288</v>
      </c>
      <c r="M37" s="84">
        <f t="shared" si="4"/>
        <v>0</v>
      </c>
      <c r="N37" s="37">
        <f t="shared" si="5"/>
        <v>0</v>
      </c>
    </row>
    <row r="38" spans="1:15" x14ac:dyDescent="0.2">
      <c r="A38" s="405">
        <f t="shared" si="6"/>
        <v>34</v>
      </c>
      <c r="B38" s="361" t="s">
        <v>445</v>
      </c>
      <c r="C38" s="354">
        <v>7600</v>
      </c>
      <c r="D38" s="355">
        <v>39659</v>
      </c>
      <c r="E38" s="366">
        <v>380</v>
      </c>
      <c r="F38" s="366"/>
      <c r="G38" s="356">
        <f t="shared" si="3"/>
        <v>380</v>
      </c>
      <c r="H38" s="357">
        <f t="shared" si="7"/>
        <v>380</v>
      </c>
      <c r="I38" s="356">
        <f t="shared" si="0"/>
        <v>0</v>
      </c>
      <c r="J38" s="356">
        <v>3</v>
      </c>
      <c r="K38" s="356">
        <f t="shared" si="1"/>
        <v>12.676712328767124</v>
      </c>
      <c r="L38" s="356">
        <f t="shared" si="2"/>
        <v>-9.6767123287671239</v>
      </c>
      <c r="M38" s="359">
        <f t="shared" si="4"/>
        <v>0</v>
      </c>
      <c r="N38" s="356">
        <f t="shared" si="5"/>
        <v>0</v>
      </c>
      <c r="O38" s="367" t="s">
        <v>579</v>
      </c>
    </row>
    <row r="39" spans="1:15" x14ac:dyDescent="0.2">
      <c r="A39" s="405">
        <f t="shared" si="6"/>
        <v>35</v>
      </c>
      <c r="B39" s="361" t="s">
        <v>446</v>
      </c>
      <c r="C39" s="354">
        <v>2230</v>
      </c>
      <c r="D39" s="355">
        <v>39863</v>
      </c>
      <c r="E39" s="366">
        <v>112</v>
      </c>
      <c r="F39" s="366"/>
      <c r="G39" s="356">
        <f t="shared" si="3"/>
        <v>112</v>
      </c>
      <c r="H39" s="357">
        <f t="shared" si="7"/>
        <v>111.5</v>
      </c>
      <c r="I39" s="356">
        <f t="shared" si="0"/>
        <v>0.5</v>
      </c>
      <c r="J39" s="356">
        <v>3</v>
      </c>
      <c r="K39" s="356">
        <f t="shared" si="1"/>
        <v>12.117808219178082</v>
      </c>
      <c r="L39" s="356">
        <f t="shared" si="2"/>
        <v>-9.117808219178082</v>
      </c>
      <c r="M39" s="359">
        <f t="shared" si="4"/>
        <v>0</v>
      </c>
      <c r="N39" s="356">
        <f t="shared" si="5"/>
        <v>0</v>
      </c>
      <c r="O39" s="367" t="s">
        <v>579</v>
      </c>
    </row>
    <row r="40" spans="1:15" x14ac:dyDescent="0.2">
      <c r="A40" s="405">
        <f t="shared" si="6"/>
        <v>36</v>
      </c>
      <c r="B40" s="79" t="s">
        <v>447</v>
      </c>
      <c r="C40" s="82">
        <v>48493</v>
      </c>
      <c r="D40" s="131">
        <v>40102</v>
      </c>
      <c r="E40" s="281">
        <v>2425</v>
      </c>
      <c r="F40" s="281"/>
      <c r="G40" s="37">
        <f t="shared" si="3"/>
        <v>2425</v>
      </c>
      <c r="H40" s="52">
        <f t="shared" si="7"/>
        <v>2424.65</v>
      </c>
      <c r="I40" s="37">
        <f t="shared" si="0"/>
        <v>0.34999999999990905</v>
      </c>
      <c r="J40" s="37">
        <v>3</v>
      </c>
      <c r="K40" s="37">
        <f t="shared" si="1"/>
        <v>11.463013698630137</v>
      </c>
      <c r="L40" s="37">
        <f t="shared" si="2"/>
        <v>-8.463013698630137</v>
      </c>
      <c r="M40" s="84">
        <f t="shared" si="4"/>
        <v>0</v>
      </c>
      <c r="N40" s="37">
        <f t="shared" si="5"/>
        <v>0</v>
      </c>
    </row>
    <row r="41" spans="1:15" x14ac:dyDescent="0.2">
      <c r="A41" s="405">
        <f t="shared" si="6"/>
        <v>37</v>
      </c>
      <c r="B41" s="79" t="s">
        <v>448</v>
      </c>
      <c r="C41" s="82">
        <v>37856</v>
      </c>
      <c r="D41" s="131">
        <v>40031</v>
      </c>
      <c r="E41" s="281">
        <v>1893</v>
      </c>
      <c r="F41" s="281"/>
      <c r="G41" s="37">
        <f t="shared" si="3"/>
        <v>1893</v>
      </c>
      <c r="H41" s="52">
        <f t="shared" si="7"/>
        <v>1892.8000000000002</v>
      </c>
      <c r="I41" s="37">
        <f t="shared" si="0"/>
        <v>0.1999999999998181</v>
      </c>
      <c r="J41" s="37">
        <v>3</v>
      </c>
      <c r="K41" s="37">
        <f t="shared" si="1"/>
        <v>11.657534246575343</v>
      </c>
      <c r="L41" s="37">
        <f t="shared" si="2"/>
        <v>-8.6575342465753433</v>
      </c>
      <c r="M41" s="84">
        <f t="shared" si="4"/>
        <v>0</v>
      </c>
      <c r="N41" s="37">
        <f t="shared" si="5"/>
        <v>0</v>
      </c>
    </row>
    <row r="42" spans="1:15" x14ac:dyDescent="0.2">
      <c r="A42" s="405">
        <f t="shared" si="6"/>
        <v>38</v>
      </c>
      <c r="B42" s="79" t="s">
        <v>449</v>
      </c>
      <c r="C42" s="82">
        <v>40458</v>
      </c>
      <c r="D42" s="131">
        <v>40242</v>
      </c>
      <c r="E42" s="281">
        <v>2023</v>
      </c>
      <c r="F42" s="281"/>
      <c r="G42" s="37">
        <f t="shared" si="3"/>
        <v>2023</v>
      </c>
      <c r="H42" s="52">
        <f t="shared" si="7"/>
        <v>2022.9</v>
      </c>
      <c r="I42" s="37">
        <f t="shared" si="0"/>
        <v>9.9999999999909051E-2</v>
      </c>
      <c r="J42" s="37">
        <v>3</v>
      </c>
      <c r="K42" s="37">
        <f t="shared" si="1"/>
        <v>11.079452054794521</v>
      </c>
      <c r="L42" s="37">
        <f t="shared" si="2"/>
        <v>-8.0794520547945208</v>
      </c>
      <c r="M42" s="84">
        <f t="shared" si="4"/>
        <v>0</v>
      </c>
      <c r="N42" s="37">
        <f t="shared" si="5"/>
        <v>0</v>
      </c>
    </row>
    <row r="43" spans="1:15" x14ac:dyDescent="0.2">
      <c r="A43" s="405">
        <f t="shared" si="6"/>
        <v>39</v>
      </c>
      <c r="B43" s="79" t="s">
        <v>450</v>
      </c>
      <c r="C43" s="82">
        <v>14625</v>
      </c>
      <c r="D43" s="131">
        <v>40246</v>
      </c>
      <c r="E43" s="281">
        <v>731</v>
      </c>
      <c r="F43" s="281"/>
      <c r="G43" s="37">
        <f t="shared" si="3"/>
        <v>731</v>
      </c>
      <c r="H43" s="52">
        <f t="shared" si="7"/>
        <v>731.25</v>
      </c>
      <c r="I43" s="37">
        <f t="shared" si="0"/>
        <v>-0.25</v>
      </c>
      <c r="J43" s="37">
        <v>3</v>
      </c>
      <c r="K43" s="37">
        <f t="shared" si="1"/>
        <v>11.068493150684931</v>
      </c>
      <c r="L43" s="37">
        <f t="shared" si="2"/>
        <v>-8.0684931506849313</v>
      </c>
      <c r="M43" s="84">
        <f t="shared" si="4"/>
        <v>0</v>
      </c>
      <c r="N43" s="37">
        <f t="shared" si="5"/>
        <v>0</v>
      </c>
    </row>
    <row r="44" spans="1:15" x14ac:dyDescent="0.2">
      <c r="A44" s="405">
        <f t="shared" si="6"/>
        <v>40</v>
      </c>
      <c r="B44" s="353" t="s">
        <v>451</v>
      </c>
      <c r="C44" s="354">
        <v>11700</v>
      </c>
      <c r="D44" s="355">
        <v>40099</v>
      </c>
      <c r="E44" s="366">
        <v>585</v>
      </c>
      <c r="F44" s="366"/>
      <c r="G44" s="356">
        <f t="shared" si="3"/>
        <v>585</v>
      </c>
      <c r="H44" s="357">
        <f t="shared" si="7"/>
        <v>585</v>
      </c>
      <c r="I44" s="356">
        <f t="shared" si="0"/>
        <v>0</v>
      </c>
      <c r="J44" s="356">
        <v>3</v>
      </c>
      <c r="K44" s="356">
        <f t="shared" si="1"/>
        <v>11.471232876712328</v>
      </c>
      <c r="L44" s="356">
        <f t="shared" si="2"/>
        <v>-8.4712328767123282</v>
      </c>
      <c r="M44" s="359">
        <f t="shared" si="4"/>
        <v>0</v>
      </c>
      <c r="N44" s="356">
        <f t="shared" si="5"/>
        <v>0</v>
      </c>
      <c r="O44" s="367" t="s">
        <v>579</v>
      </c>
    </row>
    <row r="45" spans="1:15" x14ac:dyDescent="0.2">
      <c r="A45" s="405">
        <f t="shared" si="6"/>
        <v>41</v>
      </c>
      <c r="B45" s="353" t="s">
        <v>452</v>
      </c>
      <c r="C45" s="354">
        <v>6199</v>
      </c>
      <c r="D45" s="355">
        <v>40335</v>
      </c>
      <c r="E45" s="366">
        <v>310</v>
      </c>
      <c r="F45" s="366"/>
      <c r="G45" s="356">
        <f t="shared" si="3"/>
        <v>310</v>
      </c>
      <c r="H45" s="357">
        <f t="shared" si="7"/>
        <v>309.95000000000005</v>
      </c>
      <c r="I45" s="356">
        <f t="shared" si="0"/>
        <v>4.9999999999954525E-2</v>
      </c>
      <c r="J45" s="356">
        <v>3</v>
      </c>
      <c r="K45" s="356">
        <f t="shared" si="1"/>
        <v>10.824657534246576</v>
      </c>
      <c r="L45" s="356">
        <f t="shared" si="2"/>
        <v>-7.8246575342465761</v>
      </c>
      <c r="M45" s="359">
        <f t="shared" si="4"/>
        <v>0</v>
      </c>
      <c r="N45" s="356">
        <f t="shared" si="5"/>
        <v>0</v>
      </c>
      <c r="O45" s="367" t="s">
        <v>579</v>
      </c>
    </row>
    <row r="46" spans="1:15" x14ac:dyDescent="0.2">
      <c r="A46" s="405">
        <f t="shared" si="6"/>
        <v>42</v>
      </c>
      <c r="B46" s="79" t="s">
        <v>453</v>
      </c>
      <c r="C46" s="82">
        <v>50000</v>
      </c>
      <c r="D46" s="131">
        <v>40578</v>
      </c>
      <c r="E46" s="281">
        <v>2499</v>
      </c>
      <c r="F46" s="281"/>
      <c r="G46" s="37">
        <f t="shared" si="3"/>
        <v>2499</v>
      </c>
      <c r="H46" s="52">
        <f t="shared" si="7"/>
        <v>2500</v>
      </c>
      <c r="I46" s="37">
        <f t="shared" si="0"/>
        <v>-1</v>
      </c>
      <c r="J46" s="37">
        <v>3</v>
      </c>
      <c r="K46" s="37">
        <f t="shared" si="1"/>
        <v>10.158904109589042</v>
      </c>
      <c r="L46" s="37">
        <f t="shared" si="2"/>
        <v>-7.1589041095890416</v>
      </c>
      <c r="M46" s="84">
        <f t="shared" si="4"/>
        <v>0</v>
      </c>
      <c r="N46" s="37">
        <f t="shared" si="5"/>
        <v>0</v>
      </c>
    </row>
    <row r="47" spans="1:15" x14ac:dyDescent="0.2">
      <c r="A47" s="405">
        <f t="shared" si="6"/>
        <v>43</v>
      </c>
      <c r="B47" s="79" t="s">
        <v>454</v>
      </c>
      <c r="C47" s="200">
        <v>21397</v>
      </c>
      <c r="D47" s="131">
        <v>41543</v>
      </c>
      <c r="E47" s="281">
        <v>1070</v>
      </c>
      <c r="F47" s="281"/>
      <c r="G47" s="37">
        <f t="shared" si="3"/>
        <v>1070</v>
      </c>
      <c r="H47" s="52">
        <f t="shared" si="7"/>
        <v>1069.8500000000001</v>
      </c>
      <c r="I47" s="37">
        <f t="shared" si="0"/>
        <v>0.14999999999986358</v>
      </c>
      <c r="J47" s="37">
        <v>3</v>
      </c>
      <c r="K47" s="37">
        <f t="shared" si="1"/>
        <v>7.515068493150685</v>
      </c>
      <c r="L47" s="37">
        <f t="shared" si="2"/>
        <v>-4.515068493150685</v>
      </c>
      <c r="M47" s="84">
        <f t="shared" si="4"/>
        <v>0</v>
      </c>
      <c r="N47" s="37">
        <f t="shared" si="5"/>
        <v>0</v>
      </c>
    </row>
    <row r="48" spans="1:15" x14ac:dyDescent="0.2">
      <c r="A48" s="405">
        <f t="shared" si="6"/>
        <v>44</v>
      </c>
      <c r="B48" s="79" t="s">
        <v>455</v>
      </c>
      <c r="C48" s="200">
        <f>6026+874</f>
        <v>6900</v>
      </c>
      <c r="D48" s="131">
        <v>41611</v>
      </c>
      <c r="E48" s="281">
        <v>345</v>
      </c>
      <c r="F48" s="281"/>
      <c r="G48" s="37">
        <f t="shared" si="3"/>
        <v>345</v>
      </c>
      <c r="H48" s="52">
        <f t="shared" si="7"/>
        <v>345</v>
      </c>
      <c r="I48" s="37">
        <f t="shared" si="0"/>
        <v>0</v>
      </c>
      <c r="J48" s="37">
        <v>3</v>
      </c>
      <c r="K48" s="37">
        <f t="shared" si="1"/>
        <v>7.3287671232876717</v>
      </c>
      <c r="L48" s="37">
        <f t="shared" si="2"/>
        <v>-4.3287671232876717</v>
      </c>
      <c r="M48" s="84">
        <f t="shared" si="4"/>
        <v>0</v>
      </c>
      <c r="N48" s="37">
        <f t="shared" si="5"/>
        <v>0</v>
      </c>
    </row>
    <row r="49" spans="1:15" x14ac:dyDescent="0.2">
      <c r="A49" s="405">
        <f t="shared" si="6"/>
        <v>45</v>
      </c>
      <c r="B49" s="79" t="s">
        <v>456</v>
      </c>
      <c r="C49" s="200">
        <f>35558+3103</f>
        <v>38661</v>
      </c>
      <c r="D49" s="131">
        <v>41484</v>
      </c>
      <c r="E49" s="281">
        <v>1933</v>
      </c>
      <c r="F49" s="281"/>
      <c r="G49" s="37">
        <f t="shared" si="3"/>
        <v>1933</v>
      </c>
      <c r="H49" s="52">
        <f t="shared" si="7"/>
        <v>1933.0500000000002</v>
      </c>
      <c r="I49" s="37">
        <f t="shared" si="0"/>
        <v>-5.0000000000181899E-2</v>
      </c>
      <c r="J49" s="37">
        <v>3</v>
      </c>
      <c r="K49" s="37">
        <f t="shared" si="1"/>
        <v>7.6767123287671231</v>
      </c>
      <c r="L49" s="37">
        <f t="shared" si="2"/>
        <v>-4.6767123287671231</v>
      </c>
      <c r="M49" s="84">
        <f t="shared" si="4"/>
        <v>0</v>
      </c>
      <c r="N49" s="37">
        <f t="shared" si="5"/>
        <v>0</v>
      </c>
    </row>
    <row r="50" spans="1:15" x14ac:dyDescent="0.2">
      <c r="A50" s="405">
        <f t="shared" si="6"/>
        <v>46</v>
      </c>
      <c r="B50" s="181" t="s">
        <v>457</v>
      </c>
      <c r="C50" s="37">
        <v>106007</v>
      </c>
      <c r="D50" s="131">
        <v>41730</v>
      </c>
      <c r="E50" s="281">
        <v>5300</v>
      </c>
      <c r="F50" s="281"/>
      <c r="G50" s="37">
        <f t="shared" si="3"/>
        <v>5300</v>
      </c>
      <c r="H50" s="52">
        <f t="shared" si="7"/>
        <v>5300.35</v>
      </c>
      <c r="I50" s="37">
        <f t="shared" si="0"/>
        <v>-0.3500000000003638</v>
      </c>
      <c r="J50" s="37">
        <v>3</v>
      </c>
      <c r="K50" s="37">
        <f t="shared" si="1"/>
        <v>7.0027397260273974</v>
      </c>
      <c r="L50" s="37">
        <f t="shared" si="2"/>
        <v>-4.0027397260273974</v>
      </c>
      <c r="M50" s="84">
        <f t="shared" si="4"/>
        <v>0</v>
      </c>
      <c r="N50" s="37">
        <f t="shared" si="5"/>
        <v>0</v>
      </c>
    </row>
    <row r="51" spans="1:15" x14ac:dyDescent="0.2">
      <c r="A51" s="70"/>
      <c r="B51" s="268" t="s">
        <v>46</v>
      </c>
      <c r="C51" s="245">
        <f>ROUND(SUM(C5:C50),0)</f>
        <v>798094</v>
      </c>
      <c r="D51" s="245"/>
      <c r="E51" s="245">
        <f>SUM(E5:E50)</f>
        <v>39563</v>
      </c>
      <c r="F51" s="245"/>
      <c r="G51" s="245">
        <f>SUM(G5:G50)</f>
        <v>39563</v>
      </c>
      <c r="H51" s="245">
        <f>SUM(H5:H50)</f>
        <v>39563.450000000004</v>
      </c>
      <c r="I51" s="245">
        <f>SUM(I5:I50)</f>
        <v>-0.45000000000126761</v>
      </c>
      <c r="J51" s="245"/>
      <c r="K51" s="245"/>
      <c r="L51" s="245"/>
      <c r="M51" s="245"/>
      <c r="N51" s="245">
        <f>SUM(N5:N50)</f>
        <v>0</v>
      </c>
    </row>
    <row r="54" spans="1:15" s="75" customFormat="1" x14ac:dyDescent="0.2">
      <c r="A54" s="75" t="s">
        <v>605</v>
      </c>
      <c r="B54" s="75" t="s">
        <v>458</v>
      </c>
      <c r="C54" s="75" t="s">
        <v>12</v>
      </c>
    </row>
    <row r="55" spans="1:15" x14ac:dyDescent="0.2">
      <c r="A55" s="76">
        <v>1</v>
      </c>
      <c r="B55" s="353" t="s">
        <v>459</v>
      </c>
      <c r="C55" s="354">
        <v>35911</v>
      </c>
      <c r="D55" s="355">
        <f>DATE(91,12,7)</f>
        <v>33579</v>
      </c>
      <c r="E55" s="369">
        <v>1796</v>
      </c>
      <c r="F55" s="369"/>
      <c r="G55" s="356">
        <f t="shared" ref="G55:G115" si="8">E55+F55-N55</f>
        <v>1796</v>
      </c>
      <c r="H55" s="357">
        <f t="shared" ref="H55:H115" si="9">(C55+F55)*5%</f>
        <v>1795.5500000000002</v>
      </c>
      <c r="I55" s="356">
        <f>E55+F55-H55</f>
        <v>0.4499999999998181</v>
      </c>
      <c r="J55" s="356">
        <v>3</v>
      </c>
      <c r="K55" s="356">
        <f t="shared" ref="K55:K115" si="10">($K$1-D55)/365</f>
        <v>29.334246575342465</v>
      </c>
      <c r="L55" s="356">
        <f t="shared" ref="L55:L115" si="11">J55-K55</f>
        <v>-26.334246575342465</v>
      </c>
      <c r="M55" s="359">
        <f>IF(L55&gt;0,(1-(H55/(E55+F55))^(1/J55)),0)</f>
        <v>0</v>
      </c>
      <c r="N55" s="356">
        <f t="shared" ref="N55:N115" si="12">(E55+F55)*M55</f>
        <v>0</v>
      </c>
      <c r="O55" s="367" t="s">
        <v>579</v>
      </c>
    </row>
    <row r="56" spans="1:15" x14ac:dyDescent="0.2">
      <c r="A56" s="76">
        <f>+A55+1</f>
        <v>2</v>
      </c>
      <c r="B56" s="353" t="s">
        <v>460</v>
      </c>
      <c r="C56" s="354">
        <v>45918</v>
      </c>
      <c r="D56" s="355">
        <f>DATE(91,6,21)</f>
        <v>33410</v>
      </c>
      <c r="E56" s="369">
        <v>2296</v>
      </c>
      <c r="F56" s="369"/>
      <c r="G56" s="356">
        <f t="shared" si="8"/>
        <v>2296</v>
      </c>
      <c r="H56" s="357">
        <f t="shared" si="9"/>
        <v>2295.9</v>
      </c>
      <c r="I56" s="356">
        <f t="shared" ref="I56:I116" si="13">E56+F56-H56</f>
        <v>9.9999999999909051E-2</v>
      </c>
      <c r="J56" s="356">
        <v>3</v>
      </c>
      <c r="K56" s="356">
        <f t="shared" si="10"/>
        <v>29.797260273972604</v>
      </c>
      <c r="L56" s="356">
        <f t="shared" si="11"/>
        <v>-26.797260273972604</v>
      </c>
      <c r="M56" s="359">
        <f t="shared" ref="M56:M116" si="14">IF(L56&gt;0,(1-(H56/(E56+F56))^(1/J56)),0)</f>
        <v>0</v>
      </c>
      <c r="N56" s="356">
        <f t="shared" si="12"/>
        <v>0</v>
      </c>
      <c r="O56" s="367" t="s">
        <v>579</v>
      </c>
    </row>
    <row r="57" spans="1:15" x14ac:dyDescent="0.2">
      <c r="A57" s="76">
        <v>2</v>
      </c>
      <c r="B57" s="353" t="s">
        <v>461</v>
      </c>
      <c r="C57" s="354">
        <v>19055</v>
      </c>
      <c r="D57" s="355">
        <f>DATE(91,6,21)</f>
        <v>33410</v>
      </c>
      <c r="E57" s="369">
        <v>953</v>
      </c>
      <c r="F57" s="369"/>
      <c r="G57" s="356">
        <f t="shared" si="8"/>
        <v>953</v>
      </c>
      <c r="H57" s="357">
        <f t="shared" si="9"/>
        <v>952.75</v>
      </c>
      <c r="I57" s="356">
        <f t="shared" si="13"/>
        <v>0.25</v>
      </c>
      <c r="J57" s="356">
        <v>3</v>
      </c>
      <c r="K57" s="356">
        <f t="shared" si="10"/>
        <v>29.797260273972604</v>
      </c>
      <c r="L57" s="356">
        <f t="shared" si="11"/>
        <v>-26.797260273972604</v>
      </c>
      <c r="M57" s="359">
        <f t="shared" si="14"/>
        <v>0</v>
      </c>
      <c r="N57" s="356">
        <f t="shared" si="12"/>
        <v>0</v>
      </c>
      <c r="O57" s="367" t="s">
        <v>579</v>
      </c>
    </row>
    <row r="58" spans="1:15" x14ac:dyDescent="0.2">
      <c r="A58" s="76">
        <f t="shared" ref="A58" si="15">+A57+1</f>
        <v>3</v>
      </c>
      <c r="B58" s="353" t="s">
        <v>462</v>
      </c>
      <c r="C58" s="354">
        <v>13776</v>
      </c>
      <c r="D58" s="355">
        <f>DATE(93,5,11)</f>
        <v>34100</v>
      </c>
      <c r="E58" s="369">
        <v>689</v>
      </c>
      <c r="F58" s="369"/>
      <c r="G58" s="356">
        <f t="shared" si="8"/>
        <v>689</v>
      </c>
      <c r="H58" s="357">
        <f t="shared" si="9"/>
        <v>688.80000000000007</v>
      </c>
      <c r="I58" s="356">
        <f t="shared" si="13"/>
        <v>0.19999999999993179</v>
      </c>
      <c r="J58" s="356">
        <v>3</v>
      </c>
      <c r="K58" s="356">
        <f t="shared" si="10"/>
        <v>27.906849315068492</v>
      </c>
      <c r="L58" s="356">
        <f t="shared" si="11"/>
        <v>-24.906849315068492</v>
      </c>
      <c r="M58" s="359">
        <f t="shared" si="14"/>
        <v>0</v>
      </c>
      <c r="N58" s="356">
        <f t="shared" si="12"/>
        <v>0</v>
      </c>
      <c r="O58" s="367" t="s">
        <v>579</v>
      </c>
    </row>
    <row r="59" spans="1:15" x14ac:dyDescent="0.2">
      <c r="A59" s="76">
        <v>3</v>
      </c>
      <c r="B59" s="79" t="s">
        <v>463</v>
      </c>
      <c r="C59" s="82">
        <v>4095</v>
      </c>
      <c r="D59" s="131">
        <f>DATE(93,12,6)</f>
        <v>34309</v>
      </c>
      <c r="E59" s="282">
        <v>205</v>
      </c>
      <c r="F59" s="282"/>
      <c r="G59" s="37">
        <f t="shared" si="8"/>
        <v>205</v>
      </c>
      <c r="H59" s="52">
        <f t="shared" si="9"/>
        <v>204.75</v>
      </c>
      <c r="I59" s="37">
        <f t="shared" si="13"/>
        <v>0.25</v>
      </c>
      <c r="J59" s="37">
        <v>3</v>
      </c>
      <c r="K59" s="37">
        <f t="shared" si="10"/>
        <v>27.334246575342465</v>
      </c>
      <c r="L59" s="37">
        <f t="shared" si="11"/>
        <v>-24.334246575342465</v>
      </c>
      <c r="M59" s="84">
        <f t="shared" si="14"/>
        <v>0</v>
      </c>
      <c r="N59" s="37">
        <f t="shared" si="12"/>
        <v>0</v>
      </c>
    </row>
    <row r="60" spans="1:15" x14ac:dyDescent="0.2">
      <c r="A60" s="76">
        <f t="shared" ref="A60" si="16">+A59+1</f>
        <v>4</v>
      </c>
      <c r="B60" s="353" t="s">
        <v>464</v>
      </c>
      <c r="C60" s="354">
        <v>6101</v>
      </c>
      <c r="D60" s="355">
        <f>DATE(94,1,31)</f>
        <v>34365</v>
      </c>
      <c r="E60" s="369">
        <v>305</v>
      </c>
      <c r="F60" s="369"/>
      <c r="G60" s="356">
        <f t="shared" si="8"/>
        <v>305</v>
      </c>
      <c r="H60" s="357">
        <f t="shared" si="9"/>
        <v>305.05</v>
      </c>
      <c r="I60" s="356">
        <f t="shared" si="13"/>
        <v>-5.0000000000011369E-2</v>
      </c>
      <c r="J60" s="356">
        <v>3</v>
      </c>
      <c r="K60" s="356">
        <f t="shared" si="10"/>
        <v>27.18082191780822</v>
      </c>
      <c r="L60" s="356">
        <f t="shared" si="11"/>
        <v>-24.18082191780822</v>
      </c>
      <c r="M60" s="359">
        <f t="shared" si="14"/>
        <v>0</v>
      </c>
      <c r="N60" s="356">
        <f t="shared" si="12"/>
        <v>0</v>
      </c>
      <c r="O60" s="367" t="s">
        <v>579</v>
      </c>
    </row>
    <row r="61" spans="1:15" x14ac:dyDescent="0.2">
      <c r="A61" s="76">
        <v>4</v>
      </c>
      <c r="B61" s="353" t="s">
        <v>465</v>
      </c>
      <c r="C61" s="354">
        <v>43545</v>
      </c>
      <c r="D61" s="355">
        <f>DATE(92,8,28)</f>
        <v>33844</v>
      </c>
      <c r="E61" s="369">
        <v>2177</v>
      </c>
      <c r="F61" s="369"/>
      <c r="G61" s="356">
        <f t="shared" si="8"/>
        <v>2177</v>
      </c>
      <c r="H61" s="357">
        <f t="shared" si="9"/>
        <v>2177.25</v>
      </c>
      <c r="I61" s="356">
        <f t="shared" si="13"/>
        <v>-0.25</v>
      </c>
      <c r="J61" s="356">
        <v>3</v>
      </c>
      <c r="K61" s="356">
        <f t="shared" si="10"/>
        <v>28.608219178082191</v>
      </c>
      <c r="L61" s="356">
        <f t="shared" si="11"/>
        <v>-25.608219178082191</v>
      </c>
      <c r="M61" s="359">
        <f t="shared" si="14"/>
        <v>0</v>
      </c>
      <c r="N61" s="356">
        <f t="shared" si="12"/>
        <v>0</v>
      </c>
      <c r="O61" s="367" t="s">
        <v>579</v>
      </c>
    </row>
    <row r="62" spans="1:15" x14ac:dyDescent="0.2">
      <c r="A62" s="76">
        <f t="shared" ref="A62" si="17">+A61+1</f>
        <v>5</v>
      </c>
      <c r="B62" s="79" t="s">
        <v>466</v>
      </c>
      <c r="C62" s="82">
        <v>30000</v>
      </c>
      <c r="D62" s="131">
        <f>DATE(93,5,25)</f>
        <v>34114</v>
      </c>
      <c r="E62" s="282">
        <v>1500</v>
      </c>
      <c r="F62" s="282"/>
      <c r="G62" s="37">
        <f t="shared" si="8"/>
        <v>1500</v>
      </c>
      <c r="H62" s="52">
        <f t="shared" si="9"/>
        <v>1500</v>
      </c>
      <c r="I62" s="37">
        <f t="shared" si="13"/>
        <v>0</v>
      </c>
      <c r="J62" s="37">
        <v>3</v>
      </c>
      <c r="K62" s="37">
        <f t="shared" si="10"/>
        <v>27.86849315068493</v>
      </c>
      <c r="L62" s="37">
        <f t="shared" si="11"/>
        <v>-24.86849315068493</v>
      </c>
      <c r="M62" s="84">
        <f t="shared" si="14"/>
        <v>0</v>
      </c>
      <c r="N62" s="37">
        <f t="shared" si="12"/>
        <v>0</v>
      </c>
    </row>
    <row r="63" spans="1:15" x14ac:dyDescent="0.2">
      <c r="A63" s="76">
        <v>5</v>
      </c>
      <c r="B63" s="353" t="s">
        <v>467</v>
      </c>
      <c r="C63" s="354">
        <v>28000</v>
      </c>
      <c r="D63" s="355">
        <f>DATE(93,11,18)</f>
        <v>34291</v>
      </c>
      <c r="E63" s="369">
        <v>1400</v>
      </c>
      <c r="F63" s="369"/>
      <c r="G63" s="356">
        <f t="shared" si="8"/>
        <v>1400</v>
      </c>
      <c r="H63" s="357">
        <f t="shared" si="9"/>
        <v>1400</v>
      </c>
      <c r="I63" s="356">
        <f t="shared" si="13"/>
        <v>0</v>
      </c>
      <c r="J63" s="356">
        <v>3</v>
      </c>
      <c r="K63" s="356">
        <f t="shared" si="10"/>
        <v>27.383561643835616</v>
      </c>
      <c r="L63" s="356">
        <f t="shared" si="11"/>
        <v>-24.383561643835616</v>
      </c>
      <c r="M63" s="359">
        <f t="shared" si="14"/>
        <v>0</v>
      </c>
      <c r="N63" s="356">
        <f t="shared" si="12"/>
        <v>0</v>
      </c>
      <c r="O63" s="367" t="s">
        <v>579</v>
      </c>
    </row>
    <row r="64" spans="1:15" x14ac:dyDescent="0.2">
      <c r="A64" s="76">
        <f t="shared" ref="A64" si="18">+A63+1</f>
        <v>6</v>
      </c>
      <c r="B64" s="79" t="s">
        <v>468</v>
      </c>
      <c r="C64" s="82">
        <v>21350</v>
      </c>
      <c r="D64" s="131">
        <f>DATE(94,6,4)</f>
        <v>34489</v>
      </c>
      <c r="E64" s="282">
        <v>1067</v>
      </c>
      <c r="F64" s="282"/>
      <c r="G64" s="37">
        <f t="shared" si="8"/>
        <v>1067</v>
      </c>
      <c r="H64" s="52">
        <f t="shared" si="9"/>
        <v>1067.5</v>
      </c>
      <c r="I64" s="37">
        <f t="shared" si="13"/>
        <v>-0.5</v>
      </c>
      <c r="J64" s="37">
        <v>3</v>
      </c>
      <c r="K64" s="37">
        <f t="shared" si="10"/>
        <v>26.841095890410958</v>
      </c>
      <c r="L64" s="37">
        <f t="shared" si="11"/>
        <v>-23.841095890410958</v>
      </c>
      <c r="M64" s="84">
        <f t="shared" si="14"/>
        <v>0</v>
      </c>
      <c r="N64" s="37">
        <f t="shared" si="12"/>
        <v>0</v>
      </c>
    </row>
    <row r="65" spans="1:15" x14ac:dyDescent="0.2">
      <c r="A65" s="76">
        <v>6</v>
      </c>
      <c r="B65" s="79" t="s">
        <v>469</v>
      </c>
      <c r="C65" s="82">
        <v>2500</v>
      </c>
      <c r="D65" s="131">
        <f>DATE(94,9,9)</f>
        <v>34586</v>
      </c>
      <c r="E65" s="282">
        <v>125</v>
      </c>
      <c r="F65" s="282"/>
      <c r="G65" s="37">
        <f t="shared" si="8"/>
        <v>125</v>
      </c>
      <c r="H65" s="52">
        <f t="shared" si="9"/>
        <v>125</v>
      </c>
      <c r="I65" s="37">
        <f t="shared" si="13"/>
        <v>0</v>
      </c>
      <c r="J65" s="37">
        <v>3</v>
      </c>
      <c r="K65" s="37">
        <f t="shared" si="10"/>
        <v>26.575342465753426</v>
      </c>
      <c r="L65" s="37">
        <f t="shared" si="11"/>
        <v>-23.575342465753426</v>
      </c>
      <c r="M65" s="84">
        <f t="shared" si="14"/>
        <v>0</v>
      </c>
      <c r="N65" s="37">
        <f t="shared" si="12"/>
        <v>0</v>
      </c>
    </row>
    <row r="66" spans="1:15" x14ac:dyDescent="0.2">
      <c r="A66" s="76">
        <f t="shared" ref="A66" si="19">+A65+1</f>
        <v>7</v>
      </c>
      <c r="B66" s="353" t="s">
        <v>470</v>
      </c>
      <c r="C66" s="354">
        <v>17000</v>
      </c>
      <c r="D66" s="355">
        <f>DATE(94,12,6)</f>
        <v>34674</v>
      </c>
      <c r="E66" s="369">
        <v>850</v>
      </c>
      <c r="F66" s="369"/>
      <c r="G66" s="356">
        <f t="shared" si="8"/>
        <v>850</v>
      </c>
      <c r="H66" s="357">
        <f t="shared" si="9"/>
        <v>850</v>
      </c>
      <c r="I66" s="356">
        <f t="shared" si="13"/>
        <v>0</v>
      </c>
      <c r="J66" s="356">
        <v>3</v>
      </c>
      <c r="K66" s="356">
        <f t="shared" si="10"/>
        <v>26.334246575342465</v>
      </c>
      <c r="L66" s="356">
        <f t="shared" si="11"/>
        <v>-23.334246575342465</v>
      </c>
      <c r="M66" s="359">
        <f t="shared" si="14"/>
        <v>0</v>
      </c>
      <c r="N66" s="356">
        <f t="shared" si="12"/>
        <v>0</v>
      </c>
      <c r="O66" s="367" t="s">
        <v>579</v>
      </c>
    </row>
    <row r="67" spans="1:15" x14ac:dyDescent="0.2">
      <c r="A67" s="76">
        <v>7</v>
      </c>
      <c r="B67" s="353" t="s">
        <v>471</v>
      </c>
      <c r="C67" s="354">
        <v>4800</v>
      </c>
      <c r="D67" s="355">
        <f>DATE(94,11,6)</f>
        <v>34644</v>
      </c>
      <c r="E67" s="369">
        <v>240</v>
      </c>
      <c r="F67" s="369"/>
      <c r="G67" s="356">
        <f t="shared" si="8"/>
        <v>240</v>
      </c>
      <c r="H67" s="357">
        <f t="shared" si="9"/>
        <v>240</v>
      </c>
      <c r="I67" s="356">
        <f t="shared" si="13"/>
        <v>0</v>
      </c>
      <c r="J67" s="356">
        <v>3</v>
      </c>
      <c r="K67" s="356">
        <f t="shared" si="10"/>
        <v>26.416438356164385</v>
      </c>
      <c r="L67" s="356">
        <f t="shared" si="11"/>
        <v>-23.416438356164385</v>
      </c>
      <c r="M67" s="359">
        <f t="shared" si="14"/>
        <v>0</v>
      </c>
      <c r="N67" s="356">
        <f t="shared" si="12"/>
        <v>0</v>
      </c>
      <c r="O67" s="367" t="s">
        <v>579</v>
      </c>
    </row>
    <row r="68" spans="1:15" x14ac:dyDescent="0.2">
      <c r="A68" s="76">
        <f t="shared" ref="A68" si="20">+A67+1</f>
        <v>8</v>
      </c>
      <c r="B68" s="353" t="s">
        <v>472</v>
      </c>
      <c r="C68" s="354">
        <v>23000</v>
      </c>
      <c r="D68" s="355">
        <f>DATE(95,1,12)</f>
        <v>34711</v>
      </c>
      <c r="E68" s="369">
        <v>1150</v>
      </c>
      <c r="F68" s="369"/>
      <c r="G68" s="356">
        <f t="shared" si="8"/>
        <v>1150</v>
      </c>
      <c r="H68" s="357">
        <f t="shared" si="9"/>
        <v>1150</v>
      </c>
      <c r="I68" s="356">
        <f t="shared" si="13"/>
        <v>0</v>
      </c>
      <c r="J68" s="356">
        <v>3</v>
      </c>
      <c r="K68" s="356">
        <f t="shared" si="10"/>
        <v>26.232876712328768</v>
      </c>
      <c r="L68" s="356">
        <f t="shared" si="11"/>
        <v>-23.232876712328768</v>
      </c>
      <c r="M68" s="359">
        <f t="shared" si="14"/>
        <v>0</v>
      </c>
      <c r="N68" s="356">
        <f t="shared" si="12"/>
        <v>0</v>
      </c>
      <c r="O68" s="367" t="s">
        <v>579</v>
      </c>
    </row>
    <row r="69" spans="1:15" x14ac:dyDescent="0.2">
      <c r="A69" s="76">
        <v>8</v>
      </c>
      <c r="B69" s="353" t="s">
        <v>473</v>
      </c>
      <c r="C69" s="354">
        <v>200450</v>
      </c>
      <c r="D69" s="355">
        <f>DATE(95,11,13)</f>
        <v>35016</v>
      </c>
      <c r="E69" s="369">
        <v>10022</v>
      </c>
      <c r="F69" s="369"/>
      <c r="G69" s="356">
        <f t="shared" si="8"/>
        <v>10022</v>
      </c>
      <c r="H69" s="357">
        <f t="shared" si="9"/>
        <v>10022.5</v>
      </c>
      <c r="I69" s="356">
        <f t="shared" si="13"/>
        <v>-0.5</v>
      </c>
      <c r="J69" s="356">
        <v>3</v>
      </c>
      <c r="K69" s="356">
        <f t="shared" si="10"/>
        <v>25.397260273972602</v>
      </c>
      <c r="L69" s="356">
        <f t="shared" si="11"/>
        <v>-22.397260273972602</v>
      </c>
      <c r="M69" s="359">
        <f t="shared" si="14"/>
        <v>0</v>
      </c>
      <c r="N69" s="356">
        <f t="shared" si="12"/>
        <v>0</v>
      </c>
      <c r="O69" s="367" t="s">
        <v>579</v>
      </c>
    </row>
    <row r="70" spans="1:15" x14ac:dyDescent="0.2">
      <c r="A70" s="76">
        <f t="shared" ref="A70" si="21">+A69+1</f>
        <v>9</v>
      </c>
      <c r="B70" s="353" t="s">
        <v>474</v>
      </c>
      <c r="C70" s="354">
        <v>43000</v>
      </c>
      <c r="D70" s="355">
        <f>DATE(96,10,4)</f>
        <v>35342</v>
      </c>
      <c r="E70" s="369">
        <v>2150</v>
      </c>
      <c r="F70" s="369"/>
      <c r="G70" s="356">
        <f t="shared" si="8"/>
        <v>2150</v>
      </c>
      <c r="H70" s="357">
        <f t="shared" si="9"/>
        <v>2150</v>
      </c>
      <c r="I70" s="356">
        <f t="shared" si="13"/>
        <v>0</v>
      </c>
      <c r="J70" s="356">
        <v>3</v>
      </c>
      <c r="K70" s="356">
        <f t="shared" si="10"/>
        <v>24.504109589041096</v>
      </c>
      <c r="L70" s="356">
        <f t="shared" si="11"/>
        <v>-21.504109589041096</v>
      </c>
      <c r="M70" s="359">
        <f t="shared" si="14"/>
        <v>0</v>
      </c>
      <c r="N70" s="356">
        <f t="shared" si="12"/>
        <v>0</v>
      </c>
      <c r="O70" s="367" t="s">
        <v>579</v>
      </c>
    </row>
    <row r="71" spans="1:15" x14ac:dyDescent="0.2">
      <c r="A71" s="76">
        <v>9</v>
      </c>
      <c r="B71" s="353" t="s">
        <v>475</v>
      </c>
      <c r="C71" s="354">
        <v>22674</v>
      </c>
      <c r="D71" s="355">
        <f>DATE(97,3,14)</f>
        <v>35503</v>
      </c>
      <c r="E71" s="369">
        <v>1134</v>
      </c>
      <c r="F71" s="369"/>
      <c r="G71" s="356">
        <f t="shared" si="8"/>
        <v>1134</v>
      </c>
      <c r="H71" s="357">
        <f t="shared" si="9"/>
        <v>1133.7</v>
      </c>
      <c r="I71" s="356">
        <f t="shared" si="13"/>
        <v>0.29999999999995453</v>
      </c>
      <c r="J71" s="356">
        <v>3</v>
      </c>
      <c r="K71" s="356">
        <f t="shared" si="10"/>
        <v>24.063013698630137</v>
      </c>
      <c r="L71" s="356">
        <f t="shared" si="11"/>
        <v>-21.063013698630137</v>
      </c>
      <c r="M71" s="359">
        <f t="shared" si="14"/>
        <v>0</v>
      </c>
      <c r="N71" s="356">
        <f t="shared" si="12"/>
        <v>0</v>
      </c>
      <c r="O71" s="367" t="s">
        <v>579</v>
      </c>
    </row>
    <row r="72" spans="1:15" x14ac:dyDescent="0.2">
      <c r="A72" s="76">
        <f t="shared" ref="A72" si="22">+A71+1</f>
        <v>10</v>
      </c>
      <c r="B72" s="353" t="s">
        <v>476</v>
      </c>
      <c r="C72" s="354">
        <v>9500</v>
      </c>
      <c r="D72" s="355">
        <f>DATE(97,2,27)</f>
        <v>35488</v>
      </c>
      <c r="E72" s="369">
        <v>475</v>
      </c>
      <c r="F72" s="369"/>
      <c r="G72" s="356">
        <f t="shared" si="8"/>
        <v>475</v>
      </c>
      <c r="H72" s="357">
        <f t="shared" si="9"/>
        <v>475</v>
      </c>
      <c r="I72" s="356">
        <f t="shared" si="13"/>
        <v>0</v>
      </c>
      <c r="J72" s="356">
        <v>3</v>
      </c>
      <c r="K72" s="356">
        <f t="shared" si="10"/>
        <v>24.104109589041094</v>
      </c>
      <c r="L72" s="356">
        <f t="shared" si="11"/>
        <v>-21.104109589041094</v>
      </c>
      <c r="M72" s="359">
        <f t="shared" si="14"/>
        <v>0</v>
      </c>
      <c r="N72" s="356">
        <f t="shared" si="12"/>
        <v>0</v>
      </c>
      <c r="O72" s="367" t="s">
        <v>579</v>
      </c>
    </row>
    <row r="73" spans="1:15" x14ac:dyDescent="0.2">
      <c r="A73" s="76">
        <v>10</v>
      </c>
      <c r="B73" s="353" t="s">
        <v>477</v>
      </c>
      <c r="C73" s="354">
        <v>27800</v>
      </c>
      <c r="D73" s="355">
        <f>DATE(96,11,20)</f>
        <v>35389</v>
      </c>
      <c r="E73" s="369">
        <v>1390</v>
      </c>
      <c r="F73" s="369"/>
      <c r="G73" s="356">
        <f t="shared" si="8"/>
        <v>1390</v>
      </c>
      <c r="H73" s="357">
        <f t="shared" si="9"/>
        <v>1390</v>
      </c>
      <c r="I73" s="356">
        <f t="shared" si="13"/>
        <v>0</v>
      </c>
      <c r="J73" s="356">
        <v>6</v>
      </c>
      <c r="K73" s="356">
        <f t="shared" si="10"/>
        <v>24.375342465753423</v>
      </c>
      <c r="L73" s="356">
        <f t="shared" si="11"/>
        <v>-18.375342465753423</v>
      </c>
      <c r="M73" s="359">
        <f t="shared" si="14"/>
        <v>0</v>
      </c>
      <c r="N73" s="356">
        <f t="shared" si="12"/>
        <v>0</v>
      </c>
      <c r="O73" s="367" t="s">
        <v>579</v>
      </c>
    </row>
    <row r="74" spans="1:15" x14ac:dyDescent="0.2">
      <c r="A74" s="76">
        <f t="shared" ref="A74" si="23">+A73+1</f>
        <v>11</v>
      </c>
      <c r="B74" s="353" t="s">
        <v>478</v>
      </c>
      <c r="C74" s="354">
        <v>20800</v>
      </c>
      <c r="D74" s="355">
        <f>DATE(97,6,13)</f>
        <v>35594</v>
      </c>
      <c r="E74" s="369">
        <v>1040</v>
      </c>
      <c r="F74" s="369"/>
      <c r="G74" s="356">
        <f t="shared" si="8"/>
        <v>1040</v>
      </c>
      <c r="H74" s="357">
        <f t="shared" si="9"/>
        <v>1040</v>
      </c>
      <c r="I74" s="356">
        <f t="shared" si="13"/>
        <v>0</v>
      </c>
      <c r="J74" s="356">
        <v>3</v>
      </c>
      <c r="K74" s="356">
        <f t="shared" si="10"/>
        <v>23.813698630136987</v>
      </c>
      <c r="L74" s="356">
        <f t="shared" si="11"/>
        <v>-20.813698630136987</v>
      </c>
      <c r="M74" s="359">
        <f t="shared" si="14"/>
        <v>0</v>
      </c>
      <c r="N74" s="356">
        <f t="shared" si="12"/>
        <v>0</v>
      </c>
      <c r="O74" s="367" t="s">
        <v>579</v>
      </c>
    </row>
    <row r="75" spans="1:15" x14ac:dyDescent="0.2">
      <c r="A75" s="76">
        <v>11</v>
      </c>
      <c r="B75" s="353" t="s">
        <v>479</v>
      </c>
      <c r="C75" s="354">
        <v>18500</v>
      </c>
      <c r="D75" s="355">
        <f>DATE(97,7,28)</f>
        <v>35639</v>
      </c>
      <c r="E75" s="369">
        <v>925</v>
      </c>
      <c r="F75" s="369"/>
      <c r="G75" s="356">
        <f t="shared" si="8"/>
        <v>925</v>
      </c>
      <c r="H75" s="357">
        <f t="shared" si="9"/>
        <v>925</v>
      </c>
      <c r="I75" s="356">
        <f t="shared" si="13"/>
        <v>0</v>
      </c>
      <c r="J75" s="356">
        <v>3</v>
      </c>
      <c r="K75" s="356">
        <f t="shared" si="10"/>
        <v>23.69041095890411</v>
      </c>
      <c r="L75" s="356">
        <f t="shared" si="11"/>
        <v>-20.69041095890411</v>
      </c>
      <c r="M75" s="359">
        <f t="shared" si="14"/>
        <v>0</v>
      </c>
      <c r="N75" s="356">
        <f t="shared" si="12"/>
        <v>0</v>
      </c>
      <c r="O75" s="367" t="s">
        <v>579</v>
      </c>
    </row>
    <row r="76" spans="1:15" x14ac:dyDescent="0.2">
      <c r="A76" s="76">
        <f t="shared" ref="A76" si="24">+A75+1</f>
        <v>12</v>
      </c>
      <c r="B76" s="353" t="s">
        <v>480</v>
      </c>
      <c r="C76" s="354">
        <v>3800</v>
      </c>
      <c r="D76" s="355">
        <f>DATE(97,9,8)</f>
        <v>35681</v>
      </c>
      <c r="E76" s="369">
        <v>190</v>
      </c>
      <c r="F76" s="369"/>
      <c r="G76" s="356">
        <f t="shared" si="8"/>
        <v>190</v>
      </c>
      <c r="H76" s="357">
        <f t="shared" si="9"/>
        <v>190</v>
      </c>
      <c r="I76" s="356">
        <f t="shared" si="13"/>
        <v>0</v>
      </c>
      <c r="J76" s="356">
        <v>3</v>
      </c>
      <c r="K76" s="356">
        <f t="shared" si="10"/>
        <v>23.575342465753426</v>
      </c>
      <c r="L76" s="356">
        <f t="shared" si="11"/>
        <v>-20.575342465753426</v>
      </c>
      <c r="M76" s="359">
        <f t="shared" si="14"/>
        <v>0</v>
      </c>
      <c r="N76" s="356">
        <f t="shared" si="12"/>
        <v>0</v>
      </c>
      <c r="O76" s="367" t="s">
        <v>579</v>
      </c>
    </row>
    <row r="77" spans="1:15" x14ac:dyDescent="0.2">
      <c r="A77" s="76">
        <v>12</v>
      </c>
      <c r="B77" s="353" t="s">
        <v>481</v>
      </c>
      <c r="C77" s="354">
        <v>21000</v>
      </c>
      <c r="D77" s="355">
        <f>DATE(97,4,11)</f>
        <v>35531</v>
      </c>
      <c r="E77" s="369">
        <v>669</v>
      </c>
      <c r="F77" s="369"/>
      <c r="G77" s="356">
        <f t="shared" si="8"/>
        <v>669</v>
      </c>
      <c r="H77" s="357">
        <f>+E77</f>
        <v>669</v>
      </c>
      <c r="I77" s="356">
        <f t="shared" si="13"/>
        <v>0</v>
      </c>
      <c r="J77" s="356">
        <v>3</v>
      </c>
      <c r="K77" s="356">
        <f t="shared" si="10"/>
        <v>23.986301369863014</v>
      </c>
      <c r="L77" s="356">
        <f t="shared" si="11"/>
        <v>-20.986301369863014</v>
      </c>
      <c r="M77" s="359">
        <f t="shared" si="14"/>
        <v>0</v>
      </c>
      <c r="N77" s="356">
        <f t="shared" si="12"/>
        <v>0</v>
      </c>
      <c r="O77" s="367" t="s">
        <v>579</v>
      </c>
    </row>
    <row r="78" spans="1:15" x14ac:dyDescent="0.2">
      <c r="A78" s="76">
        <f t="shared" ref="A78" si="25">+A77+1</f>
        <v>13</v>
      </c>
      <c r="B78" s="353" t="s">
        <v>482</v>
      </c>
      <c r="C78" s="354">
        <v>8000</v>
      </c>
      <c r="D78" s="355">
        <f>DATE(97,7,19)</f>
        <v>35630</v>
      </c>
      <c r="E78" s="369">
        <v>400</v>
      </c>
      <c r="F78" s="369"/>
      <c r="G78" s="356">
        <f t="shared" si="8"/>
        <v>400</v>
      </c>
      <c r="H78" s="357">
        <f t="shared" si="9"/>
        <v>400</v>
      </c>
      <c r="I78" s="356">
        <f t="shared" si="13"/>
        <v>0</v>
      </c>
      <c r="J78" s="356">
        <v>3</v>
      </c>
      <c r="K78" s="356">
        <f t="shared" si="10"/>
        <v>23.715068493150685</v>
      </c>
      <c r="L78" s="356">
        <f t="shared" si="11"/>
        <v>-20.715068493150685</v>
      </c>
      <c r="M78" s="359">
        <f t="shared" si="14"/>
        <v>0</v>
      </c>
      <c r="N78" s="356">
        <f t="shared" si="12"/>
        <v>0</v>
      </c>
      <c r="O78" s="367" t="s">
        <v>579</v>
      </c>
    </row>
    <row r="79" spans="1:15" x14ac:dyDescent="0.2">
      <c r="A79" s="76">
        <v>13</v>
      </c>
      <c r="B79" s="353" t="s">
        <v>483</v>
      </c>
      <c r="C79" s="354">
        <v>1800</v>
      </c>
      <c r="D79" s="355">
        <f>DATE(97,8,4)</f>
        <v>35646</v>
      </c>
      <c r="E79" s="369">
        <v>90</v>
      </c>
      <c r="F79" s="369"/>
      <c r="G79" s="356">
        <f t="shared" si="8"/>
        <v>90</v>
      </c>
      <c r="H79" s="357">
        <f t="shared" si="9"/>
        <v>90</v>
      </c>
      <c r="I79" s="356">
        <f t="shared" si="13"/>
        <v>0</v>
      </c>
      <c r="J79" s="356">
        <v>3</v>
      </c>
      <c r="K79" s="356">
        <f t="shared" si="10"/>
        <v>23.671232876712327</v>
      </c>
      <c r="L79" s="356">
        <f t="shared" si="11"/>
        <v>-20.671232876712327</v>
      </c>
      <c r="M79" s="359">
        <f t="shared" si="14"/>
        <v>0</v>
      </c>
      <c r="N79" s="356">
        <f t="shared" si="12"/>
        <v>0</v>
      </c>
      <c r="O79" s="367" t="s">
        <v>579</v>
      </c>
    </row>
    <row r="80" spans="1:15" x14ac:dyDescent="0.2">
      <c r="A80" s="76">
        <f t="shared" ref="A80" si="26">+A79+1</f>
        <v>14</v>
      </c>
      <c r="B80" s="353" t="s">
        <v>484</v>
      </c>
      <c r="C80" s="354">
        <v>40000</v>
      </c>
      <c r="D80" s="355">
        <f>DATE(98,10,16)</f>
        <v>36084</v>
      </c>
      <c r="E80" s="369">
        <v>2000</v>
      </c>
      <c r="F80" s="369"/>
      <c r="G80" s="356">
        <f t="shared" si="8"/>
        <v>2000</v>
      </c>
      <c r="H80" s="357">
        <f t="shared" si="9"/>
        <v>2000</v>
      </c>
      <c r="I80" s="356">
        <f t="shared" si="13"/>
        <v>0</v>
      </c>
      <c r="J80" s="356">
        <v>3</v>
      </c>
      <c r="K80" s="356">
        <f t="shared" si="10"/>
        <v>22.471232876712328</v>
      </c>
      <c r="L80" s="356">
        <f t="shared" si="11"/>
        <v>-19.471232876712328</v>
      </c>
      <c r="M80" s="359">
        <f t="shared" si="14"/>
        <v>0</v>
      </c>
      <c r="N80" s="356">
        <f t="shared" si="12"/>
        <v>0</v>
      </c>
      <c r="O80" s="367" t="s">
        <v>579</v>
      </c>
    </row>
    <row r="81" spans="1:15" x14ac:dyDescent="0.2">
      <c r="A81" s="76">
        <v>14</v>
      </c>
      <c r="B81" s="353" t="s">
        <v>485</v>
      </c>
      <c r="C81" s="354">
        <v>6700</v>
      </c>
      <c r="D81" s="355">
        <f>DATE(98,10,26)</f>
        <v>36094</v>
      </c>
      <c r="E81" s="369">
        <v>335</v>
      </c>
      <c r="F81" s="369"/>
      <c r="G81" s="356">
        <f t="shared" si="8"/>
        <v>335</v>
      </c>
      <c r="H81" s="357">
        <f t="shared" si="9"/>
        <v>335</v>
      </c>
      <c r="I81" s="356">
        <f t="shared" si="13"/>
        <v>0</v>
      </c>
      <c r="J81" s="356">
        <v>3</v>
      </c>
      <c r="K81" s="356">
        <f t="shared" si="10"/>
        <v>22.443835616438356</v>
      </c>
      <c r="L81" s="356">
        <f t="shared" si="11"/>
        <v>-19.443835616438356</v>
      </c>
      <c r="M81" s="359">
        <f t="shared" si="14"/>
        <v>0</v>
      </c>
      <c r="N81" s="356">
        <f t="shared" si="12"/>
        <v>0</v>
      </c>
      <c r="O81" s="367" t="s">
        <v>579</v>
      </c>
    </row>
    <row r="82" spans="1:15" x14ac:dyDescent="0.2">
      <c r="A82" s="76">
        <f t="shared" ref="A82" si="27">+A81+1</f>
        <v>15</v>
      </c>
      <c r="B82" s="353" t="s">
        <v>486</v>
      </c>
      <c r="C82" s="354">
        <v>3800</v>
      </c>
      <c r="D82" s="355">
        <f>DATE(98,10,26)</f>
        <v>36094</v>
      </c>
      <c r="E82" s="369">
        <v>190</v>
      </c>
      <c r="F82" s="369"/>
      <c r="G82" s="356">
        <f t="shared" si="8"/>
        <v>190</v>
      </c>
      <c r="H82" s="357">
        <f t="shared" si="9"/>
        <v>190</v>
      </c>
      <c r="I82" s="356">
        <f t="shared" si="13"/>
        <v>0</v>
      </c>
      <c r="J82" s="356">
        <v>3</v>
      </c>
      <c r="K82" s="356">
        <f t="shared" si="10"/>
        <v>22.443835616438356</v>
      </c>
      <c r="L82" s="356">
        <f t="shared" si="11"/>
        <v>-19.443835616438356</v>
      </c>
      <c r="M82" s="359">
        <f t="shared" si="14"/>
        <v>0</v>
      </c>
      <c r="N82" s="356">
        <f t="shared" si="12"/>
        <v>0</v>
      </c>
      <c r="O82" s="367" t="s">
        <v>579</v>
      </c>
    </row>
    <row r="83" spans="1:15" x14ac:dyDescent="0.2">
      <c r="A83" s="76">
        <v>15</v>
      </c>
      <c r="B83" s="353" t="s">
        <v>487</v>
      </c>
      <c r="C83" s="354">
        <v>6800</v>
      </c>
      <c r="D83" s="355">
        <f>DATE(98,10,29)</f>
        <v>36097</v>
      </c>
      <c r="E83" s="369">
        <v>340</v>
      </c>
      <c r="F83" s="369"/>
      <c r="G83" s="356">
        <f t="shared" si="8"/>
        <v>340</v>
      </c>
      <c r="H83" s="357">
        <f t="shared" si="9"/>
        <v>340</v>
      </c>
      <c r="I83" s="356">
        <f t="shared" si="13"/>
        <v>0</v>
      </c>
      <c r="J83" s="356">
        <v>3</v>
      </c>
      <c r="K83" s="356">
        <f t="shared" si="10"/>
        <v>22.435616438356163</v>
      </c>
      <c r="L83" s="356">
        <f t="shared" si="11"/>
        <v>-19.435616438356163</v>
      </c>
      <c r="M83" s="359">
        <f t="shared" si="14"/>
        <v>0</v>
      </c>
      <c r="N83" s="356">
        <f t="shared" si="12"/>
        <v>0</v>
      </c>
      <c r="O83" s="367" t="s">
        <v>579</v>
      </c>
    </row>
    <row r="84" spans="1:15" x14ac:dyDescent="0.2">
      <c r="A84" s="76">
        <f t="shared" ref="A84" si="28">+A83+1</f>
        <v>16</v>
      </c>
      <c r="B84" s="353" t="s">
        <v>488</v>
      </c>
      <c r="C84" s="354">
        <v>50500</v>
      </c>
      <c r="D84" s="355">
        <f>DATE(98,12,21)</f>
        <v>36150</v>
      </c>
      <c r="E84" s="369">
        <v>2525</v>
      </c>
      <c r="F84" s="369"/>
      <c r="G84" s="356">
        <f t="shared" si="8"/>
        <v>2525</v>
      </c>
      <c r="H84" s="357">
        <f t="shared" si="9"/>
        <v>2525</v>
      </c>
      <c r="I84" s="356">
        <f t="shared" si="13"/>
        <v>0</v>
      </c>
      <c r="J84" s="356">
        <v>3</v>
      </c>
      <c r="K84" s="356">
        <f t="shared" si="10"/>
        <v>22.290410958904111</v>
      </c>
      <c r="L84" s="356">
        <f t="shared" si="11"/>
        <v>-19.290410958904111</v>
      </c>
      <c r="M84" s="359">
        <f t="shared" si="14"/>
        <v>0</v>
      </c>
      <c r="N84" s="356">
        <f t="shared" si="12"/>
        <v>0</v>
      </c>
      <c r="O84" s="367" t="s">
        <v>579</v>
      </c>
    </row>
    <row r="85" spans="1:15" x14ac:dyDescent="0.2">
      <c r="A85" s="76">
        <v>16</v>
      </c>
      <c r="B85" s="353" t="s">
        <v>489</v>
      </c>
      <c r="C85" s="354">
        <v>5000</v>
      </c>
      <c r="D85" s="355">
        <f>DATE(98,4,1)</f>
        <v>35886</v>
      </c>
      <c r="E85" s="369">
        <v>134</v>
      </c>
      <c r="F85" s="369"/>
      <c r="G85" s="356">
        <f t="shared" si="8"/>
        <v>134</v>
      </c>
      <c r="H85" s="357">
        <f>+E85</f>
        <v>134</v>
      </c>
      <c r="I85" s="356">
        <f t="shared" si="13"/>
        <v>0</v>
      </c>
      <c r="J85" s="356">
        <v>6</v>
      </c>
      <c r="K85" s="356">
        <f t="shared" si="10"/>
        <v>23.013698630136986</v>
      </c>
      <c r="L85" s="356">
        <f t="shared" si="11"/>
        <v>-17.013698630136986</v>
      </c>
      <c r="M85" s="359">
        <f t="shared" si="14"/>
        <v>0</v>
      </c>
      <c r="N85" s="356">
        <f t="shared" si="12"/>
        <v>0</v>
      </c>
      <c r="O85" s="367" t="s">
        <v>579</v>
      </c>
    </row>
    <row r="86" spans="1:15" x14ac:dyDescent="0.2">
      <c r="A86" s="76">
        <f t="shared" ref="A86" si="29">+A85+1</f>
        <v>17</v>
      </c>
      <c r="B86" s="132" t="s">
        <v>490</v>
      </c>
      <c r="C86" s="82">
        <v>128275</v>
      </c>
      <c r="D86" s="131">
        <v>36527</v>
      </c>
      <c r="E86" s="282">
        <v>6414</v>
      </c>
      <c r="F86" s="282"/>
      <c r="G86" s="37">
        <f t="shared" si="8"/>
        <v>6414</v>
      </c>
      <c r="H86" s="52">
        <f t="shared" si="9"/>
        <v>6413.75</v>
      </c>
      <c r="I86" s="37">
        <f t="shared" si="13"/>
        <v>0.25</v>
      </c>
      <c r="J86" s="37">
        <v>3</v>
      </c>
      <c r="K86" s="37">
        <f t="shared" si="10"/>
        <v>21.257534246575343</v>
      </c>
      <c r="L86" s="37">
        <f t="shared" si="11"/>
        <v>-18.257534246575343</v>
      </c>
      <c r="M86" s="84">
        <f t="shared" si="14"/>
        <v>0</v>
      </c>
      <c r="N86" s="37">
        <f t="shared" si="12"/>
        <v>0</v>
      </c>
    </row>
    <row r="87" spans="1:15" x14ac:dyDescent="0.2">
      <c r="A87" s="76">
        <v>17</v>
      </c>
      <c r="B87" s="353" t="s">
        <v>491</v>
      </c>
      <c r="C87" s="354">
        <v>24600</v>
      </c>
      <c r="D87" s="355">
        <v>36504</v>
      </c>
      <c r="E87" s="369">
        <v>1230</v>
      </c>
      <c r="F87" s="369"/>
      <c r="G87" s="356">
        <f t="shared" si="8"/>
        <v>1230</v>
      </c>
      <c r="H87" s="357">
        <f t="shared" si="9"/>
        <v>1230</v>
      </c>
      <c r="I87" s="356">
        <f t="shared" si="13"/>
        <v>0</v>
      </c>
      <c r="J87" s="356">
        <v>3</v>
      </c>
      <c r="K87" s="356">
        <f t="shared" si="10"/>
        <v>21.32054794520548</v>
      </c>
      <c r="L87" s="356">
        <f t="shared" si="11"/>
        <v>-18.32054794520548</v>
      </c>
      <c r="M87" s="359">
        <f t="shared" si="14"/>
        <v>0</v>
      </c>
      <c r="N87" s="356">
        <f t="shared" si="12"/>
        <v>0</v>
      </c>
      <c r="O87" s="367" t="s">
        <v>579</v>
      </c>
    </row>
    <row r="88" spans="1:15" x14ac:dyDescent="0.2">
      <c r="A88" s="76">
        <f t="shared" ref="A88" si="30">+A87+1</f>
        <v>18</v>
      </c>
      <c r="B88" s="353" t="s">
        <v>492</v>
      </c>
      <c r="C88" s="354">
        <v>8900</v>
      </c>
      <c r="D88" s="355">
        <v>36615</v>
      </c>
      <c r="E88" s="369">
        <v>445</v>
      </c>
      <c r="F88" s="369"/>
      <c r="G88" s="356">
        <f t="shared" si="8"/>
        <v>445</v>
      </c>
      <c r="H88" s="357">
        <f t="shared" si="9"/>
        <v>445</v>
      </c>
      <c r="I88" s="356">
        <f t="shared" si="13"/>
        <v>0</v>
      </c>
      <c r="J88" s="356">
        <v>3</v>
      </c>
      <c r="K88" s="356">
        <f t="shared" si="10"/>
        <v>21.016438356164382</v>
      </c>
      <c r="L88" s="356">
        <f t="shared" si="11"/>
        <v>-18.016438356164382</v>
      </c>
      <c r="M88" s="359">
        <f t="shared" si="14"/>
        <v>0</v>
      </c>
      <c r="N88" s="356">
        <f t="shared" si="12"/>
        <v>0</v>
      </c>
      <c r="O88" s="367" t="s">
        <v>579</v>
      </c>
    </row>
    <row r="89" spans="1:15" x14ac:dyDescent="0.2">
      <c r="A89" s="76">
        <v>18</v>
      </c>
      <c r="B89" s="79" t="s">
        <v>493</v>
      </c>
      <c r="C89" s="82">
        <v>69725</v>
      </c>
      <c r="D89" s="131">
        <v>36530</v>
      </c>
      <c r="E89" s="282">
        <v>3486</v>
      </c>
      <c r="F89" s="282"/>
      <c r="G89" s="37">
        <f t="shared" si="8"/>
        <v>3486</v>
      </c>
      <c r="H89" s="52">
        <f t="shared" si="9"/>
        <v>3486.25</v>
      </c>
      <c r="I89" s="37">
        <f t="shared" si="13"/>
        <v>-0.25</v>
      </c>
      <c r="J89" s="37">
        <v>3</v>
      </c>
      <c r="K89" s="37">
        <f t="shared" si="10"/>
        <v>21.24931506849315</v>
      </c>
      <c r="L89" s="37">
        <f t="shared" si="11"/>
        <v>-18.24931506849315</v>
      </c>
      <c r="M89" s="84">
        <f t="shared" si="14"/>
        <v>0</v>
      </c>
      <c r="N89" s="37">
        <f t="shared" si="12"/>
        <v>0</v>
      </c>
    </row>
    <row r="90" spans="1:15" x14ac:dyDescent="0.2">
      <c r="A90" s="76">
        <f t="shared" ref="A90" si="31">+A89+1</f>
        <v>19</v>
      </c>
      <c r="B90" s="353" t="s">
        <v>494</v>
      </c>
      <c r="C90" s="354">
        <v>5800</v>
      </c>
      <c r="D90" s="355">
        <v>36685</v>
      </c>
      <c r="E90" s="369">
        <v>290</v>
      </c>
      <c r="F90" s="369"/>
      <c r="G90" s="356">
        <f t="shared" si="8"/>
        <v>290</v>
      </c>
      <c r="H90" s="357">
        <f t="shared" si="9"/>
        <v>290</v>
      </c>
      <c r="I90" s="356">
        <f t="shared" si="13"/>
        <v>0</v>
      </c>
      <c r="J90" s="356">
        <v>3</v>
      </c>
      <c r="K90" s="356">
        <f t="shared" si="10"/>
        <v>20.824657534246576</v>
      </c>
      <c r="L90" s="356">
        <f t="shared" si="11"/>
        <v>-17.824657534246576</v>
      </c>
      <c r="M90" s="359">
        <f t="shared" si="14"/>
        <v>0</v>
      </c>
      <c r="N90" s="356">
        <f t="shared" si="12"/>
        <v>0</v>
      </c>
      <c r="O90" s="367" t="s">
        <v>579</v>
      </c>
    </row>
    <row r="91" spans="1:15" x14ac:dyDescent="0.2">
      <c r="A91" s="76">
        <v>19</v>
      </c>
      <c r="B91" s="353" t="s">
        <v>495</v>
      </c>
      <c r="C91" s="354">
        <v>9500</v>
      </c>
      <c r="D91" s="355">
        <v>36724</v>
      </c>
      <c r="E91" s="369">
        <v>475</v>
      </c>
      <c r="F91" s="369"/>
      <c r="G91" s="356">
        <f t="shared" si="8"/>
        <v>475</v>
      </c>
      <c r="H91" s="357">
        <f t="shared" si="9"/>
        <v>475</v>
      </c>
      <c r="I91" s="356">
        <f t="shared" si="13"/>
        <v>0</v>
      </c>
      <c r="J91" s="356">
        <v>6</v>
      </c>
      <c r="K91" s="356">
        <f t="shared" si="10"/>
        <v>20.717808219178082</v>
      </c>
      <c r="L91" s="356">
        <f t="shared" si="11"/>
        <v>-14.717808219178082</v>
      </c>
      <c r="M91" s="359">
        <f t="shared" si="14"/>
        <v>0</v>
      </c>
      <c r="N91" s="356">
        <f t="shared" si="12"/>
        <v>0</v>
      </c>
      <c r="O91" s="367" t="s">
        <v>579</v>
      </c>
    </row>
    <row r="92" spans="1:15" x14ac:dyDescent="0.2">
      <c r="A92" s="76">
        <f t="shared" ref="A92" si="32">+A91+1</f>
        <v>20</v>
      </c>
      <c r="B92" s="353" t="s">
        <v>496</v>
      </c>
      <c r="C92" s="354">
        <v>36500</v>
      </c>
      <c r="D92" s="355">
        <v>36886</v>
      </c>
      <c r="E92" s="369">
        <v>1825</v>
      </c>
      <c r="F92" s="369"/>
      <c r="G92" s="356">
        <f t="shared" si="8"/>
        <v>1825</v>
      </c>
      <c r="H92" s="357">
        <f t="shared" si="9"/>
        <v>1825</v>
      </c>
      <c r="I92" s="356">
        <f t="shared" si="13"/>
        <v>0</v>
      </c>
      <c r="J92" s="356">
        <v>3</v>
      </c>
      <c r="K92" s="356">
        <f t="shared" si="10"/>
        <v>20.273972602739725</v>
      </c>
      <c r="L92" s="356">
        <f t="shared" si="11"/>
        <v>-17.273972602739725</v>
      </c>
      <c r="M92" s="359">
        <f t="shared" si="14"/>
        <v>0</v>
      </c>
      <c r="N92" s="356">
        <f t="shared" si="12"/>
        <v>0</v>
      </c>
      <c r="O92" s="367" t="s">
        <v>579</v>
      </c>
    </row>
    <row r="93" spans="1:15" x14ac:dyDescent="0.2">
      <c r="A93" s="76">
        <v>20</v>
      </c>
      <c r="B93" s="353" t="s">
        <v>497</v>
      </c>
      <c r="C93" s="354">
        <v>7550</v>
      </c>
      <c r="D93" s="355">
        <v>36922</v>
      </c>
      <c r="E93" s="369">
        <v>5</v>
      </c>
      <c r="F93" s="369"/>
      <c r="G93" s="356">
        <f t="shared" si="8"/>
        <v>5</v>
      </c>
      <c r="H93" s="357">
        <f>+E93</f>
        <v>5</v>
      </c>
      <c r="I93" s="356">
        <f t="shared" si="13"/>
        <v>0</v>
      </c>
      <c r="J93" s="356">
        <v>3</v>
      </c>
      <c r="K93" s="356">
        <f t="shared" si="10"/>
        <v>20.175342465753424</v>
      </c>
      <c r="L93" s="356">
        <f t="shared" si="11"/>
        <v>-17.175342465753424</v>
      </c>
      <c r="M93" s="359">
        <f t="shared" si="14"/>
        <v>0</v>
      </c>
      <c r="N93" s="356">
        <f t="shared" si="12"/>
        <v>0</v>
      </c>
      <c r="O93" s="367" t="s">
        <v>579</v>
      </c>
    </row>
    <row r="94" spans="1:15" x14ac:dyDescent="0.2">
      <c r="A94" s="76">
        <f t="shared" ref="A94" si="33">+A93+1</f>
        <v>21</v>
      </c>
      <c r="B94" s="361" t="s">
        <v>498</v>
      </c>
      <c r="C94" s="354">
        <v>7500</v>
      </c>
      <c r="D94" s="355">
        <v>37091</v>
      </c>
      <c r="E94" s="369">
        <v>375</v>
      </c>
      <c r="F94" s="369"/>
      <c r="G94" s="356">
        <f t="shared" si="8"/>
        <v>375</v>
      </c>
      <c r="H94" s="357">
        <f t="shared" si="9"/>
        <v>375</v>
      </c>
      <c r="I94" s="356">
        <f t="shared" si="13"/>
        <v>0</v>
      </c>
      <c r="J94" s="356">
        <v>3</v>
      </c>
      <c r="K94" s="356">
        <f t="shared" si="10"/>
        <v>19.712328767123289</v>
      </c>
      <c r="L94" s="356">
        <f t="shared" si="11"/>
        <v>-16.712328767123289</v>
      </c>
      <c r="M94" s="359">
        <f t="shared" si="14"/>
        <v>0</v>
      </c>
      <c r="N94" s="356">
        <f t="shared" si="12"/>
        <v>0</v>
      </c>
      <c r="O94" s="367" t="s">
        <v>579</v>
      </c>
    </row>
    <row r="95" spans="1:15" x14ac:dyDescent="0.2">
      <c r="A95" s="76">
        <v>21</v>
      </c>
      <c r="B95" s="361" t="s">
        <v>499</v>
      </c>
      <c r="C95" s="354">
        <v>19679</v>
      </c>
      <c r="D95" s="355">
        <v>37337</v>
      </c>
      <c r="E95" s="369">
        <v>984</v>
      </c>
      <c r="F95" s="369"/>
      <c r="G95" s="356">
        <f t="shared" si="8"/>
        <v>984</v>
      </c>
      <c r="H95" s="357">
        <f t="shared" si="9"/>
        <v>983.95</v>
      </c>
      <c r="I95" s="356">
        <f t="shared" si="13"/>
        <v>4.9999999999954525E-2</v>
      </c>
      <c r="J95" s="356">
        <v>3</v>
      </c>
      <c r="K95" s="356">
        <f t="shared" si="10"/>
        <v>19.038356164383561</v>
      </c>
      <c r="L95" s="356">
        <f t="shared" si="11"/>
        <v>-16.038356164383561</v>
      </c>
      <c r="M95" s="359">
        <f t="shared" si="14"/>
        <v>0</v>
      </c>
      <c r="N95" s="356">
        <f t="shared" si="12"/>
        <v>0</v>
      </c>
      <c r="O95" s="367" t="s">
        <v>579</v>
      </c>
    </row>
    <row r="96" spans="1:15" x14ac:dyDescent="0.2">
      <c r="A96" s="76">
        <f t="shared" ref="A96" si="34">+A95+1</f>
        <v>22</v>
      </c>
      <c r="B96" s="353" t="s">
        <v>500</v>
      </c>
      <c r="C96" s="354">
        <v>9200</v>
      </c>
      <c r="D96" s="355">
        <v>37666</v>
      </c>
      <c r="E96" s="369">
        <v>460</v>
      </c>
      <c r="F96" s="369"/>
      <c r="G96" s="356">
        <f t="shared" si="8"/>
        <v>460</v>
      </c>
      <c r="H96" s="357">
        <f t="shared" si="9"/>
        <v>460</v>
      </c>
      <c r="I96" s="356">
        <f t="shared" si="13"/>
        <v>0</v>
      </c>
      <c r="J96" s="356">
        <v>3</v>
      </c>
      <c r="K96" s="356">
        <f t="shared" si="10"/>
        <v>18.136986301369863</v>
      </c>
      <c r="L96" s="356">
        <f t="shared" si="11"/>
        <v>-15.136986301369863</v>
      </c>
      <c r="M96" s="359">
        <f t="shared" si="14"/>
        <v>0</v>
      </c>
      <c r="N96" s="356">
        <f t="shared" si="12"/>
        <v>0</v>
      </c>
      <c r="O96" s="367" t="s">
        <v>579</v>
      </c>
    </row>
    <row r="97" spans="1:15" x14ac:dyDescent="0.2">
      <c r="A97" s="76">
        <v>22</v>
      </c>
      <c r="B97" s="361" t="s">
        <v>501</v>
      </c>
      <c r="C97" s="354">
        <v>3900</v>
      </c>
      <c r="D97" s="355">
        <v>37637</v>
      </c>
      <c r="E97" s="369">
        <v>195</v>
      </c>
      <c r="F97" s="369"/>
      <c r="G97" s="356">
        <f t="shared" si="8"/>
        <v>195</v>
      </c>
      <c r="H97" s="357">
        <f t="shared" si="9"/>
        <v>195</v>
      </c>
      <c r="I97" s="356">
        <f t="shared" si="13"/>
        <v>0</v>
      </c>
      <c r="J97" s="356">
        <v>3</v>
      </c>
      <c r="K97" s="356">
        <f t="shared" si="10"/>
        <v>18.216438356164385</v>
      </c>
      <c r="L97" s="356">
        <f t="shared" si="11"/>
        <v>-15.216438356164385</v>
      </c>
      <c r="M97" s="359">
        <f t="shared" si="14"/>
        <v>0</v>
      </c>
      <c r="N97" s="356">
        <f t="shared" si="12"/>
        <v>0</v>
      </c>
      <c r="O97" s="367" t="s">
        <v>579</v>
      </c>
    </row>
    <row r="98" spans="1:15" x14ac:dyDescent="0.2">
      <c r="A98" s="76">
        <f t="shared" ref="A98" si="35">+A97+1</f>
        <v>23</v>
      </c>
      <c r="B98" s="353" t="s">
        <v>496</v>
      </c>
      <c r="C98" s="354">
        <v>21500</v>
      </c>
      <c r="D98" s="355">
        <v>37925</v>
      </c>
      <c r="E98" s="369">
        <v>1075</v>
      </c>
      <c r="F98" s="369"/>
      <c r="G98" s="356">
        <f t="shared" si="8"/>
        <v>1075</v>
      </c>
      <c r="H98" s="357">
        <f t="shared" si="9"/>
        <v>1075</v>
      </c>
      <c r="I98" s="356">
        <f t="shared" si="13"/>
        <v>0</v>
      </c>
      <c r="J98" s="356">
        <v>3</v>
      </c>
      <c r="K98" s="356">
        <f t="shared" si="10"/>
        <v>17.427397260273974</v>
      </c>
      <c r="L98" s="356">
        <f t="shared" si="11"/>
        <v>-14.427397260273974</v>
      </c>
      <c r="M98" s="359">
        <f t="shared" si="14"/>
        <v>0</v>
      </c>
      <c r="N98" s="356">
        <f t="shared" si="12"/>
        <v>0</v>
      </c>
      <c r="O98" s="367" t="s">
        <v>579</v>
      </c>
    </row>
    <row r="99" spans="1:15" x14ac:dyDescent="0.2">
      <c r="A99" s="76">
        <v>23</v>
      </c>
      <c r="B99" s="353" t="s">
        <v>502</v>
      </c>
      <c r="C99" s="354">
        <v>74932</v>
      </c>
      <c r="D99" s="355">
        <v>38430</v>
      </c>
      <c r="E99" s="369">
        <v>3747</v>
      </c>
      <c r="F99" s="369"/>
      <c r="G99" s="356">
        <f t="shared" si="8"/>
        <v>3747</v>
      </c>
      <c r="H99" s="357">
        <f t="shared" si="9"/>
        <v>3746.6000000000004</v>
      </c>
      <c r="I99" s="356">
        <f t="shared" si="13"/>
        <v>0.3999999999996362</v>
      </c>
      <c r="J99" s="356">
        <v>3</v>
      </c>
      <c r="K99" s="356">
        <f t="shared" si="10"/>
        <v>16.043835616438358</v>
      </c>
      <c r="L99" s="356">
        <f t="shared" si="11"/>
        <v>-13.043835616438358</v>
      </c>
      <c r="M99" s="359">
        <f t="shared" si="14"/>
        <v>0</v>
      </c>
      <c r="N99" s="356">
        <f t="shared" si="12"/>
        <v>0</v>
      </c>
      <c r="O99" s="367" t="s">
        <v>579</v>
      </c>
    </row>
    <row r="100" spans="1:15" x14ac:dyDescent="0.2">
      <c r="A100" s="76">
        <f t="shared" ref="A100" si="36">+A99+1</f>
        <v>24</v>
      </c>
      <c r="B100" s="361" t="s">
        <v>503</v>
      </c>
      <c r="C100" s="354">
        <v>23000</v>
      </c>
      <c r="D100" s="355">
        <v>38434</v>
      </c>
      <c r="E100" s="369">
        <v>1150</v>
      </c>
      <c r="F100" s="369"/>
      <c r="G100" s="356">
        <f t="shared" si="8"/>
        <v>1150</v>
      </c>
      <c r="H100" s="357">
        <f t="shared" si="9"/>
        <v>1150</v>
      </c>
      <c r="I100" s="356">
        <f t="shared" si="13"/>
        <v>0</v>
      </c>
      <c r="J100" s="356">
        <v>3</v>
      </c>
      <c r="K100" s="356">
        <f t="shared" si="10"/>
        <v>16.032876712328768</v>
      </c>
      <c r="L100" s="356">
        <f t="shared" si="11"/>
        <v>-13.032876712328768</v>
      </c>
      <c r="M100" s="359">
        <f t="shared" si="14"/>
        <v>0</v>
      </c>
      <c r="N100" s="356">
        <f t="shared" si="12"/>
        <v>0</v>
      </c>
      <c r="O100" s="367" t="s">
        <v>579</v>
      </c>
    </row>
    <row r="101" spans="1:15" x14ac:dyDescent="0.2">
      <c r="A101" s="76">
        <v>24</v>
      </c>
      <c r="B101" s="79" t="s">
        <v>504</v>
      </c>
      <c r="C101" s="82">
        <v>24960</v>
      </c>
      <c r="D101" s="131">
        <v>38491</v>
      </c>
      <c r="E101" s="282">
        <v>1248</v>
      </c>
      <c r="F101" s="282"/>
      <c r="G101" s="37">
        <f t="shared" si="8"/>
        <v>1248</v>
      </c>
      <c r="H101" s="52">
        <f t="shared" si="9"/>
        <v>1248</v>
      </c>
      <c r="I101" s="37">
        <f t="shared" si="13"/>
        <v>0</v>
      </c>
      <c r="J101" s="37">
        <v>3</v>
      </c>
      <c r="K101" s="37">
        <f t="shared" si="10"/>
        <v>15.876712328767123</v>
      </c>
      <c r="L101" s="37">
        <f t="shared" si="11"/>
        <v>-12.876712328767123</v>
      </c>
      <c r="M101" s="84">
        <f t="shared" si="14"/>
        <v>0</v>
      </c>
      <c r="N101" s="37">
        <f t="shared" si="12"/>
        <v>0</v>
      </c>
    </row>
    <row r="102" spans="1:15" x14ac:dyDescent="0.2">
      <c r="A102" s="76">
        <f t="shared" ref="A102" si="37">+A101+1</f>
        <v>25</v>
      </c>
      <c r="B102" s="132" t="s">
        <v>505</v>
      </c>
      <c r="C102" s="82">
        <v>7900</v>
      </c>
      <c r="D102" s="131">
        <v>38560</v>
      </c>
      <c r="E102" s="282">
        <v>395</v>
      </c>
      <c r="F102" s="282"/>
      <c r="G102" s="37">
        <f t="shared" si="8"/>
        <v>395</v>
      </c>
      <c r="H102" s="52">
        <f t="shared" si="9"/>
        <v>395</v>
      </c>
      <c r="I102" s="37">
        <f t="shared" si="13"/>
        <v>0</v>
      </c>
      <c r="J102" s="37">
        <v>3</v>
      </c>
      <c r="K102" s="37">
        <f t="shared" si="10"/>
        <v>15.687671232876712</v>
      </c>
      <c r="L102" s="37">
        <f t="shared" si="11"/>
        <v>-12.687671232876712</v>
      </c>
      <c r="M102" s="84">
        <f t="shared" si="14"/>
        <v>0</v>
      </c>
      <c r="N102" s="37">
        <f t="shared" si="12"/>
        <v>0</v>
      </c>
    </row>
    <row r="103" spans="1:15" x14ac:dyDescent="0.2">
      <c r="A103" s="76">
        <v>25</v>
      </c>
      <c r="B103" s="79" t="s">
        <v>506</v>
      </c>
      <c r="C103" s="82">
        <v>12000</v>
      </c>
      <c r="D103" s="131">
        <v>38713</v>
      </c>
      <c r="E103" s="282">
        <v>600</v>
      </c>
      <c r="F103" s="282"/>
      <c r="G103" s="37">
        <f t="shared" si="8"/>
        <v>600</v>
      </c>
      <c r="H103" s="52">
        <f t="shared" si="9"/>
        <v>600</v>
      </c>
      <c r="I103" s="37">
        <f t="shared" si="13"/>
        <v>0</v>
      </c>
      <c r="J103" s="37">
        <v>6</v>
      </c>
      <c r="K103" s="37">
        <f t="shared" si="10"/>
        <v>15.268493150684931</v>
      </c>
      <c r="L103" s="37">
        <f t="shared" si="11"/>
        <v>-9.2684931506849306</v>
      </c>
      <c r="M103" s="84">
        <f t="shared" si="14"/>
        <v>0</v>
      </c>
      <c r="N103" s="37">
        <f t="shared" si="12"/>
        <v>0</v>
      </c>
    </row>
    <row r="104" spans="1:15" x14ac:dyDescent="0.2">
      <c r="A104" s="76">
        <f t="shared" ref="A104" si="38">+A103+1</f>
        <v>26</v>
      </c>
      <c r="B104" s="361" t="s">
        <v>507</v>
      </c>
      <c r="C104" s="354">
        <v>30964</v>
      </c>
      <c r="D104" s="355">
        <v>38754</v>
      </c>
      <c r="E104" s="369">
        <v>1548</v>
      </c>
      <c r="F104" s="369"/>
      <c r="G104" s="356">
        <f t="shared" si="8"/>
        <v>1548</v>
      </c>
      <c r="H104" s="357">
        <f t="shared" si="9"/>
        <v>1548.2</v>
      </c>
      <c r="I104" s="356">
        <f t="shared" si="13"/>
        <v>-0.20000000000004547</v>
      </c>
      <c r="J104" s="356">
        <v>3</v>
      </c>
      <c r="K104" s="356">
        <f t="shared" si="10"/>
        <v>15.156164383561643</v>
      </c>
      <c r="L104" s="356">
        <f t="shared" si="11"/>
        <v>-12.156164383561643</v>
      </c>
      <c r="M104" s="359">
        <f t="shared" si="14"/>
        <v>0</v>
      </c>
      <c r="N104" s="356">
        <f t="shared" si="12"/>
        <v>0</v>
      </c>
      <c r="O104" s="367" t="s">
        <v>579</v>
      </c>
    </row>
    <row r="105" spans="1:15" x14ac:dyDescent="0.2">
      <c r="A105" s="76">
        <v>26</v>
      </c>
      <c r="B105" s="353" t="s">
        <v>508</v>
      </c>
      <c r="C105" s="354">
        <v>2288</v>
      </c>
      <c r="D105" s="355">
        <v>38754</v>
      </c>
      <c r="E105" s="369">
        <v>114</v>
      </c>
      <c r="F105" s="369"/>
      <c r="G105" s="356">
        <f t="shared" si="8"/>
        <v>114</v>
      </c>
      <c r="H105" s="357">
        <f t="shared" si="9"/>
        <v>114.4</v>
      </c>
      <c r="I105" s="356">
        <f t="shared" si="13"/>
        <v>-0.40000000000000568</v>
      </c>
      <c r="J105" s="356">
        <v>3</v>
      </c>
      <c r="K105" s="356">
        <f t="shared" si="10"/>
        <v>15.156164383561643</v>
      </c>
      <c r="L105" s="356">
        <f t="shared" si="11"/>
        <v>-12.156164383561643</v>
      </c>
      <c r="M105" s="359">
        <f t="shared" si="14"/>
        <v>0</v>
      </c>
      <c r="N105" s="356">
        <f t="shared" si="12"/>
        <v>0</v>
      </c>
      <c r="O105" s="367" t="s">
        <v>579</v>
      </c>
    </row>
    <row r="106" spans="1:15" x14ac:dyDescent="0.2">
      <c r="A106" s="76">
        <f t="shared" ref="A106" si="39">+A105+1</f>
        <v>27</v>
      </c>
      <c r="B106" s="79" t="s">
        <v>509</v>
      </c>
      <c r="C106" s="82">
        <v>9058</v>
      </c>
      <c r="D106" s="131">
        <v>38754</v>
      </c>
      <c r="E106" s="282">
        <v>453</v>
      </c>
      <c r="F106" s="282"/>
      <c r="G106" s="37">
        <f t="shared" si="8"/>
        <v>453</v>
      </c>
      <c r="H106" s="52">
        <f t="shared" si="9"/>
        <v>452.90000000000003</v>
      </c>
      <c r="I106" s="37">
        <f t="shared" si="13"/>
        <v>9.9999999999965894E-2</v>
      </c>
      <c r="J106" s="37">
        <v>3</v>
      </c>
      <c r="K106" s="37">
        <f t="shared" si="10"/>
        <v>15.156164383561643</v>
      </c>
      <c r="L106" s="37">
        <f t="shared" si="11"/>
        <v>-12.156164383561643</v>
      </c>
      <c r="M106" s="84">
        <f t="shared" si="14"/>
        <v>0</v>
      </c>
      <c r="N106" s="37">
        <f t="shared" si="12"/>
        <v>0</v>
      </c>
    </row>
    <row r="107" spans="1:15" x14ac:dyDescent="0.2">
      <c r="A107" s="76">
        <v>27</v>
      </c>
      <c r="B107" s="132" t="s">
        <v>510</v>
      </c>
      <c r="C107" s="82">
        <v>43400</v>
      </c>
      <c r="D107" s="131">
        <v>38782</v>
      </c>
      <c r="E107" s="282">
        <v>2170</v>
      </c>
      <c r="F107" s="282"/>
      <c r="G107" s="37">
        <f t="shared" si="8"/>
        <v>2170</v>
      </c>
      <c r="H107" s="52">
        <f t="shared" si="9"/>
        <v>2170</v>
      </c>
      <c r="I107" s="37">
        <f t="shared" si="13"/>
        <v>0</v>
      </c>
      <c r="J107" s="37">
        <v>3</v>
      </c>
      <c r="K107" s="37">
        <f t="shared" si="10"/>
        <v>15.079452054794521</v>
      </c>
      <c r="L107" s="37">
        <f t="shared" si="11"/>
        <v>-12.079452054794521</v>
      </c>
      <c r="M107" s="84">
        <f t="shared" si="14"/>
        <v>0</v>
      </c>
      <c r="N107" s="37">
        <f t="shared" si="12"/>
        <v>0</v>
      </c>
    </row>
    <row r="108" spans="1:15" x14ac:dyDescent="0.2">
      <c r="A108" s="76">
        <f t="shared" ref="A108" si="40">+A107+1</f>
        <v>28</v>
      </c>
      <c r="B108" s="353" t="s">
        <v>511</v>
      </c>
      <c r="C108" s="354">
        <v>11648</v>
      </c>
      <c r="D108" s="355">
        <v>38794</v>
      </c>
      <c r="E108" s="369">
        <v>582</v>
      </c>
      <c r="F108" s="369"/>
      <c r="G108" s="356">
        <f t="shared" si="8"/>
        <v>582</v>
      </c>
      <c r="H108" s="357">
        <f t="shared" si="9"/>
        <v>582.4</v>
      </c>
      <c r="I108" s="356">
        <f t="shared" si="13"/>
        <v>-0.39999999999997726</v>
      </c>
      <c r="J108" s="356">
        <v>3</v>
      </c>
      <c r="K108" s="356">
        <f t="shared" si="10"/>
        <v>15.046575342465754</v>
      </c>
      <c r="L108" s="356">
        <f t="shared" si="11"/>
        <v>-12.046575342465754</v>
      </c>
      <c r="M108" s="359">
        <f t="shared" si="14"/>
        <v>0</v>
      </c>
      <c r="N108" s="356">
        <f t="shared" si="12"/>
        <v>0</v>
      </c>
      <c r="O108" s="367" t="s">
        <v>579</v>
      </c>
    </row>
    <row r="109" spans="1:15" x14ac:dyDescent="0.2">
      <c r="A109" s="76">
        <v>28</v>
      </c>
      <c r="B109" s="353" t="s">
        <v>512</v>
      </c>
      <c r="C109" s="354">
        <v>7176</v>
      </c>
      <c r="D109" s="355">
        <v>39022</v>
      </c>
      <c r="E109" s="369">
        <v>359</v>
      </c>
      <c r="F109" s="369"/>
      <c r="G109" s="356">
        <f t="shared" si="8"/>
        <v>359</v>
      </c>
      <c r="H109" s="357">
        <f t="shared" si="9"/>
        <v>358.8</v>
      </c>
      <c r="I109" s="356">
        <f t="shared" si="13"/>
        <v>0.19999999999998863</v>
      </c>
      <c r="J109" s="356">
        <v>3</v>
      </c>
      <c r="K109" s="356">
        <f t="shared" si="10"/>
        <v>14.421917808219177</v>
      </c>
      <c r="L109" s="356">
        <f t="shared" si="11"/>
        <v>-11.421917808219177</v>
      </c>
      <c r="M109" s="359">
        <f t="shared" si="14"/>
        <v>0</v>
      </c>
      <c r="N109" s="356">
        <f t="shared" si="12"/>
        <v>0</v>
      </c>
      <c r="O109" s="367" t="s">
        <v>579</v>
      </c>
    </row>
    <row r="110" spans="1:15" x14ac:dyDescent="0.2">
      <c r="A110" s="76">
        <f t="shared" ref="A110" si="41">+A109+1</f>
        <v>29</v>
      </c>
      <c r="B110" s="353" t="s">
        <v>513</v>
      </c>
      <c r="C110" s="354">
        <v>7165</v>
      </c>
      <c r="D110" s="355">
        <v>38810</v>
      </c>
      <c r="E110" s="369">
        <v>0</v>
      </c>
      <c r="F110" s="369"/>
      <c r="G110" s="356">
        <f t="shared" si="8"/>
        <v>0</v>
      </c>
      <c r="H110" s="357">
        <f>+E110</f>
        <v>0</v>
      </c>
      <c r="I110" s="356">
        <f t="shared" si="13"/>
        <v>0</v>
      </c>
      <c r="J110" s="356">
        <v>3</v>
      </c>
      <c r="K110" s="356">
        <f t="shared" si="10"/>
        <v>15.002739726027396</v>
      </c>
      <c r="L110" s="356">
        <f t="shared" si="11"/>
        <v>-12.002739726027396</v>
      </c>
      <c r="M110" s="359">
        <f t="shared" si="14"/>
        <v>0</v>
      </c>
      <c r="N110" s="356">
        <f t="shared" si="12"/>
        <v>0</v>
      </c>
      <c r="O110" s="367" t="s">
        <v>579</v>
      </c>
    </row>
    <row r="111" spans="1:15" x14ac:dyDescent="0.2">
      <c r="A111" s="76">
        <v>29</v>
      </c>
      <c r="B111" s="353" t="s">
        <v>514</v>
      </c>
      <c r="C111" s="354">
        <v>5200</v>
      </c>
      <c r="D111" s="355">
        <v>39161</v>
      </c>
      <c r="E111" s="369">
        <v>260</v>
      </c>
      <c r="F111" s="369"/>
      <c r="G111" s="356">
        <f t="shared" si="8"/>
        <v>260</v>
      </c>
      <c r="H111" s="357">
        <f t="shared" si="9"/>
        <v>260</v>
      </c>
      <c r="I111" s="356">
        <f t="shared" si="13"/>
        <v>0</v>
      </c>
      <c r="J111" s="356">
        <v>3</v>
      </c>
      <c r="K111" s="356">
        <f t="shared" si="10"/>
        <v>14.04109589041096</v>
      </c>
      <c r="L111" s="356">
        <f t="shared" si="11"/>
        <v>-11.04109589041096</v>
      </c>
      <c r="M111" s="359">
        <f t="shared" si="14"/>
        <v>0</v>
      </c>
      <c r="N111" s="356">
        <f t="shared" si="12"/>
        <v>0</v>
      </c>
      <c r="O111" s="367" t="s">
        <v>579</v>
      </c>
    </row>
    <row r="112" spans="1:15" x14ac:dyDescent="0.2">
      <c r="A112" s="76">
        <f t="shared" ref="A112" si="42">+A111+1</f>
        <v>30</v>
      </c>
      <c r="B112" s="79" t="s">
        <v>515</v>
      </c>
      <c r="C112" s="82">
        <v>23088</v>
      </c>
      <c r="D112" s="131">
        <v>39161</v>
      </c>
      <c r="E112" s="282">
        <v>1154</v>
      </c>
      <c r="F112" s="282"/>
      <c r="G112" s="37">
        <f t="shared" si="8"/>
        <v>1154</v>
      </c>
      <c r="H112" s="52">
        <f t="shared" si="9"/>
        <v>1154.4000000000001</v>
      </c>
      <c r="I112" s="37">
        <f t="shared" si="13"/>
        <v>-0.40000000000009095</v>
      </c>
      <c r="J112" s="37">
        <v>3</v>
      </c>
      <c r="K112" s="37">
        <f t="shared" si="10"/>
        <v>14.04109589041096</v>
      </c>
      <c r="L112" s="37">
        <f t="shared" si="11"/>
        <v>-11.04109589041096</v>
      </c>
      <c r="M112" s="84">
        <f t="shared" si="14"/>
        <v>0</v>
      </c>
      <c r="N112" s="37">
        <f t="shared" si="12"/>
        <v>0</v>
      </c>
    </row>
    <row r="113" spans="1:15" x14ac:dyDescent="0.2">
      <c r="A113" s="76">
        <v>30</v>
      </c>
      <c r="B113" s="362" t="s">
        <v>516</v>
      </c>
      <c r="C113" s="354">
        <v>4004</v>
      </c>
      <c r="D113" s="355">
        <v>39393</v>
      </c>
      <c r="E113" s="369">
        <v>200</v>
      </c>
      <c r="F113" s="369"/>
      <c r="G113" s="356">
        <f t="shared" si="8"/>
        <v>200</v>
      </c>
      <c r="H113" s="357">
        <f t="shared" si="9"/>
        <v>200.20000000000002</v>
      </c>
      <c r="I113" s="356">
        <f t="shared" si="13"/>
        <v>-0.20000000000001705</v>
      </c>
      <c r="J113" s="356">
        <v>3</v>
      </c>
      <c r="K113" s="356">
        <f t="shared" si="10"/>
        <v>13.405479452054795</v>
      </c>
      <c r="L113" s="356">
        <f t="shared" si="11"/>
        <v>-10.405479452054795</v>
      </c>
      <c r="M113" s="359">
        <f t="shared" si="14"/>
        <v>0</v>
      </c>
      <c r="N113" s="356">
        <f t="shared" si="12"/>
        <v>0</v>
      </c>
      <c r="O113" s="367" t="s">
        <v>579</v>
      </c>
    </row>
    <row r="114" spans="1:15" x14ac:dyDescent="0.2">
      <c r="A114" s="76">
        <f t="shared" ref="A114" si="43">+A113+1</f>
        <v>31</v>
      </c>
      <c r="B114" s="353" t="s">
        <v>517</v>
      </c>
      <c r="C114" s="354">
        <v>13520</v>
      </c>
      <c r="D114" s="355">
        <v>39337</v>
      </c>
      <c r="E114" s="369">
        <v>676</v>
      </c>
      <c r="F114" s="369"/>
      <c r="G114" s="356">
        <f t="shared" si="8"/>
        <v>676</v>
      </c>
      <c r="H114" s="357">
        <f t="shared" si="9"/>
        <v>676</v>
      </c>
      <c r="I114" s="356">
        <f t="shared" si="13"/>
        <v>0</v>
      </c>
      <c r="J114" s="356">
        <v>3</v>
      </c>
      <c r="K114" s="356">
        <f t="shared" si="10"/>
        <v>13.558904109589042</v>
      </c>
      <c r="L114" s="356">
        <f t="shared" si="11"/>
        <v>-10.558904109589042</v>
      </c>
      <c r="M114" s="359">
        <f t="shared" si="14"/>
        <v>0</v>
      </c>
      <c r="N114" s="356">
        <f t="shared" si="12"/>
        <v>0</v>
      </c>
      <c r="O114" s="367" t="s">
        <v>579</v>
      </c>
    </row>
    <row r="115" spans="1:15" x14ac:dyDescent="0.2">
      <c r="A115" s="76">
        <v>31</v>
      </c>
      <c r="B115" s="79" t="s">
        <v>518</v>
      </c>
      <c r="C115" s="82">
        <v>9828</v>
      </c>
      <c r="D115" s="131">
        <v>39701</v>
      </c>
      <c r="E115" s="282">
        <v>491</v>
      </c>
      <c r="F115" s="282"/>
      <c r="G115" s="37">
        <f t="shared" si="8"/>
        <v>491</v>
      </c>
      <c r="H115" s="52">
        <f t="shared" si="9"/>
        <v>491.40000000000003</v>
      </c>
      <c r="I115" s="37">
        <f t="shared" si="13"/>
        <v>-0.40000000000003411</v>
      </c>
      <c r="J115" s="37">
        <v>3</v>
      </c>
      <c r="K115" s="37">
        <f t="shared" si="10"/>
        <v>12.561643835616438</v>
      </c>
      <c r="L115" s="37">
        <f t="shared" si="11"/>
        <v>-9.5616438356164384</v>
      </c>
      <c r="M115" s="84">
        <f t="shared" si="14"/>
        <v>0</v>
      </c>
      <c r="N115" s="37">
        <f t="shared" si="12"/>
        <v>0</v>
      </c>
    </row>
    <row r="116" spans="1:15" x14ac:dyDescent="0.2">
      <c r="A116" s="76">
        <f t="shared" ref="A116" si="44">+A115+1</f>
        <v>32</v>
      </c>
      <c r="B116" s="361" t="s">
        <v>519</v>
      </c>
      <c r="C116" s="354">
        <v>2626</v>
      </c>
      <c r="D116" s="355">
        <v>39713</v>
      </c>
      <c r="E116" s="369">
        <v>131</v>
      </c>
      <c r="F116" s="369"/>
      <c r="G116" s="356">
        <f t="shared" ref="G116:G135" si="45">E116+F116-N116</f>
        <v>131</v>
      </c>
      <c r="H116" s="357">
        <f t="shared" ref="H116:H135" si="46">(C116+F116)*5%</f>
        <v>131.30000000000001</v>
      </c>
      <c r="I116" s="356">
        <f t="shared" si="13"/>
        <v>-0.30000000000001137</v>
      </c>
      <c r="J116" s="356">
        <v>3</v>
      </c>
      <c r="K116" s="356">
        <f t="shared" ref="K116:K131" si="47">($K$1-D116)/365</f>
        <v>12.528767123287672</v>
      </c>
      <c r="L116" s="356">
        <f t="shared" ref="L116:L135" si="48">J116-K116</f>
        <v>-9.5287671232876718</v>
      </c>
      <c r="M116" s="359">
        <f t="shared" si="14"/>
        <v>0</v>
      </c>
      <c r="N116" s="356">
        <f t="shared" ref="N116:N135" si="49">(E116+F116)*M116</f>
        <v>0</v>
      </c>
      <c r="O116" s="367" t="s">
        <v>579</v>
      </c>
    </row>
    <row r="117" spans="1:15" x14ac:dyDescent="0.2">
      <c r="A117" s="76">
        <v>32</v>
      </c>
      <c r="B117" s="79" t="s">
        <v>520</v>
      </c>
      <c r="C117" s="82">
        <v>52520</v>
      </c>
      <c r="D117" s="131">
        <v>40030</v>
      </c>
      <c r="E117" s="282">
        <v>2626</v>
      </c>
      <c r="F117" s="282"/>
      <c r="G117" s="37">
        <f t="shared" si="45"/>
        <v>2626</v>
      </c>
      <c r="H117" s="52">
        <f t="shared" si="46"/>
        <v>2626</v>
      </c>
      <c r="I117" s="37">
        <f t="shared" ref="I117:I135" si="50">E117+F117-H117</f>
        <v>0</v>
      </c>
      <c r="J117" s="37">
        <v>3</v>
      </c>
      <c r="K117" s="37">
        <f t="shared" si="47"/>
        <v>11.66027397260274</v>
      </c>
      <c r="L117" s="37">
        <f t="shared" si="48"/>
        <v>-8.6602739726027398</v>
      </c>
      <c r="M117" s="84">
        <f t="shared" ref="M117:M130" si="51">IF(L117&gt;0,(1-(H117/(E117+F117))^(1/J117)),0)</f>
        <v>0</v>
      </c>
      <c r="N117" s="37">
        <f t="shared" si="49"/>
        <v>0</v>
      </c>
    </row>
    <row r="118" spans="1:15" x14ac:dyDescent="0.2">
      <c r="A118" s="76">
        <f t="shared" ref="A118" si="52">+A117+1</f>
        <v>33</v>
      </c>
      <c r="B118" s="79" t="s">
        <v>521</v>
      </c>
      <c r="C118" s="82">
        <v>17108</v>
      </c>
      <c r="D118" s="131">
        <v>40225</v>
      </c>
      <c r="E118" s="282">
        <v>855</v>
      </c>
      <c r="F118" s="282"/>
      <c r="G118" s="37">
        <f t="shared" si="45"/>
        <v>855</v>
      </c>
      <c r="H118" s="52">
        <f t="shared" si="46"/>
        <v>855.40000000000009</v>
      </c>
      <c r="I118" s="37">
        <f t="shared" si="50"/>
        <v>-0.40000000000009095</v>
      </c>
      <c r="J118" s="37">
        <v>3</v>
      </c>
      <c r="K118" s="37">
        <f t="shared" si="47"/>
        <v>11.126027397260273</v>
      </c>
      <c r="L118" s="37">
        <f t="shared" si="48"/>
        <v>-8.1260273972602732</v>
      </c>
      <c r="M118" s="84">
        <f t="shared" si="51"/>
        <v>0</v>
      </c>
      <c r="N118" s="37">
        <f t="shared" si="49"/>
        <v>0</v>
      </c>
    </row>
    <row r="119" spans="1:15" x14ac:dyDescent="0.2">
      <c r="A119" s="76">
        <v>33</v>
      </c>
      <c r="B119" s="79" t="s">
        <v>522</v>
      </c>
      <c r="C119" s="82">
        <v>5876</v>
      </c>
      <c r="D119" s="131">
        <v>40221</v>
      </c>
      <c r="E119" s="282">
        <v>294</v>
      </c>
      <c r="F119" s="282"/>
      <c r="G119" s="37">
        <f t="shared" si="45"/>
        <v>294</v>
      </c>
      <c r="H119" s="52">
        <f t="shared" si="46"/>
        <v>293.8</v>
      </c>
      <c r="I119" s="37">
        <f t="shared" si="50"/>
        <v>0.19999999999998863</v>
      </c>
      <c r="J119" s="37">
        <v>3</v>
      </c>
      <c r="K119" s="37">
        <f t="shared" si="47"/>
        <v>11.136986301369863</v>
      </c>
      <c r="L119" s="37">
        <f t="shared" si="48"/>
        <v>-8.1369863013698627</v>
      </c>
      <c r="M119" s="84">
        <f t="shared" si="51"/>
        <v>0</v>
      </c>
      <c r="N119" s="37">
        <f t="shared" si="49"/>
        <v>0</v>
      </c>
    </row>
    <row r="120" spans="1:15" x14ac:dyDescent="0.2">
      <c r="A120" s="76">
        <f t="shared" ref="A120" si="53">+A119+1</f>
        <v>34</v>
      </c>
      <c r="B120" s="79" t="s">
        <v>521</v>
      </c>
      <c r="C120" s="82">
        <v>17108</v>
      </c>
      <c r="D120" s="131">
        <v>40242</v>
      </c>
      <c r="E120" s="282">
        <v>855</v>
      </c>
      <c r="F120" s="282"/>
      <c r="G120" s="37">
        <f t="shared" si="45"/>
        <v>855</v>
      </c>
      <c r="H120" s="52">
        <f t="shared" si="46"/>
        <v>855.40000000000009</v>
      </c>
      <c r="I120" s="37">
        <f t="shared" si="50"/>
        <v>-0.40000000000009095</v>
      </c>
      <c r="J120" s="37">
        <v>3</v>
      </c>
      <c r="K120" s="37">
        <f t="shared" si="47"/>
        <v>11.079452054794521</v>
      </c>
      <c r="L120" s="37">
        <f t="shared" si="48"/>
        <v>-8.0794520547945208</v>
      </c>
      <c r="M120" s="84">
        <f t="shared" si="51"/>
        <v>0</v>
      </c>
      <c r="N120" s="37">
        <f t="shared" si="49"/>
        <v>0</v>
      </c>
    </row>
    <row r="121" spans="1:15" x14ac:dyDescent="0.2">
      <c r="A121" s="76">
        <v>34</v>
      </c>
      <c r="B121" s="79" t="s">
        <v>523</v>
      </c>
      <c r="C121" s="82">
        <v>17420</v>
      </c>
      <c r="D121" s="131">
        <v>40303</v>
      </c>
      <c r="E121" s="282">
        <v>871</v>
      </c>
      <c r="F121" s="282"/>
      <c r="G121" s="37">
        <f t="shared" si="45"/>
        <v>871</v>
      </c>
      <c r="H121" s="52">
        <f t="shared" si="46"/>
        <v>871</v>
      </c>
      <c r="I121" s="37">
        <f t="shared" si="50"/>
        <v>0</v>
      </c>
      <c r="J121" s="37">
        <v>3</v>
      </c>
      <c r="K121" s="37">
        <f t="shared" si="47"/>
        <v>10.912328767123288</v>
      </c>
      <c r="L121" s="37">
        <f t="shared" si="48"/>
        <v>-7.912328767123288</v>
      </c>
      <c r="M121" s="84">
        <f t="shared" si="51"/>
        <v>0</v>
      </c>
      <c r="N121" s="37">
        <f t="shared" si="49"/>
        <v>0</v>
      </c>
    </row>
    <row r="122" spans="1:15" x14ac:dyDescent="0.2">
      <c r="A122" s="76">
        <f t="shared" ref="A122" si="54">+A121+1</f>
        <v>35</v>
      </c>
      <c r="B122" s="79" t="s">
        <v>524</v>
      </c>
      <c r="C122" s="82">
        <v>6396</v>
      </c>
      <c r="D122" s="131">
        <v>40333</v>
      </c>
      <c r="E122" s="282">
        <v>320</v>
      </c>
      <c r="F122" s="282"/>
      <c r="G122" s="37">
        <f t="shared" si="45"/>
        <v>320</v>
      </c>
      <c r="H122" s="52">
        <f t="shared" si="46"/>
        <v>319.8</v>
      </c>
      <c r="I122" s="37">
        <f t="shared" si="50"/>
        <v>0.19999999999998863</v>
      </c>
      <c r="J122" s="37">
        <v>3</v>
      </c>
      <c r="K122" s="37">
        <f t="shared" si="47"/>
        <v>10.830136986301369</v>
      </c>
      <c r="L122" s="37">
        <f t="shared" si="48"/>
        <v>-7.830136986301369</v>
      </c>
      <c r="M122" s="84">
        <f t="shared" si="51"/>
        <v>0</v>
      </c>
      <c r="N122" s="37">
        <f t="shared" si="49"/>
        <v>0</v>
      </c>
    </row>
    <row r="123" spans="1:15" x14ac:dyDescent="0.2">
      <c r="A123" s="76">
        <v>35</v>
      </c>
      <c r="B123" s="79" t="s">
        <v>525</v>
      </c>
      <c r="C123" s="82">
        <v>37960</v>
      </c>
      <c r="D123" s="131">
        <v>40893</v>
      </c>
      <c r="E123" s="282">
        <v>1898</v>
      </c>
      <c r="F123" s="282"/>
      <c r="G123" s="37">
        <f t="shared" si="45"/>
        <v>1898</v>
      </c>
      <c r="H123" s="52">
        <f t="shared" si="46"/>
        <v>1898</v>
      </c>
      <c r="I123" s="37">
        <f t="shared" si="50"/>
        <v>0</v>
      </c>
      <c r="J123" s="37">
        <v>3</v>
      </c>
      <c r="K123" s="37">
        <f t="shared" si="47"/>
        <v>9.2958904109589042</v>
      </c>
      <c r="L123" s="37">
        <f t="shared" si="48"/>
        <v>-6.2958904109589042</v>
      </c>
      <c r="M123" s="84">
        <f t="shared" si="51"/>
        <v>0</v>
      </c>
      <c r="N123" s="37">
        <f t="shared" si="49"/>
        <v>0</v>
      </c>
    </row>
    <row r="124" spans="1:15" x14ac:dyDescent="0.2">
      <c r="A124" s="76">
        <f t="shared" ref="A124" si="55">+A123+1</f>
        <v>36</v>
      </c>
      <c r="B124" s="353" t="s">
        <v>526</v>
      </c>
      <c r="C124" s="354">
        <v>13104</v>
      </c>
      <c r="D124" s="355">
        <v>40892</v>
      </c>
      <c r="E124" s="369">
        <v>655</v>
      </c>
      <c r="F124" s="369"/>
      <c r="G124" s="356">
        <f t="shared" si="45"/>
        <v>655</v>
      </c>
      <c r="H124" s="357">
        <f t="shared" si="46"/>
        <v>655.20000000000005</v>
      </c>
      <c r="I124" s="356">
        <f t="shared" si="50"/>
        <v>-0.20000000000004547</v>
      </c>
      <c r="J124" s="356">
        <v>3</v>
      </c>
      <c r="K124" s="356">
        <f t="shared" si="47"/>
        <v>9.2986301369863007</v>
      </c>
      <c r="L124" s="356">
        <f t="shared" si="48"/>
        <v>-6.2986301369863007</v>
      </c>
      <c r="M124" s="359">
        <f t="shared" si="51"/>
        <v>0</v>
      </c>
      <c r="N124" s="356">
        <f t="shared" si="49"/>
        <v>0</v>
      </c>
      <c r="O124" s="367" t="s">
        <v>579</v>
      </c>
    </row>
    <row r="125" spans="1:15" x14ac:dyDescent="0.2">
      <c r="A125" s="76">
        <v>36</v>
      </c>
      <c r="B125" s="353" t="s">
        <v>527</v>
      </c>
      <c r="C125" s="354">
        <v>5000</v>
      </c>
      <c r="D125" s="355">
        <v>40955</v>
      </c>
      <c r="E125" s="369">
        <v>250</v>
      </c>
      <c r="F125" s="369"/>
      <c r="G125" s="356">
        <f t="shared" si="45"/>
        <v>250</v>
      </c>
      <c r="H125" s="357">
        <f t="shared" si="46"/>
        <v>250</v>
      </c>
      <c r="I125" s="356">
        <f t="shared" si="50"/>
        <v>0</v>
      </c>
      <c r="J125" s="356">
        <v>3</v>
      </c>
      <c r="K125" s="356">
        <f t="shared" si="47"/>
        <v>9.1260273972602732</v>
      </c>
      <c r="L125" s="356">
        <f t="shared" si="48"/>
        <v>-6.1260273972602732</v>
      </c>
      <c r="M125" s="359">
        <f t="shared" si="51"/>
        <v>0</v>
      </c>
      <c r="N125" s="356">
        <f t="shared" si="49"/>
        <v>0</v>
      </c>
      <c r="O125" s="367" t="s">
        <v>579</v>
      </c>
    </row>
    <row r="126" spans="1:15" x14ac:dyDescent="0.2">
      <c r="A126" s="76">
        <f t="shared" ref="A126" si="56">+A125+1</f>
        <v>37</v>
      </c>
      <c r="B126" s="353" t="s">
        <v>528</v>
      </c>
      <c r="C126" s="354">
        <v>7613</v>
      </c>
      <c r="D126" s="355">
        <v>41635</v>
      </c>
      <c r="E126" s="369">
        <v>381</v>
      </c>
      <c r="F126" s="369"/>
      <c r="G126" s="356">
        <f t="shared" si="45"/>
        <v>381</v>
      </c>
      <c r="H126" s="357">
        <f t="shared" si="46"/>
        <v>380.65000000000003</v>
      </c>
      <c r="I126" s="356">
        <f t="shared" si="50"/>
        <v>0.34999999999996589</v>
      </c>
      <c r="J126" s="356">
        <v>3</v>
      </c>
      <c r="K126" s="356">
        <f t="shared" si="47"/>
        <v>7.2630136986301368</v>
      </c>
      <c r="L126" s="356">
        <f t="shared" si="48"/>
        <v>-4.2630136986301368</v>
      </c>
      <c r="M126" s="359">
        <f t="shared" si="51"/>
        <v>0</v>
      </c>
      <c r="N126" s="356">
        <f t="shared" si="49"/>
        <v>0</v>
      </c>
      <c r="O126" s="367" t="s">
        <v>579</v>
      </c>
    </row>
    <row r="127" spans="1:15" x14ac:dyDescent="0.2">
      <c r="A127" s="76">
        <v>37</v>
      </c>
      <c r="B127" s="70" t="s">
        <v>529</v>
      </c>
      <c r="C127" s="37">
        <v>30300</v>
      </c>
      <c r="D127" s="126">
        <v>42124</v>
      </c>
      <c r="E127" s="282">
        <v>9786</v>
      </c>
      <c r="F127" s="282"/>
      <c r="G127" s="37">
        <f t="shared" si="45"/>
        <v>9786</v>
      </c>
      <c r="H127" s="52">
        <f t="shared" si="46"/>
        <v>1515</v>
      </c>
      <c r="I127" s="37">
        <f t="shared" si="50"/>
        <v>8271</v>
      </c>
      <c r="J127" s="37">
        <v>3</v>
      </c>
      <c r="K127" s="37">
        <f t="shared" si="47"/>
        <v>5.9232876712328766</v>
      </c>
      <c r="L127" s="37">
        <f t="shared" si="48"/>
        <v>-2.9232876712328766</v>
      </c>
      <c r="M127" s="84">
        <f t="shared" si="51"/>
        <v>0</v>
      </c>
      <c r="N127" s="37">
        <f t="shared" si="49"/>
        <v>0</v>
      </c>
    </row>
    <row r="128" spans="1:15" x14ac:dyDescent="0.2">
      <c r="A128" s="76">
        <f t="shared" ref="A128" si="57">+A127+1</f>
        <v>38</v>
      </c>
      <c r="B128" s="283" t="s">
        <v>530</v>
      </c>
      <c r="C128" s="37">
        <f>6983+4937</f>
        <v>11920</v>
      </c>
      <c r="D128" s="126">
        <v>42193</v>
      </c>
      <c r="E128" s="282">
        <v>3959</v>
      </c>
      <c r="F128" s="282"/>
      <c r="G128" s="37">
        <f t="shared" si="45"/>
        <v>3959</v>
      </c>
      <c r="H128" s="52">
        <f t="shared" si="46"/>
        <v>596</v>
      </c>
      <c r="I128" s="37">
        <f t="shared" si="50"/>
        <v>3363</v>
      </c>
      <c r="J128" s="37">
        <v>3</v>
      </c>
      <c r="K128" s="37">
        <f t="shared" si="47"/>
        <v>5.7342465753424658</v>
      </c>
      <c r="L128" s="37">
        <f t="shared" si="48"/>
        <v>-2.7342465753424658</v>
      </c>
      <c r="M128" s="84">
        <f t="shared" si="51"/>
        <v>0</v>
      </c>
      <c r="N128" s="37">
        <f t="shared" si="49"/>
        <v>0</v>
      </c>
    </row>
    <row r="129" spans="1:16" x14ac:dyDescent="0.2">
      <c r="A129" s="76">
        <v>38</v>
      </c>
      <c r="B129" s="284" t="s">
        <v>531</v>
      </c>
      <c r="C129" s="37">
        <v>77620</v>
      </c>
      <c r="D129" s="126">
        <v>41968</v>
      </c>
      <c r="E129" s="282">
        <v>3648.6048929535036</v>
      </c>
      <c r="F129" s="282"/>
      <c r="G129" s="37">
        <f t="shared" si="45"/>
        <v>3648.6048929535036</v>
      </c>
      <c r="H129" s="52">
        <f>+E129</f>
        <v>3648.6048929535036</v>
      </c>
      <c r="I129" s="37">
        <f t="shared" si="50"/>
        <v>0</v>
      </c>
      <c r="J129" s="37">
        <v>10</v>
      </c>
      <c r="K129" s="37">
        <f t="shared" si="47"/>
        <v>6.3506849315068497</v>
      </c>
      <c r="L129" s="37">
        <f t="shared" si="48"/>
        <v>3.6493150684931503</v>
      </c>
      <c r="M129" s="84">
        <f t="shared" si="51"/>
        <v>0</v>
      </c>
      <c r="N129" s="37">
        <f t="shared" si="49"/>
        <v>0</v>
      </c>
    </row>
    <row r="130" spans="1:16" x14ac:dyDescent="0.2">
      <c r="A130" s="76">
        <f t="shared" ref="A130" si="58">+A129+1</f>
        <v>39</v>
      </c>
      <c r="B130" s="70" t="s">
        <v>532</v>
      </c>
      <c r="C130" s="37">
        <v>30075</v>
      </c>
      <c r="D130" s="126">
        <v>42514</v>
      </c>
      <c r="E130" s="282">
        <v>6611</v>
      </c>
      <c r="F130" s="282"/>
      <c r="G130" s="37">
        <f t="shared" si="45"/>
        <v>6611</v>
      </c>
      <c r="H130" s="52">
        <f t="shared" si="46"/>
        <v>1503.75</v>
      </c>
      <c r="I130" s="37">
        <f t="shared" si="50"/>
        <v>5107.25</v>
      </c>
      <c r="J130" s="37">
        <v>3</v>
      </c>
      <c r="K130" s="37">
        <f t="shared" si="47"/>
        <v>4.8547945205479452</v>
      </c>
      <c r="L130" s="37">
        <f t="shared" si="48"/>
        <v>-1.8547945205479452</v>
      </c>
      <c r="M130" s="84">
        <f t="shared" si="51"/>
        <v>0</v>
      </c>
      <c r="N130" s="37">
        <f t="shared" si="49"/>
        <v>0</v>
      </c>
      <c r="P130" s="71"/>
    </row>
    <row r="131" spans="1:16" x14ac:dyDescent="0.2">
      <c r="A131" s="76">
        <v>39</v>
      </c>
      <c r="B131" s="285" t="s">
        <v>533</v>
      </c>
      <c r="C131" s="37">
        <v>21855</v>
      </c>
      <c r="D131" s="126">
        <v>42559</v>
      </c>
      <c r="E131" s="282">
        <v>5018</v>
      </c>
      <c r="F131" s="282"/>
      <c r="G131" s="37">
        <f t="shared" si="45"/>
        <v>5018</v>
      </c>
      <c r="H131" s="52">
        <f t="shared" si="46"/>
        <v>1092.75</v>
      </c>
      <c r="I131" s="37">
        <f t="shared" si="50"/>
        <v>3925.25</v>
      </c>
      <c r="J131" s="37">
        <v>3</v>
      </c>
      <c r="K131" s="37">
        <f t="shared" si="47"/>
        <v>4.7315068493150685</v>
      </c>
      <c r="L131" s="37">
        <f t="shared" si="48"/>
        <v>-1.7315068493150685</v>
      </c>
      <c r="M131" s="84">
        <f>IF(L131&gt;0,(1-(H131/(E131+F131))^(1/J131)),0)</f>
        <v>0</v>
      </c>
      <c r="N131" s="37">
        <f t="shared" si="49"/>
        <v>0</v>
      </c>
      <c r="P131" s="71"/>
    </row>
    <row r="132" spans="1:16" x14ac:dyDescent="0.2">
      <c r="A132" s="76">
        <f t="shared" ref="A132" si="59">+A131+1</f>
        <v>40</v>
      </c>
      <c r="B132" s="70" t="s">
        <v>29</v>
      </c>
      <c r="C132" s="37">
        <v>9450</v>
      </c>
      <c r="D132" s="126">
        <v>43070</v>
      </c>
      <c r="E132" s="282">
        <v>1085.3349863537105</v>
      </c>
      <c r="F132" s="282"/>
      <c r="G132" s="37">
        <f t="shared" si="45"/>
        <v>1085.3349863537105</v>
      </c>
      <c r="H132" s="52">
        <f t="shared" si="46"/>
        <v>472.5</v>
      </c>
      <c r="I132" s="37">
        <f t="shared" si="50"/>
        <v>612.83498635371052</v>
      </c>
      <c r="J132" s="37">
        <v>3</v>
      </c>
      <c r="K132" s="37">
        <f>($K$1-D132)/365</f>
        <v>3.3315068493150686</v>
      </c>
      <c r="L132" s="37">
        <f t="shared" si="48"/>
        <v>-0.33150684931506857</v>
      </c>
      <c r="M132" s="84">
        <f>IF(L132&gt;0,(1-(H132/(E132+F132))^(1/J132)),0)</f>
        <v>0</v>
      </c>
      <c r="N132" s="37">
        <f t="shared" si="49"/>
        <v>0</v>
      </c>
      <c r="P132" s="71"/>
    </row>
    <row r="133" spans="1:16" x14ac:dyDescent="0.2">
      <c r="A133" s="76">
        <v>40</v>
      </c>
      <c r="B133" s="70" t="s">
        <v>534</v>
      </c>
      <c r="C133" s="37">
        <v>3191</v>
      </c>
      <c r="D133" s="126">
        <v>43190</v>
      </c>
      <c r="E133" s="282">
        <v>393.11930101858309</v>
      </c>
      <c r="F133" s="282"/>
      <c r="G133" s="37">
        <f t="shared" si="45"/>
        <v>393.11930101858309</v>
      </c>
      <c r="H133" s="52">
        <f t="shared" si="46"/>
        <v>159.55000000000001</v>
      </c>
      <c r="I133" s="37">
        <f t="shared" si="50"/>
        <v>233.56930101858308</v>
      </c>
      <c r="J133" s="37">
        <v>3</v>
      </c>
      <c r="K133" s="37">
        <f>($K$1-D133)/365</f>
        <v>3.0027397260273974</v>
      </c>
      <c r="L133" s="37">
        <f t="shared" si="48"/>
        <v>-2.73972602739736E-3</v>
      </c>
      <c r="M133" s="84">
        <f t="shared" ref="M133:M135" si="60">IF(L133&gt;0,(1-(H133/(E133+F133))^(1/J133)),0)</f>
        <v>0</v>
      </c>
      <c r="N133" s="37">
        <f t="shared" si="49"/>
        <v>0</v>
      </c>
      <c r="P133" s="71"/>
    </row>
    <row r="134" spans="1:16" x14ac:dyDescent="0.2">
      <c r="A134" s="76">
        <f t="shared" ref="A134" si="61">+A133+1</f>
        <v>41</v>
      </c>
      <c r="B134" s="70" t="s">
        <v>535</v>
      </c>
      <c r="C134" s="37">
        <v>19757</v>
      </c>
      <c r="D134" s="126">
        <v>43579</v>
      </c>
      <c r="E134" s="37">
        <v>3740.4732894502604</v>
      </c>
      <c r="F134" s="37"/>
      <c r="G134" s="37">
        <f t="shared" si="45"/>
        <v>2399.8349465703077</v>
      </c>
      <c r="H134" s="52">
        <f t="shared" si="46"/>
        <v>987.85</v>
      </c>
      <c r="I134" s="37">
        <f t="shared" si="50"/>
        <v>2752.6232894502605</v>
      </c>
      <c r="J134" s="37">
        <v>3</v>
      </c>
      <c r="K134" s="37">
        <f t="shared" ref="K134:K135" si="62">($K$1-D134)/365</f>
        <v>1.9369863013698629</v>
      </c>
      <c r="L134" s="37">
        <f t="shared" si="48"/>
        <v>1.0630136986301371</v>
      </c>
      <c r="M134" s="84">
        <f t="shared" si="60"/>
        <v>0.35841409338789498</v>
      </c>
      <c r="N134" s="37">
        <f t="shared" si="49"/>
        <v>1340.6383428799525</v>
      </c>
      <c r="P134" s="71"/>
    </row>
    <row r="135" spans="1:16" x14ac:dyDescent="0.2">
      <c r="A135" s="76">
        <v>41</v>
      </c>
      <c r="B135" s="70" t="s">
        <v>535</v>
      </c>
      <c r="C135" s="37">
        <v>29300</v>
      </c>
      <c r="D135" s="126">
        <v>44225</v>
      </c>
      <c r="E135" s="37">
        <v>26156.551128884967</v>
      </c>
      <c r="F135" s="37">
        <v>0</v>
      </c>
      <c r="G135" s="37">
        <f t="shared" si="45"/>
        <v>10007.667351647471</v>
      </c>
      <c r="H135" s="52">
        <f t="shared" si="46"/>
        <v>1465</v>
      </c>
      <c r="I135" s="37">
        <f t="shared" si="50"/>
        <v>24691.551128884967</v>
      </c>
      <c r="J135" s="37">
        <v>3</v>
      </c>
      <c r="K135" s="37">
        <f t="shared" si="62"/>
        <v>0.16712328767123288</v>
      </c>
      <c r="L135" s="37">
        <f t="shared" si="48"/>
        <v>2.8328767123287673</v>
      </c>
      <c r="M135" s="84">
        <f t="shared" si="60"/>
        <v>0.61739346665639361</v>
      </c>
      <c r="N135" s="37">
        <f t="shared" si="49"/>
        <v>16148.883777237495</v>
      </c>
      <c r="P135" s="167"/>
    </row>
    <row r="136" spans="1:16" ht="13.5" thickBot="1" x14ac:dyDescent="0.25">
      <c r="B136" s="286" t="s">
        <v>48</v>
      </c>
      <c r="C136" s="191">
        <f>SUM(C55:C135)</f>
        <v>1864134</v>
      </c>
      <c r="D136" s="191"/>
      <c r="E136" s="191">
        <f>ROUND(SUM(E54:E135),0)</f>
        <v>140702</v>
      </c>
      <c r="F136" s="191">
        <f>ROUND(SUM(F54:F135),0)</f>
        <v>0</v>
      </c>
      <c r="G136" s="191">
        <f>ROUND(SUM(G54:G135),0)</f>
        <v>123213</v>
      </c>
      <c r="H136" s="191">
        <f>ROUND(SUM(H54:H135),0)</f>
        <v>91747</v>
      </c>
      <c r="I136" s="191">
        <f>ROUND(SUM(I54:I135),0)</f>
        <v>48956</v>
      </c>
      <c r="J136" s="191"/>
      <c r="K136" s="191"/>
      <c r="L136" s="191"/>
      <c r="M136" s="191"/>
      <c r="N136" s="191">
        <f>ROUND(SUM(N54:N135),0)</f>
        <v>17490</v>
      </c>
      <c r="O136" s="176"/>
    </row>
    <row r="137" spans="1:16" ht="13.5" thickTop="1" x14ac:dyDescent="0.2">
      <c r="B137" s="169"/>
      <c r="C137" s="176"/>
      <c r="D137" s="176"/>
      <c r="E137" s="176"/>
      <c r="F137" s="176"/>
      <c r="G137" s="176"/>
      <c r="H137" s="176"/>
      <c r="I137" s="176"/>
      <c r="J137" s="176"/>
      <c r="K137" s="176"/>
      <c r="L137" s="176"/>
      <c r="M137" s="176"/>
      <c r="N137" s="176"/>
      <c r="O137" s="176"/>
    </row>
    <row r="138" spans="1:16" ht="17.25" customHeight="1" thickBot="1" x14ac:dyDescent="0.25">
      <c r="B138" s="190" t="s">
        <v>536</v>
      </c>
      <c r="C138" s="191">
        <f>+C136+C51</f>
        <v>2662228</v>
      </c>
      <c r="D138" s="191"/>
      <c r="E138" s="191">
        <f>+E136+E51</f>
        <v>180265</v>
      </c>
      <c r="F138" s="191">
        <f>+F136+F51</f>
        <v>0</v>
      </c>
      <c r="G138" s="191">
        <f>+G136+G51</f>
        <v>162776</v>
      </c>
      <c r="H138" s="191">
        <f>+H136+H51</f>
        <v>131310.45000000001</v>
      </c>
      <c r="I138" s="191">
        <f>+I136+I51</f>
        <v>48955.549999999996</v>
      </c>
      <c r="J138" s="191"/>
      <c r="K138" s="191"/>
      <c r="L138" s="191"/>
      <c r="M138" s="191">
        <f>+M136+M51</f>
        <v>0</v>
      </c>
      <c r="N138" s="191">
        <f>+N136+N51</f>
        <v>17490</v>
      </c>
      <c r="O138" s="176"/>
    </row>
    <row r="139" spans="1:16" ht="13.5" thickTop="1" x14ac:dyDescent="0.2">
      <c r="B139" s="169"/>
      <c r="C139" s="176"/>
      <c r="D139" s="176"/>
      <c r="E139" s="176"/>
      <c r="F139" s="176"/>
      <c r="G139" s="176"/>
      <c r="H139" s="176"/>
      <c r="I139" s="176"/>
      <c r="J139" s="176"/>
      <c r="K139" s="176"/>
      <c r="L139" s="176"/>
      <c r="M139" s="176"/>
      <c r="N139" s="176"/>
      <c r="O139" s="176"/>
    </row>
    <row r="140" spans="1:16" x14ac:dyDescent="0.2">
      <c r="B140" s="169"/>
      <c r="C140" s="176"/>
      <c r="D140" s="176"/>
      <c r="E140" s="176"/>
      <c r="F140" s="176"/>
      <c r="G140" s="176"/>
      <c r="H140" s="176"/>
      <c r="I140" s="176"/>
      <c r="J140" s="176"/>
      <c r="K140" s="176"/>
      <c r="L140" s="176"/>
      <c r="M140" s="176"/>
      <c r="N140" s="176"/>
      <c r="O140" s="176"/>
    </row>
    <row r="141" spans="1:16" x14ac:dyDescent="0.2">
      <c r="B141" s="169"/>
      <c r="C141" s="288">
        <v>2600530</v>
      </c>
      <c r="D141" s="176"/>
      <c r="E141" s="176"/>
      <c r="F141" s="176"/>
      <c r="G141" s="176"/>
      <c r="H141" s="176"/>
      <c r="I141" s="176"/>
      <c r="J141" s="176"/>
      <c r="K141" s="176"/>
      <c r="L141" s="176"/>
      <c r="M141" s="176"/>
      <c r="N141" s="176"/>
      <c r="O141" s="176"/>
    </row>
    <row r="142" spans="1:16" x14ac:dyDescent="0.2">
      <c r="C142" s="156">
        <f>+C141-C138</f>
        <v>-61698</v>
      </c>
      <c r="O142" s="334" t="s">
        <v>571</v>
      </c>
      <c r="P142" s="202"/>
    </row>
    <row r="143" spans="1:16" x14ac:dyDescent="0.2">
      <c r="B143" s="289" t="s">
        <v>537</v>
      </c>
      <c r="C143" s="82">
        <v>14000</v>
      </c>
      <c r="D143" s="131">
        <f>DATE(97,5,15)</f>
        <v>35565</v>
      </c>
      <c r="E143" s="37">
        <v>700</v>
      </c>
      <c r="F143" s="37"/>
      <c r="G143" s="37">
        <f>+E143</f>
        <v>700</v>
      </c>
      <c r="H143" s="335">
        <v>0</v>
      </c>
      <c r="I143" s="37">
        <v>0</v>
      </c>
      <c r="J143" s="37">
        <v>6</v>
      </c>
      <c r="K143" s="37">
        <f>ROUND(($K$1-D143)/365,0)</f>
        <v>24</v>
      </c>
      <c r="L143" s="37">
        <f>J143-K143</f>
        <v>-18</v>
      </c>
      <c r="M143" s="37"/>
      <c r="N143" s="37">
        <f>IF(L143&lt;=0,0,I143/L143)</f>
        <v>0</v>
      </c>
      <c r="O143" s="70">
        <v>700</v>
      </c>
    </row>
    <row r="144" spans="1:16" x14ac:dyDescent="0.2">
      <c r="B144" s="289" t="s">
        <v>538</v>
      </c>
      <c r="C144" s="82">
        <v>37500</v>
      </c>
      <c r="D144" s="131">
        <v>37158</v>
      </c>
      <c r="E144" s="37">
        <v>1875</v>
      </c>
      <c r="F144" s="37"/>
      <c r="G144" s="37">
        <f>+E144</f>
        <v>1875</v>
      </c>
      <c r="H144" s="335">
        <v>0</v>
      </c>
      <c r="I144" s="37">
        <v>0</v>
      </c>
      <c r="J144" s="37">
        <v>6</v>
      </c>
      <c r="K144" s="37">
        <f>ROUND(($K$1-D144)/365,0)</f>
        <v>20</v>
      </c>
      <c r="L144" s="37">
        <f>J144-K144</f>
        <v>-14</v>
      </c>
      <c r="M144" s="37"/>
      <c r="N144" s="37">
        <f>IF(L144&lt;=0,0,I144/L144)</f>
        <v>0</v>
      </c>
      <c r="O144" s="70">
        <v>1875</v>
      </c>
    </row>
    <row r="145" spans="2:15" x14ac:dyDescent="0.2">
      <c r="B145" s="289" t="s">
        <v>539</v>
      </c>
      <c r="C145" s="82">
        <v>5000</v>
      </c>
      <c r="D145" s="131">
        <v>37160</v>
      </c>
      <c r="E145" s="37">
        <v>250</v>
      </c>
      <c r="F145" s="37"/>
      <c r="G145" s="37">
        <f>+E145</f>
        <v>250</v>
      </c>
      <c r="H145" s="335">
        <v>0</v>
      </c>
      <c r="I145" s="37">
        <v>0</v>
      </c>
      <c r="J145" s="37">
        <v>6</v>
      </c>
      <c r="K145" s="37">
        <f>ROUND(($K$1-D145)/365,0)</f>
        <v>20</v>
      </c>
      <c r="L145" s="37">
        <f>J145-K145</f>
        <v>-14</v>
      </c>
      <c r="M145" s="37"/>
      <c r="N145" s="37">
        <f>IF(L145&lt;=0,0,I145/L145)</f>
        <v>0</v>
      </c>
      <c r="O145" s="70">
        <v>250</v>
      </c>
    </row>
    <row r="146" spans="2:15" x14ac:dyDescent="0.2">
      <c r="B146" s="290" t="s">
        <v>540</v>
      </c>
      <c r="C146" s="82">
        <v>10800</v>
      </c>
      <c r="D146" s="131">
        <v>41723</v>
      </c>
      <c r="E146" s="37">
        <v>2669</v>
      </c>
      <c r="F146" s="37"/>
      <c r="G146" s="37">
        <f>+E146-N146</f>
        <v>2669</v>
      </c>
      <c r="H146" s="335">
        <v>0</v>
      </c>
      <c r="I146" s="37">
        <v>0</v>
      </c>
      <c r="J146" s="37">
        <v>6</v>
      </c>
      <c r="K146" s="37">
        <f>ROUND(($K$1-D146)/365,0)</f>
        <v>7</v>
      </c>
      <c r="L146" s="37">
        <f>J146-K146</f>
        <v>-1</v>
      </c>
      <c r="M146" s="37"/>
      <c r="N146" s="37">
        <f>IF(L146&lt;=0,0,I146/L146)</f>
        <v>0</v>
      </c>
      <c r="O146" s="37">
        <v>2669</v>
      </c>
    </row>
    <row r="148" spans="2:15" ht="13.5" thickBot="1" x14ac:dyDescent="0.25">
      <c r="B148" s="190"/>
      <c r="C148" s="287">
        <f>SUM(C143:C147)</f>
        <v>67300</v>
      </c>
      <c r="D148" s="191"/>
      <c r="E148" s="191">
        <f>SUM(E143:E147)</f>
        <v>5494</v>
      </c>
      <c r="F148" s="191"/>
      <c r="G148" s="191">
        <f>SUM(G143:G147)</f>
        <v>5494</v>
      </c>
      <c r="H148" s="191">
        <f>SUM(H143:H147)</f>
        <v>0</v>
      </c>
      <c r="I148" s="191">
        <f>SUM(I143:I147)</f>
        <v>0</v>
      </c>
      <c r="J148" s="191"/>
      <c r="K148" s="191"/>
      <c r="L148" s="191"/>
      <c r="M148" s="191"/>
      <c r="N148" s="191">
        <f>SUM(N143:N147)</f>
        <v>0</v>
      </c>
      <c r="O148" s="191">
        <f>SUM(O143:O147)</f>
        <v>5494</v>
      </c>
    </row>
    <row r="149" spans="2:15" ht="13.5" thickTop="1" x14ac:dyDescent="0.2"/>
    <row r="150" spans="2:15" x14ac:dyDescent="0.2">
      <c r="E150" s="156"/>
      <c r="F150" s="156"/>
      <c r="G150" s="156"/>
    </row>
    <row r="151" spans="2:15" x14ac:dyDescent="0.2">
      <c r="E151" s="291"/>
      <c r="F151" s="291"/>
      <c r="G151" s="292"/>
    </row>
    <row r="154" spans="2:15" x14ac:dyDescent="0.2"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</row>
  </sheetData>
  <autoFilter ref="A3:P136"/>
  <printOptions horizontalCentered="1" gridLines="1"/>
  <pageMargins left="0.23622047244094491" right="0.23622047244094491" top="0.27559055118110237" bottom="0.51181102362204722" header="0.23622047244094491" footer="0.23622047244094491"/>
  <pageSetup paperSize="9" scale="70" orientation="landscape" r:id="rId1"/>
  <headerFooter alignWithMargins="0">
    <oddHeader xml:space="preserve">&amp;L                     Office Equipment&amp;C
Century Aluminium Mfg Co Ltd.
</oddHeader>
  </headerFooter>
  <rowBreaks count="1" manualBreakCount="1">
    <brk id="52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7"/>
  <sheetViews>
    <sheetView view="pageBreakPreview" zoomScaleNormal="100" zoomScaleSheetLayoutView="100" workbookViewId="0">
      <selection activeCell="C146" sqref="C146"/>
    </sheetView>
  </sheetViews>
  <sheetFormatPr defaultRowHeight="12.75" x14ac:dyDescent="0.2"/>
  <cols>
    <col min="1" max="1" width="3.42578125" style="321" customWidth="1"/>
    <col min="2" max="2" width="34.140625" style="321" bestFit="1" customWidth="1"/>
    <col min="3" max="4" width="12.85546875" style="321" bestFit="1" customWidth="1"/>
    <col min="5" max="5" width="11.85546875" style="321" bestFit="1" customWidth="1"/>
    <col min="6" max="6" width="8.42578125" style="321" customWidth="1"/>
    <col min="7" max="8" width="11.85546875" style="321" bestFit="1" customWidth="1"/>
    <col min="9" max="9" width="11.7109375" style="321" customWidth="1"/>
    <col min="10" max="10" width="8.7109375" style="321" customWidth="1"/>
    <col min="11" max="11" width="7.85546875" style="321" customWidth="1"/>
    <col min="12" max="12" width="7.7109375" style="321" customWidth="1"/>
    <col min="13" max="13" width="7.140625" style="321" customWidth="1"/>
    <col min="14" max="14" width="8.5703125" style="321" customWidth="1"/>
    <col min="15" max="15" width="20.7109375" style="341" customWidth="1"/>
    <col min="16" max="16384" width="9.140625" style="321"/>
  </cols>
  <sheetData>
    <row r="1" spans="1:15" ht="3" customHeight="1" x14ac:dyDescent="0.2"/>
    <row r="2" spans="1:15" x14ac:dyDescent="0.2">
      <c r="A2" s="321" t="s">
        <v>580</v>
      </c>
      <c r="B2" s="406" t="s">
        <v>581</v>
      </c>
      <c r="C2" s="407"/>
    </row>
    <row r="3" spans="1:15" s="341" customFormat="1" ht="51" x14ac:dyDescent="0.2">
      <c r="B3" s="138" t="s">
        <v>35</v>
      </c>
      <c r="C3" s="337" t="s">
        <v>36</v>
      </c>
      <c r="D3" s="338" t="s">
        <v>37</v>
      </c>
      <c r="E3" s="337" t="s">
        <v>541</v>
      </c>
      <c r="F3" s="338" t="s">
        <v>38</v>
      </c>
      <c r="G3" s="337" t="s">
        <v>570</v>
      </c>
      <c r="H3" s="337" t="s">
        <v>39</v>
      </c>
      <c r="I3" s="337" t="s">
        <v>40</v>
      </c>
      <c r="J3" s="339" t="s">
        <v>41</v>
      </c>
      <c r="K3" s="339" t="s">
        <v>42</v>
      </c>
      <c r="L3" s="339" t="s">
        <v>43</v>
      </c>
      <c r="M3" s="340" t="s">
        <v>44</v>
      </c>
      <c r="N3" s="337" t="s">
        <v>45</v>
      </c>
      <c r="O3" s="337" t="s">
        <v>578</v>
      </c>
    </row>
    <row r="4" spans="1:15" ht="15" customHeight="1" x14ac:dyDescent="0.2">
      <c r="B4" s="124" t="s">
        <v>607</v>
      </c>
      <c r="C4" s="200">
        <v>1253</v>
      </c>
      <c r="D4" s="126">
        <v>28490</v>
      </c>
      <c r="E4" s="166">
        <v>30</v>
      </c>
      <c r="F4" s="166"/>
      <c r="G4" s="37">
        <v>30</v>
      </c>
      <c r="H4" s="52">
        <v>62.650000000000006</v>
      </c>
      <c r="I4" s="37">
        <v>30</v>
      </c>
      <c r="J4" s="37">
        <v>15</v>
      </c>
      <c r="K4" s="83">
        <v>43.276712328767125</v>
      </c>
      <c r="L4" s="37">
        <v>-28.276712328767125</v>
      </c>
      <c r="M4" s="84">
        <v>0</v>
      </c>
      <c r="N4" s="37">
        <v>0</v>
      </c>
      <c r="O4" s="374" t="s">
        <v>606</v>
      </c>
    </row>
    <row r="5" spans="1:15" ht="15" customHeight="1" x14ac:dyDescent="0.2">
      <c r="B5" s="124" t="s">
        <v>93</v>
      </c>
      <c r="C5" s="200">
        <v>69889</v>
      </c>
      <c r="D5" s="126">
        <v>28854</v>
      </c>
      <c r="E5" s="166">
        <v>844</v>
      </c>
      <c r="F5" s="166"/>
      <c r="G5" s="37">
        <v>844</v>
      </c>
      <c r="H5" s="52">
        <v>3494.4500000000003</v>
      </c>
      <c r="I5" s="37">
        <v>844</v>
      </c>
      <c r="J5" s="37">
        <v>15</v>
      </c>
      <c r="K5" s="83">
        <v>42.279452054794518</v>
      </c>
      <c r="L5" s="37">
        <v>-27.279452054794518</v>
      </c>
      <c r="M5" s="84">
        <v>0</v>
      </c>
      <c r="N5" s="37">
        <v>0</v>
      </c>
      <c r="O5" s="374" t="s">
        <v>610</v>
      </c>
    </row>
    <row r="6" spans="1:15" ht="15" customHeight="1" x14ac:dyDescent="0.2">
      <c r="B6" s="124" t="s">
        <v>96</v>
      </c>
      <c r="C6" s="200">
        <v>1767</v>
      </c>
      <c r="D6" s="126">
        <v>28854</v>
      </c>
      <c r="E6" s="166">
        <v>20</v>
      </c>
      <c r="F6" s="166"/>
      <c r="G6" s="37">
        <v>20</v>
      </c>
      <c r="H6" s="52">
        <v>88.350000000000009</v>
      </c>
      <c r="I6" s="37">
        <v>20</v>
      </c>
      <c r="J6" s="37">
        <v>15</v>
      </c>
      <c r="K6" s="83">
        <v>42.279452054794518</v>
      </c>
      <c r="L6" s="37">
        <v>-27.279452054794518</v>
      </c>
      <c r="M6" s="84">
        <v>0</v>
      </c>
      <c r="N6" s="37">
        <v>0</v>
      </c>
      <c r="O6" s="374" t="s">
        <v>606</v>
      </c>
    </row>
    <row r="7" spans="1:15" ht="15" customHeight="1" x14ac:dyDescent="0.2">
      <c r="B7" s="124" t="s">
        <v>97</v>
      </c>
      <c r="C7" s="200">
        <v>40535</v>
      </c>
      <c r="D7" s="126">
        <v>29574</v>
      </c>
      <c r="E7" s="166">
        <v>1170</v>
      </c>
      <c r="F7" s="166"/>
      <c r="G7" s="37">
        <v>1170</v>
      </c>
      <c r="H7" s="52">
        <v>2026.75</v>
      </c>
      <c r="I7" s="37">
        <v>1170</v>
      </c>
      <c r="J7" s="37">
        <v>15</v>
      </c>
      <c r="K7" s="83">
        <v>40.30684931506849</v>
      </c>
      <c r="L7" s="37">
        <v>-25.30684931506849</v>
      </c>
      <c r="M7" s="84">
        <v>0</v>
      </c>
      <c r="N7" s="37">
        <v>0</v>
      </c>
      <c r="O7" s="374" t="s">
        <v>610</v>
      </c>
    </row>
    <row r="8" spans="1:15" ht="15" customHeight="1" x14ac:dyDescent="0.2">
      <c r="B8" s="124" t="s">
        <v>105</v>
      </c>
      <c r="C8" s="200">
        <v>195235</v>
      </c>
      <c r="D8" s="126">
        <v>33694</v>
      </c>
      <c r="E8" s="166">
        <v>9761.5</v>
      </c>
      <c r="F8" s="166"/>
      <c r="G8" s="37">
        <v>9761.5</v>
      </c>
      <c r="H8" s="52">
        <v>9761.75</v>
      </c>
      <c r="I8" s="37">
        <v>-0.25</v>
      </c>
      <c r="J8" s="37">
        <v>15</v>
      </c>
      <c r="K8" s="83">
        <v>29.019178082191782</v>
      </c>
      <c r="L8" s="37">
        <v>-14.019178082191782</v>
      </c>
      <c r="M8" s="84">
        <v>0</v>
      </c>
      <c r="N8" s="37">
        <v>0</v>
      </c>
      <c r="O8" s="374" t="s">
        <v>610</v>
      </c>
    </row>
    <row r="9" spans="1:15" ht="15" customHeight="1" x14ac:dyDescent="0.2">
      <c r="B9" s="124" t="s">
        <v>107</v>
      </c>
      <c r="C9" s="200">
        <v>183261</v>
      </c>
      <c r="D9" s="126">
        <v>35843</v>
      </c>
      <c r="E9" s="166">
        <v>9162.7999999999884</v>
      </c>
      <c r="F9" s="166"/>
      <c r="G9" s="37">
        <v>9162.7999999999884</v>
      </c>
      <c r="H9" s="52">
        <v>9163.0500000000011</v>
      </c>
      <c r="I9" s="37">
        <v>-0.25000000001273293</v>
      </c>
      <c r="J9" s="37">
        <v>15</v>
      </c>
      <c r="K9" s="83">
        <v>23.13150684931507</v>
      </c>
      <c r="L9" s="37">
        <v>-8.1315068493150697</v>
      </c>
      <c r="M9" s="84">
        <v>0</v>
      </c>
      <c r="N9" s="37">
        <v>0</v>
      </c>
      <c r="O9" s="374" t="s">
        <v>610</v>
      </c>
    </row>
    <row r="10" spans="1:15" ht="15" customHeight="1" x14ac:dyDescent="0.2">
      <c r="B10" s="124" t="s">
        <v>113</v>
      </c>
      <c r="C10" s="173">
        <v>1000</v>
      </c>
      <c r="D10" s="126">
        <v>40173</v>
      </c>
      <c r="E10" s="166">
        <v>0</v>
      </c>
      <c r="F10" s="166"/>
      <c r="G10" s="37">
        <v>0</v>
      </c>
      <c r="H10" s="52">
        <v>50</v>
      </c>
      <c r="I10" s="37">
        <v>0</v>
      </c>
      <c r="J10" s="37">
        <v>15</v>
      </c>
      <c r="K10" s="83">
        <v>11.268493150684931</v>
      </c>
      <c r="L10" s="37">
        <v>3.7315068493150694</v>
      </c>
      <c r="M10" s="84">
        <v>0</v>
      </c>
      <c r="N10" s="37">
        <v>0</v>
      </c>
      <c r="O10" s="374" t="s">
        <v>606</v>
      </c>
    </row>
    <row r="11" spans="1:15" ht="15" customHeight="1" x14ac:dyDescent="0.2">
      <c r="B11" s="124" t="s">
        <v>597</v>
      </c>
      <c r="C11" s="173">
        <f>189009/2</f>
        <v>94504.5</v>
      </c>
      <c r="D11" s="126">
        <v>37243</v>
      </c>
      <c r="E11" s="166">
        <f>9450.45/2</f>
        <v>4725.2250000000004</v>
      </c>
      <c r="F11" s="166"/>
      <c r="G11" s="37">
        <f>9450.45/2</f>
        <v>4725.2250000000004</v>
      </c>
      <c r="H11" s="52">
        <f>9450.45/2</f>
        <v>4725.2250000000004</v>
      </c>
      <c r="I11" s="37">
        <v>0</v>
      </c>
      <c r="J11" s="37">
        <v>15</v>
      </c>
      <c r="K11" s="83">
        <v>19.295890410958904</v>
      </c>
      <c r="L11" s="37">
        <v>-4.2958904109589042</v>
      </c>
      <c r="M11" s="84">
        <v>0</v>
      </c>
      <c r="N11" s="37">
        <v>0</v>
      </c>
      <c r="O11" s="374" t="s">
        <v>610</v>
      </c>
    </row>
    <row r="12" spans="1:15" ht="15" customHeight="1" x14ac:dyDescent="0.2">
      <c r="B12" s="124" t="s">
        <v>138</v>
      </c>
      <c r="C12" s="173">
        <v>39250</v>
      </c>
      <c r="D12" s="126">
        <v>39126</v>
      </c>
      <c r="E12" s="166">
        <v>7021.25</v>
      </c>
      <c r="F12" s="166"/>
      <c r="G12" s="37">
        <v>6449.25</v>
      </c>
      <c r="H12" s="52">
        <v>1962.5</v>
      </c>
      <c r="I12" s="37">
        <v>5058.75</v>
      </c>
      <c r="J12" s="37">
        <v>15</v>
      </c>
      <c r="K12" s="83">
        <v>14.136986301369863</v>
      </c>
      <c r="L12" s="37">
        <v>0.86301369863013733</v>
      </c>
      <c r="M12" s="84">
        <v>8.1470698114213258E-2</v>
      </c>
      <c r="N12" s="37">
        <v>572</v>
      </c>
      <c r="O12" s="374" t="s">
        <v>606</v>
      </c>
    </row>
    <row r="13" spans="1:15" ht="15" customHeight="1" x14ac:dyDescent="0.2">
      <c r="B13" s="172" t="s">
        <v>142</v>
      </c>
      <c r="C13" s="173">
        <v>51286</v>
      </c>
      <c r="D13" s="126">
        <v>39366</v>
      </c>
      <c r="E13" s="166">
        <v>10913.271428571428</v>
      </c>
      <c r="F13" s="166"/>
      <c r="G13" s="37">
        <v>9909.2714285714283</v>
      </c>
      <c r="H13" s="52">
        <v>2564.3000000000002</v>
      </c>
      <c r="I13" s="37">
        <v>8348.971428571429</v>
      </c>
      <c r="J13" s="37">
        <v>15</v>
      </c>
      <c r="K13" s="83">
        <v>13.479452054794521</v>
      </c>
      <c r="L13" s="37">
        <v>1.5205479452054789</v>
      </c>
      <c r="M13" s="84">
        <v>9.203816959606681E-2</v>
      </c>
      <c r="N13" s="37">
        <v>1004</v>
      </c>
      <c r="O13" s="374" t="s">
        <v>606</v>
      </c>
    </row>
    <row r="14" spans="1:15" ht="15" customHeight="1" x14ac:dyDescent="0.2">
      <c r="B14" s="124" t="s">
        <v>145</v>
      </c>
      <c r="C14" s="173">
        <v>57935</v>
      </c>
      <c r="D14" s="126">
        <v>39338</v>
      </c>
      <c r="E14" s="166">
        <v>10779.374999999998</v>
      </c>
      <c r="F14" s="166"/>
      <c r="G14" s="37">
        <v>9875.3749999999982</v>
      </c>
      <c r="H14" s="52">
        <v>2896.75</v>
      </c>
      <c r="I14" s="37">
        <v>7882.6249999999982</v>
      </c>
      <c r="J14" s="37">
        <v>15</v>
      </c>
      <c r="K14" s="83">
        <v>13.556164383561644</v>
      </c>
      <c r="L14" s="37">
        <v>1.4438356164383563</v>
      </c>
      <c r="M14" s="84">
        <v>8.3875504242796439E-2</v>
      </c>
      <c r="N14" s="37">
        <v>904</v>
      </c>
      <c r="O14" s="374" t="s">
        <v>606</v>
      </c>
    </row>
    <row r="15" spans="1:15" ht="15" customHeight="1" x14ac:dyDescent="0.2">
      <c r="B15" s="124" t="s">
        <v>158</v>
      </c>
      <c r="C15" s="173">
        <v>99887</v>
      </c>
      <c r="D15" s="126">
        <v>40397</v>
      </c>
      <c r="E15" s="166">
        <v>30244.116666666661</v>
      </c>
      <c r="F15" s="166"/>
      <c r="G15" s="37">
        <v>26822.116666666661</v>
      </c>
      <c r="H15" s="52">
        <v>4994.3500000000004</v>
      </c>
      <c r="I15" s="37">
        <v>25249.766666666663</v>
      </c>
      <c r="J15" s="37">
        <v>15</v>
      </c>
      <c r="K15" s="83">
        <v>10.654794520547945</v>
      </c>
      <c r="L15" s="37">
        <v>4.3452054794520549</v>
      </c>
      <c r="M15" s="84">
        <v>0.11313835834664376</v>
      </c>
      <c r="N15" s="37">
        <v>3422</v>
      </c>
      <c r="O15" s="374" t="s">
        <v>606</v>
      </c>
    </row>
    <row r="16" spans="1:15" ht="15" customHeight="1" x14ac:dyDescent="0.2">
      <c r="B16" s="124" t="s">
        <v>181</v>
      </c>
      <c r="C16" s="37">
        <v>1339</v>
      </c>
      <c r="D16" s="126">
        <v>29635</v>
      </c>
      <c r="E16" s="166">
        <v>67</v>
      </c>
      <c r="F16" s="166"/>
      <c r="G16" s="37">
        <v>67</v>
      </c>
      <c r="H16" s="52">
        <v>66.95</v>
      </c>
      <c r="I16" s="37">
        <v>4.9999999999997158E-2</v>
      </c>
      <c r="J16" s="37">
        <v>10</v>
      </c>
      <c r="K16" s="83">
        <v>40.139726027397259</v>
      </c>
      <c r="L16" s="37">
        <v>-30.139726027397259</v>
      </c>
      <c r="M16" s="84">
        <v>0</v>
      </c>
      <c r="N16" s="37">
        <v>0</v>
      </c>
      <c r="O16" s="374" t="s">
        <v>606</v>
      </c>
    </row>
    <row r="17" spans="1:15" ht="15" customHeight="1" x14ac:dyDescent="0.2">
      <c r="B17" s="124" t="s">
        <v>188</v>
      </c>
      <c r="C17" s="37">
        <v>33225</v>
      </c>
      <c r="D17" s="126">
        <v>39287</v>
      </c>
      <c r="E17" s="166">
        <v>7046.625</v>
      </c>
      <c r="F17" s="166"/>
      <c r="G17" s="37">
        <v>6399.625</v>
      </c>
      <c r="H17" s="52">
        <v>1661.25</v>
      </c>
      <c r="I17" s="37">
        <v>5385.375</v>
      </c>
      <c r="J17" s="37">
        <v>15</v>
      </c>
      <c r="K17" s="83">
        <v>13.695890410958905</v>
      </c>
      <c r="L17" s="37">
        <v>1.3041095890410954</v>
      </c>
      <c r="M17" s="84">
        <v>9.183744994321541E-2</v>
      </c>
      <c r="N17" s="37">
        <v>647</v>
      </c>
      <c r="O17" s="374" t="s">
        <v>606</v>
      </c>
    </row>
    <row r="18" spans="1:15" ht="15" customHeight="1" x14ac:dyDescent="0.2">
      <c r="B18" s="129" t="s">
        <v>189</v>
      </c>
      <c r="C18" s="37">
        <v>8549</v>
      </c>
      <c r="D18" s="126">
        <v>39627</v>
      </c>
      <c r="E18" s="166">
        <v>2184.4785714285717</v>
      </c>
      <c r="F18" s="166"/>
      <c r="G18" s="37">
        <v>1959.4785714285717</v>
      </c>
      <c r="H18" s="52">
        <v>427.45000000000005</v>
      </c>
      <c r="I18" s="37">
        <v>1757.0285714285717</v>
      </c>
      <c r="J18" s="37">
        <v>15</v>
      </c>
      <c r="K18" s="83">
        <v>12.764383561643836</v>
      </c>
      <c r="L18" s="37">
        <v>2.2356164383561641</v>
      </c>
      <c r="M18" s="84">
        <v>0.10304806969839886</v>
      </c>
      <c r="N18" s="37">
        <v>225</v>
      </c>
      <c r="O18" s="374" t="s">
        <v>606</v>
      </c>
    </row>
    <row r="19" spans="1:15" ht="15" customHeight="1" x14ac:dyDescent="0.2">
      <c r="B19" s="129" t="s">
        <v>190</v>
      </c>
      <c r="C19" s="37">
        <v>33224</v>
      </c>
      <c r="D19" s="126">
        <v>39745</v>
      </c>
      <c r="E19" s="166">
        <v>9510.5750000000007</v>
      </c>
      <c r="F19" s="166"/>
      <c r="G19" s="37">
        <v>8466.5750000000007</v>
      </c>
      <c r="H19" s="52">
        <v>1661.2</v>
      </c>
      <c r="I19" s="37">
        <v>7849.3750000000009</v>
      </c>
      <c r="J19" s="37">
        <v>15</v>
      </c>
      <c r="K19" s="83">
        <v>12.441095890410958</v>
      </c>
      <c r="L19" s="37">
        <v>2.5589041095890419</v>
      </c>
      <c r="M19" s="84">
        <v>0.10981348753286835</v>
      </c>
      <c r="N19" s="37">
        <v>1044</v>
      </c>
      <c r="O19" s="374" t="s">
        <v>606</v>
      </c>
    </row>
    <row r="20" spans="1:15" ht="15" customHeight="1" x14ac:dyDescent="0.2">
      <c r="B20" s="124" t="s">
        <v>191</v>
      </c>
      <c r="C20" s="37">
        <v>31681</v>
      </c>
      <c r="D20" s="126">
        <v>40247</v>
      </c>
      <c r="E20" s="166">
        <v>10493.683333333331</v>
      </c>
      <c r="F20" s="166"/>
      <c r="G20" s="37">
        <v>9250.6833333333307</v>
      </c>
      <c r="H20" s="52">
        <v>1584.0500000000002</v>
      </c>
      <c r="I20" s="37">
        <v>8909.6333333333314</v>
      </c>
      <c r="J20" s="37">
        <v>15</v>
      </c>
      <c r="K20" s="83">
        <v>11.065753424657535</v>
      </c>
      <c r="L20" s="37">
        <v>3.9342465753424651</v>
      </c>
      <c r="M20" s="84">
        <v>0.11843150320933327</v>
      </c>
      <c r="N20" s="37">
        <v>1243</v>
      </c>
      <c r="O20" s="374" t="s">
        <v>606</v>
      </c>
    </row>
    <row r="21" spans="1:15" ht="15" customHeight="1" x14ac:dyDescent="0.2">
      <c r="B21" s="124" t="s">
        <v>209</v>
      </c>
      <c r="C21" s="37">
        <v>22441</v>
      </c>
      <c r="D21" s="126">
        <v>34109</v>
      </c>
      <c r="E21" s="166">
        <v>1122</v>
      </c>
      <c r="F21" s="166"/>
      <c r="G21" s="37">
        <v>1122</v>
      </c>
      <c r="H21" s="52">
        <v>1122.05</v>
      </c>
      <c r="I21" s="37">
        <v>-4.9999999999954525E-2</v>
      </c>
      <c r="J21" s="37">
        <v>15</v>
      </c>
      <c r="K21" s="83">
        <v>27.882191780821916</v>
      </c>
      <c r="L21" s="37">
        <v>-12.882191780821916</v>
      </c>
      <c r="M21" s="84">
        <v>0</v>
      </c>
      <c r="N21" s="37">
        <v>0</v>
      </c>
      <c r="O21" s="374" t="s">
        <v>606</v>
      </c>
    </row>
    <row r="22" spans="1:15" ht="15" customHeight="1" x14ac:dyDescent="0.2">
      <c r="B22" s="77" t="s">
        <v>587</v>
      </c>
      <c r="C22" s="160">
        <f>SUM(C4:C21)</f>
        <v>966261.5</v>
      </c>
      <c r="D22" s="160"/>
      <c r="E22" s="160">
        <f>SUM(E4:E21)</f>
        <v>115095.89999999997</v>
      </c>
      <c r="F22" s="160">
        <v>0</v>
      </c>
      <c r="G22" s="160">
        <f>SUM(G4:G21)</f>
        <v>106034.89999999997</v>
      </c>
      <c r="H22" s="160">
        <f>SUM(H4:H21)</f>
        <v>48313.074999999997</v>
      </c>
      <c r="I22" s="160">
        <f>SUM(I4:I21)</f>
        <v>72505.02499999998</v>
      </c>
      <c r="J22" s="160"/>
      <c r="K22" s="160"/>
      <c r="L22" s="160"/>
      <c r="M22" s="161"/>
      <c r="N22" s="160">
        <f>SUM(N4:N21)</f>
        <v>9061</v>
      </c>
      <c r="O22" s="374"/>
    </row>
    <row r="23" spans="1:15" ht="15" customHeight="1" x14ac:dyDescent="0.2">
      <c r="B23" s="169" t="s">
        <v>611</v>
      </c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93"/>
      <c r="N23" s="176"/>
      <c r="O23" s="408"/>
    </row>
    <row r="24" spans="1:15" ht="9" customHeight="1" x14ac:dyDescent="0.2"/>
    <row r="25" spans="1:15" x14ac:dyDescent="0.2">
      <c r="A25" s="321" t="s">
        <v>582</v>
      </c>
      <c r="B25" s="406" t="s">
        <v>583</v>
      </c>
      <c r="C25" s="406"/>
    </row>
    <row r="26" spans="1:15" ht="51" x14ac:dyDescent="0.2">
      <c r="B26" s="138" t="s">
        <v>35</v>
      </c>
      <c r="C26" s="337" t="s">
        <v>36</v>
      </c>
      <c r="D26" s="338" t="s">
        <v>37</v>
      </c>
      <c r="E26" s="337" t="s">
        <v>541</v>
      </c>
      <c r="F26" s="338" t="s">
        <v>38</v>
      </c>
      <c r="G26" s="337" t="s">
        <v>570</v>
      </c>
      <c r="H26" s="337" t="s">
        <v>39</v>
      </c>
      <c r="I26" s="337" t="s">
        <v>40</v>
      </c>
      <c r="J26" s="372" t="s">
        <v>41</v>
      </c>
      <c r="K26" s="372" t="s">
        <v>42</v>
      </c>
      <c r="L26" s="372" t="s">
        <v>43</v>
      </c>
      <c r="M26" s="373" t="s">
        <v>44</v>
      </c>
      <c r="N26" s="337" t="s">
        <v>45</v>
      </c>
      <c r="O26" s="337" t="s">
        <v>578</v>
      </c>
    </row>
    <row r="27" spans="1:15" x14ac:dyDescent="0.2">
      <c r="B27" s="124" t="s">
        <v>277</v>
      </c>
      <c r="C27" s="200">
        <v>21000</v>
      </c>
      <c r="D27" s="126">
        <v>32583</v>
      </c>
      <c r="E27" s="201">
        <v>1050</v>
      </c>
      <c r="F27" s="201"/>
      <c r="G27" s="37">
        <v>1050</v>
      </c>
      <c r="H27" s="52">
        <v>1050</v>
      </c>
      <c r="I27" s="37">
        <v>0</v>
      </c>
      <c r="J27" s="37">
        <v>10</v>
      </c>
      <c r="K27" s="83">
        <v>32.063013698630137</v>
      </c>
      <c r="L27" s="37">
        <v>-22.063013698630137</v>
      </c>
      <c r="M27" s="84">
        <v>0</v>
      </c>
      <c r="N27" s="37">
        <v>0</v>
      </c>
      <c r="O27" s="375" t="s">
        <v>608</v>
      </c>
    </row>
    <row r="28" spans="1:15" x14ac:dyDescent="0.2">
      <c r="B28" s="124" t="s">
        <v>278</v>
      </c>
      <c r="C28" s="200">
        <v>44000</v>
      </c>
      <c r="D28" s="126">
        <v>32659</v>
      </c>
      <c r="E28" s="201">
        <v>2200</v>
      </c>
      <c r="F28" s="201"/>
      <c r="G28" s="37">
        <v>2200</v>
      </c>
      <c r="H28" s="52">
        <v>2200</v>
      </c>
      <c r="I28" s="37">
        <v>0</v>
      </c>
      <c r="J28" s="37">
        <v>10</v>
      </c>
      <c r="K28" s="83">
        <v>31.854794520547944</v>
      </c>
      <c r="L28" s="37">
        <v>-21.854794520547944</v>
      </c>
      <c r="M28" s="84">
        <v>0</v>
      </c>
      <c r="N28" s="37">
        <v>0</v>
      </c>
      <c r="O28" s="375" t="s">
        <v>608</v>
      </c>
    </row>
    <row r="29" spans="1:15" x14ac:dyDescent="0.2">
      <c r="B29" s="124" t="s">
        <v>279</v>
      </c>
      <c r="C29" s="200">
        <v>9186</v>
      </c>
      <c r="D29" s="126">
        <v>32666</v>
      </c>
      <c r="E29" s="201">
        <v>458</v>
      </c>
      <c r="F29" s="201"/>
      <c r="G29" s="37">
        <v>458</v>
      </c>
      <c r="H29" s="52">
        <v>459</v>
      </c>
      <c r="I29" s="37">
        <v>-1</v>
      </c>
      <c r="J29" s="37">
        <v>10</v>
      </c>
      <c r="K29" s="83">
        <v>31.835616438356166</v>
      </c>
      <c r="L29" s="37">
        <v>-21.835616438356166</v>
      </c>
      <c r="M29" s="84">
        <v>0</v>
      </c>
      <c r="N29" s="37">
        <v>0</v>
      </c>
      <c r="O29" s="375" t="s">
        <v>608</v>
      </c>
    </row>
    <row r="30" spans="1:15" x14ac:dyDescent="0.2">
      <c r="B30" s="124" t="s">
        <v>278</v>
      </c>
      <c r="C30" s="200">
        <v>43200</v>
      </c>
      <c r="D30" s="126">
        <v>34828</v>
      </c>
      <c r="E30" s="201">
        <v>2160</v>
      </c>
      <c r="F30" s="201"/>
      <c r="G30" s="37">
        <v>2160</v>
      </c>
      <c r="H30" s="52">
        <v>2160</v>
      </c>
      <c r="I30" s="37">
        <v>0</v>
      </c>
      <c r="J30" s="37">
        <v>10</v>
      </c>
      <c r="K30" s="83">
        <v>25.912328767123288</v>
      </c>
      <c r="L30" s="37">
        <v>-15.912328767123288</v>
      </c>
      <c r="M30" s="84">
        <v>0</v>
      </c>
      <c r="N30" s="37">
        <v>0</v>
      </c>
      <c r="O30" s="375" t="s">
        <v>608</v>
      </c>
    </row>
    <row r="31" spans="1:15" x14ac:dyDescent="0.2">
      <c r="B31" s="124" t="s">
        <v>281</v>
      </c>
      <c r="C31" s="200">
        <v>57900</v>
      </c>
      <c r="D31" s="126">
        <v>35578</v>
      </c>
      <c r="E31" s="201">
        <v>2895</v>
      </c>
      <c r="F31" s="201"/>
      <c r="G31" s="37">
        <v>2895</v>
      </c>
      <c r="H31" s="52">
        <v>2895</v>
      </c>
      <c r="I31" s="37">
        <v>0</v>
      </c>
      <c r="J31" s="37">
        <v>10</v>
      </c>
      <c r="K31" s="83">
        <v>23.857534246575341</v>
      </c>
      <c r="L31" s="37">
        <v>-13.857534246575341</v>
      </c>
      <c r="M31" s="84">
        <v>0</v>
      </c>
      <c r="N31" s="37">
        <v>0</v>
      </c>
      <c r="O31" s="375" t="s">
        <v>608</v>
      </c>
    </row>
    <row r="32" spans="1:15" x14ac:dyDescent="0.2">
      <c r="B32" s="124" t="s">
        <v>282</v>
      </c>
      <c r="C32" s="200">
        <v>56490</v>
      </c>
      <c r="D32" s="126">
        <v>36633</v>
      </c>
      <c r="E32" s="201">
        <v>2825</v>
      </c>
      <c r="F32" s="201"/>
      <c r="G32" s="37">
        <v>2825</v>
      </c>
      <c r="H32" s="52">
        <v>2825</v>
      </c>
      <c r="I32" s="37">
        <v>0</v>
      </c>
      <c r="J32" s="37">
        <v>10</v>
      </c>
      <c r="K32" s="83">
        <v>20.967123287671232</v>
      </c>
      <c r="L32" s="37">
        <v>-10.967123287671232</v>
      </c>
      <c r="M32" s="84">
        <v>0</v>
      </c>
      <c r="N32" s="37">
        <v>0</v>
      </c>
      <c r="O32" s="375" t="s">
        <v>608</v>
      </c>
    </row>
    <row r="33" spans="1:15" x14ac:dyDescent="0.2">
      <c r="B33" s="124" t="s">
        <v>282</v>
      </c>
      <c r="C33" s="200">
        <v>46000</v>
      </c>
      <c r="D33" s="126">
        <v>36887</v>
      </c>
      <c r="E33" s="201">
        <v>2300</v>
      </c>
      <c r="F33" s="201"/>
      <c r="G33" s="37">
        <v>2300</v>
      </c>
      <c r="H33" s="52">
        <v>2300</v>
      </c>
      <c r="I33" s="37">
        <v>0</v>
      </c>
      <c r="J33" s="37">
        <v>10</v>
      </c>
      <c r="K33" s="83">
        <v>20.271232876712329</v>
      </c>
      <c r="L33" s="37">
        <v>-10.271232876712329</v>
      </c>
      <c r="M33" s="84">
        <v>0</v>
      </c>
      <c r="N33" s="37">
        <v>0</v>
      </c>
      <c r="O33" s="375" t="s">
        <v>608</v>
      </c>
    </row>
    <row r="34" spans="1:15" x14ac:dyDescent="0.2">
      <c r="B34" s="129" t="s">
        <v>283</v>
      </c>
      <c r="C34" s="173">
        <v>41400</v>
      </c>
      <c r="D34" s="126">
        <v>36988</v>
      </c>
      <c r="E34" s="201">
        <v>2070</v>
      </c>
      <c r="F34" s="201"/>
      <c r="G34" s="37">
        <v>2070</v>
      </c>
      <c r="H34" s="52">
        <v>2070</v>
      </c>
      <c r="I34" s="37">
        <v>0</v>
      </c>
      <c r="J34" s="37">
        <v>10</v>
      </c>
      <c r="K34" s="83">
        <v>19.994520547945207</v>
      </c>
      <c r="L34" s="37">
        <v>-9.9945205479452071</v>
      </c>
      <c r="M34" s="84">
        <v>0</v>
      </c>
      <c r="N34" s="37">
        <v>0</v>
      </c>
      <c r="O34" s="375" t="s">
        <v>608</v>
      </c>
    </row>
    <row r="35" spans="1:15" x14ac:dyDescent="0.2">
      <c r="B35" s="124" t="s">
        <v>289</v>
      </c>
      <c r="C35" s="200">
        <v>17025</v>
      </c>
      <c r="D35" s="126">
        <v>40534</v>
      </c>
      <c r="E35" s="201">
        <v>3035</v>
      </c>
      <c r="F35" s="201"/>
      <c r="G35" s="37">
        <v>3035</v>
      </c>
      <c r="H35" s="52">
        <v>851</v>
      </c>
      <c r="I35" s="37">
        <v>2184</v>
      </c>
      <c r="J35" s="37">
        <v>10</v>
      </c>
      <c r="K35" s="83">
        <v>10.27945205479452</v>
      </c>
      <c r="L35" s="37">
        <v>-0.27945205479452007</v>
      </c>
      <c r="M35" s="84">
        <v>0</v>
      </c>
      <c r="N35" s="37">
        <v>0</v>
      </c>
      <c r="O35" s="375" t="s">
        <v>608</v>
      </c>
    </row>
    <row r="36" spans="1:15" x14ac:dyDescent="0.2">
      <c r="B36" s="124" t="s">
        <v>290</v>
      </c>
      <c r="C36" s="200">
        <v>14000</v>
      </c>
      <c r="D36" s="126">
        <v>40956</v>
      </c>
      <c r="E36" s="201">
        <v>3227</v>
      </c>
      <c r="F36" s="201"/>
      <c r="G36" s="37">
        <v>2770</v>
      </c>
      <c r="H36" s="52">
        <v>700</v>
      </c>
      <c r="I36" s="37">
        <v>2527</v>
      </c>
      <c r="J36" s="37">
        <v>10</v>
      </c>
      <c r="K36" s="83">
        <v>9.1232876712328768</v>
      </c>
      <c r="L36" s="37">
        <v>0.87671232876712324</v>
      </c>
      <c r="M36" s="84">
        <v>0.14171819185584211</v>
      </c>
      <c r="N36" s="37">
        <v>457</v>
      </c>
      <c r="O36" s="375" t="s">
        <v>608</v>
      </c>
    </row>
    <row r="37" spans="1:15" x14ac:dyDescent="0.2">
      <c r="B37" s="77" t="s">
        <v>587</v>
      </c>
      <c r="C37" s="160">
        <f>SUM(C27:C36)</f>
        <v>350201</v>
      </c>
      <c r="D37" s="37"/>
      <c r="E37" s="37"/>
      <c r="F37" s="37"/>
      <c r="G37" s="160">
        <f>SUM(G27:G36)</f>
        <v>21763</v>
      </c>
      <c r="H37" s="160">
        <f t="shared" ref="H37:I37" si="0">SUM(H27:H36)</f>
        <v>17510</v>
      </c>
      <c r="I37" s="160">
        <f t="shared" si="0"/>
        <v>4710</v>
      </c>
      <c r="J37" s="37"/>
      <c r="K37" s="37"/>
      <c r="L37" s="37"/>
      <c r="M37" s="37"/>
      <c r="N37" s="160">
        <f t="shared" ref="N37" si="1">SUM(N27:N36)</f>
        <v>457</v>
      </c>
      <c r="O37" s="375"/>
    </row>
    <row r="38" spans="1:15" x14ac:dyDescent="0.2">
      <c r="B38" s="169" t="s">
        <v>612</v>
      </c>
      <c r="C38" s="176"/>
      <c r="D38" s="170"/>
      <c r="E38" s="170"/>
      <c r="F38" s="170"/>
      <c r="G38" s="176"/>
      <c r="H38" s="176"/>
      <c r="I38" s="176"/>
      <c r="J38" s="170"/>
      <c r="K38" s="170"/>
      <c r="L38" s="170"/>
      <c r="M38" s="170"/>
      <c r="N38" s="176"/>
      <c r="O38" s="409"/>
    </row>
    <row r="40" spans="1:15" x14ac:dyDescent="0.2">
      <c r="A40" s="321" t="s">
        <v>585</v>
      </c>
      <c r="B40" s="406" t="s">
        <v>586</v>
      </c>
      <c r="C40" s="406"/>
    </row>
    <row r="41" spans="1:15" ht="51" x14ac:dyDescent="0.2">
      <c r="B41" s="77" t="s">
        <v>35</v>
      </c>
      <c r="C41" s="337" t="s">
        <v>36</v>
      </c>
      <c r="D41" s="338" t="s">
        <v>37</v>
      </c>
      <c r="E41" s="337" t="s">
        <v>541</v>
      </c>
      <c r="F41" s="338" t="s">
        <v>38</v>
      </c>
      <c r="G41" s="337" t="s">
        <v>570</v>
      </c>
      <c r="H41" s="337" t="s">
        <v>39</v>
      </c>
      <c r="I41" s="337" t="s">
        <v>40</v>
      </c>
      <c r="J41" s="372" t="s">
        <v>41</v>
      </c>
      <c r="K41" s="372" t="s">
        <v>42</v>
      </c>
      <c r="L41" s="372" t="s">
        <v>43</v>
      </c>
      <c r="M41" s="373" t="s">
        <v>44</v>
      </c>
      <c r="N41" s="337" t="s">
        <v>45</v>
      </c>
      <c r="O41" s="337" t="s">
        <v>578</v>
      </c>
    </row>
    <row r="42" spans="1:15" x14ac:dyDescent="0.2">
      <c r="B42" s="124" t="s">
        <v>313</v>
      </c>
      <c r="C42" s="200">
        <v>5330</v>
      </c>
      <c r="D42" s="126">
        <v>31401</v>
      </c>
      <c r="E42" s="242">
        <v>231</v>
      </c>
      <c r="F42" s="242"/>
      <c r="G42" s="37">
        <v>231</v>
      </c>
      <c r="H42" s="52">
        <v>231</v>
      </c>
      <c r="I42" s="37">
        <v>0</v>
      </c>
      <c r="J42" s="37">
        <v>10</v>
      </c>
      <c r="K42" s="83">
        <v>35.301369863013697</v>
      </c>
      <c r="L42" s="37">
        <v>-25.301369863013697</v>
      </c>
      <c r="M42" s="84">
        <v>0</v>
      </c>
      <c r="N42" s="37">
        <v>0</v>
      </c>
      <c r="O42" s="374" t="s">
        <v>606</v>
      </c>
    </row>
    <row r="43" spans="1:15" x14ac:dyDescent="0.2">
      <c r="B43" s="124" t="s">
        <v>324</v>
      </c>
      <c r="C43" s="200">
        <v>9884</v>
      </c>
      <c r="D43" s="126">
        <v>32381</v>
      </c>
      <c r="E43" s="242">
        <v>494</v>
      </c>
      <c r="F43" s="242"/>
      <c r="G43" s="37">
        <v>494</v>
      </c>
      <c r="H43" s="52">
        <v>494.20000000000005</v>
      </c>
      <c r="I43" s="37">
        <v>-0.20000000000004547</v>
      </c>
      <c r="J43" s="37">
        <v>10</v>
      </c>
      <c r="K43" s="83">
        <v>32.61643835616438</v>
      </c>
      <c r="L43" s="37">
        <v>-22.61643835616438</v>
      </c>
      <c r="M43" s="84">
        <v>0</v>
      </c>
      <c r="N43" s="37">
        <v>0</v>
      </c>
      <c r="O43" s="374" t="s">
        <v>606</v>
      </c>
    </row>
    <row r="44" spans="1:15" x14ac:dyDescent="0.2">
      <c r="B44" s="124" t="s">
        <v>340</v>
      </c>
      <c r="C44" s="200">
        <v>8490</v>
      </c>
      <c r="D44" s="126">
        <v>34912</v>
      </c>
      <c r="E44" s="242">
        <v>425</v>
      </c>
      <c r="F44" s="242"/>
      <c r="G44" s="37">
        <v>425</v>
      </c>
      <c r="H44" s="52">
        <v>424.5</v>
      </c>
      <c r="I44" s="37">
        <v>0.5</v>
      </c>
      <c r="J44" s="37">
        <v>10</v>
      </c>
      <c r="K44" s="83">
        <v>25.682191780821917</v>
      </c>
      <c r="L44" s="37">
        <v>-15.682191780821917</v>
      </c>
      <c r="M44" s="84">
        <v>0</v>
      </c>
      <c r="N44" s="37">
        <v>0</v>
      </c>
      <c r="O44" s="374" t="s">
        <v>606</v>
      </c>
    </row>
    <row r="45" spans="1:15" x14ac:dyDescent="0.2">
      <c r="B45" s="124" t="s">
        <v>346</v>
      </c>
      <c r="C45" s="200">
        <v>3672</v>
      </c>
      <c r="D45" s="126">
        <v>34912</v>
      </c>
      <c r="E45" s="242">
        <v>184</v>
      </c>
      <c r="F45" s="242"/>
      <c r="G45" s="37">
        <v>184</v>
      </c>
      <c r="H45" s="52">
        <v>183.60000000000002</v>
      </c>
      <c r="I45" s="37">
        <v>0.39999999999997726</v>
      </c>
      <c r="J45" s="37">
        <v>10</v>
      </c>
      <c r="K45" s="83">
        <v>25.682191780821917</v>
      </c>
      <c r="L45" s="37">
        <v>-15.682191780821917</v>
      </c>
      <c r="M45" s="84">
        <v>0</v>
      </c>
      <c r="N45" s="37">
        <v>0</v>
      </c>
      <c r="O45" s="374" t="s">
        <v>606</v>
      </c>
    </row>
    <row r="46" spans="1:15" x14ac:dyDescent="0.2">
      <c r="B46" s="124" t="s">
        <v>347</v>
      </c>
      <c r="C46" s="200">
        <v>1400</v>
      </c>
      <c r="D46" s="126">
        <v>34912</v>
      </c>
      <c r="E46" s="242">
        <v>70</v>
      </c>
      <c r="F46" s="242"/>
      <c r="G46" s="37">
        <v>70</v>
      </c>
      <c r="H46" s="52">
        <v>70</v>
      </c>
      <c r="I46" s="37">
        <v>0</v>
      </c>
      <c r="J46" s="37">
        <v>10</v>
      </c>
      <c r="K46" s="83">
        <v>25.682191780821917</v>
      </c>
      <c r="L46" s="37">
        <v>-15.682191780821917</v>
      </c>
      <c r="M46" s="84">
        <v>0</v>
      </c>
      <c r="N46" s="37">
        <v>0</v>
      </c>
      <c r="O46" s="374" t="s">
        <v>606</v>
      </c>
    </row>
    <row r="47" spans="1:15" x14ac:dyDescent="0.2">
      <c r="B47" s="124" t="s">
        <v>348</v>
      </c>
      <c r="C47" s="200">
        <v>700</v>
      </c>
      <c r="D47" s="126">
        <v>34912</v>
      </c>
      <c r="E47" s="242">
        <v>35</v>
      </c>
      <c r="F47" s="242"/>
      <c r="G47" s="37">
        <v>35</v>
      </c>
      <c r="H47" s="52">
        <v>35</v>
      </c>
      <c r="I47" s="37">
        <v>0</v>
      </c>
      <c r="J47" s="37">
        <v>10</v>
      </c>
      <c r="K47" s="83">
        <v>25.682191780821917</v>
      </c>
      <c r="L47" s="37">
        <v>-15.682191780821917</v>
      </c>
      <c r="M47" s="84">
        <v>0</v>
      </c>
      <c r="N47" s="37">
        <v>0</v>
      </c>
      <c r="O47" s="374" t="s">
        <v>606</v>
      </c>
    </row>
    <row r="48" spans="1:15" x14ac:dyDescent="0.2">
      <c r="B48" s="124" t="s">
        <v>364</v>
      </c>
      <c r="C48" s="200">
        <v>2900</v>
      </c>
      <c r="D48" s="126">
        <v>34912</v>
      </c>
      <c r="E48" s="242">
        <v>145</v>
      </c>
      <c r="F48" s="242"/>
      <c r="G48" s="37">
        <v>145</v>
      </c>
      <c r="H48" s="52">
        <v>145</v>
      </c>
      <c r="I48" s="37">
        <v>0</v>
      </c>
      <c r="J48" s="37">
        <v>10</v>
      </c>
      <c r="K48" s="83">
        <v>25.682191780821917</v>
      </c>
      <c r="L48" s="37">
        <v>-15.682191780821917</v>
      </c>
      <c r="M48" s="84">
        <v>0</v>
      </c>
      <c r="N48" s="37">
        <v>0</v>
      </c>
      <c r="O48" s="374" t="s">
        <v>606</v>
      </c>
    </row>
    <row r="49" spans="1:15" x14ac:dyDescent="0.2">
      <c r="B49" s="124" t="s">
        <v>365</v>
      </c>
      <c r="C49" s="200">
        <v>2079</v>
      </c>
      <c r="D49" s="126">
        <v>34912</v>
      </c>
      <c r="E49" s="242">
        <v>104</v>
      </c>
      <c r="F49" s="242"/>
      <c r="G49" s="37">
        <v>104</v>
      </c>
      <c r="H49" s="52">
        <v>103.95</v>
      </c>
      <c r="I49" s="37">
        <v>4.9999999999997158E-2</v>
      </c>
      <c r="J49" s="37">
        <v>10</v>
      </c>
      <c r="K49" s="83">
        <v>25.682191780821917</v>
      </c>
      <c r="L49" s="37">
        <v>-15.682191780821917</v>
      </c>
      <c r="M49" s="84">
        <v>0</v>
      </c>
      <c r="N49" s="37">
        <v>0</v>
      </c>
      <c r="O49" s="374" t="s">
        <v>606</v>
      </c>
    </row>
    <row r="50" spans="1:15" x14ac:dyDescent="0.2">
      <c r="B50" s="124" t="s">
        <v>366</v>
      </c>
      <c r="C50" s="200">
        <v>2510</v>
      </c>
      <c r="D50" s="126">
        <v>34912</v>
      </c>
      <c r="E50" s="242">
        <v>126</v>
      </c>
      <c r="F50" s="242"/>
      <c r="G50" s="37">
        <v>126</v>
      </c>
      <c r="H50" s="52">
        <v>125.5</v>
      </c>
      <c r="I50" s="37">
        <v>0.5</v>
      </c>
      <c r="J50" s="37">
        <v>10</v>
      </c>
      <c r="K50" s="83">
        <v>25.682191780821917</v>
      </c>
      <c r="L50" s="37">
        <v>-15.682191780821917</v>
      </c>
      <c r="M50" s="84">
        <v>0</v>
      </c>
      <c r="N50" s="37">
        <v>0</v>
      </c>
      <c r="O50" s="374" t="s">
        <v>606</v>
      </c>
    </row>
    <row r="51" spans="1:15" x14ac:dyDescent="0.2">
      <c r="B51" s="124" t="s">
        <v>370</v>
      </c>
      <c r="C51" s="200">
        <v>6787</v>
      </c>
      <c r="D51" s="126">
        <v>34863</v>
      </c>
      <c r="E51" s="242">
        <v>339</v>
      </c>
      <c r="F51" s="242"/>
      <c r="G51" s="37">
        <v>339</v>
      </c>
      <c r="H51" s="52">
        <v>339.35</v>
      </c>
      <c r="I51" s="37">
        <v>-0.35000000000002274</v>
      </c>
      <c r="J51" s="37">
        <v>10</v>
      </c>
      <c r="K51" s="83">
        <v>25.816438356164383</v>
      </c>
      <c r="L51" s="37">
        <v>-15.816438356164383</v>
      </c>
      <c r="M51" s="84">
        <v>0</v>
      </c>
      <c r="N51" s="37">
        <v>0</v>
      </c>
      <c r="O51" s="374" t="s">
        <v>606</v>
      </c>
    </row>
    <row r="52" spans="1:15" x14ac:dyDescent="0.2">
      <c r="B52" s="124" t="s">
        <v>371</v>
      </c>
      <c r="C52" s="200">
        <v>4640</v>
      </c>
      <c r="D52" s="126">
        <v>34863</v>
      </c>
      <c r="E52" s="242">
        <v>232</v>
      </c>
      <c r="F52" s="242"/>
      <c r="G52" s="37">
        <v>232</v>
      </c>
      <c r="H52" s="52">
        <v>232</v>
      </c>
      <c r="I52" s="37">
        <v>0</v>
      </c>
      <c r="J52" s="37">
        <v>10</v>
      </c>
      <c r="K52" s="83">
        <v>25.816438356164383</v>
      </c>
      <c r="L52" s="37">
        <v>-15.816438356164383</v>
      </c>
      <c r="M52" s="84">
        <v>0</v>
      </c>
      <c r="N52" s="37">
        <v>0</v>
      </c>
      <c r="O52" s="374" t="s">
        <v>606</v>
      </c>
    </row>
    <row r="53" spans="1:15" x14ac:dyDescent="0.2">
      <c r="B53" s="124" t="s">
        <v>379</v>
      </c>
      <c r="C53" s="200">
        <v>1040</v>
      </c>
      <c r="D53" s="126">
        <v>35578</v>
      </c>
      <c r="E53" s="242">
        <v>51</v>
      </c>
      <c r="F53" s="242"/>
      <c r="G53" s="37">
        <v>51</v>
      </c>
      <c r="H53" s="52">
        <v>52</v>
      </c>
      <c r="I53" s="37">
        <v>-1</v>
      </c>
      <c r="J53" s="37">
        <v>10</v>
      </c>
      <c r="K53" s="83">
        <v>23.857534246575341</v>
      </c>
      <c r="L53" s="37">
        <v>-13.857534246575341</v>
      </c>
      <c r="M53" s="84">
        <v>0</v>
      </c>
      <c r="N53" s="37">
        <v>0</v>
      </c>
      <c r="O53" s="374" t="s">
        <v>606</v>
      </c>
    </row>
    <row r="54" spans="1:15" x14ac:dyDescent="0.2">
      <c r="B54" s="124" t="s">
        <v>380</v>
      </c>
      <c r="C54" s="200">
        <v>14175</v>
      </c>
      <c r="D54" s="126">
        <v>35776</v>
      </c>
      <c r="E54" s="242">
        <v>708.75</v>
      </c>
      <c r="F54" s="242"/>
      <c r="G54" s="37">
        <v>708.75</v>
      </c>
      <c r="H54" s="52">
        <v>708.75</v>
      </c>
      <c r="I54" s="37">
        <v>0</v>
      </c>
      <c r="J54" s="37">
        <v>10</v>
      </c>
      <c r="K54" s="83">
        <v>23.315068493150687</v>
      </c>
      <c r="L54" s="37">
        <v>-13.315068493150687</v>
      </c>
      <c r="M54" s="84">
        <v>0</v>
      </c>
      <c r="N54" s="37">
        <v>0</v>
      </c>
      <c r="O54" s="374" t="s">
        <v>606</v>
      </c>
    </row>
    <row r="55" spans="1:15" x14ac:dyDescent="0.2">
      <c r="B55" s="124" t="s">
        <v>381</v>
      </c>
      <c r="C55" s="200">
        <v>17450</v>
      </c>
      <c r="D55" s="126">
        <v>35788</v>
      </c>
      <c r="E55" s="242">
        <v>872.5</v>
      </c>
      <c r="F55" s="242"/>
      <c r="G55" s="37">
        <v>872.5</v>
      </c>
      <c r="H55" s="52">
        <v>872.5</v>
      </c>
      <c r="I55" s="37">
        <v>0</v>
      </c>
      <c r="J55" s="37">
        <v>10</v>
      </c>
      <c r="K55" s="83">
        <v>23.282191780821918</v>
      </c>
      <c r="L55" s="37">
        <v>-13.282191780821918</v>
      </c>
      <c r="M55" s="84">
        <v>0</v>
      </c>
      <c r="N55" s="37">
        <v>0</v>
      </c>
      <c r="O55" s="374" t="s">
        <v>606</v>
      </c>
    </row>
    <row r="56" spans="1:15" x14ac:dyDescent="0.2">
      <c r="B56" s="124" t="s">
        <v>395</v>
      </c>
      <c r="C56" s="173">
        <v>9150</v>
      </c>
      <c r="D56" s="126">
        <v>40621</v>
      </c>
      <c r="E56" s="242">
        <v>339</v>
      </c>
      <c r="F56" s="242"/>
      <c r="G56" s="37">
        <v>339</v>
      </c>
      <c r="H56" s="52">
        <v>339</v>
      </c>
      <c r="I56" s="37">
        <v>0</v>
      </c>
      <c r="J56" s="37">
        <v>10</v>
      </c>
      <c r="K56" s="83">
        <v>10.04109589041096</v>
      </c>
      <c r="L56" s="37">
        <v>-4.1095890410959512E-2</v>
      </c>
      <c r="M56" s="84">
        <v>0</v>
      </c>
      <c r="N56" s="37">
        <v>0</v>
      </c>
      <c r="O56" s="374" t="s">
        <v>606</v>
      </c>
    </row>
    <row r="57" spans="1:15" x14ac:dyDescent="0.2">
      <c r="B57" s="124" t="s">
        <v>399</v>
      </c>
      <c r="C57" s="200">
        <v>3330</v>
      </c>
      <c r="D57" s="126">
        <v>35270</v>
      </c>
      <c r="E57" s="242">
        <v>166.5</v>
      </c>
      <c r="F57" s="242"/>
      <c r="G57" s="37">
        <v>166.5</v>
      </c>
      <c r="H57" s="52">
        <v>166.5</v>
      </c>
      <c r="I57" s="37">
        <v>0</v>
      </c>
      <c r="J57" s="37">
        <v>10</v>
      </c>
      <c r="K57" s="83">
        <v>24.701369863013699</v>
      </c>
      <c r="L57" s="37">
        <v>-14.701369863013699</v>
      </c>
      <c r="M57" s="84">
        <v>0</v>
      </c>
      <c r="N57" s="37">
        <v>0</v>
      </c>
      <c r="O57" s="374" t="s">
        <v>606</v>
      </c>
    </row>
    <row r="58" spans="1:15" x14ac:dyDescent="0.2">
      <c r="B58" s="124" t="s">
        <v>584</v>
      </c>
      <c r="C58" s="173">
        <v>0</v>
      </c>
      <c r="D58" s="126">
        <v>38946</v>
      </c>
      <c r="E58" s="242">
        <v>0</v>
      </c>
      <c r="F58" s="242"/>
      <c r="G58" s="37">
        <v>0</v>
      </c>
      <c r="H58" s="52">
        <v>0</v>
      </c>
      <c r="I58" s="37">
        <v>0</v>
      </c>
      <c r="J58" s="37">
        <v>10</v>
      </c>
      <c r="K58" s="83">
        <v>14.63013698630137</v>
      </c>
      <c r="L58" s="37">
        <v>-4.6301369863013697</v>
      </c>
      <c r="M58" s="84">
        <v>0</v>
      </c>
      <c r="N58" s="37">
        <v>0</v>
      </c>
      <c r="O58" s="374" t="s">
        <v>606</v>
      </c>
    </row>
    <row r="59" spans="1:15" x14ac:dyDescent="0.2">
      <c r="B59" s="77" t="s">
        <v>587</v>
      </c>
      <c r="C59" s="160">
        <f>SUM(C42:C58)</f>
        <v>93537</v>
      </c>
      <c r="D59" s="37"/>
      <c r="E59" s="160">
        <f>SUM(E42:E58)</f>
        <v>4522.75</v>
      </c>
      <c r="F59" s="37"/>
      <c r="G59" s="160">
        <f>SUM(G42:G58)</f>
        <v>4522.75</v>
      </c>
      <c r="H59" s="160">
        <f t="shared" ref="H59:I59" si="2">SUM(H42:H58)</f>
        <v>4522.8500000000004</v>
      </c>
      <c r="I59" s="160">
        <f t="shared" si="2"/>
        <v>-0.10000000000009379</v>
      </c>
      <c r="J59" s="37"/>
      <c r="K59" s="37"/>
      <c r="L59" s="37"/>
      <c r="M59" s="84"/>
      <c r="N59" s="160">
        <f t="shared" ref="N59" si="3">SUM(N42:N58)</f>
        <v>0</v>
      </c>
      <c r="O59" s="123"/>
    </row>
    <row r="61" spans="1:15" x14ac:dyDescent="0.2">
      <c r="A61" s="320" t="s">
        <v>588</v>
      </c>
      <c r="B61" s="406" t="s">
        <v>589</v>
      </c>
      <c r="C61" s="406"/>
    </row>
    <row r="62" spans="1:15" ht="51" x14ac:dyDescent="0.2">
      <c r="B62" s="142" t="s">
        <v>35</v>
      </c>
      <c r="C62" s="337" t="s">
        <v>36</v>
      </c>
      <c r="D62" s="338" t="s">
        <v>37</v>
      </c>
      <c r="E62" s="337" t="s">
        <v>541</v>
      </c>
      <c r="F62" s="337" t="s">
        <v>411</v>
      </c>
      <c r="G62" s="337" t="s">
        <v>570</v>
      </c>
      <c r="H62" s="337" t="s">
        <v>39</v>
      </c>
      <c r="I62" s="337" t="s">
        <v>40</v>
      </c>
      <c r="J62" s="372" t="s">
        <v>41</v>
      </c>
      <c r="K62" s="372" t="s">
        <v>42</v>
      </c>
      <c r="L62" s="372" t="s">
        <v>43</v>
      </c>
      <c r="M62" s="373" t="s">
        <v>44</v>
      </c>
      <c r="N62" s="337" t="s">
        <v>45</v>
      </c>
      <c r="O62" s="337" t="s">
        <v>578</v>
      </c>
    </row>
    <row r="63" spans="1:15" x14ac:dyDescent="0.2">
      <c r="B63" s="124" t="s">
        <v>415</v>
      </c>
      <c r="C63" s="200">
        <v>5800</v>
      </c>
      <c r="D63" s="126">
        <v>31223</v>
      </c>
      <c r="E63" s="376">
        <v>290</v>
      </c>
      <c r="F63" s="376"/>
      <c r="G63" s="37">
        <v>290</v>
      </c>
      <c r="H63" s="52">
        <v>290</v>
      </c>
      <c r="I63" s="37">
        <v>0</v>
      </c>
      <c r="J63" s="37">
        <v>3</v>
      </c>
      <c r="K63" s="37">
        <v>35.789041095890411</v>
      </c>
      <c r="L63" s="37">
        <v>-32.789041095890411</v>
      </c>
      <c r="M63" s="84">
        <v>0</v>
      </c>
      <c r="N63" s="37">
        <v>0</v>
      </c>
      <c r="O63" s="123" t="s">
        <v>579</v>
      </c>
    </row>
    <row r="64" spans="1:15" x14ac:dyDescent="0.2">
      <c r="B64" s="124" t="s">
        <v>416</v>
      </c>
      <c r="C64" s="200">
        <v>4200</v>
      </c>
      <c r="D64" s="126">
        <v>31304</v>
      </c>
      <c r="E64" s="376">
        <v>210</v>
      </c>
      <c r="F64" s="376"/>
      <c r="G64" s="37">
        <v>210</v>
      </c>
      <c r="H64" s="52">
        <v>210</v>
      </c>
      <c r="I64" s="37">
        <v>0</v>
      </c>
      <c r="J64" s="37">
        <v>3</v>
      </c>
      <c r="K64" s="37">
        <v>35.56712328767123</v>
      </c>
      <c r="L64" s="37">
        <v>-32.56712328767123</v>
      </c>
      <c r="M64" s="84">
        <v>0</v>
      </c>
      <c r="N64" s="37">
        <v>0</v>
      </c>
      <c r="O64" s="123" t="s">
        <v>579</v>
      </c>
    </row>
    <row r="65" spans="2:15" x14ac:dyDescent="0.2">
      <c r="B65" s="124" t="s">
        <v>419</v>
      </c>
      <c r="C65" s="200">
        <v>5495</v>
      </c>
      <c r="D65" s="126">
        <v>32018</v>
      </c>
      <c r="E65" s="376">
        <v>202</v>
      </c>
      <c r="F65" s="376"/>
      <c r="G65" s="37">
        <v>202</v>
      </c>
      <c r="H65" s="52">
        <v>202</v>
      </c>
      <c r="I65" s="37">
        <v>0</v>
      </c>
      <c r="J65" s="37">
        <v>3</v>
      </c>
      <c r="K65" s="37">
        <v>33.610958904109587</v>
      </c>
      <c r="L65" s="37">
        <v>-30.610958904109587</v>
      </c>
      <c r="M65" s="84">
        <v>0</v>
      </c>
      <c r="N65" s="37">
        <v>0</v>
      </c>
      <c r="O65" s="123" t="s">
        <v>579</v>
      </c>
    </row>
    <row r="66" spans="2:15" x14ac:dyDescent="0.2">
      <c r="B66" s="124" t="s">
        <v>422</v>
      </c>
      <c r="C66" s="200">
        <v>20604</v>
      </c>
      <c r="D66" s="126">
        <v>32877</v>
      </c>
      <c r="E66" s="376">
        <v>1030</v>
      </c>
      <c r="F66" s="376"/>
      <c r="G66" s="37">
        <v>1030</v>
      </c>
      <c r="H66" s="52">
        <v>1030.2</v>
      </c>
      <c r="I66" s="37">
        <v>-0.20000000000004547</v>
      </c>
      <c r="J66" s="37">
        <v>3</v>
      </c>
      <c r="K66" s="37">
        <v>31.257534246575343</v>
      </c>
      <c r="L66" s="37">
        <v>-28.257534246575343</v>
      </c>
      <c r="M66" s="84">
        <v>0</v>
      </c>
      <c r="N66" s="37">
        <v>0</v>
      </c>
      <c r="O66" s="123" t="s">
        <v>579</v>
      </c>
    </row>
    <row r="67" spans="2:15" x14ac:dyDescent="0.2">
      <c r="B67" s="124" t="s">
        <v>423</v>
      </c>
      <c r="C67" s="200">
        <v>30344</v>
      </c>
      <c r="D67" s="126">
        <v>33478</v>
      </c>
      <c r="E67" s="376">
        <v>1517</v>
      </c>
      <c r="F67" s="376"/>
      <c r="G67" s="37">
        <v>1517</v>
      </c>
      <c r="H67" s="52">
        <v>1517.2</v>
      </c>
      <c r="I67" s="37">
        <v>-0.20000000000004547</v>
      </c>
      <c r="J67" s="37">
        <v>3</v>
      </c>
      <c r="K67" s="37">
        <v>29.610958904109587</v>
      </c>
      <c r="L67" s="37">
        <v>-26.610958904109587</v>
      </c>
      <c r="M67" s="84">
        <v>0</v>
      </c>
      <c r="N67" s="37">
        <v>0</v>
      </c>
      <c r="O67" s="123" t="s">
        <v>579</v>
      </c>
    </row>
    <row r="68" spans="2:15" x14ac:dyDescent="0.2">
      <c r="B68" s="124" t="s">
        <v>426</v>
      </c>
      <c r="C68" s="200">
        <v>62000</v>
      </c>
      <c r="D68" s="126">
        <v>34213</v>
      </c>
      <c r="E68" s="376">
        <v>3100</v>
      </c>
      <c r="F68" s="376"/>
      <c r="G68" s="37">
        <v>3100</v>
      </c>
      <c r="H68" s="52">
        <v>3100</v>
      </c>
      <c r="I68" s="37">
        <v>0</v>
      </c>
      <c r="J68" s="37">
        <v>3</v>
      </c>
      <c r="K68" s="37">
        <v>27.597260273972601</v>
      </c>
      <c r="L68" s="37">
        <v>-24.597260273972601</v>
      </c>
      <c r="M68" s="84">
        <v>0</v>
      </c>
      <c r="N68" s="37">
        <v>0</v>
      </c>
      <c r="O68" s="123" t="s">
        <v>579</v>
      </c>
    </row>
    <row r="69" spans="2:15" x14ac:dyDescent="0.2">
      <c r="B69" s="124" t="s">
        <v>426</v>
      </c>
      <c r="C69" s="200">
        <v>24000</v>
      </c>
      <c r="D69" s="126">
        <v>35038</v>
      </c>
      <c r="E69" s="376">
        <v>1200</v>
      </c>
      <c r="F69" s="376"/>
      <c r="G69" s="37">
        <v>1200</v>
      </c>
      <c r="H69" s="52">
        <v>1200</v>
      </c>
      <c r="I69" s="37">
        <v>0</v>
      </c>
      <c r="J69" s="37">
        <v>3</v>
      </c>
      <c r="K69" s="37">
        <v>25.336986301369862</v>
      </c>
      <c r="L69" s="37">
        <v>-22.336986301369862</v>
      </c>
      <c r="M69" s="84">
        <v>0</v>
      </c>
      <c r="N69" s="37">
        <v>0</v>
      </c>
      <c r="O69" s="123" t="s">
        <v>579</v>
      </c>
    </row>
    <row r="70" spans="2:15" x14ac:dyDescent="0.2">
      <c r="B70" s="124" t="s">
        <v>428</v>
      </c>
      <c r="C70" s="200">
        <v>25700</v>
      </c>
      <c r="D70" s="126">
        <v>35062</v>
      </c>
      <c r="E70" s="376">
        <v>1285</v>
      </c>
      <c r="F70" s="376"/>
      <c r="G70" s="37">
        <v>1285</v>
      </c>
      <c r="H70" s="52">
        <v>1285</v>
      </c>
      <c r="I70" s="37">
        <v>0</v>
      </c>
      <c r="J70" s="37">
        <v>3</v>
      </c>
      <c r="K70" s="37">
        <v>25.271232876712329</v>
      </c>
      <c r="L70" s="37">
        <v>-22.271232876712329</v>
      </c>
      <c r="M70" s="84">
        <v>0</v>
      </c>
      <c r="N70" s="37">
        <v>0</v>
      </c>
      <c r="O70" s="123" t="s">
        <v>579</v>
      </c>
    </row>
    <row r="71" spans="2:15" x14ac:dyDescent="0.2">
      <c r="B71" s="124" t="s">
        <v>429</v>
      </c>
      <c r="C71" s="200">
        <v>2800</v>
      </c>
      <c r="D71" s="126">
        <v>35388</v>
      </c>
      <c r="E71" s="376">
        <v>140</v>
      </c>
      <c r="F71" s="376"/>
      <c r="G71" s="37">
        <v>140</v>
      </c>
      <c r="H71" s="52">
        <v>140</v>
      </c>
      <c r="I71" s="37">
        <v>0</v>
      </c>
      <c r="J71" s="37">
        <v>3</v>
      </c>
      <c r="K71" s="37">
        <v>24.378082191780823</v>
      </c>
      <c r="L71" s="37">
        <v>-21.378082191780823</v>
      </c>
      <c r="M71" s="84">
        <v>0</v>
      </c>
      <c r="N71" s="37">
        <v>0</v>
      </c>
      <c r="O71" s="123" t="s">
        <v>579</v>
      </c>
    </row>
    <row r="72" spans="2:15" x14ac:dyDescent="0.2">
      <c r="B72" s="124" t="s">
        <v>430</v>
      </c>
      <c r="C72" s="200">
        <v>10100</v>
      </c>
      <c r="D72" s="126">
        <v>35193</v>
      </c>
      <c r="E72" s="376">
        <v>505</v>
      </c>
      <c r="F72" s="376"/>
      <c r="G72" s="37">
        <v>505</v>
      </c>
      <c r="H72" s="52">
        <v>505</v>
      </c>
      <c r="I72" s="37">
        <v>0</v>
      </c>
      <c r="J72" s="37">
        <v>3</v>
      </c>
      <c r="K72" s="37">
        <v>24.912328767123288</v>
      </c>
      <c r="L72" s="37">
        <v>-21.912328767123288</v>
      </c>
      <c r="M72" s="84">
        <v>0</v>
      </c>
      <c r="N72" s="37">
        <v>0</v>
      </c>
      <c r="O72" s="123" t="s">
        <v>579</v>
      </c>
    </row>
    <row r="73" spans="2:15" x14ac:dyDescent="0.2">
      <c r="B73" s="124" t="s">
        <v>433</v>
      </c>
      <c r="C73" s="200">
        <v>6485</v>
      </c>
      <c r="D73" s="126">
        <v>35163</v>
      </c>
      <c r="E73" s="376">
        <v>324</v>
      </c>
      <c r="F73" s="376"/>
      <c r="G73" s="37">
        <v>324</v>
      </c>
      <c r="H73" s="52">
        <v>324.25</v>
      </c>
      <c r="I73" s="37">
        <v>-0.25</v>
      </c>
      <c r="J73" s="37">
        <v>3</v>
      </c>
      <c r="K73" s="37">
        <v>24.994520547945207</v>
      </c>
      <c r="L73" s="37">
        <v>-21.994520547945207</v>
      </c>
      <c r="M73" s="84">
        <v>0</v>
      </c>
      <c r="N73" s="37">
        <v>0</v>
      </c>
      <c r="O73" s="123" t="s">
        <v>579</v>
      </c>
    </row>
    <row r="74" spans="2:15" x14ac:dyDescent="0.2">
      <c r="B74" s="124" t="s">
        <v>434</v>
      </c>
      <c r="C74" s="200">
        <v>8300</v>
      </c>
      <c r="D74" s="126">
        <v>35105</v>
      </c>
      <c r="E74" s="376">
        <v>414</v>
      </c>
      <c r="F74" s="376"/>
      <c r="G74" s="37">
        <v>414</v>
      </c>
      <c r="H74" s="52">
        <v>415</v>
      </c>
      <c r="I74" s="37">
        <v>-1</v>
      </c>
      <c r="J74" s="37">
        <v>3</v>
      </c>
      <c r="K74" s="37">
        <v>25.153424657534245</v>
      </c>
      <c r="L74" s="37">
        <v>-22.153424657534245</v>
      </c>
      <c r="M74" s="84">
        <v>0</v>
      </c>
      <c r="N74" s="37">
        <v>0</v>
      </c>
      <c r="O74" s="123" t="s">
        <v>579</v>
      </c>
    </row>
    <row r="75" spans="2:15" x14ac:dyDescent="0.2">
      <c r="B75" s="124" t="s">
        <v>435</v>
      </c>
      <c r="C75" s="200">
        <v>12000</v>
      </c>
      <c r="D75" s="126">
        <v>35163</v>
      </c>
      <c r="E75" s="376">
        <v>600</v>
      </c>
      <c r="F75" s="376"/>
      <c r="G75" s="37">
        <v>600</v>
      </c>
      <c r="H75" s="52">
        <v>600</v>
      </c>
      <c r="I75" s="37">
        <v>0</v>
      </c>
      <c r="J75" s="37">
        <v>3</v>
      </c>
      <c r="K75" s="37">
        <v>24.994520547945207</v>
      </c>
      <c r="L75" s="37">
        <v>-21.994520547945207</v>
      </c>
      <c r="M75" s="84">
        <v>0</v>
      </c>
      <c r="N75" s="37">
        <v>0</v>
      </c>
      <c r="O75" s="123" t="s">
        <v>579</v>
      </c>
    </row>
    <row r="76" spans="2:15" x14ac:dyDescent="0.2">
      <c r="B76" s="124" t="s">
        <v>436</v>
      </c>
      <c r="C76" s="173">
        <v>6300</v>
      </c>
      <c r="D76" s="126">
        <v>36236</v>
      </c>
      <c r="E76" s="376">
        <v>315</v>
      </c>
      <c r="F76" s="376"/>
      <c r="G76" s="37">
        <v>315</v>
      </c>
      <c r="H76" s="52">
        <v>315</v>
      </c>
      <c r="I76" s="37">
        <v>0</v>
      </c>
      <c r="J76" s="37">
        <v>3</v>
      </c>
      <c r="K76" s="37">
        <v>22.054794520547944</v>
      </c>
      <c r="L76" s="37">
        <v>-19.054794520547944</v>
      </c>
      <c r="M76" s="84">
        <v>0</v>
      </c>
      <c r="N76" s="37">
        <v>0</v>
      </c>
      <c r="O76" s="123" t="s">
        <v>579</v>
      </c>
    </row>
    <row r="77" spans="2:15" x14ac:dyDescent="0.2">
      <c r="B77" s="124" t="s">
        <v>437</v>
      </c>
      <c r="C77" s="173">
        <v>23000</v>
      </c>
      <c r="D77" s="126">
        <v>36664</v>
      </c>
      <c r="E77" s="376">
        <v>1150</v>
      </c>
      <c r="F77" s="376"/>
      <c r="G77" s="37">
        <v>1150</v>
      </c>
      <c r="H77" s="52">
        <v>1150</v>
      </c>
      <c r="I77" s="37">
        <v>0</v>
      </c>
      <c r="J77" s="37">
        <v>3</v>
      </c>
      <c r="K77" s="37">
        <v>20.882191780821916</v>
      </c>
      <c r="L77" s="37">
        <v>-17.882191780821916</v>
      </c>
      <c r="M77" s="84">
        <v>0</v>
      </c>
      <c r="N77" s="37">
        <v>0</v>
      </c>
      <c r="O77" s="123" t="s">
        <v>579</v>
      </c>
    </row>
    <row r="78" spans="2:15" x14ac:dyDescent="0.2">
      <c r="B78" s="124" t="s">
        <v>438</v>
      </c>
      <c r="C78" s="200">
        <v>20000</v>
      </c>
      <c r="D78" s="126">
        <v>37744</v>
      </c>
      <c r="E78" s="376">
        <v>1000</v>
      </c>
      <c r="F78" s="376"/>
      <c r="G78" s="37">
        <v>1000</v>
      </c>
      <c r="H78" s="52">
        <v>1000</v>
      </c>
      <c r="I78" s="37">
        <v>0</v>
      </c>
      <c r="J78" s="37">
        <v>3</v>
      </c>
      <c r="K78" s="37">
        <v>17.923287671232877</v>
      </c>
      <c r="L78" s="37">
        <v>-14.923287671232877</v>
      </c>
      <c r="M78" s="84">
        <v>0</v>
      </c>
      <c r="N78" s="37">
        <v>0</v>
      </c>
      <c r="O78" s="123" t="s">
        <v>579</v>
      </c>
    </row>
    <row r="79" spans="2:15" x14ac:dyDescent="0.2">
      <c r="B79" s="377" t="s">
        <v>440</v>
      </c>
      <c r="C79" s="200">
        <v>4200</v>
      </c>
      <c r="D79" s="126">
        <v>38563</v>
      </c>
      <c r="E79" s="376">
        <v>210</v>
      </c>
      <c r="F79" s="376"/>
      <c r="G79" s="37">
        <v>210</v>
      </c>
      <c r="H79" s="52">
        <v>210</v>
      </c>
      <c r="I79" s="37">
        <v>0</v>
      </c>
      <c r="J79" s="37">
        <v>3</v>
      </c>
      <c r="K79" s="37">
        <v>15.67945205479452</v>
      </c>
      <c r="L79" s="37">
        <v>-12.67945205479452</v>
      </c>
      <c r="M79" s="84">
        <v>0</v>
      </c>
      <c r="N79" s="37">
        <v>0</v>
      </c>
      <c r="O79" s="123" t="s">
        <v>579</v>
      </c>
    </row>
    <row r="80" spans="2:15" x14ac:dyDescent="0.2">
      <c r="B80" s="124" t="s">
        <v>441</v>
      </c>
      <c r="C80" s="200">
        <v>2500</v>
      </c>
      <c r="D80" s="126">
        <v>38450</v>
      </c>
      <c r="E80" s="376">
        <v>125</v>
      </c>
      <c r="F80" s="376"/>
      <c r="G80" s="37">
        <v>125</v>
      </c>
      <c r="H80" s="52">
        <v>125</v>
      </c>
      <c r="I80" s="37">
        <v>0</v>
      </c>
      <c r="J80" s="37">
        <v>3</v>
      </c>
      <c r="K80" s="37">
        <v>15.989041095890411</v>
      </c>
      <c r="L80" s="37">
        <v>-12.989041095890411</v>
      </c>
      <c r="M80" s="84">
        <v>0</v>
      </c>
      <c r="N80" s="37">
        <v>0</v>
      </c>
      <c r="O80" s="123" t="s">
        <v>579</v>
      </c>
    </row>
    <row r="81" spans="2:15" x14ac:dyDescent="0.2">
      <c r="B81" s="124" t="s">
        <v>442</v>
      </c>
      <c r="C81" s="200">
        <v>19500</v>
      </c>
      <c r="D81" s="126">
        <v>39074</v>
      </c>
      <c r="E81" s="376">
        <v>975</v>
      </c>
      <c r="F81" s="376"/>
      <c r="G81" s="37">
        <v>975</v>
      </c>
      <c r="H81" s="52">
        <v>975</v>
      </c>
      <c r="I81" s="37">
        <v>0</v>
      </c>
      <c r="J81" s="37">
        <v>3</v>
      </c>
      <c r="K81" s="37">
        <v>14.27945205479452</v>
      </c>
      <c r="L81" s="37">
        <v>-11.27945205479452</v>
      </c>
      <c r="M81" s="84">
        <v>0</v>
      </c>
      <c r="N81" s="37">
        <v>0</v>
      </c>
      <c r="O81" s="123" t="s">
        <v>579</v>
      </c>
    </row>
    <row r="82" spans="2:15" x14ac:dyDescent="0.2">
      <c r="B82" s="129" t="s">
        <v>445</v>
      </c>
      <c r="C82" s="200">
        <v>7600</v>
      </c>
      <c r="D82" s="126">
        <v>39659</v>
      </c>
      <c r="E82" s="376">
        <v>380</v>
      </c>
      <c r="F82" s="376"/>
      <c r="G82" s="37">
        <v>380</v>
      </c>
      <c r="H82" s="52">
        <v>380</v>
      </c>
      <c r="I82" s="37">
        <v>0</v>
      </c>
      <c r="J82" s="37">
        <v>3</v>
      </c>
      <c r="K82" s="37">
        <v>12.676712328767124</v>
      </c>
      <c r="L82" s="37">
        <v>-9.6767123287671239</v>
      </c>
      <c r="M82" s="84">
        <v>0</v>
      </c>
      <c r="N82" s="37">
        <v>0</v>
      </c>
      <c r="O82" s="123" t="s">
        <v>579</v>
      </c>
    </row>
    <row r="83" spans="2:15" x14ac:dyDescent="0.2">
      <c r="B83" s="129" t="s">
        <v>446</v>
      </c>
      <c r="C83" s="200">
        <v>2230</v>
      </c>
      <c r="D83" s="126">
        <v>39863</v>
      </c>
      <c r="E83" s="376">
        <v>112</v>
      </c>
      <c r="F83" s="376"/>
      <c r="G83" s="37">
        <v>112</v>
      </c>
      <c r="H83" s="52">
        <v>111.5</v>
      </c>
      <c r="I83" s="37">
        <v>0.5</v>
      </c>
      <c r="J83" s="37">
        <v>3</v>
      </c>
      <c r="K83" s="37">
        <v>12.117808219178082</v>
      </c>
      <c r="L83" s="37">
        <v>-9.117808219178082</v>
      </c>
      <c r="M83" s="84">
        <v>0</v>
      </c>
      <c r="N83" s="37">
        <v>0</v>
      </c>
      <c r="O83" s="123" t="s">
        <v>579</v>
      </c>
    </row>
    <row r="84" spans="2:15" x14ac:dyDescent="0.2">
      <c r="B84" s="124" t="s">
        <v>451</v>
      </c>
      <c r="C84" s="200">
        <v>11700</v>
      </c>
      <c r="D84" s="126">
        <v>40099</v>
      </c>
      <c r="E84" s="376">
        <v>585</v>
      </c>
      <c r="F84" s="376"/>
      <c r="G84" s="37">
        <v>585</v>
      </c>
      <c r="H84" s="52">
        <v>585</v>
      </c>
      <c r="I84" s="37">
        <v>0</v>
      </c>
      <c r="J84" s="37">
        <v>3</v>
      </c>
      <c r="K84" s="37">
        <v>11.471232876712328</v>
      </c>
      <c r="L84" s="37">
        <v>-8.4712328767123282</v>
      </c>
      <c r="M84" s="84">
        <v>0</v>
      </c>
      <c r="N84" s="37">
        <v>0</v>
      </c>
      <c r="O84" s="123" t="s">
        <v>579</v>
      </c>
    </row>
    <row r="85" spans="2:15" x14ac:dyDescent="0.2">
      <c r="B85" s="124" t="s">
        <v>452</v>
      </c>
      <c r="C85" s="200">
        <v>6199</v>
      </c>
      <c r="D85" s="126">
        <v>40335</v>
      </c>
      <c r="E85" s="376">
        <v>310</v>
      </c>
      <c r="F85" s="376"/>
      <c r="G85" s="37">
        <v>310</v>
      </c>
      <c r="H85" s="52">
        <v>309.95000000000005</v>
      </c>
      <c r="I85" s="37">
        <v>4.9999999999954525E-2</v>
      </c>
      <c r="J85" s="37">
        <v>3</v>
      </c>
      <c r="K85" s="37">
        <v>10.824657534246576</v>
      </c>
      <c r="L85" s="37">
        <v>-7.8246575342465761</v>
      </c>
      <c r="M85" s="84">
        <v>0</v>
      </c>
      <c r="N85" s="37">
        <v>0</v>
      </c>
      <c r="O85" s="123" t="s">
        <v>579</v>
      </c>
    </row>
    <row r="86" spans="2:15" x14ac:dyDescent="0.2">
      <c r="B86" s="124" t="s">
        <v>459</v>
      </c>
      <c r="C86" s="200">
        <v>35911</v>
      </c>
      <c r="D86" s="126">
        <v>33579</v>
      </c>
      <c r="E86" s="282">
        <v>1796</v>
      </c>
      <c r="F86" s="282"/>
      <c r="G86" s="37">
        <v>1796</v>
      </c>
      <c r="H86" s="52">
        <v>1795.5500000000002</v>
      </c>
      <c r="I86" s="37">
        <v>0.4499999999998181</v>
      </c>
      <c r="J86" s="37">
        <v>3</v>
      </c>
      <c r="K86" s="37">
        <v>29.334246575342465</v>
      </c>
      <c r="L86" s="37">
        <v>-26.334246575342465</v>
      </c>
      <c r="M86" s="84">
        <v>0</v>
      </c>
      <c r="N86" s="37">
        <v>0</v>
      </c>
      <c r="O86" s="123" t="s">
        <v>579</v>
      </c>
    </row>
    <row r="87" spans="2:15" x14ac:dyDescent="0.2">
      <c r="B87" s="124" t="s">
        <v>460</v>
      </c>
      <c r="C87" s="200">
        <v>45918</v>
      </c>
      <c r="D87" s="126">
        <v>33410</v>
      </c>
      <c r="E87" s="282">
        <v>2296</v>
      </c>
      <c r="F87" s="282"/>
      <c r="G87" s="37">
        <v>2296</v>
      </c>
      <c r="H87" s="52">
        <v>2295.9</v>
      </c>
      <c r="I87" s="37">
        <v>9.9999999999909051E-2</v>
      </c>
      <c r="J87" s="37">
        <v>3</v>
      </c>
      <c r="K87" s="37">
        <v>29.797260273972604</v>
      </c>
      <c r="L87" s="37">
        <v>-26.797260273972604</v>
      </c>
      <c r="M87" s="84">
        <v>0</v>
      </c>
      <c r="N87" s="37">
        <v>0</v>
      </c>
      <c r="O87" s="123" t="s">
        <v>579</v>
      </c>
    </row>
    <row r="88" spans="2:15" x14ac:dyDescent="0.2">
      <c r="B88" s="124" t="s">
        <v>461</v>
      </c>
      <c r="C88" s="200">
        <v>19055</v>
      </c>
      <c r="D88" s="126">
        <v>33410</v>
      </c>
      <c r="E88" s="282">
        <v>953</v>
      </c>
      <c r="F88" s="282"/>
      <c r="G88" s="37">
        <v>953</v>
      </c>
      <c r="H88" s="52">
        <v>952.75</v>
      </c>
      <c r="I88" s="37">
        <v>0.25</v>
      </c>
      <c r="J88" s="37">
        <v>3</v>
      </c>
      <c r="K88" s="37">
        <v>29.797260273972604</v>
      </c>
      <c r="L88" s="37">
        <v>-26.797260273972604</v>
      </c>
      <c r="M88" s="84">
        <v>0</v>
      </c>
      <c r="N88" s="37">
        <v>0</v>
      </c>
      <c r="O88" s="123" t="s">
        <v>579</v>
      </c>
    </row>
    <row r="89" spans="2:15" x14ac:dyDescent="0.2">
      <c r="B89" s="124" t="s">
        <v>462</v>
      </c>
      <c r="C89" s="200">
        <v>13776</v>
      </c>
      <c r="D89" s="126">
        <v>34100</v>
      </c>
      <c r="E89" s="282">
        <v>689</v>
      </c>
      <c r="F89" s="282"/>
      <c r="G89" s="37">
        <v>689</v>
      </c>
      <c r="H89" s="52">
        <v>688.80000000000007</v>
      </c>
      <c r="I89" s="37">
        <v>0.19999999999993179</v>
      </c>
      <c r="J89" s="37">
        <v>3</v>
      </c>
      <c r="K89" s="37">
        <v>27.906849315068492</v>
      </c>
      <c r="L89" s="37">
        <v>-24.906849315068492</v>
      </c>
      <c r="M89" s="84">
        <v>0</v>
      </c>
      <c r="N89" s="37">
        <v>0</v>
      </c>
      <c r="O89" s="123" t="s">
        <v>579</v>
      </c>
    </row>
    <row r="90" spans="2:15" x14ac:dyDescent="0.2">
      <c r="B90" s="124" t="s">
        <v>464</v>
      </c>
      <c r="C90" s="200">
        <v>6101</v>
      </c>
      <c r="D90" s="126">
        <v>34365</v>
      </c>
      <c r="E90" s="282">
        <v>305</v>
      </c>
      <c r="F90" s="282"/>
      <c r="G90" s="37">
        <v>305</v>
      </c>
      <c r="H90" s="52">
        <v>305.05</v>
      </c>
      <c r="I90" s="37">
        <v>-5.0000000000011369E-2</v>
      </c>
      <c r="J90" s="37">
        <v>3</v>
      </c>
      <c r="K90" s="37">
        <v>27.18082191780822</v>
      </c>
      <c r="L90" s="37">
        <v>-24.18082191780822</v>
      </c>
      <c r="M90" s="84">
        <v>0</v>
      </c>
      <c r="N90" s="37">
        <v>0</v>
      </c>
      <c r="O90" s="123" t="s">
        <v>579</v>
      </c>
    </row>
    <row r="91" spans="2:15" x14ac:dyDescent="0.2">
      <c r="B91" s="124" t="s">
        <v>465</v>
      </c>
      <c r="C91" s="200">
        <v>43545</v>
      </c>
      <c r="D91" s="126">
        <v>33844</v>
      </c>
      <c r="E91" s="282">
        <v>2177</v>
      </c>
      <c r="F91" s="282"/>
      <c r="G91" s="37">
        <v>2177</v>
      </c>
      <c r="H91" s="52">
        <v>2177.25</v>
      </c>
      <c r="I91" s="37">
        <v>-0.25</v>
      </c>
      <c r="J91" s="37">
        <v>3</v>
      </c>
      <c r="K91" s="37">
        <v>28.608219178082191</v>
      </c>
      <c r="L91" s="37">
        <v>-25.608219178082191</v>
      </c>
      <c r="M91" s="84">
        <v>0</v>
      </c>
      <c r="N91" s="37">
        <v>0</v>
      </c>
      <c r="O91" s="123" t="s">
        <v>579</v>
      </c>
    </row>
    <row r="92" spans="2:15" x14ac:dyDescent="0.2">
      <c r="B92" s="124" t="s">
        <v>467</v>
      </c>
      <c r="C92" s="200">
        <v>28000</v>
      </c>
      <c r="D92" s="126">
        <v>34291</v>
      </c>
      <c r="E92" s="282">
        <v>1400</v>
      </c>
      <c r="F92" s="282"/>
      <c r="G92" s="37">
        <v>1400</v>
      </c>
      <c r="H92" s="52">
        <v>1400</v>
      </c>
      <c r="I92" s="37">
        <v>0</v>
      </c>
      <c r="J92" s="37">
        <v>3</v>
      </c>
      <c r="K92" s="37">
        <v>27.383561643835616</v>
      </c>
      <c r="L92" s="37">
        <v>-24.383561643835616</v>
      </c>
      <c r="M92" s="84">
        <v>0</v>
      </c>
      <c r="N92" s="37">
        <v>0</v>
      </c>
      <c r="O92" s="123" t="s">
        <v>579</v>
      </c>
    </row>
    <row r="93" spans="2:15" x14ac:dyDescent="0.2">
      <c r="B93" s="124" t="s">
        <v>470</v>
      </c>
      <c r="C93" s="200">
        <v>17000</v>
      </c>
      <c r="D93" s="126">
        <v>34674</v>
      </c>
      <c r="E93" s="282">
        <v>850</v>
      </c>
      <c r="F93" s="282"/>
      <c r="G93" s="37">
        <v>850</v>
      </c>
      <c r="H93" s="52">
        <v>850</v>
      </c>
      <c r="I93" s="37">
        <v>0</v>
      </c>
      <c r="J93" s="37">
        <v>3</v>
      </c>
      <c r="K93" s="37">
        <v>26.334246575342465</v>
      </c>
      <c r="L93" s="37">
        <v>-23.334246575342465</v>
      </c>
      <c r="M93" s="84">
        <v>0</v>
      </c>
      <c r="N93" s="37">
        <v>0</v>
      </c>
      <c r="O93" s="123" t="s">
        <v>579</v>
      </c>
    </row>
    <row r="94" spans="2:15" x14ac:dyDescent="0.2">
      <c r="B94" s="124" t="s">
        <v>471</v>
      </c>
      <c r="C94" s="200">
        <v>4800</v>
      </c>
      <c r="D94" s="126">
        <v>34644</v>
      </c>
      <c r="E94" s="282">
        <v>240</v>
      </c>
      <c r="F94" s="282"/>
      <c r="G94" s="37">
        <v>240</v>
      </c>
      <c r="H94" s="52">
        <v>240</v>
      </c>
      <c r="I94" s="37">
        <v>0</v>
      </c>
      <c r="J94" s="37">
        <v>3</v>
      </c>
      <c r="K94" s="37">
        <v>26.416438356164385</v>
      </c>
      <c r="L94" s="37">
        <v>-23.416438356164385</v>
      </c>
      <c r="M94" s="84">
        <v>0</v>
      </c>
      <c r="N94" s="37">
        <v>0</v>
      </c>
      <c r="O94" s="123" t="s">
        <v>579</v>
      </c>
    </row>
    <row r="95" spans="2:15" x14ac:dyDescent="0.2">
      <c r="B95" s="124" t="s">
        <v>472</v>
      </c>
      <c r="C95" s="200">
        <v>23000</v>
      </c>
      <c r="D95" s="126">
        <v>34711</v>
      </c>
      <c r="E95" s="282">
        <v>1150</v>
      </c>
      <c r="F95" s="282"/>
      <c r="G95" s="37">
        <v>1150</v>
      </c>
      <c r="H95" s="52">
        <v>1150</v>
      </c>
      <c r="I95" s="37">
        <v>0</v>
      </c>
      <c r="J95" s="37">
        <v>3</v>
      </c>
      <c r="K95" s="37">
        <v>26.232876712328768</v>
      </c>
      <c r="L95" s="37">
        <v>-23.232876712328768</v>
      </c>
      <c r="M95" s="84">
        <v>0</v>
      </c>
      <c r="N95" s="37">
        <v>0</v>
      </c>
      <c r="O95" s="123" t="s">
        <v>579</v>
      </c>
    </row>
    <row r="96" spans="2:15" x14ac:dyDescent="0.2">
      <c r="B96" s="124" t="s">
        <v>473</v>
      </c>
      <c r="C96" s="200">
        <v>200450</v>
      </c>
      <c r="D96" s="126">
        <v>35016</v>
      </c>
      <c r="E96" s="282">
        <v>10022</v>
      </c>
      <c r="F96" s="282"/>
      <c r="G96" s="37">
        <v>10022</v>
      </c>
      <c r="H96" s="52">
        <v>10022.5</v>
      </c>
      <c r="I96" s="37">
        <v>-0.5</v>
      </c>
      <c r="J96" s="37">
        <v>3</v>
      </c>
      <c r="K96" s="37">
        <v>25.397260273972602</v>
      </c>
      <c r="L96" s="37">
        <v>-22.397260273972602</v>
      </c>
      <c r="M96" s="84">
        <v>0</v>
      </c>
      <c r="N96" s="37">
        <v>0</v>
      </c>
      <c r="O96" s="123" t="s">
        <v>579</v>
      </c>
    </row>
    <row r="97" spans="2:15" x14ac:dyDescent="0.2">
      <c r="B97" s="124" t="s">
        <v>474</v>
      </c>
      <c r="C97" s="200">
        <v>43000</v>
      </c>
      <c r="D97" s="126">
        <v>35342</v>
      </c>
      <c r="E97" s="282">
        <v>2150</v>
      </c>
      <c r="F97" s="282"/>
      <c r="G97" s="37">
        <v>2150</v>
      </c>
      <c r="H97" s="52">
        <v>2150</v>
      </c>
      <c r="I97" s="37">
        <v>0</v>
      </c>
      <c r="J97" s="37">
        <v>3</v>
      </c>
      <c r="K97" s="37">
        <v>24.504109589041096</v>
      </c>
      <c r="L97" s="37">
        <v>-21.504109589041096</v>
      </c>
      <c r="M97" s="84">
        <v>0</v>
      </c>
      <c r="N97" s="37">
        <v>0</v>
      </c>
      <c r="O97" s="123" t="s">
        <v>579</v>
      </c>
    </row>
    <row r="98" spans="2:15" x14ac:dyDescent="0.2">
      <c r="B98" s="124" t="s">
        <v>475</v>
      </c>
      <c r="C98" s="200">
        <v>22674</v>
      </c>
      <c r="D98" s="126">
        <v>35503</v>
      </c>
      <c r="E98" s="282">
        <v>1134</v>
      </c>
      <c r="F98" s="282"/>
      <c r="G98" s="37">
        <v>1134</v>
      </c>
      <c r="H98" s="52">
        <v>1133.7</v>
      </c>
      <c r="I98" s="37">
        <v>0.29999999999995453</v>
      </c>
      <c r="J98" s="37">
        <v>3</v>
      </c>
      <c r="K98" s="37">
        <v>24.063013698630137</v>
      </c>
      <c r="L98" s="37">
        <v>-21.063013698630137</v>
      </c>
      <c r="M98" s="84">
        <v>0</v>
      </c>
      <c r="N98" s="37">
        <v>0</v>
      </c>
      <c r="O98" s="123" t="s">
        <v>579</v>
      </c>
    </row>
    <row r="99" spans="2:15" x14ac:dyDescent="0.2">
      <c r="B99" s="124" t="s">
        <v>476</v>
      </c>
      <c r="C99" s="200">
        <v>9500</v>
      </c>
      <c r="D99" s="126">
        <v>35488</v>
      </c>
      <c r="E99" s="282">
        <v>475</v>
      </c>
      <c r="F99" s="282"/>
      <c r="G99" s="37">
        <v>475</v>
      </c>
      <c r="H99" s="52">
        <v>475</v>
      </c>
      <c r="I99" s="37">
        <v>0</v>
      </c>
      <c r="J99" s="37">
        <v>3</v>
      </c>
      <c r="K99" s="37">
        <v>24.104109589041094</v>
      </c>
      <c r="L99" s="37">
        <v>-21.104109589041094</v>
      </c>
      <c r="M99" s="84">
        <v>0</v>
      </c>
      <c r="N99" s="37">
        <v>0</v>
      </c>
      <c r="O99" s="123" t="s">
        <v>579</v>
      </c>
    </row>
    <row r="100" spans="2:15" x14ac:dyDescent="0.2">
      <c r="B100" s="124" t="s">
        <v>477</v>
      </c>
      <c r="C100" s="200">
        <v>27800</v>
      </c>
      <c r="D100" s="126">
        <v>35389</v>
      </c>
      <c r="E100" s="282">
        <v>1390</v>
      </c>
      <c r="F100" s="282"/>
      <c r="G100" s="37">
        <v>1390</v>
      </c>
      <c r="H100" s="52">
        <v>1390</v>
      </c>
      <c r="I100" s="37">
        <v>0</v>
      </c>
      <c r="J100" s="37">
        <v>6</v>
      </c>
      <c r="K100" s="37">
        <v>24.375342465753423</v>
      </c>
      <c r="L100" s="37">
        <v>-18.375342465753423</v>
      </c>
      <c r="M100" s="84">
        <v>0</v>
      </c>
      <c r="N100" s="37">
        <v>0</v>
      </c>
      <c r="O100" s="123" t="s">
        <v>579</v>
      </c>
    </row>
    <row r="101" spans="2:15" x14ac:dyDescent="0.2">
      <c r="B101" s="124" t="s">
        <v>478</v>
      </c>
      <c r="C101" s="200">
        <v>20800</v>
      </c>
      <c r="D101" s="126">
        <v>35594</v>
      </c>
      <c r="E101" s="282">
        <v>1040</v>
      </c>
      <c r="F101" s="282"/>
      <c r="G101" s="37">
        <v>1040</v>
      </c>
      <c r="H101" s="52">
        <v>1040</v>
      </c>
      <c r="I101" s="37">
        <v>0</v>
      </c>
      <c r="J101" s="37">
        <v>3</v>
      </c>
      <c r="K101" s="37">
        <v>23.813698630136987</v>
      </c>
      <c r="L101" s="37">
        <v>-20.813698630136987</v>
      </c>
      <c r="M101" s="84">
        <v>0</v>
      </c>
      <c r="N101" s="37">
        <v>0</v>
      </c>
      <c r="O101" s="123" t="s">
        <v>579</v>
      </c>
    </row>
    <row r="102" spans="2:15" x14ac:dyDescent="0.2">
      <c r="B102" s="124" t="s">
        <v>479</v>
      </c>
      <c r="C102" s="200">
        <v>18500</v>
      </c>
      <c r="D102" s="126">
        <v>35639</v>
      </c>
      <c r="E102" s="282">
        <v>925</v>
      </c>
      <c r="F102" s="282"/>
      <c r="G102" s="37">
        <v>925</v>
      </c>
      <c r="H102" s="52">
        <v>925</v>
      </c>
      <c r="I102" s="37">
        <v>0</v>
      </c>
      <c r="J102" s="37">
        <v>3</v>
      </c>
      <c r="K102" s="37">
        <v>23.69041095890411</v>
      </c>
      <c r="L102" s="37">
        <v>-20.69041095890411</v>
      </c>
      <c r="M102" s="84">
        <v>0</v>
      </c>
      <c r="N102" s="37">
        <v>0</v>
      </c>
      <c r="O102" s="123" t="s">
        <v>579</v>
      </c>
    </row>
    <row r="103" spans="2:15" x14ac:dyDescent="0.2">
      <c r="B103" s="124" t="s">
        <v>480</v>
      </c>
      <c r="C103" s="200">
        <v>3800</v>
      </c>
      <c r="D103" s="126">
        <v>35681</v>
      </c>
      <c r="E103" s="282">
        <v>190</v>
      </c>
      <c r="F103" s="282"/>
      <c r="G103" s="37">
        <v>190</v>
      </c>
      <c r="H103" s="52">
        <v>190</v>
      </c>
      <c r="I103" s="37">
        <v>0</v>
      </c>
      <c r="J103" s="37">
        <v>3</v>
      </c>
      <c r="K103" s="37">
        <v>23.575342465753426</v>
      </c>
      <c r="L103" s="37">
        <v>-20.575342465753426</v>
      </c>
      <c r="M103" s="84">
        <v>0</v>
      </c>
      <c r="N103" s="37">
        <v>0</v>
      </c>
      <c r="O103" s="123" t="s">
        <v>579</v>
      </c>
    </row>
    <row r="104" spans="2:15" x14ac:dyDescent="0.2">
      <c r="B104" s="124" t="s">
        <v>481</v>
      </c>
      <c r="C104" s="200">
        <v>21000</v>
      </c>
      <c r="D104" s="126">
        <v>35531</v>
      </c>
      <c r="E104" s="282">
        <v>669</v>
      </c>
      <c r="F104" s="282"/>
      <c r="G104" s="37">
        <v>669</v>
      </c>
      <c r="H104" s="52">
        <v>669</v>
      </c>
      <c r="I104" s="37">
        <v>0</v>
      </c>
      <c r="J104" s="37">
        <v>3</v>
      </c>
      <c r="K104" s="37">
        <v>23.986301369863014</v>
      </c>
      <c r="L104" s="37">
        <v>-20.986301369863014</v>
      </c>
      <c r="M104" s="84">
        <v>0</v>
      </c>
      <c r="N104" s="37">
        <v>0</v>
      </c>
      <c r="O104" s="123" t="s">
        <v>579</v>
      </c>
    </row>
    <row r="105" spans="2:15" x14ac:dyDescent="0.2">
      <c r="B105" s="124" t="s">
        <v>482</v>
      </c>
      <c r="C105" s="200">
        <v>8000</v>
      </c>
      <c r="D105" s="126">
        <v>35630</v>
      </c>
      <c r="E105" s="282">
        <v>400</v>
      </c>
      <c r="F105" s="282"/>
      <c r="G105" s="37">
        <v>400</v>
      </c>
      <c r="H105" s="52">
        <v>400</v>
      </c>
      <c r="I105" s="37">
        <v>0</v>
      </c>
      <c r="J105" s="37">
        <v>3</v>
      </c>
      <c r="K105" s="37">
        <v>23.715068493150685</v>
      </c>
      <c r="L105" s="37">
        <v>-20.715068493150685</v>
      </c>
      <c r="M105" s="84">
        <v>0</v>
      </c>
      <c r="N105" s="37">
        <v>0</v>
      </c>
      <c r="O105" s="123" t="s">
        <v>579</v>
      </c>
    </row>
    <row r="106" spans="2:15" x14ac:dyDescent="0.2">
      <c r="B106" s="124" t="s">
        <v>483</v>
      </c>
      <c r="C106" s="200">
        <v>1800</v>
      </c>
      <c r="D106" s="126">
        <v>35646</v>
      </c>
      <c r="E106" s="282">
        <v>90</v>
      </c>
      <c r="F106" s="282"/>
      <c r="G106" s="37">
        <v>90</v>
      </c>
      <c r="H106" s="52">
        <v>90</v>
      </c>
      <c r="I106" s="37">
        <v>0</v>
      </c>
      <c r="J106" s="37">
        <v>3</v>
      </c>
      <c r="K106" s="37">
        <v>23.671232876712327</v>
      </c>
      <c r="L106" s="37">
        <v>-20.671232876712327</v>
      </c>
      <c r="M106" s="84">
        <v>0</v>
      </c>
      <c r="N106" s="37">
        <v>0</v>
      </c>
      <c r="O106" s="123" t="s">
        <v>579</v>
      </c>
    </row>
    <row r="107" spans="2:15" x14ac:dyDescent="0.2">
      <c r="B107" s="124" t="s">
        <v>484</v>
      </c>
      <c r="C107" s="200">
        <v>40000</v>
      </c>
      <c r="D107" s="126">
        <v>36084</v>
      </c>
      <c r="E107" s="282">
        <v>2000</v>
      </c>
      <c r="F107" s="282"/>
      <c r="G107" s="37">
        <v>2000</v>
      </c>
      <c r="H107" s="52">
        <v>2000</v>
      </c>
      <c r="I107" s="37">
        <v>0</v>
      </c>
      <c r="J107" s="37">
        <v>3</v>
      </c>
      <c r="K107" s="37">
        <v>22.471232876712328</v>
      </c>
      <c r="L107" s="37">
        <v>-19.471232876712328</v>
      </c>
      <c r="M107" s="84">
        <v>0</v>
      </c>
      <c r="N107" s="37">
        <v>0</v>
      </c>
      <c r="O107" s="123" t="s">
        <v>579</v>
      </c>
    </row>
    <row r="108" spans="2:15" x14ac:dyDescent="0.2">
      <c r="B108" s="124" t="s">
        <v>485</v>
      </c>
      <c r="C108" s="200">
        <v>6700</v>
      </c>
      <c r="D108" s="126">
        <v>36094</v>
      </c>
      <c r="E108" s="282">
        <v>335</v>
      </c>
      <c r="F108" s="282"/>
      <c r="G108" s="37">
        <v>335</v>
      </c>
      <c r="H108" s="52">
        <v>335</v>
      </c>
      <c r="I108" s="37">
        <v>0</v>
      </c>
      <c r="J108" s="37">
        <v>3</v>
      </c>
      <c r="K108" s="37">
        <v>22.443835616438356</v>
      </c>
      <c r="L108" s="37">
        <v>-19.443835616438356</v>
      </c>
      <c r="M108" s="84">
        <v>0</v>
      </c>
      <c r="N108" s="37">
        <v>0</v>
      </c>
      <c r="O108" s="123" t="s">
        <v>579</v>
      </c>
    </row>
    <row r="109" spans="2:15" x14ac:dyDescent="0.2">
      <c r="B109" s="124" t="s">
        <v>486</v>
      </c>
      <c r="C109" s="200">
        <v>3800</v>
      </c>
      <c r="D109" s="126">
        <v>36094</v>
      </c>
      <c r="E109" s="282">
        <v>190</v>
      </c>
      <c r="F109" s="282"/>
      <c r="G109" s="37">
        <v>190</v>
      </c>
      <c r="H109" s="52">
        <v>190</v>
      </c>
      <c r="I109" s="37">
        <v>0</v>
      </c>
      <c r="J109" s="37">
        <v>3</v>
      </c>
      <c r="K109" s="37">
        <v>22.443835616438356</v>
      </c>
      <c r="L109" s="37">
        <v>-19.443835616438356</v>
      </c>
      <c r="M109" s="84">
        <v>0</v>
      </c>
      <c r="N109" s="37">
        <v>0</v>
      </c>
      <c r="O109" s="123" t="s">
        <v>579</v>
      </c>
    </row>
    <row r="110" spans="2:15" x14ac:dyDescent="0.2">
      <c r="B110" s="124" t="s">
        <v>487</v>
      </c>
      <c r="C110" s="200">
        <v>6800</v>
      </c>
      <c r="D110" s="126">
        <v>36097</v>
      </c>
      <c r="E110" s="282">
        <v>340</v>
      </c>
      <c r="F110" s="282"/>
      <c r="G110" s="37">
        <v>340</v>
      </c>
      <c r="H110" s="52">
        <v>340</v>
      </c>
      <c r="I110" s="37">
        <v>0</v>
      </c>
      <c r="J110" s="37">
        <v>3</v>
      </c>
      <c r="K110" s="37">
        <v>22.435616438356163</v>
      </c>
      <c r="L110" s="37">
        <v>-19.435616438356163</v>
      </c>
      <c r="M110" s="84">
        <v>0</v>
      </c>
      <c r="N110" s="37">
        <v>0</v>
      </c>
      <c r="O110" s="123" t="s">
        <v>579</v>
      </c>
    </row>
    <row r="111" spans="2:15" x14ac:dyDescent="0.2">
      <c r="B111" s="124" t="s">
        <v>488</v>
      </c>
      <c r="C111" s="200">
        <v>50500</v>
      </c>
      <c r="D111" s="126">
        <v>36150</v>
      </c>
      <c r="E111" s="282">
        <v>2525</v>
      </c>
      <c r="F111" s="282"/>
      <c r="G111" s="37">
        <v>2525</v>
      </c>
      <c r="H111" s="52">
        <v>2525</v>
      </c>
      <c r="I111" s="37">
        <v>0</v>
      </c>
      <c r="J111" s="37">
        <v>3</v>
      </c>
      <c r="K111" s="37">
        <v>22.290410958904111</v>
      </c>
      <c r="L111" s="37">
        <v>-19.290410958904111</v>
      </c>
      <c r="M111" s="84">
        <v>0</v>
      </c>
      <c r="N111" s="37">
        <v>0</v>
      </c>
      <c r="O111" s="123" t="s">
        <v>579</v>
      </c>
    </row>
    <row r="112" spans="2:15" x14ac:dyDescent="0.2">
      <c r="B112" s="124" t="s">
        <v>489</v>
      </c>
      <c r="C112" s="200">
        <v>5000</v>
      </c>
      <c r="D112" s="126">
        <v>35886</v>
      </c>
      <c r="E112" s="282">
        <v>134</v>
      </c>
      <c r="F112" s="282"/>
      <c r="G112" s="37">
        <v>134</v>
      </c>
      <c r="H112" s="52">
        <v>134</v>
      </c>
      <c r="I112" s="37">
        <v>0</v>
      </c>
      <c r="J112" s="37">
        <v>6</v>
      </c>
      <c r="K112" s="37">
        <v>23.013698630136986</v>
      </c>
      <c r="L112" s="37">
        <v>-17.013698630136986</v>
      </c>
      <c r="M112" s="84">
        <v>0</v>
      </c>
      <c r="N112" s="37">
        <v>0</v>
      </c>
      <c r="O112" s="123" t="s">
        <v>579</v>
      </c>
    </row>
    <row r="113" spans="2:15" x14ac:dyDescent="0.2">
      <c r="B113" s="124" t="s">
        <v>491</v>
      </c>
      <c r="C113" s="200">
        <v>24600</v>
      </c>
      <c r="D113" s="126">
        <v>36504</v>
      </c>
      <c r="E113" s="282">
        <v>1230</v>
      </c>
      <c r="F113" s="282"/>
      <c r="G113" s="37">
        <v>1230</v>
      </c>
      <c r="H113" s="52">
        <v>1230</v>
      </c>
      <c r="I113" s="37">
        <v>0</v>
      </c>
      <c r="J113" s="37">
        <v>3</v>
      </c>
      <c r="K113" s="37">
        <v>21.32054794520548</v>
      </c>
      <c r="L113" s="37">
        <v>-18.32054794520548</v>
      </c>
      <c r="M113" s="84">
        <v>0</v>
      </c>
      <c r="N113" s="37">
        <v>0</v>
      </c>
      <c r="O113" s="123" t="s">
        <v>579</v>
      </c>
    </row>
    <row r="114" spans="2:15" x14ac:dyDescent="0.2">
      <c r="B114" s="124" t="s">
        <v>492</v>
      </c>
      <c r="C114" s="200">
        <v>8900</v>
      </c>
      <c r="D114" s="126">
        <v>36615</v>
      </c>
      <c r="E114" s="282">
        <v>445</v>
      </c>
      <c r="F114" s="282"/>
      <c r="G114" s="37">
        <v>445</v>
      </c>
      <c r="H114" s="52">
        <v>445</v>
      </c>
      <c r="I114" s="37">
        <v>0</v>
      </c>
      <c r="J114" s="37">
        <v>3</v>
      </c>
      <c r="K114" s="37">
        <v>21.016438356164382</v>
      </c>
      <c r="L114" s="37">
        <v>-18.016438356164382</v>
      </c>
      <c r="M114" s="84">
        <v>0</v>
      </c>
      <c r="N114" s="37">
        <v>0</v>
      </c>
      <c r="O114" s="123" t="s">
        <v>579</v>
      </c>
    </row>
    <row r="115" spans="2:15" x14ac:dyDescent="0.2">
      <c r="B115" s="124" t="s">
        <v>494</v>
      </c>
      <c r="C115" s="200">
        <v>5800</v>
      </c>
      <c r="D115" s="126">
        <v>36685</v>
      </c>
      <c r="E115" s="282">
        <v>290</v>
      </c>
      <c r="F115" s="282"/>
      <c r="G115" s="37">
        <v>290</v>
      </c>
      <c r="H115" s="52">
        <v>290</v>
      </c>
      <c r="I115" s="37">
        <v>0</v>
      </c>
      <c r="J115" s="37">
        <v>3</v>
      </c>
      <c r="K115" s="37">
        <v>20.824657534246576</v>
      </c>
      <c r="L115" s="37">
        <v>-17.824657534246576</v>
      </c>
      <c r="M115" s="84">
        <v>0</v>
      </c>
      <c r="N115" s="37">
        <v>0</v>
      </c>
      <c r="O115" s="123" t="s">
        <v>579</v>
      </c>
    </row>
    <row r="116" spans="2:15" x14ac:dyDescent="0.2">
      <c r="B116" s="124" t="s">
        <v>495</v>
      </c>
      <c r="C116" s="200">
        <v>9500</v>
      </c>
      <c r="D116" s="126">
        <v>36724</v>
      </c>
      <c r="E116" s="282">
        <v>475</v>
      </c>
      <c r="F116" s="282"/>
      <c r="G116" s="37">
        <v>475</v>
      </c>
      <c r="H116" s="52">
        <v>475</v>
      </c>
      <c r="I116" s="37">
        <v>0</v>
      </c>
      <c r="J116" s="37">
        <v>6</v>
      </c>
      <c r="K116" s="37">
        <v>20.717808219178082</v>
      </c>
      <c r="L116" s="37">
        <v>-14.717808219178082</v>
      </c>
      <c r="M116" s="84">
        <v>0</v>
      </c>
      <c r="N116" s="37">
        <v>0</v>
      </c>
      <c r="O116" s="123" t="s">
        <v>579</v>
      </c>
    </row>
    <row r="117" spans="2:15" x14ac:dyDescent="0.2">
      <c r="B117" s="124" t="s">
        <v>496</v>
      </c>
      <c r="C117" s="200">
        <v>36500</v>
      </c>
      <c r="D117" s="126">
        <v>36886</v>
      </c>
      <c r="E117" s="282">
        <v>1825</v>
      </c>
      <c r="F117" s="282"/>
      <c r="G117" s="37">
        <v>1825</v>
      </c>
      <c r="H117" s="52">
        <v>1825</v>
      </c>
      <c r="I117" s="37">
        <v>0</v>
      </c>
      <c r="J117" s="37">
        <v>3</v>
      </c>
      <c r="K117" s="37">
        <v>20.273972602739725</v>
      </c>
      <c r="L117" s="37">
        <v>-17.273972602739725</v>
      </c>
      <c r="M117" s="84">
        <v>0</v>
      </c>
      <c r="N117" s="37">
        <v>0</v>
      </c>
      <c r="O117" s="123" t="s">
        <v>579</v>
      </c>
    </row>
    <row r="118" spans="2:15" x14ac:dyDescent="0.2">
      <c r="B118" s="124" t="s">
        <v>497</v>
      </c>
      <c r="C118" s="200">
        <v>7550</v>
      </c>
      <c r="D118" s="126">
        <v>36922</v>
      </c>
      <c r="E118" s="282">
        <v>5</v>
      </c>
      <c r="F118" s="282"/>
      <c r="G118" s="37">
        <v>5</v>
      </c>
      <c r="H118" s="52">
        <v>5</v>
      </c>
      <c r="I118" s="37">
        <v>0</v>
      </c>
      <c r="J118" s="37">
        <v>3</v>
      </c>
      <c r="K118" s="37">
        <v>20.175342465753424</v>
      </c>
      <c r="L118" s="37">
        <v>-17.175342465753424</v>
      </c>
      <c r="M118" s="84">
        <v>0</v>
      </c>
      <c r="N118" s="37">
        <v>0</v>
      </c>
      <c r="O118" s="123" t="s">
        <v>579</v>
      </c>
    </row>
    <row r="119" spans="2:15" x14ac:dyDescent="0.2">
      <c r="B119" s="129" t="s">
        <v>498</v>
      </c>
      <c r="C119" s="200">
        <v>7500</v>
      </c>
      <c r="D119" s="126">
        <v>37091</v>
      </c>
      <c r="E119" s="282">
        <v>375</v>
      </c>
      <c r="F119" s="282"/>
      <c r="G119" s="37">
        <v>375</v>
      </c>
      <c r="H119" s="52">
        <v>375</v>
      </c>
      <c r="I119" s="37">
        <v>0</v>
      </c>
      <c r="J119" s="37">
        <v>3</v>
      </c>
      <c r="K119" s="37">
        <v>19.712328767123289</v>
      </c>
      <c r="L119" s="37">
        <v>-16.712328767123289</v>
      </c>
      <c r="M119" s="84">
        <v>0</v>
      </c>
      <c r="N119" s="37">
        <v>0</v>
      </c>
      <c r="O119" s="123" t="s">
        <v>579</v>
      </c>
    </row>
    <row r="120" spans="2:15" x14ac:dyDescent="0.2">
      <c r="B120" s="129" t="s">
        <v>499</v>
      </c>
      <c r="C120" s="200">
        <v>19679</v>
      </c>
      <c r="D120" s="126">
        <v>37337</v>
      </c>
      <c r="E120" s="282">
        <v>984</v>
      </c>
      <c r="F120" s="282"/>
      <c r="G120" s="37">
        <v>984</v>
      </c>
      <c r="H120" s="52">
        <v>983.95</v>
      </c>
      <c r="I120" s="37">
        <v>4.9999999999954525E-2</v>
      </c>
      <c r="J120" s="37">
        <v>3</v>
      </c>
      <c r="K120" s="37">
        <v>19.038356164383561</v>
      </c>
      <c r="L120" s="37">
        <v>-16.038356164383561</v>
      </c>
      <c r="M120" s="84">
        <v>0</v>
      </c>
      <c r="N120" s="37">
        <v>0</v>
      </c>
      <c r="O120" s="123" t="s">
        <v>579</v>
      </c>
    </row>
    <row r="121" spans="2:15" x14ac:dyDescent="0.2">
      <c r="B121" s="124" t="s">
        <v>500</v>
      </c>
      <c r="C121" s="200">
        <v>9200</v>
      </c>
      <c r="D121" s="126">
        <v>37666</v>
      </c>
      <c r="E121" s="282">
        <v>460</v>
      </c>
      <c r="F121" s="282"/>
      <c r="G121" s="37">
        <v>460</v>
      </c>
      <c r="H121" s="52">
        <v>460</v>
      </c>
      <c r="I121" s="37">
        <v>0</v>
      </c>
      <c r="J121" s="37">
        <v>3</v>
      </c>
      <c r="K121" s="37">
        <v>18.136986301369863</v>
      </c>
      <c r="L121" s="37">
        <v>-15.136986301369863</v>
      </c>
      <c r="M121" s="84">
        <v>0</v>
      </c>
      <c r="N121" s="37">
        <v>0</v>
      </c>
      <c r="O121" s="123" t="s">
        <v>579</v>
      </c>
    </row>
    <row r="122" spans="2:15" x14ac:dyDescent="0.2">
      <c r="B122" s="129" t="s">
        <v>501</v>
      </c>
      <c r="C122" s="200">
        <v>3900</v>
      </c>
      <c r="D122" s="126">
        <v>37637</v>
      </c>
      <c r="E122" s="282">
        <v>195</v>
      </c>
      <c r="F122" s="282"/>
      <c r="G122" s="37">
        <v>195</v>
      </c>
      <c r="H122" s="52">
        <v>195</v>
      </c>
      <c r="I122" s="37">
        <v>0</v>
      </c>
      <c r="J122" s="37">
        <v>3</v>
      </c>
      <c r="K122" s="37">
        <v>18.216438356164385</v>
      </c>
      <c r="L122" s="37">
        <v>-15.216438356164385</v>
      </c>
      <c r="M122" s="84">
        <v>0</v>
      </c>
      <c r="N122" s="37">
        <v>0</v>
      </c>
      <c r="O122" s="123" t="s">
        <v>579</v>
      </c>
    </row>
    <row r="123" spans="2:15" x14ac:dyDescent="0.2">
      <c r="B123" s="124" t="s">
        <v>496</v>
      </c>
      <c r="C123" s="200">
        <v>21500</v>
      </c>
      <c r="D123" s="126">
        <v>37925</v>
      </c>
      <c r="E123" s="282">
        <v>1075</v>
      </c>
      <c r="F123" s="282"/>
      <c r="G123" s="37">
        <v>1075</v>
      </c>
      <c r="H123" s="52">
        <v>1075</v>
      </c>
      <c r="I123" s="37">
        <v>0</v>
      </c>
      <c r="J123" s="37">
        <v>3</v>
      </c>
      <c r="K123" s="37">
        <v>17.427397260273974</v>
      </c>
      <c r="L123" s="37">
        <v>-14.427397260273974</v>
      </c>
      <c r="M123" s="84">
        <v>0</v>
      </c>
      <c r="N123" s="37">
        <v>0</v>
      </c>
      <c r="O123" s="123" t="s">
        <v>579</v>
      </c>
    </row>
    <row r="124" spans="2:15" x14ac:dyDescent="0.2">
      <c r="B124" s="124" t="s">
        <v>502</v>
      </c>
      <c r="C124" s="200">
        <v>74932</v>
      </c>
      <c r="D124" s="126">
        <v>38430</v>
      </c>
      <c r="E124" s="282">
        <v>3747</v>
      </c>
      <c r="F124" s="282"/>
      <c r="G124" s="37">
        <v>3747</v>
      </c>
      <c r="H124" s="52">
        <v>3746.6000000000004</v>
      </c>
      <c r="I124" s="37">
        <v>0.3999999999996362</v>
      </c>
      <c r="J124" s="37">
        <v>3</v>
      </c>
      <c r="K124" s="37">
        <v>16.043835616438358</v>
      </c>
      <c r="L124" s="37">
        <v>-13.043835616438358</v>
      </c>
      <c r="M124" s="84">
        <v>0</v>
      </c>
      <c r="N124" s="37">
        <v>0</v>
      </c>
      <c r="O124" s="123" t="s">
        <v>579</v>
      </c>
    </row>
    <row r="125" spans="2:15" x14ac:dyDescent="0.2">
      <c r="B125" s="129" t="s">
        <v>503</v>
      </c>
      <c r="C125" s="200">
        <v>23000</v>
      </c>
      <c r="D125" s="126">
        <v>38434</v>
      </c>
      <c r="E125" s="282">
        <v>1150</v>
      </c>
      <c r="F125" s="282"/>
      <c r="G125" s="37">
        <v>1150</v>
      </c>
      <c r="H125" s="52">
        <v>1150</v>
      </c>
      <c r="I125" s="37">
        <v>0</v>
      </c>
      <c r="J125" s="37">
        <v>3</v>
      </c>
      <c r="K125" s="37">
        <v>16.032876712328768</v>
      </c>
      <c r="L125" s="37">
        <v>-13.032876712328768</v>
      </c>
      <c r="M125" s="84">
        <v>0</v>
      </c>
      <c r="N125" s="37">
        <v>0</v>
      </c>
      <c r="O125" s="123" t="s">
        <v>579</v>
      </c>
    </row>
    <row r="126" spans="2:15" x14ac:dyDescent="0.2">
      <c r="B126" s="129" t="s">
        <v>507</v>
      </c>
      <c r="C126" s="200">
        <v>30964</v>
      </c>
      <c r="D126" s="126">
        <v>38754</v>
      </c>
      <c r="E126" s="282">
        <v>1548</v>
      </c>
      <c r="F126" s="282"/>
      <c r="G126" s="37">
        <v>1548</v>
      </c>
      <c r="H126" s="52">
        <v>1548.2</v>
      </c>
      <c r="I126" s="37">
        <v>-0.20000000000004547</v>
      </c>
      <c r="J126" s="37">
        <v>3</v>
      </c>
      <c r="K126" s="37">
        <v>15.156164383561643</v>
      </c>
      <c r="L126" s="37">
        <v>-12.156164383561643</v>
      </c>
      <c r="M126" s="84">
        <v>0</v>
      </c>
      <c r="N126" s="37">
        <v>0</v>
      </c>
      <c r="O126" s="123" t="s">
        <v>579</v>
      </c>
    </row>
    <row r="127" spans="2:15" x14ac:dyDescent="0.2">
      <c r="B127" s="124" t="s">
        <v>508</v>
      </c>
      <c r="C127" s="200">
        <v>2288</v>
      </c>
      <c r="D127" s="126">
        <v>38754</v>
      </c>
      <c r="E127" s="282">
        <v>114</v>
      </c>
      <c r="F127" s="282"/>
      <c r="G127" s="37">
        <v>114</v>
      </c>
      <c r="H127" s="52">
        <v>114.4</v>
      </c>
      <c r="I127" s="37">
        <v>-0.40000000000000568</v>
      </c>
      <c r="J127" s="37">
        <v>3</v>
      </c>
      <c r="K127" s="37">
        <v>15.156164383561643</v>
      </c>
      <c r="L127" s="37">
        <v>-12.156164383561643</v>
      </c>
      <c r="M127" s="84">
        <v>0</v>
      </c>
      <c r="N127" s="37">
        <v>0</v>
      </c>
      <c r="O127" s="123" t="s">
        <v>579</v>
      </c>
    </row>
    <row r="128" spans="2:15" x14ac:dyDescent="0.2">
      <c r="B128" s="124" t="s">
        <v>511</v>
      </c>
      <c r="C128" s="200">
        <v>11648</v>
      </c>
      <c r="D128" s="126">
        <v>38794</v>
      </c>
      <c r="E128" s="282">
        <v>582</v>
      </c>
      <c r="F128" s="282"/>
      <c r="G128" s="37">
        <v>582</v>
      </c>
      <c r="H128" s="52">
        <v>582.4</v>
      </c>
      <c r="I128" s="37">
        <v>-0.39999999999997726</v>
      </c>
      <c r="J128" s="37">
        <v>3</v>
      </c>
      <c r="K128" s="37">
        <v>15.046575342465754</v>
      </c>
      <c r="L128" s="37">
        <v>-12.046575342465754</v>
      </c>
      <c r="M128" s="84">
        <v>0</v>
      </c>
      <c r="N128" s="37">
        <v>0</v>
      </c>
      <c r="O128" s="123" t="s">
        <v>579</v>
      </c>
    </row>
    <row r="129" spans="2:15" x14ac:dyDescent="0.2">
      <c r="B129" s="124" t="s">
        <v>512</v>
      </c>
      <c r="C129" s="200">
        <v>7176</v>
      </c>
      <c r="D129" s="126">
        <v>39022</v>
      </c>
      <c r="E129" s="282">
        <v>359</v>
      </c>
      <c r="F129" s="282"/>
      <c r="G129" s="37">
        <v>359</v>
      </c>
      <c r="H129" s="52">
        <v>358.8</v>
      </c>
      <c r="I129" s="37">
        <v>0.19999999999998863</v>
      </c>
      <c r="J129" s="37">
        <v>3</v>
      </c>
      <c r="K129" s="37">
        <v>14.421917808219177</v>
      </c>
      <c r="L129" s="37">
        <v>-11.421917808219177</v>
      </c>
      <c r="M129" s="84">
        <v>0</v>
      </c>
      <c r="N129" s="37">
        <v>0</v>
      </c>
      <c r="O129" s="123" t="s">
        <v>579</v>
      </c>
    </row>
    <row r="130" spans="2:15" x14ac:dyDescent="0.2">
      <c r="B130" s="124" t="s">
        <v>513</v>
      </c>
      <c r="C130" s="200">
        <v>7165</v>
      </c>
      <c r="D130" s="126">
        <v>38810</v>
      </c>
      <c r="E130" s="282">
        <v>0</v>
      </c>
      <c r="F130" s="282"/>
      <c r="G130" s="37">
        <v>0</v>
      </c>
      <c r="H130" s="52">
        <v>0</v>
      </c>
      <c r="I130" s="37">
        <v>0</v>
      </c>
      <c r="J130" s="37">
        <v>3</v>
      </c>
      <c r="K130" s="37">
        <v>15.002739726027396</v>
      </c>
      <c r="L130" s="37">
        <v>-12.002739726027396</v>
      </c>
      <c r="M130" s="84">
        <v>0</v>
      </c>
      <c r="N130" s="37">
        <v>0</v>
      </c>
      <c r="O130" s="123" t="s">
        <v>579</v>
      </c>
    </row>
    <row r="131" spans="2:15" x14ac:dyDescent="0.2">
      <c r="B131" s="124" t="s">
        <v>514</v>
      </c>
      <c r="C131" s="200">
        <v>5200</v>
      </c>
      <c r="D131" s="126">
        <v>39161</v>
      </c>
      <c r="E131" s="282">
        <v>260</v>
      </c>
      <c r="F131" s="282"/>
      <c r="G131" s="37">
        <v>260</v>
      </c>
      <c r="H131" s="52">
        <v>260</v>
      </c>
      <c r="I131" s="37">
        <v>0</v>
      </c>
      <c r="J131" s="37">
        <v>3</v>
      </c>
      <c r="K131" s="37">
        <v>14.04109589041096</v>
      </c>
      <c r="L131" s="37">
        <v>-11.04109589041096</v>
      </c>
      <c r="M131" s="84">
        <v>0</v>
      </c>
      <c r="N131" s="37">
        <v>0</v>
      </c>
      <c r="O131" s="123" t="s">
        <v>579</v>
      </c>
    </row>
    <row r="132" spans="2:15" x14ac:dyDescent="0.2">
      <c r="B132" s="172" t="s">
        <v>516</v>
      </c>
      <c r="C132" s="200">
        <v>4004</v>
      </c>
      <c r="D132" s="126">
        <v>39393</v>
      </c>
      <c r="E132" s="282">
        <v>200</v>
      </c>
      <c r="F132" s="282"/>
      <c r="G132" s="37">
        <v>200</v>
      </c>
      <c r="H132" s="52">
        <v>200.20000000000002</v>
      </c>
      <c r="I132" s="37">
        <v>-0.20000000000001705</v>
      </c>
      <c r="J132" s="37">
        <v>3</v>
      </c>
      <c r="K132" s="37">
        <v>13.405479452054795</v>
      </c>
      <c r="L132" s="37">
        <v>-10.405479452054795</v>
      </c>
      <c r="M132" s="84">
        <v>0</v>
      </c>
      <c r="N132" s="37">
        <v>0</v>
      </c>
      <c r="O132" s="123" t="s">
        <v>579</v>
      </c>
    </row>
    <row r="133" spans="2:15" x14ac:dyDescent="0.2">
      <c r="B133" s="124" t="s">
        <v>517</v>
      </c>
      <c r="C133" s="200">
        <v>13520</v>
      </c>
      <c r="D133" s="126">
        <v>39337</v>
      </c>
      <c r="E133" s="282">
        <v>676</v>
      </c>
      <c r="F133" s="282"/>
      <c r="G133" s="37">
        <v>676</v>
      </c>
      <c r="H133" s="52">
        <v>676</v>
      </c>
      <c r="I133" s="37">
        <v>0</v>
      </c>
      <c r="J133" s="37">
        <v>3</v>
      </c>
      <c r="K133" s="37">
        <v>13.558904109589042</v>
      </c>
      <c r="L133" s="37">
        <v>-10.558904109589042</v>
      </c>
      <c r="M133" s="84">
        <v>0</v>
      </c>
      <c r="N133" s="37">
        <v>0</v>
      </c>
      <c r="O133" s="123" t="s">
        <v>579</v>
      </c>
    </row>
    <row r="134" spans="2:15" x14ac:dyDescent="0.2">
      <c r="B134" s="129" t="s">
        <v>519</v>
      </c>
      <c r="C134" s="200">
        <v>2626</v>
      </c>
      <c r="D134" s="126">
        <v>39713</v>
      </c>
      <c r="E134" s="282">
        <v>131</v>
      </c>
      <c r="F134" s="282"/>
      <c r="G134" s="37">
        <v>131</v>
      </c>
      <c r="H134" s="52">
        <v>131.30000000000001</v>
      </c>
      <c r="I134" s="37">
        <v>-0.30000000000001137</v>
      </c>
      <c r="J134" s="37">
        <v>3</v>
      </c>
      <c r="K134" s="37">
        <v>12.528767123287672</v>
      </c>
      <c r="L134" s="37">
        <v>-9.5287671232876718</v>
      </c>
      <c r="M134" s="84">
        <v>0</v>
      </c>
      <c r="N134" s="37">
        <v>0</v>
      </c>
      <c r="O134" s="123" t="s">
        <v>579</v>
      </c>
    </row>
    <row r="135" spans="2:15" x14ac:dyDescent="0.2">
      <c r="B135" s="124" t="s">
        <v>526</v>
      </c>
      <c r="C135" s="200">
        <v>13104</v>
      </c>
      <c r="D135" s="126">
        <v>40892</v>
      </c>
      <c r="E135" s="282">
        <v>655</v>
      </c>
      <c r="F135" s="282"/>
      <c r="G135" s="37">
        <v>655</v>
      </c>
      <c r="H135" s="52">
        <v>655.20000000000005</v>
      </c>
      <c r="I135" s="37">
        <v>-0.20000000000004547</v>
      </c>
      <c r="J135" s="37">
        <v>3</v>
      </c>
      <c r="K135" s="37">
        <v>9.2986301369863007</v>
      </c>
      <c r="L135" s="37">
        <v>-6.2986301369863007</v>
      </c>
      <c r="M135" s="84">
        <v>0</v>
      </c>
      <c r="N135" s="37">
        <v>0</v>
      </c>
      <c r="O135" s="123" t="s">
        <v>579</v>
      </c>
    </row>
    <row r="136" spans="2:15" x14ac:dyDescent="0.2">
      <c r="B136" s="124" t="s">
        <v>527</v>
      </c>
      <c r="C136" s="200">
        <v>5000</v>
      </c>
      <c r="D136" s="126">
        <v>40955</v>
      </c>
      <c r="E136" s="282">
        <v>250</v>
      </c>
      <c r="F136" s="282"/>
      <c r="G136" s="37">
        <v>250</v>
      </c>
      <c r="H136" s="52">
        <v>250</v>
      </c>
      <c r="I136" s="37">
        <v>0</v>
      </c>
      <c r="J136" s="37">
        <v>3</v>
      </c>
      <c r="K136" s="37">
        <v>9.1260273972602732</v>
      </c>
      <c r="L136" s="37">
        <v>-6.1260273972602732</v>
      </c>
      <c r="M136" s="84">
        <v>0</v>
      </c>
      <c r="N136" s="37">
        <v>0</v>
      </c>
      <c r="O136" s="123" t="s">
        <v>579</v>
      </c>
    </row>
    <row r="137" spans="2:15" x14ac:dyDescent="0.2">
      <c r="B137" s="124" t="s">
        <v>528</v>
      </c>
      <c r="C137" s="200">
        <v>7613</v>
      </c>
      <c r="D137" s="126">
        <v>41635</v>
      </c>
      <c r="E137" s="282">
        <v>381</v>
      </c>
      <c r="F137" s="282"/>
      <c r="G137" s="37">
        <v>381</v>
      </c>
      <c r="H137" s="52">
        <v>380.65000000000003</v>
      </c>
      <c r="I137" s="37">
        <v>0.34999999999996589</v>
      </c>
      <c r="J137" s="37">
        <v>3</v>
      </c>
      <c r="K137" s="37">
        <v>7.2630136986301368</v>
      </c>
      <c r="L137" s="37">
        <v>-4.2630136986301368</v>
      </c>
      <c r="M137" s="84">
        <v>0</v>
      </c>
      <c r="N137" s="37">
        <v>0</v>
      </c>
      <c r="O137" s="123" t="s">
        <v>579</v>
      </c>
    </row>
    <row r="138" spans="2:15" x14ac:dyDescent="0.2">
      <c r="B138" s="77" t="s">
        <v>587</v>
      </c>
      <c r="C138" s="160">
        <f>SUM(C63:C137)</f>
        <v>1411156</v>
      </c>
      <c r="D138" s="160"/>
      <c r="E138" s="160">
        <f>SUM(E63:E137)</f>
        <v>69256</v>
      </c>
      <c r="F138" s="160"/>
      <c r="G138" s="160">
        <f t="shared" ref="G138:I138" si="4">SUM(G63:G137)</f>
        <v>69256</v>
      </c>
      <c r="H138" s="160">
        <f t="shared" si="4"/>
        <v>69257.299999999974</v>
      </c>
      <c r="I138" s="160">
        <f t="shared" si="4"/>
        <v>-1.3000000000010914</v>
      </c>
      <c r="J138" s="160"/>
      <c r="K138" s="160"/>
      <c r="L138" s="160"/>
      <c r="M138" s="160"/>
      <c r="N138" s="160">
        <f t="shared" ref="N138" si="5">SUM(N63:N137)</f>
        <v>0</v>
      </c>
      <c r="O138" s="378"/>
    </row>
    <row r="140" spans="2:15" ht="13.5" thickBot="1" x14ac:dyDescent="0.25">
      <c r="B140" s="380" t="s">
        <v>32</v>
      </c>
      <c r="C140" s="383">
        <f>+C138+C59+C37+C22</f>
        <v>2821155.5</v>
      </c>
      <c r="D140" s="379"/>
      <c r="E140" s="381"/>
      <c r="F140" s="379"/>
      <c r="G140" s="384">
        <f>+G138+G59+G37+G22</f>
        <v>201576.64999999997</v>
      </c>
      <c r="H140" s="384">
        <f>+H138+H59+H37+H22</f>
        <v>139603.22499999998</v>
      </c>
      <c r="I140" s="384">
        <f>+I138+I59+I37+I22</f>
        <v>77213.624999999971</v>
      </c>
      <c r="J140" s="379"/>
      <c r="K140" s="379"/>
      <c r="L140" s="379"/>
      <c r="M140" s="379"/>
      <c r="N140" s="384">
        <f>+N138+N59+N37+N22</f>
        <v>9518</v>
      </c>
      <c r="O140" s="382"/>
    </row>
    <row r="141" spans="2:15" ht="13.5" thickTop="1" x14ac:dyDescent="0.2"/>
    <row r="142" spans="2:15" x14ac:dyDescent="0.2">
      <c r="C142" s="410" t="s">
        <v>592</v>
      </c>
      <c r="D142" s="410" t="s">
        <v>593</v>
      </c>
    </row>
    <row r="143" spans="2:15" x14ac:dyDescent="0.2">
      <c r="B143" s="320" t="s">
        <v>590</v>
      </c>
      <c r="C143" s="385">
        <f>+C140-G140</f>
        <v>2619578.85</v>
      </c>
      <c r="D143" s="325"/>
    </row>
    <row r="144" spans="2:15" x14ac:dyDescent="0.2">
      <c r="B144" s="320" t="s">
        <v>613</v>
      </c>
      <c r="C144" s="325">
        <f>+G5+G7+G8+G9+G11</f>
        <v>25663.524999999987</v>
      </c>
      <c r="D144" s="325"/>
    </row>
    <row r="145" spans="2:4" x14ac:dyDescent="0.2">
      <c r="B145" s="320" t="s">
        <v>614</v>
      </c>
      <c r="C145" s="325">
        <f>+G37</f>
        <v>21763</v>
      </c>
      <c r="D145" s="325"/>
    </row>
    <row r="146" spans="2:4" x14ac:dyDescent="0.2">
      <c r="B146" s="320" t="s">
        <v>615</v>
      </c>
      <c r="C146" s="325">
        <f>+C140-C143-C144-C145</f>
        <v>154150.12499999991</v>
      </c>
      <c r="D146" s="325"/>
    </row>
    <row r="147" spans="2:4" x14ac:dyDescent="0.2">
      <c r="B147" s="320" t="s">
        <v>591</v>
      </c>
      <c r="C147" s="325"/>
      <c r="D147" s="411">
        <f>+C143+C144+C145+C146</f>
        <v>2821155.5</v>
      </c>
    </row>
  </sheetData>
  <autoFilter ref="A3:O23"/>
  <printOptions horizontalCentered="1"/>
  <pageMargins left="0.31496062992125984" right="0.31496062992125984" top="0.35433070866141736" bottom="0.35433070866141736" header="0.31496062992125984" footer="0.31496062992125984"/>
  <pageSetup paperSize="9" scale="62" fitToWidth="3" orientation="landscape" r:id="rId1"/>
  <headerFooter>
    <oddFooter>Page &amp;P of &amp;N</oddFooter>
  </headerFooter>
  <rowBreaks count="2" manualBreakCount="2">
    <brk id="59" max="14" man="1"/>
    <brk id="119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0"/>
  <sheetViews>
    <sheetView tabSelected="1" view="pageBreakPreview" zoomScaleNormal="100" zoomScaleSheetLayoutView="100" workbookViewId="0">
      <selection activeCell="J20" sqref="J20"/>
    </sheetView>
  </sheetViews>
  <sheetFormatPr defaultRowHeight="15" x14ac:dyDescent="0.25"/>
  <cols>
    <col min="1" max="1" width="2.85546875" style="391" customWidth="1"/>
    <col min="2" max="2" width="46.85546875" style="391" customWidth="1"/>
    <col min="3" max="3" width="14.42578125" style="391" customWidth="1"/>
    <col min="4" max="6" width="12" style="391" customWidth="1"/>
    <col min="7" max="7" width="12.28515625" style="391" customWidth="1"/>
    <col min="8" max="16384" width="9.140625" style="391"/>
  </cols>
  <sheetData>
    <row r="2" spans="2:9" x14ac:dyDescent="0.25">
      <c r="B2" s="391" t="s">
        <v>594</v>
      </c>
      <c r="G2" s="391" t="s">
        <v>595</v>
      </c>
    </row>
    <row r="3" spans="2:9" ht="38.25" x14ac:dyDescent="0.25">
      <c r="B3" s="77" t="s">
        <v>35</v>
      </c>
      <c r="C3" s="392" t="s">
        <v>36</v>
      </c>
      <c r="D3" s="338" t="s">
        <v>37</v>
      </c>
      <c r="E3" s="392" t="s">
        <v>541</v>
      </c>
      <c r="F3" s="392" t="s">
        <v>570</v>
      </c>
      <c r="G3" s="338" t="s">
        <v>596</v>
      </c>
    </row>
    <row r="4" spans="2:9" ht="15.75" x14ac:dyDescent="0.3">
      <c r="B4" s="393" t="s">
        <v>93</v>
      </c>
      <c r="C4" s="394">
        <v>69889</v>
      </c>
      <c r="D4" s="395">
        <v>28854</v>
      </c>
      <c r="E4" s="396">
        <v>844</v>
      </c>
      <c r="F4" s="397">
        <v>844</v>
      </c>
      <c r="G4" s="398">
        <f>C4-F4</f>
        <v>69045</v>
      </c>
    </row>
    <row r="5" spans="2:9" ht="15.75" x14ac:dyDescent="0.3">
      <c r="B5" s="393" t="s">
        <v>97</v>
      </c>
      <c r="C5" s="394">
        <v>40535</v>
      </c>
      <c r="D5" s="395">
        <v>29574</v>
      </c>
      <c r="E5" s="396">
        <v>1170</v>
      </c>
      <c r="F5" s="397">
        <v>1170</v>
      </c>
      <c r="G5" s="398">
        <f>C5-F5</f>
        <v>39365</v>
      </c>
    </row>
    <row r="6" spans="2:9" ht="15.75" x14ac:dyDescent="0.3">
      <c r="B6" s="393" t="s">
        <v>105</v>
      </c>
      <c r="C6" s="394">
        <v>195235</v>
      </c>
      <c r="D6" s="395">
        <v>33694</v>
      </c>
      <c r="E6" s="396">
        <v>9761.5</v>
      </c>
      <c r="F6" s="397">
        <v>9761.5</v>
      </c>
      <c r="G6" s="398">
        <f>C6-F6</f>
        <v>185473.5</v>
      </c>
    </row>
    <row r="7" spans="2:9" ht="15.75" x14ac:dyDescent="0.3">
      <c r="B7" s="393" t="s">
        <v>107</v>
      </c>
      <c r="C7" s="394">
        <v>183261</v>
      </c>
      <c r="D7" s="395">
        <v>35843</v>
      </c>
      <c r="E7" s="396">
        <v>9162.7999999999884</v>
      </c>
      <c r="F7" s="397">
        <v>9162.7999999999884</v>
      </c>
      <c r="G7" s="398">
        <f>C7-F7</f>
        <v>174098.2</v>
      </c>
    </row>
    <row r="8" spans="2:9" ht="15.75" x14ac:dyDescent="0.3">
      <c r="B8" s="393" t="s">
        <v>597</v>
      </c>
      <c r="C8" s="394">
        <v>94504.5</v>
      </c>
      <c r="D8" s="395"/>
      <c r="E8" s="396">
        <v>4725.2250000000004</v>
      </c>
      <c r="F8" s="397">
        <v>4725.2250000000004</v>
      </c>
      <c r="G8" s="398">
        <f>C8-F8</f>
        <v>89779.274999999994</v>
      </c>
    </row>
    <row r="9" spans="2:9" ht="15.75" thickBot="1" x14ac:dyDescent="0.3">
      <c r="B9" s="190" t="s">
        <v>5</v>
      </c>
      <c r="C9" s="399">
        <f>SUM(C4:C8)</f>
        <v>583424.5</v>
      </c>
      <c r="D9" s="399"/>
      <c r="E9" s="399">
        <f>SUM(E4:E8)</f>
        <v>25663.524999999987</v>
      </c>
      <c r="F9" s="399">
        <f>SUM(F4:F8)</f>
        <v>25663.524999999987</v>
      </c>
      <c r="G9" s="399">
        <f>SUM(G4:G8)</f>
        <v>557760.97499999998</v>
      </c>
    </row>
    <row r="10" spans="2:9" ht="15.75" thickTop="1" x14ac:dyDescent="0.25">
      <c r="B10" s="169"/>
      <c r="C10" s="423"/>
      <c r="D10" s="423"/>
      <c r="E10" s="423"/>
      <c r="F10" s="423"/>
      <c r="G10" s="423"/>
    </row>
    <row r="11" spans="2:9" x14ac:dyDescent="0.25">
      <c r="F11" s="423" t="s">
        <v>617</v>
      </c>
    </row>
    <row r="12" spans="2:9" x14ac:dyDescent="0.25">
      <c r="B12" s="424" t="s">
        <v>618</v>
      </c>
      <c r="F12" s="423"/>
    </row>
    <row r="13" spans="2:9" x14ac:dyDescent="0.25">
      <c r="B13" s="391" t="s">
        <v>590</v>
      </c>
      <c r="C13" s="391" t="s">
        <v>592</v>
      </c>
      <c r="F13" s="403">
        <f>+G9</f>
        <v>557760.97499999998</v>
      </c>
    </row>
    <row r="14" spans="2:9" x14ac:dyDescent="0.25">
      <c r="B14" s="391" t="s">
        <v>619</v>
      </c>
      <c r="C14" s="391" t="s">
        <v>592</v>
      </c>
      <c r="F14" s="403">
        <f>+F9</f>
        <v>25663.524999999987</v>
      </c>
    </row>
    <row r="15" spans="2:9" x14ac:dyDescent="0.25">
      <c r="B15" s="391" t="s">
        <v>604</v>
      </c>
      <c r="C15" s="391" t="s">
        <v>593</v>
      </c>
      <c r="G15" s="403">
        <f>+C9</f>
        <v>583424.5</v>
      </c>
      <c r="I15" s="403"/>
    </row>
    <row r="16" spans="2:9" x14ac:dyDescent="0.25">
      <c r="F16" s="423"/>
    </row>
    <row r="17" spans="2:8" x14ac:dyDescent="0.25">
      <c r="B17" s="424" t="s">
        <v>620</v>
      </c>
      <c r="F17" s="423"/>
    </row>
    <row r="18" spans="2:8" x14ac:dyDescent="0.25">
      <c r="B18" s="391" t="s">
        <v>598</v>
      </c>
      <c r="C18" s="400">
        <v>3240</v>
      </c>
      <c r="D18" s="391" t="s">
        <v>599</v>
      </c>
      <c r="E18" s="401"/>
      <c r="F18" s="401" t="s">
        <v>600</v>
      </c>
      <c r="G18" s="402">
        <f>C18*36</f>
        <v>116640</v>
      </c>
      <c r="H18" s="403"/>
    </row>
    <row r="19" spans="2:8" x14ac:dyDescent="0.25">
      <c r="B19" s="391" t="s">
        <v>621</v>
      </c>
      <c r="C19" s="400"/>
      <c r="E19" s="401"/>
      <c r="F19" s="401"/>
      <c r="G19" s="402">
        <f>+F9</f>
        <v>25663.524999999987</v>
      </c>
      <c r="H19" s="403"/>
    </row>
    <row r="20" spans="2:8" x14ac:dyDescent="0.25">
      <c r="B20" s="391" t="s">
        <v>601</v>
      </c>
      <c r="G20" s="403">
        <f>+G18-G19</f>
        <v>90976.475000000006</v>
      </c>
      <c r="H20" s="403"/>
    </row>
    <row r="21" spans="2:8" x14ac:dyDescent="0.25">
      <c r="B21" s="391" t="s">
        <v>602</v>
      </c>
      <c r="C21" s="400"/>
      <c r="F21" s="404"/>
      <c r="H21" s="403"/>
    </row>
    <row r="22" spans="2:8" x14ac:dyDescent="0.25">
      <c r="C22" s="400"/>
      <c r="F22" s="404"/>
      <c r="H22" s="403"/>
    </row>
    <row r="23" spans="2:8" x14ac:dyDescent="0.25">
      <c r="C23" s="400"/>
      <c r="F23" s="404"/>
      <c r="H23" s="403"/>
    </row>
    <row r="24" spans="2:8" x14ac:dyDescent="0.25">
      <c r="C24" s="400"/>
      <c r="F24" s="404"/>
      <c r="H24" s="403"/>
    </row>
    <row r="25" spans="2:8" x14ac:dyDescent="0.25">
      <c r="C25" s="400"/>
      <c r="F25" s="404"/>
      <c r="H25" s="403"/>
    </row>
    <row r="26" spans="2:8" x14ac:dyDescent="0.25">
      <c r="C26" s="400"/>
      <c r="F26" s="401"/>
      <c r="G26" s="403"/>
      <c r="H26" s="403"/>
    </row>
    <row r="27" spans="2:8" x14ac:dyDescent="0.25">
      <c r="B27" s="391" t="s">
        <v>603</v>
      </c>
      <c r="C27" s="391" t="s">
        <v>592</v>
      </c>
      <c r="F27" s="402">
        <f>G18</f>
        <v>116640</v>
      </c>
    </row>
    <row r="28" spans="2:8" x14ac:dyDescent="0.25">
      <c r="B28" s="391" t="s">
        <v>590</v>
      </c>
      <c r="C28" s="391" t="s">
        <v>592</v>
      </c>
      <c r="F28" s="403">
        <f>G9</f>
        <v>557760.97499999998</v>
      </c>
    </row>
    <row r="29" spans="2:8" x14ac:dyDescent="0.25">
      <c r="B29" s="391" t="s">
        <v>604</v>
      </c>
      <c r="C29" s="391" t="s">
        <v>593</v>
      </c>
      <c r="G29" s="403">
        <f>C9</f>
        <v>583424.5</v>
      </c>
      <c r="H29" s="403"/>
    </row>
    <row r="30" spans="2:8" x14ac:dyDescent="0.25">
      <c r="B30" s="391" t="s">
        <v>601</v>
      </c>
      <c r="C30" s="391" t="s">
        <v>593</v>
      </c>
      <c r="G30" s="403">
        <f>F28+F27-G29</f>
        <v>90976.474999999977</v>
      </c>
    </row>
  </sheetData>
  <pageMargins left="0.7" right="0.7" top="0.75" bottom="0.75" header="0.3" footer="0.3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M22"/>
  <sheetViews>
    <sheetView view="pageBreakPreview" zoomScaleNormal="100" zoomScaleSheetLayoutView="100" workbookViewId="0">
      <selection activeCell="J26" sqref="J26"/>
    </sheetView>
  </sheetViews>
  <sheetFormatPr defaultRowHeight="12.75" x14ac:dyDescent="0.2"/>
  <cols>
    <col min="1" max="1" width="2.28515625" customWidth="1"/>
    <col min="2" max="2" width="26.140625" customWidth="1"/>
    <col min="3" max="3" width="25.42578125" customWidth="1"/>
    <col min="4" max="4" width="11.28515625" bestFit="1" customWidth="1"/>
    <col min="5" max="5" width="6.28515625" customWidth="1"/>
    <col min="6" max="6" width="9.7109375" customWidth="1"/>
    <col min="8" max="8" width="9.7109375" bestFit="1" customWidth="1"/>
    <col min="9" max="9" width="9.5703125" customWidth="1"/>
    <col min="10" max="10" width="11.140625" bestFit="1" customWidth="1"/>
    <col min="11" max="11" width="15.85546875" bestFit="1" customWidth="1"/>
    <col min="12" max="12" width="9.7109375" bestFit="1" customWidth="1"/>
    <col min="13" max="13" width="15.7109375" customWidth="1"/>
  </cols>
  <sheetData>
    <row r="3" spans="2:13" x14ac:dyDescent="0.2">
      <c r="B3" s="299" t="s">
        <v>576</v>
      </c>
    </row>
    <row r="4" spans="2:13" x14ac:dyDescent="0.2">
      <c r="B4" s="300" t="s">
        <v>546</v>
      </c>
      <c r="C4" s="300" t="s">
        <v>547</v>
      </c>
      <c r="D4" s="300" t="s">
        <v>548</v>
      </c>
    </row>
    <row r="5" spans="2:13" x14ac:dyDescent="0.2">
      <c r="B5" s="301" t="s">
        <v>545</v>
      </c>
      <c r="C5" s="301" t="s">
        <v>549</v>
      </c>
      <c r="D5" s="318">
        <f>+'D-ELECTRI.'!F36</f>
        <v>25390.63</v>
      </c>
    </row>
    <row r="6" spans="2:13" x14ac:dyDescent="0.2">
      <c r="B6" s="301"/>
      <c r="C6" s="336"/>
      <c r="D6" s="318"/>
    </row>
    <row r="7" spans="2:13" x14ac:dyDescent="0.2">
      <c r="B7" s="336"/>
      <c r="C7" s="336"/>
      <c r="D7" s="318"/>
    </row>
    <row r="8" spans="2:13" x14ac:dyDescent="0.2">
      <c r="B8" s="301"/>
      <c r="C8" s="301"/>
      <c r="D8" s="319">
        <f>SUM(D5:D7)</f>
        <v>25390.63</v>
      </c>
    </row>
    <row r="12" spans="2:13" s="303" customFormat="1" x14ac:dyDescent="0.2">
      <c r="B12" s="309"/>
      <c r="C12" s="309"/>
      <c r="D12" s="310" t="s">
        <v>552</v>
      </c>
      <c r="E12" s="310"/>
      <c r="F12" s="310"/>
      <c r="G12" s="310"/>
      <c r="H12" s="310" t="s">
        <v>564</v>
      </c>
      <c r="I12" s="310" t="s">
        <v>553</v>
      </c>
      <c r="J12" s="310" t="s">
        <v>554</v>
      </c>
      <c r="K12" s="311"/>
      <c r="L12" s="311" t="s">
        <v>569</v>
      </c>
      <c r="M12" s="311"/>
    </row>
    <row r="13" spans="2:13" s="303" customFormat="1" ht="13.5" thickBot="1" x14ac:dyDescent="0.25">
      <c r="B13" s="312" t="s">
        <v>550</v>
      </c>
      <c r="C13" s="312" t="s">
        <v>551</v>
      </c>
      <c r="D13" s="313" t="s">
        <v>555</v>
      </c>
      <c r="E13" s="313" t="s">
        <v>558</v>
      </c>
      <c r="F13" s="314" t="s">
        <v>559</v>
      </c>
      <c r="G13" s="314" t="s">
        <v>560</v>
      </c>
      <c r="H13" s="313" t="s">
        <v>565</v>
      </c>
      <c r="I13" s="313" t="s">
        <v>556</v>
      </c>
      <c r="J13" s="313" t="s">
        <v>557</v>
      </c>
      <c r="K13" s="315" t="s">
        <v>563</v>
      </c>
      <c r="L13" s="315" t="s">
        <v>37</v>
      </c>
      <c r="M13" s="315" t="s">
        <v>567</v>
      </c>
    </row>
    <row r="14" spans="2:13" x14ac:dyDescent="0.2">
      <c r="L14" s="302"/>
      <c r="M14" s="302"/>
    </row>
    <row r="15" spans="2:13" x14ac:dyDescent="0.2">
      <c r="B15" s="304" t="s">
        <v>561</v>
      </c>
      <c r="C15" t="s">
        <v>562</v>
      </c>
      <c r="D15" s="324">
        <v>25390.63</v>
      </c>
      <c r="E15" s="324">
        <v>0</v>
      </c>
      <c r="F15" s="324">
        <v>3554.69</v>
      </c>
      <c r="G15" s="324">
        <f t="shared" ref="G15" si="0">+F15</f>
        <v>3554.69</v>
      </c>
      <c r="H15" s="324">
        <v>0</v>
      </c>
      <c r="I15" s="324">
        <f t="shared" ref="I15" si="1">SUM(D15:H15)</f>
        <v>32500.01</v>
      </c>
      <c r="J15" s="302">
        <v>44407</v>
      </c>
      <c r="K15" s="304" t="s">
        <v>575</v>
      </c>
      <c r="L15" s="302">
        <v>44407</v>
      </c>
      <c r="M15" s="302" t="s">
        <v>568</v>
      </c>
    </row>
    <row r="16" spans="2:13" s="321" customFormat="1" x14ac:dyDescent="0.2">
      <c r="B16" s="323"/>
      <c r="D16" s="325"/>
      <c r="E16" s="325"/>
      <c r="F16" s="325"/>
      <c r="G16" s="325">
        <v>0</v>
      </c>
      <c r="H16" s="325">
        <v>0</v>
      </c>
      <c r="I16" s="325">
        <f>SUM(D16:H16)</f>
        <v>0</v>
      </c>
      <c r="J16" s="322"/>
      <c r="L16" s="322"/>
      <c r="M16" s="322"/>
    </row>
    <row r="17" spans="2:13" s="321" customFormat="1" x14ac:dyDescent="0.2">
      <c r="B17" s="323"/>
      <c r="D17" s="325"/>
      <c r="E17" s="325"/>
      <c r="F17" s="325"/>
      <c r="G17" s="325">
        <v>0</v>
      </c>
      <c r="H17" s="325">
        <v>0</v>
      </c>
      <c r="I17" s="325">
        <f t="shared" ref="I17:I18" si="2">SUM(D17:H17)</f>
        <v>0</v>
      </c>
      <c r="J17" s="322"/>
      <c r="L17" s="322"/>
      <c r="M17" s="322"/>
    </row>
    <row r="18" spans="2:13" s="321" customFormat="1" x14ac:dyDescent="0.2">
      <c r="B18" s="323"/>
      <c r="D18" s="325"/>
      <c r="E18" s="325"/>
      <c r="F18" s="325"/>
      <c r="G18" s="325">
        <v>0</v>
      </c>
      <c r="H18" s="325">
        <v>0</v>
      </c>
      <c r="I18" s="325">
        <f t="shared" si="2"/>
        <v>0</v>
      </c>
      <c r="J18" s="322"/>
      <c r="L18" s="322"/>
      <c r="M18" s="322"/>
    </row>
    <row r="19" spans="2:13" ht="13.5" thickBot="1" x14ac:dyDescent="0.25">
      <c r="B19" s="316"/>
      <c r="C19" s="316"/>
      <c r="D19" s="308">
        <f>SUM(D15:D18)</f>
        <v>25390.63</v>
      </c>
      <c r="E19" s="308">
        <f t="shared" ref="E19:I19" si="3">SUM(E15:E18)</f>
        <v>0</v>
      </c>
      <c r="F19" s="308">
        <f t="shared" si="3"/>
        <v>3554.69</v>
      </c>
      <c r="G19" s="308">
        <f t="shared" si="3"/>
        <v>3554.69</v>
      </c>
      <c r="H19" s="308">
        <f t="shared" si="3"/>
        <v>0</v>
      </c>
      <c r="I19" s="308">
        <f t="shared" si="3"/>
        <v>32500.01</v>
      </c>
      <c r="J19" s="317"/>
      <c r="K19" s="316"/>
      <c r="L19" s="317"/>
      <c r="M19" s="317"/>
    </row>
    <row r="20" spans="2:13" x14ac:dyDescent="0.2">
      <c r="B20" s="304"/>
      <c r="D20" s="306"/>
      <c r="E20" s="306"/>
      <c r="F20" s="306"/>
      <c r="G20" s="306"/>
      <c r="H20" s="306"/>
      <c r="I20" s="306"/>
    </row>
    <row r="21" spans="2:13" ht="13.5" thickBot="1" x14ac:dyDescent="0.25">
      <c r="B21" s="303" t="s">
        <v>566</v>
      </c>
      <c r="D21" s="307">
        <f>+D19+D20</f>
        <v>25390.63</v>
      </c>
      <c r="E21" s="306"/>
      <c r="F21" s="306"/>
      <c r="G21" s="306"/>
      <c r="H21" s="306"/>
      <c r="I21" s="306"/>
    </row>
    <row r="22" spans="2:13" ht="13.5" thickTop="1" x14ac:dyDescent="0.2"/>
  </sheetData>
  <printOptions horizontalCentered="1"/>
  <pageMargins left="0.2" right="0.2" top="0.25" bottom="0.25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32"/>
  <sheetViews>
    <sheetView view="pageBreakPreview" zoomScaleNormal="100" zoomScaleSheetLayoutView="100" workbookViewId="0">
      <selection activeCell="H21" sqref="H21"/>
    </sheetView>
  </sheetViews>
  <sheetFormatPr defaultRowHeight="12.75" x14ac:dyDescent="0.2"/>
  <cols>
    <col min="1" max="1" width="9.140625" style="61"/>
    <col min="2" max="2" width="29.28515625" style="38" bestFit="1" customWidth="1"/>
    <col min="3" max="3" width="11.85546875" style="62" customWidth="1"/>
    <col min="4" max="6" width="11.42578125" style="62" customWidth="1"/>
    <col min="7" max="8" width="12.5703125" style="62" customWidth="1"/>
    <col min="9" max="9" width="11.28515625" style="62" bestFit="1" customWidth="1"/>
    <col min="10" max="10" width="9.5703125" style="62" customWidth="1"/>
    <col min="11" max="11" width="10.28515625" style="62" customWidth="1"/>
    <col min="12" max="12" width="7.7109375" style="62" customWidth="1"/>
    <col min="13" max="13" width="11.28515625" style="62" bestFit="1" customWidth="1"/>
    <col min="14" max="14" width="12.5703125" style="62" customWidth="1"/>
    <col min="15" max="16384" width="9.140625" style="38"/>
  </cols>
  <sheetData>
    <row r="1" spans="1:18" s="34" customFormat="1" x14ac:dyDescent="0.2">
      <c r="A1" s="29"/>
      <c r="B1" s="30"/>
      <c r="C1" s="31"/>
      <c r="D1" s="32"/>
      <c r="E1" s="32"/>
      <c r="F1" s="32"/>
      <c r="G1" s="32"/>
      <c r="H1" s="32"/>
      <c r="I1" s="32"/>
      <c r="J1" s="32"/>
      <c r="K1" s="33">
        <v>44286</v>
      </c>
      <c r="L1" s="32"/>
      <c r="M1" s="32"/>
      <c r="N1" s="32"/>
    </row>
    <row r="2" spans="1:18" x14ac:dyDescent="0.2">
      <c r="A2" s="35"/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8" s="330" customFormat="1" ht="51" x14ac:dyDescent="0.2">
      <c r="A3" s="328" t="s">
        <v>34</v>
      </c>
      <c r="B3" s="329" t="s">
        <v>35</v>
      </c>
      <c r="C3" s="39" t="s">
        <v>36</v>
      </c>
      <c r="D3" s="40" t="s">
        <v>37</v>
      </c>
      <c r="E3" s="39" t="s">
        <v>541</v>
      </c>
      <c r="F3" s="40" t="s">
        <v>38</v>
      </c>
      <c r="G3" s="39" t="s">
        <v>570</v>
      </c>
      <c r="H3" s="39" t="s">
        <v>39</v>
      </c>
      <c r="I3" s="39" t="s">
        <v>40</v>
      </c>
      <c r="J3" s="41" t="s">
        <v>41</v>
      </c>
      <c r="K3" s="41" t="s">
        <v>42</v>
      </c>
      <c r="L3" s="41" t="s">
        <v>43</v>
      </c>
      <c r="M3" s="42" t="s">
        <v>44</v>
      </c>
      <c r="N3" s="39" t="s">
        <v>45</v>
      </c>
    </row>
    <row r="4" spans="1:18" s="45" customFormat="1" x14ac:dyDescent="0.2">
      <c r="A4" s="43"/>
      <c r="B4" s="44" t="s">
        <v>28</v>
      </c>
      <c r="C4" s="37" t="s">
        <v>12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8" s="45" customFormat="1" x14ac:dyDescent="0.2">
      <c r="A5" s="43"/>
      <c r="B5" s="46"/>
      <c r="C5" s="37"/>
      <c r="D5" s="37"/>
      <c r="E5" s="37"/>
      <c r="F5" s="37"/>
      <c r="G5" s="37"/>
      <c r="H5" s="47"/>
      <c r="I5" s="37"/>
      <c r="J5" s="37"/>
      <c r="K5" s="37"/>
      <c r="L5" s="37"/>
      <c r="M5" s="37"/>
      <c r="N5" s="37"/>
    </row>
    <row r="6" spans="1:18" s="45" customFormat="1" x14ac:dyDescent="0.2">
      <c r="A6" s="48" t="s">
        <v>46</v>
      </c>
      <c r="B6" s="49" t="s">
        <v>47</v>
      </c>
      <c r="C6" s="50">
        <v>60900</v>
      </c>
      <c r="D6" s="51">
        <f>DATE(75,2,25)</f>
        <v>27450</v>
      </c>
      <c r="E6" s="50">
        <v>60900</v>
      </c>
      <c r="F6" s="37">
        <v>0</v>
      </c>
      <c r="G6" s="37">
        <f t="shared" ref="G6:G11" si="0">E6+F6-N6</f>
        <v>60900</v>
      </c>
      <c r="H6" s="52">
        <f>ROUND((C6+F6)*5%,0)</f>
        <v>3045</v>
      </c>
      <c r="I6" s="37">
        <f t="shared" ref="I6:I11" si="1">E6-H6</f>
        <v>57855</v>
      </c>
      <c r="J6" s="37">
        <v>0</v>
      </c>
      <c r="K6" s="37">
        <v>0</v>
      </c>
      <c r="L6" s="37">
        <f>J6-K6</f>
        <v>0</v>
      </c>
      <c r="M6" s="37">
        <f>IF(L6&lt;=0,0,0)</f>
        <v>0</v>
      </c>
      <c r="N6" s="37">
        <f>IF(M6&lt;=0,0,0)</f>
        <v>0</v>
      </c>
      <c r="O6" s="53"/>
      <c r="R6" s="54"/>
    </row>
    <row r="7" spans="1:18" s="45" customFormat="1" x14ac:dyDescent="0.2">
      <c r="A7" s="48" t="s">
        <v>48</v>
      </c>
      <c r="B7" s="49" t="s">
        <v>49</v>
      </c>
      <c r="C7" s="50">
        <v>4082039</v>
      </c>
      <c r="D7" s="51">
        <f>DATE(95,8,24)</f>
        <v>34935</v>
      </c>
      <c r="E7" s="50">
        <v>4082039</v>
      </c>
      <c r="F7" s="37">
        <v>0</v>
      </c>
      <c r="G7" s="37">
        <f t="shared" si="0"/>
        <v>4082039</v>
      </c>
      <c r="H7" s="52">
        <f t="shared" ref="H7:H11" si="2">ROUND((C7+F7)*5%,0)</f>
        <v>204102</v>
      </c>
      <c r="I7" s="37">
        <f t="shared" si="1"/>
        <v>3877937</v>
      </c>
      <c r="J7" s="37">
        <v>0</v>
      </c>
      <c r="K7" s="37">
        <v>0</v>
      </c>
      <c r="L7" s="37">
        <f t="shared" ref="L7:L11" si="3">J7-K7</f>
        <v>0</v>
      </c>
      <c r="M7" s="37">
        <f t="shared" ref="M7:N11" si="4">IF(L7&lt;=0,0,0)</f>
        <v>0</v>
      </c>
      <c r="N7" s="37">
        <f t="shared" si="4"/>
        <v>0</v>
      </c>
      <c r="O7" s="53"/>
      <c r="R7" s="54"/>
    </row>
    <row r="8" spans="1:18" s="45" customFormat="1" x14ac:dyDescent="0.2">
      <c r="A8" s="48"/>
      <c r="B8" s="49" t="s">
        <v>50</v>
      </c>
      <c r="C8" s="50">
        <v>497829</v>
      </c>
      <c r="D8" s="51">
        <f>DATE(97,7,24)</f>
        <v>35635</v>
      </c>
      <c r="E8" s="50">
        <v>497829</v>
      </c>
      <c r="F8" s="37">
        <v>0</v>
      </c>
      <c r="G8" s="37">
        <f t="shared" si="0"/>
        <v>497829</v>
      </c>
      <c r="H8" s="52">
        <f t="shared" si="2"/>
        <v>24891</v>
      </c>
      <c r="I8" s="37">
        <f t="shared" si="1"/>
        <v>472938</v>
      </c>
      <c r="J8" s="37">
        <v>0</v>
      </c>
      <c r="K8" s="37">
        <v>0</v>
      </c>
      <c r="L8" s="37">
        <f t="shared" si="3"/>
        <v>0</v>
      </c>
      <c r="M8" s="37">
        <f t="shared" si="4"/>
        <v>0</v>
      </c>
      <c r="N8" s="37">
        <f t="shared" si="4"/>
        <v>0</v>
      </c>
      <c r="O8" s="53"/>
      <c r="R8" s="54"/>
    </row>
    <row r="9" spans="1:18" s="45" customFormat="1" x14ac:dyDescent="0.2">
      <c r="A9" s="43"/>
      <c r="B9" s="49" t="s">
        <v>51</v>
      </c>
      <c r="C9" s="50">
        <v>1921296</v>
      </c>
      <c r="D9" s="51">
        <f>DATE(98,3,31)</f>
        <v>35885</v>
      </c>
      <c r="E9" s="50">
        <v>1921296</v>
      </c>
      <c r="F9" s="37">
        <v>0</v>
      </c>
      <c r="G9" s="37">
        <f t="shared" si="0"/>
        <v>1921296</v>
      </c>
      <c r="H9" s="52">
        <f t="shared" si="2"/>
        <v>96065</v>
      </c>
      <c r="I9" s="37">
        <f t="shared" si="1"/>
        <v>1825231</v>
      </c>
      <c r="J9" s="37">
        <v>0</v>
      </c>
      <c r="K9" s="37">
        <v>0</v>
      </c>
      <c r="L9" s="37">
        <f t="shared" si="3"/>
        <v>0</v>
      </c>
      <c r="M9" s="37">
        <f t="shared" si="4"/>
        <v>0</v>
      </c>
      <c r="N9" s="37">
        <f t="shared" si="4"/>
        <v>0</v>
      </c>
      <c r="O9" s="53"/>
      <c r="R9" s="54"/>
    </row>
    <row r="10" spans="1:18" s="45" customFormat="1" x14ac:dyDescent="0.2">
      <c r="A10" s="43"/>
      <c r="B10" s="49" t="s">
        <v>52</v>
      </c>
      <c r="C10" s="55">
        <v>20000</v>
      </c>
      <c r="D10" s="51">
        <f>DATE(3,3,31)</f>
        <v>1186</v>
      </c>
      <c r="E10" s="50">
        <v>20000</v>
      </c>
      <c r="F10" s="37">
        <v>0</v>
      </c>
      <c r="G10" s="37">
        <f t="shared" si="0"/>
        <v>20000</v>
      </c>
      <c r="H10" s="52">
        <f t="shared" si="2"/>
        <v>1000</v>
      </c>
      <c r="I10" s="37">
        <f t="shared" si="1"/>
        <v>19000</v>
      </c>
      <c r="J10" s="37">
        <v>0</v>
      </c>
      <c r="K10" s="37">
        <v>0</v>
      </c>
      <c r="L10" s="37">
        <f t="shared" si="3"/>
        <v>0</v>
      </c>
      <c r="M10" s="37">
        <f t="shared" si="4"/>
        <v>0</v>
      </c>
      <c r="N10" s="37">
        <f t="shared" si="4"/>
        <v>0</v>
      </c>
      <c r="O10" s="53"/>
      <c r="R10" s="54"/>
    </row>
    <row r="11" spans="1:18" s="45" customFormat="1" x14ac:dyDescent="0.2">
      <c r="A11" s="43"/>
      <c r="B11" s="49" t="s">
        <v>50</v>
      </c>
      <c r="C11" s="55">
        <v>162648</v>
      </c>
      <c r="D11" s="51">
        <f>DATE(7,2,28)</f>
        <v>2616</v>
      </c>
      <c r="E11" s="50">
        <v>162648</v>
      </c>
      <c r="F11" s="37">
        <v>0</v>
      </c>
      <c r="G11" s="37">
        <f t="shared" si="0"/>
        <v>162648</v>
      </c>
      <c r="H11" s="52">
        <f t="shared" si="2"/>
        <v>8132</v>
      </c>
      <c r="I11" s="37">
        <f t="shared" si="1"/>
        <v>154516</v>
      </c>
      <c r="J11" s="37">
        <v>0</v>
      </c>
      <c r="K11" s="37">
        <v>0</v>
      </c>
      <c r="L11" s="37">
        <f t="shared" si="3"/>
        <v>0</v>
      </c>
      <c r="M11" s="37">
        <f t="shared" si="4"/>
        <v>0</v>
      </c>
      <c r="N11" s="37">
        <f t="shared" si="4"/>
        <v>0</v>
      </c>
      <c r="O11" s="53"/>
      <c r="R11" s="54"/>
    </row>
    <row r="12" spans="1:18" x14ac:dyDescent="0.2">
      <c r="A12" s="56"/>
      <c r="B12" s="35"/>
      <c r="C12" s="37"/>
      <c r="D12" s="57"/>
      <c r="E12" s="57"/>
      <c r="F12" s="57"/>
      <c r="G12" s="37"/>
      <c r="H12" s="37"/>
      <c r="I12" s="37"/>
      <c r="J12" s="37"/>
      <c r="K12" s="37"/>
      <c r="L12" s="37"/>
      <c r="M12" s="37"/>
      <c r="N12" s="37"/>
    </row>
    <row r="13" spans="1:18" s="61" customFormat="1" x14ac:dyDescent="0.2">
      <c r="A13" s="56"/>
      <c r="B13" s="58"/>
      <c r="C13" s="59">
        <f>SUM(C5:C12)</f>
        <v>6744712</v>
      </c>
      <c r="D13" s="60"/>
      <c r="E13" s="59">
        <f>SUM(E5:E12)</f>
        <v>6744712</v>
      </c>
      <c r="F13" s="59">
        <f>SUM(F5:F12)</f>
        <v>0</v>
      </c>
      <c r="G13" s="59">
        <f>SUM(G5:G12)</f>
        <v>6744712</v>
      </c>
      <c r="H13" s="59">
        <f>SUM(H5:H12)</f>
        <v>337235</v>
      </c>
      <c r="I13" s="59">
        <f>SUM(I5:I12)</f>
        <v>6407477</v>
      </c>
      <c r="J13" s="59"/>
      <c r="K13" s="59"/>
      <c r="L13" s="59"/>
      <c r="M13" s="59">
        <f>SUM(M5:M12)</f>
        <v>0</v>
      </c>
      <c r="N13" s="59">
        <f>SUM(N5:N12)</f>
        <v>0</v>
      </c>
    </row>
    <row r="14" spans="1:18" x14ac:dyDescent="0.2">
      <c r="D14" s="63"/>
      <c r="E14" s="63"/>
      <c r="F14" s="63"/>
    </row>
    <row r="15" spans="1:18" x14ac:dyDescent="0.2">
      <c r="D15" s="63"/>
      <c r="E15" s="63"/>
      <c r="F15" s="63"/>
    </row>
    <row r="16" spans="1:18" x14ac:dyDescent="0.2">
      <c r="D16" s="63"/>
      <c r="E16" s="63"/>
      <c r="F16" s="63"/>
    </row>
    <row r="17" spans="4:6" x14ac:dyDescent="0.2">
      <c r="D17" s="63"/>
      <c r="E17" s="63"/>
      <c r="F17" s="63"/>
    </row>
    <row r="18" spans="4:6" x14ac:dyDescent="0.2">
      <c r="D18" s="63"/>
      <c r="E18" s="63"/>
      <c r="F18" s="63"/>
    </row>
    <row r="19" spans="4:6" x14ac:dyDescent="0.2">
      <c r="D19" s="63"/>
      <c r="E19" s="63"/>
      <c r="F19" s="63"/>
    </row>
    <row r="20" spans="4:6" x14ac:dyDescent="0.2">
      <c r="D20" s="63"/>
      <c r="E20" s="63"/>
      <c r="F20" s="63"/>
    </row>
    <row r="21" spans="4:6" x14ac:dyDescent="0.2">
      <c r="D21" s="63"/>
      <c r="E21" s="63"/>
      <c r="F21" s="63"/>
    </row>
    <row r="22" spans="4:6" x14ac:dyDescent="0.2">
      <c r="D22" s="63"/>
      <c r="E22" s="63"/>
      <c r="F22" s="63"/>
    </row>
    <row r="23" spans="4:6" x14ac:dyDescent="0.2">
      <c r="D23" s="63"/>
      <c r="E23" s="63"/>
      <c r="F23" s="63"/>
    </row>
    <row r="24" spans="4:6" x14ac:dyDescent="0.2">
      <c r="D24" s="63"/>
      <c r="E24" s="63"/>
      <c r="F24" s="63"/>
    </row>
    <row r="25" spans="4:6" x14ac:dyDescent="0.2">
      <c r="D25" s="63"/>
      <c r="E25" s="63"/>
      <c r="F25" s="63"/>
    </row>
    <row r="26" spans="4:6" x14ac:dyDescent="0.2">
      <c r="D26" s="63"/>
      <c r="E26" s="63"/>
      <c r="F26" s="63"/>
    </row>
    <row r="27" spans="4:6" x14ac:dyDescent="0.2">
      <c r="D27" s="63"/>
      <c r="E27" s="63"/>
      <c r="F27" s="63"/>
    </row>
    <row r="28" spans="4:6" x14ac:dyDescent="0.2">
      <c r="D28" s="63"/>
      <c r="E28" s="63"/>
      <c r="F28" s="63"/>
    </row>
    <row r="29" spans="4:6" x14ac:dyDescent="0.2">
      <c r="D29" s="63"/>
      <c r="E29" s="63"/>
      <c r="F29" s="63"/>
    </row>
    <row r="30" spans="4:6" x14ac:dyDescent="0.2">
      <c r="D30" s="63"/>
      <c r="E30" s="63"/>
      <c r="F30" s="63"/>
    </row>
    <row r="31" spans="4:6" x14ac:dyDescent="0.2">
      <c r="D31" s="63"/>
      <c r="E31" s="63"/>
      <c r="F31" s="63"/>
    </row>
    <row r="32" spans="4:6" x14ac:dyDescent="0.2">
      <c r="D32" s="63"/>
      <c r="E32" s="63"/>
      <c r="F32" s="63"/>
    </row>
  </sheetData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27"/>
  <sheetViews>
    <sheetView view="pageBreakPreview" zoomScaleNormal="100" zoomScaleSheetLayoutView="100" workbookViewId="0">
      <selection activeCell="K1" sqref="K1"/>
    </sheetView>
  </sheetViews>
  <sheetFormatPr defaultRowHeight="12.75" x14ac:dyDescent="0.2"/>
  <cols>
    <col min="1" max="1" width="9.140625" style="90"/>
    <col min="2" max="2" width="21.140625" style="71" bestFit="1" customWidth="1"/>
    <col min="3" max="3" width="11.85546875" style="62" customWidth="1"/>
    <col min="4" max="4" width="11.42578125" style="62" customWidth="1"/>
    <col min="5" max="8" width="12.5703125" style="62" customWidth="1"/>
    <col min="9" max="9" width="10.140625" style="62" customWidth="1"/>
    <col min="10" max="10" width="9.5703125" style="62" customWidth="1"/>
    <col min="11" max="11" width="10.28515625" style="62" customWidth="1"/>
    <col min="12" max="12" width="7.7109375" style="62" customWidth="1"/>
    <col min="13" max="13" width="11.28515625" style="62" bestFit="1" customWidth="1"/>
    <col min="14" max="14" width="12.5703125" style="62" customWidth="1"/>
    <col min="15" max="16384" width="9.140625" style="71"/>
  </cols>
  <sheetData>
    <row r="1" spans="1:16" s="68" customFormat="1" x14ac:dyDescent="0.2">
      <c r="A1" s="64"/>
      <c r="B1" s="65"/>
      <c r="C1" s="31"/>
      <c r="D1" s="66"/>
      <c r="E1" s="66"/>
      <c r="F1" s="66"/>
      <c r="G1" s="66"/>
      <c r="H1" s="66"/>
      <c r="I1" s="66"/>
      <c r="J1" s="66"/>
      <c r="K1" s="67">
        <v>44286</v>
      </c>
      <c r="L1" s="66"/>
      <c r="M1" s="66"/>
      <c r="N1" s="66"/>
    </row>
    <row r="2" spans="1:16" x14ac:dyDescent="0.2">
      <c r="A2" s="69"/>
      <c r="B2" s="70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6" ht="51" x14ac:dyDescent="0.2">
      <c r="A3" s="72" t="s">
        <v>34</v>
      </c>
      <c r="B3" s="73" t="s">
        <v>35</v>
      </c>
      <c r="C3" s="39" t="s">
        <v>36</v>
      </c>
      <c r="D3" s="40" t="s">
        <v>37</v>
      </c>
      <c r="E3" s="39" t="s">
        <v>541</v>
      </c>
      <c r="F3" s="40" t="s">
        <v>38</v>
      </c>
      <c r="G3" s="39" t="s">
        <v>570</v>
      </c>
      <c r="H3" s="39" t="s">
        <v>39</v>
      </c>
      <c r="I3" s="39" t="s">
        <v>40</v>
      </c>
      <c r="J3" s="41" t="s">
        <v>41</v>
      </c>
      <c r="K3" s="41" t="s">
        <v>42</v>
      </c>
      <c r="L3" s="41" t="s">
        <v>43</v>
      </c>
      <c r="M3" s="42" t="s">
        <v>44</v>
      </c>
      <c r="N3" s="39" t="s">
        <v>45</v>
      </c>
    </row>
    <row r="4" spans="1:16" s="76" customFormat="1" x14ac:dyDescent="0.2">
      <c r="A4" s="74"/>
      <c r="B4" s="75" t="s">
        <v>28</v>
      </c>
      <c r="C4" s="37" t="s">
        <v>12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6" s="76" customFormat="1" x14ac:dyDescent="0.2">
      <c r="A5" s="74"/>
      <c r="B5" s="77"/>
      <c r="C5" s="37"/>
      <c r="D5" s="37"/>
      <c r="E5" s="37"/>
      <c r="F5" s="37"/>
      <c r="G5" s="37"/>
      <c r="H5" s="47"/>
      <c r="I5" s="37"/>
      <c r="J5" s="37"/>
      <c r="K5" s="37"/>
      <c r="L5" s="37"/>
      <c r="M5" s="37"/>
      <c r="N5" s="37"/>
    </row>
    <row r="6" spans="1:16" s="76" customFormat="1" x14ac:dyDescent="0.2">
      <c r="A6" s="78" t="s">
        <v>46</v>
      </c>
      <c r="B6" s="79" t="s">
        <v>53</v>
      </c>
      <c r="C6" s="80">
        <v>100000</v>
      </c>
      <c r="D6" s="81">
        <f>DATE(96,5,31)</f>
        <v>35216</v>
      </c>
      <c r="E6" s="82">
        <v>68581</v>
      </c>
      <c r="F6" s="82"/>
      <c r="G6" s="37">
        <f>E6+F6-N6</f>
        <v>65652</v>
      </c>
      <c r="H6" s="52">
        <f>ROUND((C6+F6)*5%,0)</f>
        <v>5000</v>
      </c>
      <c r="I6" s="37">
        <f t="shared" ref="I6" si="0">E6-H6</f>
        <v>63581</v>
      </c>
      <c r="J6" s="37">
        <v>60</v>
      </c>
      <c r="K6" s="83">
        <f>($K$1-D6)/365</f>
        <v>24.849315068493151</v>
      </c>
      <c r="L6" s="37">
        <f t="shared" ref="L6" si="1">J6-K6</f>
        <v>35.150684931506845</v>
      </c>
      <c r="M6" s="84">
        <f t="shared" ref="M6" si="2">IF(L6&gt;0,(1-(H6/(E6+F6))^(1/J6)),0)</f>
        <v>4.2704310938997514E-2</v>
      </c>
      <c r="N6" s="37">
        <f t="shared" ref="N6" si="3">ROUND((E6+F6)*M6,0)</f>
        <v>2929</v>
      </c>
      <c r="P6" s="85"/>
    </row>
    <row r="7" spans="1:16" x14ac:dyDescent="0.2">
      <c r="A7" s="86"/>
      <c r="B7" s="69"/>
      <c r="C7" s="37"/>
      <c r="D7" s="8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6" s="90" customFormat="1" x14ac:dyDescent="0.2">
      <c r="A8" s="86"/>
      <c r="B8" s="88"/>
      <c r="C8" s="59">
        <f>SUM(C5:C7)</f>
        <v>100000</v>
      </c>
      <c r="D8" s="89"/>
      <c r="E8" s="59">
        <f>SUM(E5:E7)</f>
        <v>68581</v>
      </c>
      <c r="F8" s="59">
        <f>SUM(F5:F7)</f>
        <v>0</v>
      </c>
      <c r="G8" s="59">
        <f>SUM(G5:G7)</f>
        <v>65652</v>
      </c>
      <c r="H8" s="59">
        <f>SUM(H5:H7)</f>
        <v>5000</v>
      </c>
      <c r="I8" s="59">
        <f>SUM(I5:I7)</f>
        <v>63581</v>
      </c>
      <c r="J8" s="59"/>
      <c r="K8" s="59"/>
      <c r="L8" s="59"/>
      <c r="M8" s="59">
        <f>SUM(M5:M7)</f>
        <v>4.2704310938997514E-2</v>
      </c>
      <c r="N8" s="59">
        <f>SUM(N6:N7)</f>
        <v>2929</v>
      </c>
    </row>
    <row r="9" spans="1:16" x14ac:dyDescent="0.2">
      <c r="D9" s="91"/>
    </row>
    <row r="10" spans="1:16" x14ac:dyDescent="0.2">
      <c r="D10" s="91"/>
    </row>
    <row r="11" spans="1:16" x14ac:dyDescent="0.2">
      <c r="D11" s="91"/>
      <c r="I11" s="326"/>
    </row>
    <row r="12" spans="1:16" x14ac:dyDescent="0.2">
      <c r="D12" s="91"/>
      <c r="I12" s="327"/>
    </row>
    <row r="13" spans="1:16" x14ac:dyDescent="0.2">
      <c r="D13" s="91"/>
    </row>
    <row r="14" spans="1:16" x14ac:dyDescent="0.2">
      <c r="D14" s="91"/>
    </row>
    <row r="15" spans="1:16" x14ac:dyDescent="0.2">
      <c r="D15" s="91"/>
    </row>
    <row r="16" spans="1:16" x14ac:dyDescent="0.2">
      <c r="D16" s="91"/>
    </row>
    <row r="17" spans="4:4" x14ac:dyDescent="0.2">
      <c r="D17" s="91"/>
    </row>
    <row r="18" spans="4:4" x14ac:dyDescent="0.2">
      <c r="D18" s="91"/>
    </row>
    <row r="19" spans="4:4" x14ac:dyDescent="0.2">
      <c r="D19" s="91"/>
    </row>
    <row r="20" spans="4:4" x14ac:dyDescent="0.2">
      <c r="D20" s="91"/>
    </row>
    <row r="21" spans="4:4" x14ac:dyDescent="0.2">
      <c r="D21" s="91"/>
    </row>
    <row r="22" spans="4:4" x14ac:dyDescent="0.2">
      <c r="D22" s="91"/>
    </row>
    <row r="23" spans="4:4" x14ac:dyDescent="0.2">
      <c r="D23" s="91"/>
    </row>
    <row r="24" spans="4:4" x14ac:dyDescent="0.2">
      <c r="D24" s="91"/>
    </row>
    <row r="25" spans="4:4" x14ac:dyDescent="0.2">
      <c r="D25" s="91"/>
    </row>
    <row r="26" spans="4:4" x14ac:dyDescent="0.2">
      <c r="D26" s="91"/>
    </row>
    <row r="27" spans="4:4" x14ac:dyDescent="0.2">
      <c r="D27" s="91"/>
    </row>
  </sheetData>
  <pageMargins left="0.39370078740157483" right="0.23622047244094491" top="0.74803149606299213" bottom="0.74803149606299213" header="0.31496062992125984" footer="0.31496062992125984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46"/>
  <sheetViews>
    <sheetView view="pageBreakPreview" zoomScaleNormal="100" zoomScaleSheetLayoutView="100" workbookViewId="0">
      <selection activeCell="F25" sqref="F25"/>
    </sheetView>
  </sheetViews>
  <sheetFormatPr defaultRowHeight="12.75" x14ac:dyDescent="0.2"/>
  <cols>
    <col min="1" max="1" width="9.140625" style="154"/>
    <col min="2" max="2" width="28.5703125" style="96" bestFit="1" customWidth="1"/>
    <col min="3" max="4" width="12.7109375" style="151" customWidth="1"/>
    <col min="5" max="7" width="13.85546875" style="151" customWidth="1"/>
    <col min="8" max="8" width="10.85546875" style="151" customWidth="1"/>
    <col min="9" max="9" width="15.7109375" style="151" bestFit="1" customWidth="1"/>
    <col min="10" max="12" width="10" style="152" customWidth="1"/>
    <col min="13" max="13" width="12.140625" style="153" customWidth="1"/>
    <col min="14" max="14" width="11" style="153" customWidth="1"/>
    <col min="15" max="15" width="9.140625" style="96"/>
    <col min="16" max="16" width="10" style="96" bestFit="1" customWidth="1"/>
    <col min="17" max="16384" width="9.140625" style="96"/>
  </cols>
  <sheetData>
    <row r="1" spans="1:14" x14ac:dyDescent="0.2">
      <c r="A1" s="418" t="s">
        <v>54</v>
      </c>
      <c r="B1" s="419"/>
      <c r="C1" s="420"/>
      <c r="D1" s="92"/>
      <c r="E1" s="93"/>
      <c r="F1" s="93"/>
      <c r="G1" s="93"/>
      <c r="H1" s="93"/>
      <c r="I1" s="93"/>
      <c r="J1" s="94"/>
      <c r="K1" s="94"/>
      <c r="L1" s="94"/>
      <c r="M1" s="95"/>
      <c r="N1" s="95"/>
    </row>
    <row r="2" spans="1:14" x14ac:dyDescent="0.2">
      <c r="A2" s="92" t="s">
        <v>55</v>
      </c>
      <c r="B2" s="72"/>
      <c r="C2" s="97"/>
      <c r="D2" s="97"/>
      <c r="E2" s="93"/>
      <c r="F2" s="93"/>
      <c r="G2" s="93"/>
      <c r="H2" s="93"/>
      <c r="I2" s="93"/>
      <c r="J2" s="94"/>
      <c r="K2" s="94"/>
      <c r="L2" s="94"/>
      <c r="M2" s="95"/>
      <c r="N2" s="95"/>
    </row>
    <row r="3" spans="1:14" x14ac:dyDescent="0.2">
      <c r="A3" s="92" t="s">
        <v>56</v>
      </c>
      <c r="B3" s="72"/>
      <c r="C3" s="97"/>
      <c r="D3" s="97"/>
      <c r="E3" s="93"/>
      <c r="F3" s="93"/>
      <c r="G3" s="93"/>
      <c r="H3" s="93"/>
      <c r="I3" s="93"/>
      <c r="J3" s="94"/>
      <c r="K3" s="94"/>
      <c r="L3" s="94"/>
      <c r="M3" s="95"/>
      <c r="N3" s="95"/>
    </row>
    <row r="4" spans="1:14" s="103" customFormat="1" x14ac:dyDescent="0.2">
      <c r="A4" s="98"/>
      <c r="B4" s="99"/>
      <c r="C4" s="100"/>
      <c r="D4" s="100"/>
      <c r="E4" s="100"/>
      <c r="F4" s="100"/>
      <c r="G4" s="100"/>
      <c r="H4" s="100"/>
      <c r="I4" s="100">
        <v>44285</v>
      </c>
      <c r="J4" s="101"/>
      <c r="K4" s="101"/>
      <c r="L4" s="101"/>
      <c r="M4" s="102"/>
      <c r="N4" s="67">
        <v>43921</v>
      </c>
    </row>
    <row r="5" spans="1:14" s="110" customFormat="1" ht="51" x14ac:dyDescent="0.2">
      <c r="A5" s="104" t="s">
        <v>34</v>
      </c>
      <c r="B5" s="105" t="s">
        <v>57</v>
      </c>
      <c r="C5" s="106" t="s">
        <v>36</v>
      </c>
      <c r="D5" s="107" t="s">
        <v>37</v>
      </c>
      <c r="E5" s="106" t="s">
        <v>541</v>
      </c>
      <c r="F5" s="107" t="s">
        <v>38</v>
      </c>
      <c r="G5" s="106" t="s">
        <v>570</v>
      </c>
      <c r="H5" s="106" t="s">
        <v>39</v>
      </c>
      <c r="I5" s="106" t="s">
        <v>40</v>
      </c>
      <c r="J5" s="108" t="s">
        <v>41</v>
      </c>
      <c r="K5" s="108" t="s">
        <v>42</v>
      </c>
      <c r="L5" s="108" t="s">
        <v>43</v>
      </c>
      <c r="M5" s="109" t="s">
        <v>44</v>
      </c>
      <c r="N5" s="106" t="s">
        <v>45</v>
      </c>
    </row>
    <row r="6" spans="1:14" s="116" customFormat="1" x14ac:dyDescent="0.2">
      <c r="A6" s="111" t="s">
        <v>48</v>
      </c>
      <c r="B6" s="112" t="s">
        <v>8</v>
      </c>
      <c r="C6" s="113"/>
      <c r="D6" s="113"/>
      <c r="E6" s="113"/>
      <c r="F6" s="113"/>
      <c r="G6" s="113"/>
      <c r="H6" s="113"/>
      <c r="I6" s="113"/>
      <c r="J6" s="114"/>
      <c r="K6" s="114"/>
      <c r="L6" s="114"/>
      <c r="M6" s="115"/>
      <c r="N6" s="115"/>
    </row>
    <row r="7" spans="1:14" s="116" customFormat="1" x14ac:dyDescent="0.2">
      <c r="A7" s="117">
        <v>1</v>
      </c>
      <c r="B7" s="118" t="s">
        <v>58</v>
      </c>
      <c r="C7" s="119"/>
      <c r="D7" s="119"/>
      <c r="E7" s="119"/>
      <c r="F7" s="119"/>
      <c r="G7" s="119"/>
      <c r="H7" s="119">
        <f>+C7*5%</f>
        <v>0</v>
      </c>
      <c r="I7" s="119">
        <f>+E7-H7</f>
        <v>0</v>
      </c>
      <c r="J7" s="120"/>
      <c r="K7" s="120"/>
      <c r="L7" s="120"/>
      <c r="M7" s="121"/>
      <c r="N7" s="122"/>
    </row>
    <row r="8" spans="1:14" s="128" customFormat="1" x14ac:dyDescent="0.2">
      <c r="A8" s="123"/>
      <c r="B8" s="124" t="s">
        <v>59</v>
      </c>
      <c r="C8" s="125">
        <v>629653</v>
      </c>
      <c r="D8" s="126">
        <f>DATE(75,2,25)</f>
        <v>27450</v>
      </c>
      <c r="E8" s="127">
        <v>118642</v>
      </c>
      <c r="F8" s="127"/>
      <c r="G8" s="37">
        <f t="shared" ref="G8:G24" si="0">E8+F8-N8</f>
        <v>118642</v>
      </c>
      <c r="H8" s="52">
        <f t="shared" ref="H8:H24" si="1">ROUND((C8+F8)*5%,0)</f>
        <v>31483</v>
      </c>
      <c r="I8" s="37">
        <f t="shared" ref="I8:I24" si="2">E8-H8</f>
        <v>87159</v>
      </c>
      <c r="J8" s="121">
        <v>30</v>
      </c>
      <c r="K8" s="83">
        <f>($I$4-D8)/365</f>
        <v>46.123287671232873</v>
      </c>
      <c r="L8" s="37">
        <f t="shared" ref="L8:L24" si="3">J8-K8</f>
        <v>-16.123287671232873</v>
      </c>
      <c r="M8" s="84">
        <f t="shared" ref="M8:M24" si="4">IF(L8&gt;0,(1-(H8/(E8+F8))^(1/J8)),0)</f>
        <v>0</v>
      </c>
      <c r="N8" s="37">
        <f t="shared" ref="N8:N24" si="5">ROUND((E8+F8)*M8,0)</f>
        <v>0</v>
      </c>
    </row>
    <row r="9" spans="1:14" s="128" customFormat="1" x14ac:dyDescent="0.2">
      <c r="A9" s="123"/>
      <c r="B9" s="124" t="s">
        <v>60</v>
      </c>
      <c r="C9" s="125">
        <v>14500</v>
      </c>
      <c r="D9" s="126">
        <f>DATE(77,12,31)</f>
        <v>28490</v>
      </c>
      <c r="E9" s="127">
        <v>725</v>
      </c>
      <c r="F9" s="127"/>
      <c r="G9" s="37">
        <f t="shared" si="0"/>
        <v>725</v>
      </c>
      <c r="H9" s="52">
        <f t="shared" si="1"/>
        <v>725</v>
      </c>
      <c r="I9" s="37">
        <f t="shared" si="2"/>
        <v>0</v>
      </c>
      <c r="J9" s="121">
        <v>5</v>
      </c>
      <c r="K9" s="83">
        <f t="shared" ref="K9:K24" si="6">($I$4-D9)/365</f>
        <v>43.273972602739725</v>
      </c>
      <c r="L9" s="37">
        <f t="shared" si="3"/>
        <v>-38.273972602739725</v>
      </c>
      <c r="M9" s="84">
        <f t="shared" si="4"/>
        <v>0</v>
      </c>
      <c r="N9" s="37">
        <f t="shared" si="5"/>
        <v>0</v>
      </c>
    </row>
    <row r="10" spans="1:14" s="128" customFormat="1" x14ac:dyDescent="0.2">
      <c r="A10" s="123"/>
      <c r="B10" s="124" t="s">
        <v>61</v>
      </c>
      <c r="C10" s="125">
        <v>17988</v>
      </c>
      <c r="D10" s="126">
        <f>DATE(85,11,30)</f>
        <v>31381</v>
      </c>
      <c r="E10" s="127">
        <v>899</v>
      </c>
      <c r="F10" s="127"/>
      <c r="G10" s="37">
        <f t="shared" si="0"/>
        <v>899</v>
      </c>
      <c r="H10" s="52">
        <f t="shared" si="1"/>
        <v>899</v>
      </c>
      <c r="I10" s="37">
        <f t="shared" si="2"/>
        <v>0</v>
      </c>
      <c r="J10" s="121">
        <v>5</v>
      </c>
      <c r="K10" s="83">
        <f t="shared" si="6"/>
        <v>35.353424657534248</v>
      </c>
      <c r="L10" s="37">
        <f t="shared" si="3"/>
        <v>-30.353424657534248</v>
      </c>
      <c r="M10" s="84">
        <f t="shared" si="4"/>
        <v>0</v>
      </c>
      <c r="N10" s="37">
        <f t="shared" si="5"/>
        <v>0</v>
      </c>
    </row>
    <row r="11" spans="1:14" s="128" customFormat="1" x14ac:dyDescent="0.2">
      <c r="A11" s="123"/>
      <c r="B11" s="129" t="s">
        <v>62</v>
      </c>
      <c r="C11" s="125">
        <v>1737950</v>
      </c>
      <c r="D11" s="126">
        <v>38806</v>
      </c>
      <c r="E11" s="127">
        <v>839904</v>
      </c>
      <c r="F11" s="127"/>
      <c r="G11" s="37">
        <f t="shared" si="0"/>
        <v>778734</v>
      </c>
      <c r="H11" s="52">
        <f t="shared" si="1"/>
        <v>86898</v>
      </c>
      <c r="I11" s="37">
        <f t="shared" si="2"/>
        <v>753006</v>
      </c>
      <c r="J11" s="121">
        <v>30</v>
      </c>
      <c r="K11" s="83">
        <f t="shared" si="6"/>
        <v>15.010958904109589</v>
      </c>
      <c r="L11" s="37">
        <f t="shared" si="3"/>
        <v>14.989041095890411</v>
      </c>
      <c r="M11" s="84">
        <f t="shared" si="4"/>
        <v>7.2830070890735898E-2</v>
      </c>
      <c r="N11" s="37">
        <f t="shared" si="5"/>
        <v>61170</v>
      </c>
    </row>
    <row r="12" spans="1:14" s="128" customFormat="1" x14ac:dyDescent="0.2">
      <c r="A12" s="123"/>
      <c r="B12" s="124" t="s">
        <v>63</v>
      </c>
      <c r="C12" s="125">
        <v>447870</v>
      </c>
      <c r="D12" s="126">
        <v>38806</v>
      </c>
      <c r="E12" s="127">
        <v>216444</v>
      </c>
      <c r="F12" s="127"/>
      <c r="G12" s="37">
        <f t="shared" si="0"/>
        <v>200680</v>
      </c>
      <c r="H12" s="52">
        <f t="shared" si="1"/>
        <v>22394</v>
      </c>
      <c r="I12" s="37">
        <f t="shared" si="2"/>
        <v>194050</v>
      </c>
      <c r="J12" s="121">
        <v>30</v>
      </c>
      <c r="K12" s="83">
        <f t="shared" si="6"/>
        <v>15.010958904109589</v>
      </c>
      <c r="L12" s="37">
        <f t="shared" si="3"/>
        <v>14.989041095890411</v>
      </c>
      <c r="M12" s="84">
        <f t="shared" si="4"/>
        <v>7.2829644549868955E-2</v>
      </c>
      <c r="N12" s="37">
        <f t="shared" si="5"/>
        <v>15764</v>
      </c>
    </row>
    <row r="13" spans="1:14" s="128" customFormat="1" x14ac:dyDescent="0.2">
      <c r="A13" s="123"/>
      <c r="B13" s="124" t="s">
        <v>64</v>
      </c>
      <c r="C13" s="125">
        <v>118763</v>
      </c>
      <c r="D13" s="126">
        <v>38806</v>
      </c>
      <c r="E13" s="127">
        <v>57393</v>
      </c>
      <c r="F13" s="127"/>
      <c r="G13" s="37">
        <f t="shared" si="0"/>
        <v>53213</v>
      </c>
      <c r="H13" s="52">
        <f t="shared" si="1"/>
        <v>5938</v>
      </c>
      <c r="I13" s="37">
        <f t="shared" si="2"/>
        <v>51455</v>
      </c>
      <c r="J13" s="121">
        <v>30</v>
      </c>
      <c r="K13" s="83">
        <f t="shared" si="6"/>
        <v>15.010958904109589</v>
      </c>
      <c r="L13" s="37">
        <f t="shared" si="3"/>
        <v>14.989041095890411</v>
      </c>
      <c r="M13" s="84">
        <f t="shared" si="4"/>
        <v>7.2829990096606845E-2</v>
      </c>
      <c r="N13" s="37">
        <f t="shared" si="5"/>
        <v>4180</v>
      </c>
    </row>
    <row r="14" spans="1:14" s="128" customFormat="1" x14ac:dyDescent="0.2">
      <c r="A14" s="123"/>
      <c r="B14" s="124" t="s">
        <v>65</v>
      </c>
      <c r="C14" s="125">
        <v>402260</v>
      </c>
      <c r="D14" s="126">
        <v>38806</v>
      </c>
      <c r="E14" s="127">
        <v>244652</v>
      </c>
      <c r="F14" s="127"/>
      <c r="G14" s="37">
        <f t="shared" si="0"/>
        <v>234674</v>
      </c>
      <c r="H14" s="52">
        <f t="shared" si="1"/>
        <v>20113</v>
      </c>
      <c r="I14" s="37">
        <f t="shared" si="2"/>
        <v>224539</v>
      </c>
      <c r="J14" s="121">
        <v>60</v>
      </c>
      <c r="K14" s="83">
        <f t="shared" si="6"/>
        <v>15.010958904109589</v>
      </c>
      <c r="L14" s="37">
        <f t="shared" si="3"/>
        <v>44.989041095890414</v>
      </c>
      <c r="M14" s="84">
        <f t="shared" si="4"/>
        <v>4.0786089969928496E-2</v>
      </c>
      <c r="N14" s="37">
        <f t="shared" si="5"/>
        <v>9978</v>
      </c>
    </row>
    <row r="15" spans="1:14" s="128" customFormat="1" x14ac:dyDescent="0.2">
      <c r="A15" s="123"/>
      <c r="B15" s="129" t="s">
        <v>66</v>
      </c>
      <c r="C15" s="125">
        <v>46136</v>
      </c>
      <c r="D15" s="126">
        <v>38806</v>
      </c>
      <c r="E15" s="127">
        <v>2307</v>
      </c>
      <c r="F15" s="127"/>
      <c r="G15" s="37">
        <f t="shared" si="0"/>
        <v>2307</v>
      </c>
      <c r="H15" s="52">
        <f t="shared" si="1"/>
        <v>2307</v>
      </c>
      <c r="I15" s="37">
        <f t="shared" si="2"/>
        <v>0</v>
      </c>
      <c r="J15" s="121">
        <v>5</v>
      </c>
      <c r="K15" s="83">
        <f t="shared" si="6"/>
        <v>15.010958904109589</v>
      </c>
      <c r="L15" s="37">
        <f t="shared" si="3"/>
        <v>-10.010958904109589</v>
      </c>
      <c r="M15" s="84">
        <f t="shared" si="4"/>
        <v>0</v>
      </c>
      <c r="N15" s="37">
        <f t="shared" si="5"/>
        <v>0</v>
      </c>
    </row>
    <row r="16" spans="1:14" s="128" customFormat="1" x14ac:dyDescent="0.2">
      <c r="A16" s="123"/>
      <c r="B16" s="124" t="s">
        <v>67</v>
      </c>
      <c r="C16" s="125">
        <v>105176</v>
      </c>
      <c r="D16" s="126">
        <v>38806</v>
      </c>
      <c r="E16" s="127">
        <v>5259</v>
      </c>
      <c r="F16" s="127"/>
      <c r="G16" s="37">
        <f t="shared" si="0"/>
        <v>5259</v>
      </c>
      <c r="H16" s="52">
        <f t="shared" si="1"/>
        <v>5259</v>
      </c>
      <c r="I16" s="37">
        <f t="shared" si="2"/>
        <v>0</v>
      </c>
      <c r="J16" s="121">
        <v>5</v>
      </c>
      <c r="K16" s="83">
        <f t="shared" si="6"/>
        <v>15.010958904109589</v>
      </c>
      <c r="L16" s="37">
        <f t="shared" si="3"/>
        <v>-10.010958904109589</v>
      </c>
      <c r="M16" s="84">
        <f t="shared" si="4"/>
        <v>0</v>
      </c>
      <c r="N16" s="37">
        <f t="shared" si="5"/>
        <v>0</v>
      </c>
    </row>
    <row r="17" spans="1:16" s="116" customFormat="1" x14ac:dyDescent="0.2">
      <c r="A17" s="130"/>
      <c r="B17" s="79" t="s">
        <v>68</v>
      </c>
      <c r="C17" s="125">
        <v>271686</v>
      </c>
      <c r="D17" s="131">
        <v>38991</v>
      </c>
      <c r="E17" s="127">
        <v>13584</v>
      </c>
      <c r="F17" s="127"/>
      <c r="G17" s="37">
        <f t="shared" si="0"/>
        <v>13584</v>
      </c>
      <c r="H17" s="52">
        <f t="shared" si="1"/>
        <v>13584</v>
      </c>
      <c r="I17" s="37">
        <f t="shared" si="2"/>
        <v>0</v>
      </c>
      <c r="J17" s="121">
        <v>5</v>
      </c>
      <c r="K17" s="83">
        <f t="shared" si="6"/>
        <v>14.504109589041096</v>
      </c>
      <c r="L17" s="37">
        <f t="shared" si="3"/>
        <v>-9.5041095890410965</v>
      </c>
      <c r="M17" s="84">
        <f t="shared" si="4"/>
        <v>0</v>
      </c>
      <c r="N17" s="37">
        <f t="shared" si="5"/>
        <v>0</v>
      </c>
    </row>
    <row r="18" spans="1:16" s="116" customFormat="1" x14ac:dyDescent="0.2">
      <c r="A18" s="130"/>
      <c r="B18" s="79" t="s">
        <v>69</v>
      </c>
      <c r="C18" s="125">
        <v>248302</v>
      </c>
      <c r="D18" s="131">
        <v>38936</v>
      </c>
      <c r="E18" s="127">
        <v>12416</v>
      </c>
      <c r="G18" s="37">
        <f>E18-N18</f>
        <v>12416</v>
      </c>
      <c r="H18" s="52">
        <f>ROUND((C18+F25)*5%,0)</f>
        <v>12415</v>
      </c>
      <c r="I18" s="37">
        <f t="shared" si="2"/>
        <v>1</v>
      </c>
      <c r="J18" s="121">
        <v>5</v>
      </c>
      <c r="K18" s="83">
        <f t="shared" si="6"/>
        <v>14.654794520547945</v>
      </c>
      <c r="L18" s="37">
        <f t="shared" si="3"/>
        <v>-9.6547945205479451</v>
      </c>
      <c r="M18" s="84">
        <f t="shared" si="4"/>
        <v>0</v>
      </c>
      <c r="N18" s="37">
        <f t="shared" si="5"/>
        <v>0</v>
      </c>
    </row>
    <row r="19" spans="1:16" s="116" customFormat="1" x14ac:dyDescent="0.2">
      <c r="A19" s="130"/>
      <c r="B19" s="79" t="s">
        <v>70</v>
      </c>
      <c r="C19" s="125">
        <v>152260</v>
      </c>
      <c r="D19" s="131">
        <v>38945</v>
      </c>
      <c r="E19" s="127">
        <v>74795</v>
      </c>
      <c r="F19" s="127"/>
      <c r="G19" s="37">
        <f t="shared" si="0"/>
        <v>69310</v>
      </c>
      <c r="H19" s="52">
        <f t="shared" si="1"/>
        <v>7613</v>
      </c>
      <c r="I19" s="37">
        <f t="shared" si="2"/>
        <v>67182</v>
      </c>
      <c r="J19" s="121">
        <v>30</v>
      </c>
      <c r="K19" s="83">
        <f t="shared" si="6"/>
        <v>14.63013698630137</v>
      </c>
      <c r="L19" s="37">
        <f t="shared" si="3"/>
        <v>15.36986301369863</v>
      </c>
      <c r="M19" s="84">
        <f t="shared" si="4"/>
        <v>7.3334967247098315E-2</v>
      </c>
      <c r="N19" s="37">
        <f t="shared" si="5"/>
        <v>5485</v>
      </c>
    </row>
    <row r="20" spans="1:16" s="116" customFormat="1" x14ac:dyDescent="0.2">
      <c r="A20" s="130"/>
      <c r="B20" s="79" t="s">
        <v>71</v>
      </c>
      <c r="C20" s="125">
        <v>39502</v>
      </c>
      <c r="D20" s="131">
        <v>38888</v>
      </c>
      <c r="E20" s="127">
        <v>19277</v>
      </c>
      <c r="F20" s="127"/>
      <c r="G20" s="37">
        <f t="shared" si="0"/>
        <v>17867</v>
      </c>
      <c r="H20" s="52">
        <f t="shared" si="1"/>
        <v>1975</v>
      </c>
      <c r="I20" s="37">
        <f t="shared" si="2"/>
        <v>17302</v>
      </c>
      <c r="J20" s="121">
        <v>30</v>
      </c>
      <c r="K20" s="83">
        <f t="shared" si="6"/>
        <v>14.786301369863013</v>
      </c>
      <c r="L20" s="37">
        <f t="shared" si="3"/>
        <v>15.213698630136987</v>
      </c>
      <c r="M20" s="84">
        <f t="shared" si="4"/>
        <v>7.3132640333968935E-2</v>
      </c>
      <c r="N20" s="37">
        <f t="shared" si="5"/>
        <v>1410</v>
      </c>
    </row>
    <row r="21" spans="1:16" s="116" customFormat="1" x14ac:dyDescent="0.2">
      <c r="A21" s="130"/>
      <c r="B21" s="79" t="s">
        <v>64</v>
      </c>
      <c r="C21" s="125">
        <v>11200</v>
      </c>
      <c r="D21" s="131">
        <v>38830</v>
      </c>
      <c r="E21" s="127">
        <v>5545</v>
      </c>
      <c r="F21" s="127"/>
      <c r="G21" s="37">
        <f t="shared" si="0"/>
        <v>5137</v>
      </c>
      <c r="H21" s="52">
        <f t="shared" si="1"/>
        <v>560</v>
      </c>
      <c r="I21" s="37">
        <f t="shared" si="2"/>
        <v>4985</v>
      </c>
      <c r="J21" s="121">
        <v>30</v>
      </c>
      <c r="K21" s="83">
        <f t="shared" si="6"/>
        <v>14.945205479452055</v>
      </c>
      <c r="L21" s="37">
        <f t="shared" si="3"/>
        <v>15.054794520547945</v>
      </c>
      <c r="M21" s="84">
        <f t="shared" si="4"/>
        <v>7.3576529394295043E-2</v>
      </c>
      <c r="N21" s="37">
        <f t="shared" si="5"/>
        <v>408</v>
      </c>
    </row>
    <row r="22" spans="1:16" s="116" customFormat="1" x14ac:dyDescent="0.2">
      <c r="A22" s="130"/>
      <c r="B22" s="132" t="s">
        <v>72</v>
      </c>
      <c r="C22" s="125">
        <v>1336475</v>
      </c>
      <c r="D22" s="131">
        <v>39462</v>
      </c>
      <c r="E22" s="127">
        <v>723892</v>
      </c>
      <c r="F22" s="127"/>
      <c r="G22" s="37">
        <f t="shared" si="0"/>
        <v>668625</v>
      </c>
      <c r="H22" s="52">
        <f t="shared" si="1"/>
        <v>66824</v>
      </c>
      <c r="I22" s="37">
        <f t="shared" si="2"/>
        <v>657068</v>
      </c>
      <c r="J22" s="121">
        <v>30</v>
      </c>
      <c r="K22" s="83">
        <f t="shared" si="6"/>
        <v>13.213698630136987</v>
      </c>
      <c r="L22" s="37">
        <f t="shared" si="3"/>
        <v>16.786301369863011</v>
      </c>
      <c r="M22" s="84">
        <f t="shared" si="4"/>
        <v>7.634747237319095E-2</v>
      </c>
      <c r="N22" s="37">
        <f t="shared" si="5"/>
        <v>55267</v>
      </c>
    </row>
    <row r="23" spans="1:16" s="116" customFormat="1" x14ac:dyDescent="0.2">
      <c r="A23" s="130"/>
      <c r="B23" s="79" t="s">
        <v>27</v>
      </c>
      <c r="C23" s="125">
        <v>273934</v>
      </c>
      <c r="D23" s="131">
        <v>40268</v>
      </c>
      <c r="E23" s="127">
        <v>163969</v>
      </c>
      <c r="F23" s="127"/>
      <c r="G23" s="37">
        <f t="shared" si="0"/>
        <v>150947</v>
      </c>
      <c r="H23" s="52">
        <f t="shared" si="1"/>
        <v>13697</v>
      </c>
      <c r="I23" s="37">
        <f t="shared" si="2"/>
        <v>150272</v>
      </c>
      <c r="J23" s="121">
        <v>30</v>
      </c>
      <c r="K23" s="83">
        <f t="shared" si="6"/>
        <v>11.005479452054795</v>
      </c>
      <c r="L23" s="37">
        <f t="shared" si="3"/>
        <v>18.994520547945207</v>
      </c>
      <c r="M23" s="84">
        <f t="shared" si="4"/>
        <v>7.9418753254742791E-2</v>
      </c>
      <c r="N23" s="37">
        <f t="shared" si="5"/>
        <v>13022</v>
      </c>
      <c r="P23" s="332"/>
    </row>
    <row r="24" spans="1:16" s="116" customFormat="1" x14ac:dyDescent="0.2">
      <c r="A24" s="130"/>
      <c r="B24" s="79" t="s">
        <v>30</v>
      </c>
      <c r="C24" s="125">
        <v>2221490</v>
      </c>
      <c r="D24" s="131">
        <v>41135</v>
      </c>
      <c r="E24" s="127">
        <v>1445663</v>
      </c>
      <c r="F24" s="127"/>
      <c r="G24" s="37">
        <f t="shared" si="0"/>
        <v>1327146</v>
      </c>
      <c r="H24" s="52">
        <f t="shared" si="1"/>
        <v>111075</v>
      </c>
      <c r="I24" s="37">
        <f t="shared" si="2"/>
        <v>1334588</v>
      </c>
      <c r="J24" s="121">
        <v>30</v>
      </c>
      <c r="K24" s="83">
        <f t="shared" si="6"/>
        <v>8.6301369863013697</v>
      </c>
      <c r="L24" s="37">
        <f t="shared" si="3"/>
        <v>21.36986301369863</v>
      </c>
      <c r="M24" s="84">
        <f t="shared" si="4"/>
        <v>8.1981058991422384E-2</v>
      </c>
      <c r="N24" s="37">
        <f t="shared" si="5"/>
        <v>118517</v>
      </c>
    </row>
    <row r="25" spans="1:16" s="128" customFormat="1" x14ac:dyDescent="0.2">
      <c r="A25" s="123"/>
      <c r="B25" s="79"/>
      <c r="C25" s="125"/>
      <c r="D25" s="126"/>
      <c r="E25" s="127"/>
      <c r="F25" s="127"/>
      <c r="G25" s="37"/>
      <c r="H25" s="52"/>
      <c r="I25" s="37"/>
      <c r="J25" s="121"/>
      <c r="K25" s="83"/>
      <c r="L25" s="37"/>
      <c r="M25" s="84"/>
      <c r="N25" s="37"/>
      <c r="P25" s="305"/>
    </row>
    <row r="26" spans="1:16" s="116" customFormat="1" x14ac:dyDescent="0.2">
      <c r="A26" s="130"/>
      <c r="B26" s="79"/>
      <c r="C26" s="125"/>
      <c r="D26" s="131"/>
      <c r="E26" s="125"/>
      <c r="F26" s="125"/>
      <c r="G26" s="125"/>
      <c r="H26" s="125"/>
      <c r="I26" s="125"/>
      <c r="J26" s="121"/>
      <c r="K26" s="131"/>
      <c r="L26" s="131"/>
      <c r="M26" s="121"/>
      <c r="N26" s="122"/>
    </row>
    <row r="27" spans="1:16" s="116" customFormat="1" x14ac:dyDescent="0.2">
      <c r="A27" s="133" t="s">
        <v>73</v>
      </c>
      <c r="B27" s="134"/>
      <c r="C27" s="135">
        <f>SUM(C7:C26)</f>
        <v>8075145</v>
      </c>
      <c r="D27" s="136"/>
      <c r="E27" s="135">
        <f>SUM(E7:E26)</f>
        <v>3945366</v>
      </c>
      <c r="F27" s="135">
        <f>SUM(F7:F26)</f>
        <v>0</v>
      </c>
      <c r="G27" s="135">
        <f>SUM(G7:G26)</f>
        <v>3660165</v>
      </c>
      <c r="H27" s="135">
        <f>SUM(H7:H26)</f>
        <v>403759</v>
      </c>
      <c r="I27" s="135">
        <f>SUM(I7:I26)</f>
        <v>3541607</v>
      </c>
      <c r="J27" s="137"/>
      <c r="K27" s="136"/>
      <c r="L27" s="136"/>
      <c r="M27" s="137"/>
      <c r="N27" s="135">
        <f>SUM(N7:N26)</f>
        <v>285201</v>
      </c>
    </row>
    <row r="28" spans="1:16" s="116" customFormat="1" x14ac:dyDescent="0.2">
      <c r="A28" s="130"/>
      <c r="B28" s="138"/>
      <c r="C28" s="139"/>
      <c r="D28" s="140"/>
      <c r="E28" s="139"/>
      <c r="F28" s="139"/>
      <c r="G28" s="139"/>
      <c r="H28" s="139"/>
      <c r="I28" s="139"/>
      <c r="J28" s="141"/>
      <c r="K28" s="140"/>
      <c r="L28" s="140"/>
      <c r="M28" s="141"/>
      <c r="N28" s="141"/>
      <c r="P28" s="331"/>
    </row>
    <row r="29" spans="1:16" s="116" customFormat="1" x14ac:dyDescent="0.2">
      <c r="A29" s="130">
        <v>2</v>
      </c>
      <c r="B29" s="142" t="s">
        <v>74</v>
      </c>
      <c r="C29" s="125"/>
      <c r="D29" s="143"/>
      <c r="E29" s="125"/>
      <c r="F29" s="125"/>
      <c r="G29" s="125"/>
      <c r="H29" s="125"/>
      <c r="I29" s="125"/>
      <c r="J29" s="121"/>
      <c r="K29" s="143"/>
      <c r="L29" s="143"/>
      <c r="M29" s="121"/>
      <c r="N29" s="122"/>
    </row>
    <row r="30" spans="1:16" s="116" customFormat="1" x14ac:dyDescent="0.2">
      <c r="A30" s="130"/>
      <c r="B30" s="79" t="s">
        <v>75</v>
      </c>
      <c r="C30" s="82">
        <v>283600</v>
      </c>
      <c r="D30" s="131">
        <f>DATE(95,1,2)</f>
        <v>34701</v>
      </c>
      <c r="E30" s="144">
        <v>157655</v>
      </c>
      <c r="F30" s="144"/>
      <c r="G30" s="37">
        <f t="shared" ref="G30:G43" si="7">E30+F30-N30</f>
        <v>151452</v>
      </c>
      <c r="H30" s="52">
        <f>ROUND((C30+F30)*5%,0)</f>
        <v>14180</v>
      </c>
      <c r="I30" s="37">
        <f t="shared" ref="I30:I43" si="8">E30-H30</f>
        <v>143475</v>
      </c>
      <c r="J30" s="121">
        <v>60</v>
      </c>
      <c r="K30" s="83">
        <f t="shared" ref="K30:K43" si="9">($I$4-D30)/365</f>
        <v>26.257534246575343</v>
      </c>
      <c r="L30" s="37">
        <f t="shared" ref="L30:L43" si="10">J30-K30</f>
        <v>33.742465753424653</v>
      </c>
      <c r="M30" s="84">
        <f t="shared" ref="M30:M43" si="11">IF(L30&gt;0,(1-(H30/(E30+F30))^(1/J30)),0)</f>
        <v>3.9347889160551319E-2</v>
      </c>
      <c r="N30" s="37">
        <f t="shared" ref="N30:N43" si="12">ROUND((E30+F30)*M30,0)</f>
        <v>6203</v>
      </c>
    </row>
    <row r="31" spans="1:16" s="116" customFormat="1" x14ac:dyDescent="0.2">
      <c r="A31" s="130"/>
      <c r="B31" s="79" t="s">
        <v>75</v>
      </c>
      <c r="C31" s="82">
        <v>29220</v>
      </c>
      <c r="D31" s="131">
        <f>DATE(95,4,5)</f>
        <v>34794</v>
      </c>
      <c r="E31" s="144">
        <v>16344</v>
      </c>
      <c r="F31" s="144"/>
      <c r="G31" s="37">
        <f t="shared" si="7"/>
        <v>15699</v>
      </c>
      <c r="H31" s="52">
        <f t="shared" ref="H31:H43" si="13">ROUND((C31+F31)*5%,0)</f>
        <v>1461</v>
      </c>
      <c r="I31" s="37">
        <f t="shared" si="8"/>
        <v>14883</v>
      </c>
      <c r="J31" s="121">
        <v>60</v>
      </c>
      <c r="K31" s="83">
        <f t="shared" si="9"/>
        <v>26.002739726027396</v>
      </c>
      <c r="L31" s="37">
        <f t="shared" si="10"/>
        <v>33.9972602739726</v>
      </c>
      <c r="M31" s="84">
        <f t="shared" si="11"/>
        <v>3.9446561389509638E-2</v>
      </c>
      <c r="N31" s="37">
        <f t="shared" si="12"/>
        <v>645</v>
      </c>
    </row>
    <row r="32" spans="1:16" s="116" customFormat="1" x14ac:dyDescent="0.2">
      <c r="A32" s="130"/>
      <c r="B32" s="79" t="s">
        <v>76</v>
      </c>
      <c r="C32" s="82">
        <v>424734</v>
      </c>
      <c r="D32" s="131">
        <f>DATE(95,12,1)</f>
        <v>35034</v>
      </c>
      <c r="E32" s="144">
        <v>241809</v>
      </c>
      <c r="F32" s="144"/>
      <c r="G32" s="37">
        <f t="shared" si="7"/>
        <v>232202</v>
      </c>
      <c r="H32" s="52">
        <f t="shared" si="13"/>
        <v>21237</v>
      </c>
      <c r="I32" s="37">
        <f t="shared" si="8"/>
        <v>220572</v>
      </c>
      <c r="J32" s="121">
        <v>60</v>
      </c>
      <c r="K32" s="83">
        <f t="shared" si="9"/>
        <v>25.345205479452055</v>
      </c>
      <c r="L32" s="37">
        <f t="shared" si="10"/>
        <v>34.654794520547945</v>
      </c>
      <c r="M32" s="84">
        <f t="shared" si="11"/>
        <v>3.9729298539380675E-2</v>
      </c>
      <c r="N32" s="37">
        <f t="shared" si="12"/>
        <v>9607</v>
      </c>
    </row>
    <row r="33" spans="1:14" s="116" customFormat="1" x14ac:dyDescent="0.2">
      <c r="A33" s="130"/>
      <c r="B33" s="79" t="s">
        <v>77</v>
      </c>
      <c r="C33" s="82">
        <v>401241</v>
      </c>
      <c r="D33" s="131">
        <f>DATE(95,8,1)</f>
        <v>34912</v>
      </c>
      <c r="E33" s="144">
        <v>226036</v>
      </c>
      <c r="F33" s="144"/>
      <c r="G33" s="37">
        <f t="shared" si="7"/>
        <v>217094</v>
      </c>
      <c r="H33" s="52">
        <f t="shared" si="13"/>
        <v>20062</v>
      </c>
      <c r="I33" s="37">
        <f t="shared" si="8"/>
        <v>205974</v>
      </c>
      <c r="J33" s="121">
        <v>60</v>
      </c>
      <c r="K33" s="83">
        <f t="shared" si="9"/>
        <v>25.67945205479452</v>
      </c>
      <c r="L33" s="37">
        <f t="shared" si="10"/>
        <v>34.320547945205476</v>
      </c>
      <c r="M33" s="84">
        <f t="shared" si="11"/>
        <v>3.9560653559782222E-2</v>
      </c>
      <c r="N33" s="37">
        <f t="shared" si="12"/>
        <v>8942</v>
      </c>
    </row>
    <row r="34" spans="1:14" s="116" customFormat="1" x14ac:dyDescent="0.2">
      <c r="A34" s="130"/>
      <c r="B34" s="79" t="s">
        <v>78</v>
      </c>
      <c r="C34" s="82">
        <v>2553608</v>
      </c>
      <c r="D34" s="131">
        <f>DATE(97,9,12)</f>
        <v>35685</v>
      </c>
      <c r="E34" s="144">
        <v>127681</v>
      </c>
      <c r="F34" s="144"/>
      <c r="G34" s="37">
        <f t="shared" si="7"/>
        <v>127681</v>
      </c>
      <c r="H34" s="52">
        <f t="shared" si="13"/>
        <v>127680</v>
      </c>
      <c r="I34" s="37">
        <f t="shared" si="8"/>
        <v>1</v>
      </c>
      <c r="J34" s="121">
        <v>5</v>
      </c>
      <c r="K34" s="83">
        <f t="shared" si="9"/>
        <v>23.561643835616437</v>
      </c>
      <c r="L34" s="37">
        <f t="shared" si="10"/>
        <v>-18.561643835616437</v>
      </c>
      <c r="M34" s="84">
        <f t="shared" si="11"/>
        <v>0</v>
      </c>
      <c r="N34" s="37">
        <f t="shared" si="12"/>
        <v>0</v>
      </c>
    </row>
    <row r="35" spans="1:14" s="116" customFormat="1" x14ac:dyDescent="0.2">
      <c r="A35" s="130"/>
      <c r="B35" s="132" t="s">
        <v>79</v>
      </c>
      <c r="C35" s="82">
        <v>603391</v>
      </c>
      <c r="D35" s="131">
        <v>38806</v>
      </c>
      <c r="E35" s="144">
        <v>433823</v>
      </c>
      <c r="F35" s="144"/>
      <c r="G35" s="37">
        <f t="shared" si="7"/>
        <v>414970</v>
      </c>
      <c r="H35" s="52">
        <f t="shared" si="13"/>
        <v>30170</v>
      </c>
      <c r="I35" s="37">
        <f t="shared" si="8"/>
        <v>403653</v>
      </c>
      <c r="J35" s="121">
        <v>60</v>
      </c>
      <c r="K35" s="83">
        <f t="shared" si="9"/>
        <v>15.010958904109589</v>
      </c>
      <c r="L35" s="37">
        <f t="shared" si="10"/>
        <v>44.989041095890414</v>
      </c>
      <c r="M35" s="84">
        <f t="shared" si="11"/>
        <v>4.3457261948202652E-2</v>
      </c>
      <c r="N35" s="37">
        <f t="shared" si="12"/>
        <v>18853</v>
      </c>
    </row>
    <row r="36" spans="1:14" s="116" customFormat="1" x14ac:dyDescent="0.2">
      <c r="A36" s="130"/>
      <c r="B36" s="79" t="s">
        <v>80</v>
      </c>
      <c r="C36" s="145">
        <v>23637</v>
      </c>
      <c r="D36" s="131">
        <v>39513</v>
      </c>
      <c r="E36" s="144">
        <v>17661</v>
      </c>
      <c r="F36" s="144"/>
      <c r="G36" s="37">
        <f t="shared" si="7"/>
        <v>16883</v>
      </c>
      <c r="H36" s="52">
        <f t="shared" si="13"/>
        <v>1182</v>
      </c>
      <c r="I36" s="37">
        <f t="shared" si="8"/>
        <v>16479</v>
      </c>
      <c r="J36" s="121">
        <v>60</v>
      </c>
      <c r="K36" s="83">
        <f t="shared" si="9"/>
        <v>13.073972602739726</v>
      </c>
      <c r="L36" s="37">
        <f t="shared" si="10"/>
        <v>46.92602739726027</v>
      </c>
      <c r="M36" s="84">
        <f t="shared" si="11"/>
        <v>4.4068653374027544E-2</v>
      </c>
      <c r="N36" s="37">
        <f t="shared" si="12"/>
        <v>778</v>
      </c>
    </row>
    <row r="37" spans="1:14" s="116" customFormat="1" x14ac:dyDescent="0.2">
      <c r="A37" s="130"/>
      <c r="B37" s="79" t="s">
        <v>81</v>
      </c>
      <c r="C37" s="82">
        <v>73407</v>
      </c>
      <c r="D37" s="131">
        <v>38806</v>
      </c>
      <c r="E37" s="144">
        <v>52774</v>
      </c>
      <c r="F37" s="144"/>
      <c r="G37" s="37">
        <f t="shared" si="7"/>
        <v>50481</v>
      </c>
      <c r="H37" s="52">
        <f t="shared" si="13"/>
        <v>3670</v>
      </c>
      <c r="I37" s="37">
        <f t="shared" si="8"/>
        <v>49104</v>
      </c>
      <c r="J37" s="121">
        <v>60</v>
      </c>
      <c r="K37" s="83">
        <f t="shared" si="9"/>
        <v>15.010958904109589</v>
      </c>
      <c r="L37" s="37">
        <f t="shared" si="10"/>
        <v>44.989041095890414</v>
      </c>
      <c r="M37" s="84">
        <f t="shared" si="11"/>
        <v>4.3457874445941513E-2</v>
      </c>
      <c r="N37" s="37">
        <f t="shared" si="12"/>
        <v>2293</v>
      </c>
    </row>
    <row r="38" spans="1:14" s="116" customFormat="1" x14ac:dyDescent="0.2">
      <c r="A38" s="130"/>
      <c r="B38" s="79" t="s">
        <v>82</v>
      </c>
      <c r="C38" s="82">
        <v>103554</v>
      </c>
      <c r="D38" s="131">
        <v>38806</v>
      </c>
      <c r="E38" s="144">
        <v>74452</v>
      </c>
      <c r="F38" s="144"/>
      <c r="G38" s="37">
        <f t="shared" si="7"/>
        <v>71217</v>
      </c>
      <c r="H38" s="52">
        <f t="shared" si="13"/>
        <v>5178</v>
      </c>
      <c r="I38" s="37">
        <f t="shared" si="8"/>
        <v>69274</v>
      </c>
      <c r="J38" s="121">
        <v>60</v>
      </c>
      <c r="K38" s="83">
        <f t="shared" si="9"/>
        <v>15.010958904109589</v>
      </c>
      <c r="L38" s="37">
        <f t="shared" si="10"/>
        <v>44.989041095890414</v>
      </c>
      <c r="M38" s="84">
        <f t="shared" si="11"/>
        <v>4.3456419830971038E-2</v>
      </c>
      <c r="N38" s="37">
        <f t="shared" si="12"/>
        <v>3235</v>
      </c>
    </row>
    <row r="39" spans="1:14" s="116" customFormat="1" x14ac:dyDescent="0.2">
      <c r="A39" s="130"/>
      <c r="B39" s="79" t="s">
        <v>78</v>
      </c>
      <c r="C39" s="82">
        <v>861551</v>
      </c>
      <c r="D39" s="131">
        <v>39141</v>
      </c>
      <c r="E39" s="144">
        <v>43078</v>
      </c>
      <c r="F39" s="144"/>
      <c r="G39" s="37">
        <f t="shared" si="7"/>
        <v>43078</v>
      </c>
      <c r="H39" s="52">
        <f t="shared" si="13"/>
        <v>43078</v>
      </c>
      <c r="I39" s="37">
        <f t="shared" si="8"/>
        <v>0</v>
      </c>
      <c r="J39" s="121">
        <v>5</v>
      </c>
      <c r="K39" s="83">
        <f t="shared" si="9"/>
        <v>14.093150684931507</v>
      </c>
      <c r="L39" s="37">
        <f t="shared" si="10"/>
        <v>-9.0931506849315067</v>
      </c>
      <c r="M39" s="84">
        <f t="shared" si="11"/>
        <v>0</v>
      </c>
      <c r="N39" s="37">
        <f t="shared" si="12"/>
        <v>0</v>
      </c>
    </row>
    <row r="40" spans="1:14" s="116" customFormat="1" x14ac:dyDescent="0.2">
      <c r="A40" s="130"/>
      <c r="B40" s="146" t="s">
        <v>83</v>
      </c>
      <c r="C40" s="125">
        <v>3930630</v>
      </c>
      <c r="D40" s="126">
        <v>43165</v>
      </c>
      <c r="E40" s="144">
        <v>3497145</v>
      </c>
      <c r="F40" s="144"/>
      <c r="G40" s="37">
        <f t="shared" si="7"/>
        <v>3333309</v>
      </c>
      <c r="H40" s="52">
        <f t="shared" si="13"/>
        <v>196532</v>
      </c>
      <c r="I40" s="37">
        <f t="shared" si="8"/>
        <v>3300613</v>
      </c>
      <c r="J40" s="121">
        <v>60</v>
      </c>
      <c r="K40" s="83">
        <f t="shared" si="9"/>
        <v>3.0684931506849313</v>
      </c>
      <c r="L40" s="37">
        <f t="shared" si="10"/>
        <v>56.93150684931507</v>
      </c>
      <c r="M40" s="84">
        <f t="shared" si="11"/>
        <v>4.6848372194159493E-2</v>
      </c>
      <c r="N40" s="37">
        <f t="shared" si="12"/>
        <v>163836</v>
      </c>
    </row>
    <row r="41" spans="1:14" s="116" customFormat="1" x14ac:dyDescent="0.2">
      <c r="A41" s="130"/>
      <c r="B41" s="146" t="s">
        <v>84</v>
      </c>
      <c r="C41" s="125">
        <v>795883</v>
      </c>
      <c r="D41" s="126">
        <v>43174</v>
      </c>
      <c r="E41" s="144">
        <v>708654</v>
      </c>
      <c r="F41" s="144"/>
      <c r="G41" s="37">
        <f t="shared" si="7"/>
        <v>675446</v>
      </c>
      <c r="H41" s="52">
        <f t="shared" si="13"/>
        <v>39794</v>
      </c>
      <c r="I41" s="37">
        <f t="shared" si="8"/>
        <v>668860</v>
      </c>
      <c r="J41" s="121">
        <v>60</v>
      </c>
      <c r="K41" s="83">
        <f t="shared" si="9"/>
        <v>3.043835616438356</v>
      </c>
      <c r="L41" s="37">
        <f t="shared" si="10"/>
        <v>56.956164383561642</v>
      </c>
      <c r="M41" s="84">
        <f t="shared" si="11"/>
        <v>4.6860672799979075E-2</v>
      </c>
      <c r="N41" s="37">
        <f t="shared" si="12"/>
        <v>33208</v>
      </c>
    </row>
    <row r="42" spans="1:14" s="116" customFormat="1" x14ac:dyDescent="0.2">
      <c r="A42" s="130"/>
      <c r="B42" s="147" t="s">
        <v>85</v>
      </c>
      <c r="C42" s="125">
        <v>362434</v>
      </c>
      <c r="D42" s="126">
        <v>43153</v>
      </c>
      <c r="E42" s="144">
        <v>322133</v>
      </c>
      <c r="F42" s="144"/>
      <c r="G42" s="37">
        <f t="shared" si="7"/>
        <v>307047</v>
      </c>
      <c r="H42" s="52">
        <f t="shared" si="13"/>
        <v>18122</v>
      </c>
      <c r="I42" s="37">
        <f t="shared" si="8"/>
        <v>304011</v>
      </c>
      <c r="J42" s="121">
        <v>60</v>
      </c>
      <c r="K42" s="83">
        <f t="shared" si="9"/>
        <v>3.1013698630136988</v>
      </c>
      <c r="L42" s="37">
        <f t="shared" si="10"/>
        <v>56.898630136986299</v>
      </c>
      <c r="M42" s="84">
        <f t="shared" si="11"/>
        <v>4.683186507826087E-2</v>
      </c>
      <c r="N42" s="37">
        <f t="shared" si="12"/>
        <v>15086</v>
      </c>
    </row>
    <row r="43" spans="1:14" s="116" customFormat="1" x14ac:dyDescent="0.2">
      <c r="A43" s="130"/>
      <c r="B43" s="148" t="s">
        <v>33</v>
      </c>
      <c r="C43" s="125">
        <v>561404</v>
      </c>
      <c r="D43" s="114">
        <v>43555</v>
      </c>
      <c r="E43" s="125">
        <v>508475</v>
      </c>
      <c r="F43" s="125"/>
      <c r="G43" s="37">
        <f t="shared" si="7"/>
        <v>484510</v>
      </c>
      <c r="H43" s="52">
        <f t="shared" si="13"/>
        <v>28070</v>
      </c>
      <c r="I43" s="37">
        <f t="shared" si="8"/>
        <v>480405</v>
      </c>
      <c r="J43" s="121">
        <v>60</v>
      </c>
      <c r="K43" s="83">
        <f t="shared" si="9"/>
        <v>2</v>
      </c>
      <c r="L43" s="37">
        <f t="shared" si="10"/>
        <v>58</v>
      </c>
      <c r="M43" s="84">
        <f t="shared" si="11"/>
        <v>4.713169772333492E-2</v>
      </c>
      <c r="N43" s="37">
        <f t="shared" si="12"/>
        <v>23965</v>
      </c>
    </row>
    <row r="44" spans="1:14" s="116" customFormat="1" x14ac:dyDescent="0.2">
      <c r="A44" s="133" t="s">
        <v>86</v>
      </c>
      <c r="B44" s="134"/>
      <c r="C44" s="135">
        <f>SUM(C29:C43)</f>
        <v>11008294</v>
      </c>
      <c r="D44" s="135"/>
      <c r="E44" s="135">
        <f>SUM(E29:E43)</f>
        <v>6427720</v>
      </c>
      <c r="F44" s="135">
        <f>SUM(F29:F43)</f>
        <v>0</v>
      </c>
      <c r="G44" s="135">
        <f>SUM(G29:G43)</f>
        <v>6141069</v>
      </c>
      <c r="H44" s="135">
        <f>SUM(H29:H43)</f>
        <v>550416</v>
      </c>
      <c r="I44" s="135">
        <f>SUM(I29:I43)</f>
        <v>5877304</v>
      </c>
      <c r="J44" s="136"/>
      <c r="K44" s="136"/>
      <c r="L44" s="136"/>
      <c r="M44" s="137"/>
      <c r="N44" s="135">
        <f>SUM(N29:N43)</f>
        <v>286651</v>
      </c>
    </row>
    <row r="45" spans="1:14" s="116" customFormat="1" x14ac:dyDescent="0.2">
      <c r="A45" s="149" t="s">
        <v>87</v>
      </c>
      <c r="B45" s="88"/>
      <c r="C45" s="59">
        <f t="shared" ref="C45:I45" si="14">C44+C27</f>
        <v>19083439</v>
      </c>
      <c r="D45" s="59"/>
      <c r="E45" s="59">
        <f t="shared" si="14"/>
        <v>10373086</v>
      </c>
      <c r="F45" s="59">
        <f t="shared" si="14"/>
        <v>0</v>
      </c>
      <c r="G45" s="59">
        <f t="shared" si="14"/>
        <v>9801234</v>
      </c>
      <c r="H45" s="59">
        <f t="shared" si="14"/>
        <v>954175</v>
      </c>
      <c r="I45" s="59">
        <f t="shared" si="14"/>
        <v>9418911</v>
      </c>
      <c r="J45" s="88"/>
      <c r="K45" s="88"/>
      <c r="L45" s="88"/>
      <c r="M45" s="88"/>
      <c r="N45" s="59">
        <f t="shared" ref="N45" si="15">N44+N27</f>
        <v>571852</v>
      </c>
    </row>
    <row r="46" spans="1:14" s="116" customFormat="1" x14ac:dyDescent="0.2">
      <c r="A46" s="150"/>
      <c r="B46" s="96"/>
      <c r="C46" s="151"/>
      <c r="D46" s="151"/>
      <c r="E46" s="151"/>
      <c r="F46" s="151"/>
      <c r="G46" s="151"/>
      <c r="H46" s="151"/>
      <c r="I46" s="151"/>
      <c r="J46" s="152"/>
      <c r="K46" s="152"/>
      <c r="L46" s="152"/>
      <c r="M46" s="153"/>
      <c r="N46" s="153"/>
    </row>
  </sheetData>
  <mergeCells count="1">
    <mergeCell ref="A1:C1"/>
  </mergeCells>
  <printOptions horizontalCentered="1" gridLines="1"/>
  <pageMargins left="0.19685039370078741" right="0.23622047244094491" top="0.45" bottom="0.51181102362204722" header="0.23622047244094491" footer="0.51181102362204722"/>
  <pageSetup scale="74" orientation="landscape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autoPageBreaks="0"/>
  </sheetPr>
  <dimension ref="A1:P194"/>
  <sheetViews>
    <sheetView view="pageBreakPreview" zoomScaleNormal="100" zoomScaleSheetLayoutView="100" workbookViewId="0">
      <pane xSplit="2" ySplit="5" topLeftCell="C180" activePane="bottomRight" state="frozen"/>
      <selection activeCell="B1" sqref="B1"/>
      <selection pane="topRight" activeCell="E1" sqref="E1"/>
      <selection pane="bottomLeft" activeCell="B8" sqref="B8"/>
      <selection pane="bottomRight" activeCell="O192" sqref="O192"/>
    </sheetView>
  </sheetViews>
  <sheetFormatPr defaultRowHeight="12.75" x14ac:dyDescent="0.2"/>
  <cols>
    <col min="1" max="1" width="0.5703125" style="76" customWidth="1"/>
    <col min="2" max="2" width="32" style="76" customWidth="1"/>
    <col min="3" max="3" width="13.85546875" style="170" customWidth="1"/>
    <col min="4" max="4" width="10.85546875" style="170" customWidth="1"/>
    <col min="5" max="7" width="11.28515625" style="170" customWidth="1"/>
    <col min="8" max="8" width="12.85546875" style="170" customWidth="1"/>
    <col min="9" max="9" width="11" style="170" customWidth="1"/>
    <col min="10" max="10" width="11.28515625" style="170" customWidth="1"/>
    <col min="11" max="11" width="9" style="170" customWidth="1"/>
    <col min="12" max="12" width="8.28515625" style="170" customWidth="1"/>
    <col min="13" max="13" width="15.85546875" style="189" bestFit="1" customWidth="1"/>
    <col min="14" max="14" width="17.140625" style="170" bestFit="1" customWidth="1"/>
    <col min="15" max="16" width="11.28515625" style="76" bestFit="1" customWidth="1"/>
    <col min="17" max="16384" width="9.140625" style="76"/>
  </cols>
  <sheetData>
    <row r="1" spans="1:16" s="155" customFormat="1" x14ac:dyDescent="0.2">
      <c r="C1" s="156"/>
      <c r="D1" s="156"/>
      <c r="E1" s="156"/>
      <c r="F1" s="156"/>
      <c r="G1" s="156"/>
      <c r="H1" s="156"/>
      <c r="I1" s="156"/>
      <c r="J1" s="157">
        <v>44286</v>
      </c>
      <c r="K1" s="156"/>
      <c r="L1" s="156"/>
      <c r="M1" s="158"/>
      <c r="N1" s="156"/>
      <c r="P1" s="159"/>
    </row>
    <row r="2" spans="1:16" x14ac:dyDescent="0.2">
      <c r="A2" s="70"/>
      <c r="B2" s="77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1"/>
      <c r="N2" s="160"/>
    </row>
    <row r="3" spans="1:16" ht="51" x14ac:dyDescent="0.2">
      <c r="A3" s="70" t="s">
        <v>88</v>
      </c>
      <c r="B3" s="162" t="s">
        <v>35</v>
      </c>
      <c r="C3" s="106" t="s">
        <v>36</v>
      </c>
      <c r="D3" s="107" t="s">
        <v>37</v>
      </c>
      <c r="E3" s="106" t="s">
        <v>541</v>
      </c>
      <c r="F3" s="107" t="s">
        <v>38</v>
      </c>
      <c r="G3" s="106" t="s">
        <v>570</v>
      </c>
      <c r="H3" s="106" t="s">
        <v>39</v>
      </c>
      <c r="I3" s="106" t="s">
        <v>40</v>
      </c>
      <c r="J3" s="108" t="s">
        <v>41</v>
      </c>
      <c r="K3" s="108" t="s">
        <v>42</v>
      </c>
      <c r="L3" s="108" t="s">
        <v>43</v>
      </c>
      <c r="M3" s="109" t="s">
        <v>44</v>
      </c>
      <c r="N3" s="386" t="s">
        <v>45</v>
      </c>
      <c r="O3" s="93" t="s">
        <v>578</v>
      </c>
      <c r="P3" s="163"/>
    </row>
    <row r="4" spans="1:16" ht="15" customHeight="1" x14ac:dyDescent="0.2">
      <c r="A4" s="164" t="s">
        <v>89</v>
      </c>
      <c r="B4" s="75" t="s">
        <v>90</v>
      </c>
      <c r="C4" s="37"/>
      <c r="D4" s="165"/>
      <c r="E4" s="37"/>
      <c r="F4" s="37"/>
      <c r="G4" s="37"/>
      <c r="H4" s="37"/>
      <c r="I4" s="37"/>
      <c r="J4" s="37"/>
      <c r="K4" s="37"/>
      <c r="L4" s="37"/>
      <c r="M4" s="84"/>
      <c r="N4" s="37"/>
      <c r="O4" s="70"/>
    </row>
    <row r="5" spans="1:16" ht="15" customHeight="1" x14ac:dyDescent="0.2">
      <c r="A5" s="77">
        <v>1</v>
      </c>
      <c r="B5" s="75" t="s">
        <v>91</v>
      </c>
      <c r="C5" s="37"/>
      <c r="D5" s="165"/>
      <c r="E5" s="37"/>
      <c r="F5" s="37"/>
      <c r="G5" s="37"/>
      <c r="H5" s="37"/>
      <c r="I5" s="37"/>
      <c r="J5" s="37"/>
      <c r="K5" s="37"/>
      <c r="L5" s="37"/>
      <c r="M5" s="84"/>
      <c r="N5" s="37"/>
      <c r="O5" s="70"/>
    </row>
    <row r="6" spans="1:16" ht="15" customHeight="1" x14ac:dyDescent="0.2">
      <c r="A6" s="77"/>
      <c r="B6" s="342" t="s">
        <v>92</v>
      </c>
      <c r="C6" s="343">
        <v>1253</v>
      </c>
      <c r="D6" s="344">
        <f>DATE(77,12,31)</f>
        <v>28490</v>
      </c>
      <c r="E6" s="345">
        <v>30</v>
      </c>
      <c r="F6" s="345"/>
      <c r="G6" s="346">
        <f t="shared" ref="G6:G70" si="0">E6+F6-N6</f>
        <v>30</v>
      </c>
      <c r="H6" s="347">
        <f>(C6+F6)*5%</f>
        <v>62.650000000000006</v>
      </c>
      <c r="I6" s="346">
        <f>+E6</f>
        <v>30</v>
      </c>
      <c r="J6" s="346">
        <v>15</v>
      </c>
      <c r="K6" s="348">
        <f t="shared" ref="K6:K16" si="1">($J$1-D6)/365</f>
        <v>43.276712328767125</v>
      </c>
      <c r="L6" s="346">
        <f t="shared" ref="L6:L70" si="2">J6-K6</f>
        <v>-28.276712328767125</v>
      </c>
      <c r="M6" s="349">
        <f t="shared" ref="M6:M70" si="3">IF(L6&gt;0,(1-(H6/(E6+F6))^(1/J6)),0)</f>
        <v>0</v>
      </c>
      <c r="N6" s="387">
        <f t="shared" ref="N6:N70" si="4">ROUND((E6+F6)*M6,0)</f>
        <v>0</v>
      </c>
      <c r="O6" s="389" t="s">
        <v>606</v>
      </c>
      <c r="P6" s="167"/>
    </row>
    <row r="7" spans="1:16" ht="15" customHeight="1" x14ac:dyDescent="0.2">
      <c r="A7" s="77"/>
      <c r="B7" s="342" t="s">
        <v>93</v>
      </c>
      <c r="C7" s="343">
        <v>69889</v>
      </c>
      <c r="D7" s="344">
        <f>DATE(78,12,30)</f>
        <v>28854</v>
      </c>
      <c r="E7" s="345">
        <v>844</v>
      </c>
      <c r="F7" s="345"/>
      <c r="G7" s="346">
        <f t="shared" si="0"/>
        <v>844</v>
      </c>
      <c r="H7" s="347">
        <f t="shared" ref="H7:H71" si="5">(C7+F7)*5%</f>
        <v>3494.4500000000003</v>
      </c>
      <c r="I7" s="346">
        <f t="shared" ref="I7:I16" si="6">+E7</f>
        <v>844</v>
      </c>
      <c r="J7" s="346">
        <v>15</v>
      </c>
      <c r="K7" s="348">
        <f t="shared" si="1"/>
        <v>42.279452054794518</v>
      </c>
      <c r="L7" s="346">
        <f t="shared" si="2"/>
        <v>-27.279452054794518</v>
      </c>
      <c r="M7" s="349">
        <f t="shared" si="3"/>
        <v>0</v>
      </c>
      <c r="N7" s="387">
        <f t="shared" si="4"/>
        <v>0</v>
      </c>
      <c r="O7" s="335" t="s">
        <v>609</v>
      </c>
      <c r="P7" s="167"/>
    </row>
    <row r="8" spans="1:16" ht="15" customHeight="1" x14ac:dyDescent="0.2">
      <c r="A8" s="77">
        <v>2</v>
      </c>
      <c r="B8" s="124" t="s">
        <v>94</v>
      </c>
      <c r="C8" s="82">
        <v>4889</v>
      </c>
      <c r="D8" s="131">
        <f>DATE(78,12,30)</f>
        <v>28854</v>
      </c>
      <c r="E8" s="166">
        <v>92</v>
      </c>
      <c r="F8" s="166"/>
      <c r="G8" s="37">
        <f t="shared" si="0"/>
        <v>92</v>
      </c>
      <c r="H8" s="52">
        <f t="shared" si="5"/>
        <v>244.45000000000002</v>
      </c>
      <c r="I8" s="37">
        <f t="shared" si="6"/>
        <v>92</v>
      </c>
      <c r="J8" s="37">
        <v>15</v>
      </c>
      <c r="K8" s="83">
        <f t="shared" si="1"/>
        <v>42.279452054794518</v>
      </c>
      <c r="L8" s="37">
        <f t="shared" si="2"/>
        <v>-27.279452054794518</v>
      </c>
      <c r="M8" s="84">
        <f t="shared" si="3"/>
        <v>0</v>
      </c>
      <c r="N8" s="37">
        <f t="shared" si="4"/>
        <v>0</v>
      </c>
      <c r="O8" s="335"/>
      <c r="P8" s="167"/>
    </row>
    <row r="9" spans="1:16" ht="15" customHeight="1" x14ac:dyDescent="0.2">
      <c r="A9" s="164" t="s">
        <v>95</v>
      </c>
      <c r="B9" s="342" t="s">
        <v>96</v>
      </c>
      <c r="C9" s="343">
        <v>1767</v>
      </c>
      <c r="D9" s="344">
        <f>DATE(78,12,30)</f>
        <v>28854</v>
      </c>
      <c r="E9" s="345">
        <v>20</v>
      </c>
      <c r="F9" s="345"/>
      <c r="G9" s="346">
        <f t="shared" si="0"/>
        <v>20</v>
      </c>
      <c r="H9" s="347">
        <f t="shared" si="5"/>
        <v>88.350000000000009</v>
      </c>
      <c r="I9" s="346">
        <f t="shared" si="6"/>
        <v>20</v>
      </c>
      <c r="J9" s="346">
        <v>15</v>
      </c>
      <c r="K9" s="348">
        <f t="shared" si="1"/>
        <v>42.279452054794518</v>
      </c>
      <c r="L9" s="346">
        <f t="shared" si="2"/>
        <v>-27.279452054794518</v>
      </c>
      <c r="M9" s="349">
        <f t="shared" si="3"/>
        <v>0</v>
      </c>
      <c r="N9" s="387">
        <f t="shared" si="4"/>
        <v>0</v>
      </c>
      <c r="O9" s="389" t="s">
        <v>606</v>
      </c>
      <c r="P9" s="167"/>
    </row>
    <row r="10" spans="1:16" ht="15" customHeight="1" x14ac:dyDescent="0.2">
      <c r="A10" s="70"/>
      <c r="B10" s="342" t="s">
        <v>97</v>
      </c>
      <c r="C10" s="343">
        <v>40535</v>
      </c>
      <c r="D10" s="344">
        <f>DATE(80,12,19)</f>
        <v>29574</v>
      </c>
      <c r="E10" s="345">
        <v>1170</v>
      </c>
      <c r="F10" s="345"/>
      <c r="G10" s="346">
        <f t="shared" si="0"/>
        <v>1170</v>
      </c>
      <c r="H10" s="347">
        <f t="shared" si="5"/>
        <v>2026.75</v>
      </c>
      <c r="I10" s="346">
        <f t="shared" si="6"/>
        <v>1170</v>
      </c>
      <c r="J10" s="346">
        <v>15</v>
      </c>
      <c r="K10" s="348">
        <f t="shared" si="1"/>
        <v>40.30684931506849</v>
      </c>
      <c r="L10" s="346">
        <f t="shared" si="2"/>
        <v>-25.30684931506849</v>
      </c>
      <c r="M10" s="349">
        <f t="shared" si="3"/>
        <v>0</v>
      </c>
      <c r="N10" s="387">
        <f t="shared" si="4"/>
        <v>0</v>
      </c>
      <c r="O10" s="335" t="s">
        <v>609</v>
      </c>
      <c r="P10" s="167"/>
    </row>
    <row r="11" spans="1:16" ht="15" customHeight="1" x14ac:dyDescent="0.2">
      <c r="A11" s="164" t="s">
        <v>98</v>
      </c>
      <c r="B11" s="79" t="s">
        <v>99</v>
      </c>
      <c r="C11" s="82">
        <v>4176</v>
      </c>
      <c r="D11" s="131">
        <f>DATE(80,6,18)</f>
        <v>29390</v>
      </c>
      <c r="E11" s="166">
        <v>189</v>
      </c>
      <c r="F11" s="166"/>
      <c r="G11" s="37">
        <f t="shared" si="0"/>
        <v>189</v>
      </c>
      <c r="H11" s="52">
        <f t="shared" si="5"/>
        <v>208.8</v>
      </c>
      <c r="I11" s="37">
        <f t="shared" si="6"/>
        <v>189</v>
      </c>
      <c r="J11" s="37">
        <v>15</v>
      </c>
      <c r="K11" s="83">
        <f t="shared" si="1"/>
        <v>40.81095890410959</v>
      </c>
      <c r="L11" s="37">
        <f t="shared" si="2"/>
        <v>-25.81095890410959</v>
      </c>
      <c r="M11" s="84">
        <f t="shared" si="3"/>
        <v>0</v>
      </c>
      <c r="N11" s="37">
        <f t="shared" si="4"/>
        <v>0</v>
      </c>
      <c r="O11" s="335"/>
      <c r="P11" s="167"/>
    </row>
    <row r="12" spans="1:16" ht="15" customHeight="1" x14ac:dyDescent="0.2">
      <c r="A12" s="77">
        <v>58</v>
      </c>
      <c r="B12" s="79" t="s">
        <v>100</v>
      </c>
      <c r="C12" s="82">
        <v>7078</v>
      </c>
      <c r="D12" s="131">
        <f>DATE(80,6,24)</f>
        <v>29396</v>
      </c>
      <c r="E12" s="166">
        <v>291</v>
      </c>
      <c r="F12" s="166"/>
      <c r="G12" s="37">
        <f t="shared" si="0"/>
        <v>291</v>
      </c>
      <c r="H12" s="52">
        <f t="shared" si="5"/>
        <v>353.90000000000003</v>
      </c>
      <c r="I12" s="37">
        <f t="shared" si="6"/>
        <v>291</v>
      </c>
      <c r="J12" s="37">
        <v>15</v>
      </c>
      <c r="K12" s="83">
        <f t="shared" si="1"/>
        <v>40.794520547945204</v>
      </c>
      <c r="L12" s="37">
        <f t="shared" si="2"/>
        <v>-25.794520547945204</v>
      </c>
      <c r="M12" s="84">
        <f t="shared" si="3"/>
        <v>0</v>
      </c>
      <c r="N12" s="37">
        <f t="shared" si="4"/>
        <v>0</v>
      </c>
      <c r="O12" s="335"/>
      <c r="P12" s="167"/>
    </row>
    <row r="13" spans="1:16" ht="15" customHeight="1" x14ac:dyDescent="0.2">
      <c r="A13" s="77">
        <v>63</v>
      </c>
      <c r="B13" s="79" t="s">
        <v>101</v>
      </c>
      <c r="C13" s="82">
        <v>2323</v>
      </c>
      <c r="D13" s="131">
        <f>DATE(81,11,30)</f>
        <v>29920</v>
      </c>
      <c r="E13" s="166">
        <v>74</v>
      </c>
      <c r="F13" s="166"/>
      <c r="G13" s="37">
        <f t="shared" si="0"/>
        <v>74</v>
      </c>
      <c r="H13" s="52">
        <f t="shared" si="5"/>
        <v>116.15</v>
      </c>
      <c r="I13" s="37">
        <f t="shared" si="6"/>
        <v>74</v>
      </c>
      <c r="J13" s="37">
        <v>15</v>
      </c>
      <c r="K13" s="83">
        <f t="shared" si="1"/>
        <v>39.358904109589041</v>
      </c>
      <c r="L13" s="37">
        <f t="shared" si="2"/>
        <v>-24.358904109589041</v>
      </c>
      <c r="M13" s="84">
        <f t="shared" si="3"/>
        <v>0</v>
      </c>
      <c r="N13" s="37">
        <f t="shared" si="4"/>
        <v>0</v>
      </c>
      <c r="O13" s="335"/>
      <c r="P13" s="167"/>
    </row>
    <row r="14" spans="1:16" ht="15" customHeight="1" x14ac:dyDescent="0.2">
      <c r="A14" s="77">
        <v>65</v>
      </c>
      <c r="B14" s="79" t="s">
        <v>102</v>
      </c>
      <c r="C14" s="82">
        <v>4200</v>
      </c>
      <c r="D14" s="131">
        <f>DATE(82,12,30)</f>
        <v>30315</v>
      </c>
      <c r="E14" s="166">
        <v>87</v>
      </c>
      <c r="F14" s="166"/>
      <c r="G14" s="37">
        <f t="shared" si="0"/>
        <v>87</v>
      </c>
      <c r="H14" s="52">
        <f t="shared" si="5"/>
        <v>210</v>
      </c>
      <c r="I14" s="37">
        <f t="shared" si="6"/>
        <v>87</v>
      </c>
      <c r="J14" s="37">
        <v>15</v>
      </c>
      <c r="K14" s="83">
        <f t="shared" si="1"/>
        <v>38.276712328767125</v>
      </c>
      <c r="L14" s="37">
        <f t="shared" si="2"/>
        <v>-23.276712328767125</v>
      </c>
      <c r="M14" s="84">
        <f t="shared" si="3"/>
        <v>0</v>
      </c>
      <c r="N14" s="37">
        <f t="shared" si="4"/>
        <v>0</v>
      </c>
      <c r="O14" s="335"/>
      <c r="P14" s="167"/>
    </row>
    <row r="15" spans="1:16" ht="15" customHeight="1" x14ac:dyDescent="0.2">
      <c r="A15" s="77">
        <v>77</v>
      </c>
      <c r="B15" s="79" t="s">
        <v>103</v>
      </c>
      <c r="C15" s="82">
        <v>5807</v>
      </c>
      <c r="D15" s="131">
        <f>DATE(82,12,30)</f>
        <v>30315</v>
      </c>
      <c r="E15" s="166">
        <v>123</v>
      </c>
      <c r="F15" s="166"/>
      <c r="G15" s="37">
        <f t="shared" si="0"/>
        <v>123</v>
      </c>
      <c r="H15" s="52">
        <f t="shared" si="5"/>
        <v>290.35000000000002</v>
      </c>
      <c r="I15" s="37">
        <f t="shared" si="6"/>
        <v>123</v>
      </c>
      <c r="J15" s="37">
        <v>15</v>
      </c>
      <c r="K15" s="83">
        <f t="shared" si="1"/>
        <v>38.276712328767125</v>
      </c>
      <c r="L15" s="37">
        <f t="shared" si="2"/>
        <v>-23.276712328767125</v>
      </c>
      <c r="M15" s="84">
        <f t="shared" si="3"/>
        <v>0</v>
      </c>
      <c r="N15" s="37">
        <f t="shared" si="4"/>
        <v>0</v>
      </c>
      <c r="O15" s="335"/>
      <c r="P15" s="167"/>
    </row>
    <row r="16" spans="1:16" ht="15" customHeight="1" x14ac:dyDescent="0.2">
      <c r="A16" s="77">
        <v>84</v>
      </c>
      <c r="B16" s="79" t="s">
        <v>104</v>
      </c>
      <c r="C16" s="82">
        <v>7215</v>
      </c>
      <c r="D16" s="131">
        <f>DATE(86,6,14)</f>
        <v>31577</v>
      </c>
      <c r="E16" s="166">
        <v>360</v>
      </c>
      <c r="F16" s="166"/>
      <c r="G16" s="37">
        <f t="shared" si="0"/>
        <v>360</v>
      </c>
      <c r="H16" s="52">
        <f t="shared" si="5"/>
        <v>360.75</v>
      </c>
      <c r="I16" s="37">
        <f t="shared" si="6"/>
        <v>360</v>
      </c>
      <c r="J16" s="37">
        <v>15</v>
      </c>
      <c r="K16" s="83">
        <f t="shared" si="1"/>
        <v>34.819178082191783</v>
      </c>
      <c r="L16" s="37">
        <f t="shared" si="2"/>
        <v>-19.819178082191783</v>
      </c>
      <c r="M16" s="84">
        <f t="shared" si="3"/>
        <v>0</v>
      </c>
      <c r="N16" s="37">
        <f t="shared" si="4"/>
        <v>0</v>
      </c>
      <c r="O16" s="335"/>
      <c r="P16" s="167"/>
    </row>
    <row r="17" spans="1:16" ht="15" customHeight="1" x14ac:dyDescent="0.2">
      <c r="A17" s="77">
        <v>3</v>
      </c>
      <c r="B17" s="342" t="s">
        <v>105</v>
      </c>
      <c r="C17" s="343">
        <v>195235</v>
      </c>
      <c r="D17" s="344">
        <f>DATE(92,3,31)</f>
        <v>33694</v>
      </c>
      <c r="E17" s="345">
        <v>9761.5</v>
      </c>
      <c r="F17" s="345"/>
      <c r="G17" s="346">
        <f t="shared" si="0"/>
        <v>9761.5</v>
      </c>
      <c r="H17" s="347">
        <f t="shared" si="5"/>
        <v>9761.75</v>
      </c>
      <c r="I17" s="346">
        <f t="shared" ref="I17:I70" si="7">E17-H17</f>
        <v>-0.25</v>
      </c>
      <c r="J17" s="346">
        <v>15</v>
      </c>
      <c r="K17" s="348">
        <f t="shared" ref="K17:K81" si="8">($J$1-D17)/365</f>
        <v>29.019178082191782</v>
      </c>
      <c r="L17" s="346">
        <f t="shared" si="2"/>
        <v>-14.019178082191782</v>
      </c>
      <c r="M17" s="349">
        <f t="shared" si="3"/>
        <v>0</v>
      </c>
      <c r="N17" s="387">
        <f t="shared" si="4"/>
        <v>0</v>
      </c>
      <c r="O17" s="335" t="s">
        <v>609</v>
      </c>
      <c r="P17" s="167"/>
    </row>
    <row r="18" spans="1:16" ht="15" customHeight="1" x14ac:dyDescent="0.2">
      <c r="A18" s="164" t="s">
        <v>106</v>
      </c>
      <c r="B18" s="342" t="s">
        <v>107</v>
      </c>
      <c r="C18" s="343">
        <v>183261</v>
      </c>
      <c r="D18" s="344">
        <f>DATE(98,2,17)</f>
        <v>35843</v>
      </c>
      <c r="E18" s="345">
        <v>9162.7999999999884</v>
      </c>
      <c r="F18" s="345"/>
      <c r="G18" s="346">
        <f t="shared" si="0"/>
        <v>9162.7999999999884</v>
      </c>
      <c r="H18" s="347">
        <f t="shared" si="5"/>
        <v>9163.0500000000011</v>
      </c>
      <c r="I18" s="346">
        <f t="shared" si="7"/>
        <v>-0.25000000001273293</v>
      </c>
      <c r="J18" s="346">
        <v>15</v>
      </c>
      <c r="K18" s="348">
        <f t="shared" si="8"/>
        <v>23.13150684931507</v>
      </c>
      <c r="L18" s="346">
        <f t="shared" si="2"/>
        <v>-8.1315068493150697</v>
      </c>
      <c r="M18" s="349">
        <f t="shared" si="3"/>
        <v>0</v>
      </c>
      <c r="N18" s="387">
        <f t="shared" si="4"/>
        <v>0</v>
      </c>
      <c r="O18" s="335" t="s">
        <v>609</v>
      </c>
      <c r="P18" s="167"/>
    </row>
    <row r="19" spans="1:16" ht="15" customHeight="1" x14ac:dyDescent="0.2">
      <c r="A19" s="164" t="s">
        <v>95</v>
      </c>
      <c r="B19" s="124" t="s">
        <v>108</v>
      </c>
      <c r="C19" s="82">
        <v>21435</v>
      </c>
      <c r="D19" s="131">
        <f>DATE(98,2,19)</f>
        <v>35845</v>
      </c>
      <c r="E19" s="166">
        <v>1071.5</v>
      </c>
      <c r="F19" s="166"/>
      <c r="G19" s="37">
        <f t="shared" si="0"/>
        <v>1071.5</v>
      </c>
      <c r="H19" s="52">
        <f t="shared" si="5"/>
        <v>1071.75</v>
      </c>
      <c r="I19" s="37">
        <f t="shared" si="7"/>
        <v>-0.25</v>
      </c>
      <c r="J19" s="37">
        <v>15</v>
      </c>
      <c r="K19" s="83">
        <f t="shared" si="8"/>
        <v>23.126027397260273</v>
      </c>
      <c r="L19" s="37">
        <f t="shared" si="2"/>
        <v>-8.1260273972602732</v>
      </c>
      <c r="M19" s="84">
        <f t="shared" si="3"/>
        <v>0</v>
      </c>
      <c r="N19" s="37">
        <f t="shared" si="4"/>
        <v>0</v>
      </c>
      <c r="O19" s="335"/>
      <c r="P19" s="167"/>
    </row>
    <row r="20" spans="1:16" ht="15" customHeight="1" x14ac:dyDescent="0.2">
      <c r="A20" s="70"/>
      <c r="B20" s="124" t="s">
        <v>109</v>
      </c>
      <c r="C20" s="82">
        <v>11383</v>
      </c>
      <c r="D20" s="131">
        <f>DATE(98,2,19)</f>
        <v>35845</v>
      </c>
      <c r="E20" s="166">
        <v>568.89999999999964</v>
      </c>
      <c r="F20" s="166"/>
      <c r="G20" s="37">
        <f t="shared" si="0"/>
        <v>568.89999999999964</v>
      </c>
      <c r="H20" s="52">
        <f t="shared" si="5"/>
        <v>569.15</v>
      </c>
      <c r="I20" s="37">
        <f t="shared" si="7"/>
        <v>-0.25000000000034106</v>
      </c>
      <c r="J20" s="37">
        <v>15</v>
      </c>
      <c r="K20" s="83">
        <f t="shared" si="8"/>
        <v>23.126027397260273</v>
      </c>
      <c r="L20" s="37">
        <f t="shared" si="2"/>
        <v>-8.1260273972602732</v>
      </c>
      <c r="M20" s="84">
        <f t="shared" si="3"/>
        <v>0</v>
      </c>
      <c r="N20" s="37">
        <f t="shared" si="4"/>
        <v>0</v>
      </c>
      <c r="O20" s="335"/>
      <c r="P20" s="167"/>
    </row>
    <row r="21" spans="1:16" ht="15" customHeight="1" x14ac:dyDescent="0.2">
      <c r="A21" s="70"/>
      <c r="B21" s="79" t="s">
        <v>110</v>
      </c>
      <c r="C21" s="145">
        <v>6000</v>
      </c>
      <c r="D21" s="131">
        <f>DATE(98,9,15)</f>
        <v>36053</v>
      </c>
      <c r="E21" s="166">
        <v>299.75</v>
      </c>
      <c r="F21" s="166"/>
      <c r="G21" s="37">
        <f t="shared" si="0"/>
        <v>299.75</v>
      </c>
      <c r="H21" s="52">
        <f t="shared" si="5"/>
        <v>300</v>
      </c>
      <c r="I21" s="37">
        <f t="shared" si="7"/>
        <v>-0.25</v>
      </c>
      <c r="J21" s="37">
        <v>15</v>
      </c>
      <c r="K21" s="83">
        <f t="shared" si="8"/>
        <v>22.556164383561644</v>
      </c>
      <c r="L21" s="37">
        <f t="shared" si="2"/>
        <v>-7.5561643835616437</v>
      </c>
      <c r="M21" s="84">
        <f t="shared" si="3"/>
        <v>0</v>
      </c>
      <c r="N21" s="37">
        <f t="shared" si="4"/>
        <v>0</v>
      </c>
      <c r="O21" s="335"/>
      <c r="P21" s="167"/>
    </row>
    <row r="22" spans="1:16" ht="15" customHeight="1" x14ac:dyDescent="0.2">
      <c r="A22" s="70"/>
      <c r="B22" s="79" t="s">
        <v>111</v>
      </c>
      <c r="C22" s="145">
        <v>4017</v>
      </c>
      <c r="D22" s="131">
        <v>36617</v>
      </c>
      <c r="E22" s="166">
        <v>0</v>
      </c>
      <c r="F22" s="166"/>
      <c r="G22" s="37">
        <f t="shared" si="0"/>
        <v>0</v>
      </c>
      <c r="H22" s="52">
        <f t="shared" si="5"/>
        <v>200.85000000000002</v>
      </c>
      <c r="I22" s="37">
        <f>+E22</f>
        <v>0</v>
      </c>
      <c r="J22" s="37">
        <v>15</v>
      </c>
      <c r="K22" s="83">
        <f t="shared" si="8"/>
        <v>21.010958904109589</v>
      </c>
      <c r="L22" s="37">
        <f t="shared" si="2"/>
        <v>-6.0109589041095894</v>
      </c>
      <c r="M22" s="84">
        <f t="shared" si="3"/>
        <v>0</v>
      </c>
      <c r="N22" s="37">
        <f t="shared" si="4"/>
        <v>0</v>
      </c>
      <c r="O22" s="335"/>
      <c r="P22" s="167"/>
    </row>
    <row r="23" spans="1:16" s="169" customFormat="1" ht="15" customHeight="1" x14ac:dyDescent="0.2">
      <c r="A23" s="77"/>
      <c r="B23" s="79" t="s">
        <v>112</v>
      </c>
      <c r="C23" s="145">
        <v>8034</v>
      </c>
      <c r="D23" s="131">
        <v>36628</v>
      </c>
      <c r="E23" s="166">
        <v>0</v>
      </c>
      <c r="F23" s="166"/>
      <c r="G23" s="37">
        <f t="shared" si="0"/>
        <v>0</v>
      </c>
      <c r="H23" s="52">
        <f t="shared" si="5"/>
        <v>401.70000000000005</v>
      </c>
      <c r="I23" s="37">
        <f t="shared" ref="I23:I25" si="9">+E23</f>
        <v>0</v>
      </c>
      <c r="J23" s="37">
        <v>15</v>
      </c>
      <c r="K23" s="83">
        <f t="shared" si="8"/>
        <v>20.980821917808218</v>
      </c>
      <c r="L23" s="37">
        <f t="shared" si="2"/>
        <v>-5.9808219178082176</v>
      </c>
      <c r="M23" s="84">
        <f t="shared" si="3"/>
        <v>0</v>
      </c>
      <c r="N23" s="37">
        <f t="shared" si="4"/>
        <v>0</v>
      </c>
      <c r="O23" s="335"/>
      <c r="P23" s="168"/>
    </row>
    <row r="24" spans="1:16" ht="15" customHeight="1" x14ac:dyDescent="0.2">
      <c r="A24" s="77">
        <v>4</v>
      </c>
      <c r="B24" s="79" t="s">
        <v>112</v>
      </c>
      <c r="C24" s="145">
        <v>8034</v>
      </c>
      <c r="D24" s="131">
        <v>36644</v>
      </c>
      <c r="E24" s="166">
        <v>0</v>
      </c>
      <c r="F24" s="166"/>
      <c r="G24" s="37">
        <f t="shared" si="0"/>
        <v>0</v>
      </c>
      <c r="H24" s="52">
        <f t="shared" si="5"/>
        <v>401.70000000000005</v>
      </c>
      <c r="I24" s="37">
        <f t="shared" si="9"/>
        <v>0</v>
      </c>
      <c r="J24" s="37">
        <v>15</v>
      </c>
      <c r="K24" s="83">
        <f t="shared" si="8"/>
        <v>20.936986301369863</v>
      </c>
      <c r="L24" s="37">
        <f t="shared" si="2"/>
        <v>-5.9369863013698634</v>
      </c>
      <c r="M24" s="84">
        <f t="shared" si="3"/>
        <v>0</v>
      </c>
      <c r="N24" s="37">
        <f t="shared" si="4"/>
        <v>0</v>
      </c>
      <c r="O24" s="335"/>
      <c r="P24" s="167"/>
    </row>
    <row r="25" spans="1:16" ht="15" customHeight="1" x14ac:dyDescent="0.2">
      <c r="A25" s="77"/>
      <c r="B25" s="342" t="s">
        <v>113</v>
      </c>
      <c r="C25" s="350">
        <v>1000</v>
      </c>
      <c r="D25" s="344">
        <v>40173</v>
      </c>
      <c r="E25" s="345">
        <v>0</v>
      </c>
      <c r="F25" s="345"/>
      <c r="G25" s="346">
        <f t="shared" si="0"/>
        <v>0</v>
      </c>
      <c r="H25" s="347">
        <f t="shared" si="5"/>
        <v>50</v>
      </c>
      <c r="I25" s="346">
        <f t="shared" si="9"/>
        <v>0</v>
      </c>
      <c r="J25" s="346">
        <v>15</v>
      </c>
      <c r="K25" s="348">
        <f t="shared" si="8"/>
        <v>11.268493150684931</v>
      </c>
      <c r="L25" s="346">
        <f t="shared" si="2"/>
        <v>3.7315068493150694</v>
      </c>
      <c r="M25" s="349">
        <v>0</v>
      </c>
      <c r="N25" s="387">
        <f t="shared" si="4"/>
        <v>0</v>
      </c>
      <c r="O25" s="389" t="s">
        <v>606</v>
      </c>
      <c r="P25" s="167"/>
    </row>
    <row r="26" spans="1:16" ht="15" customHeight="1" x14ac:dyDescent="0.2">
      <c r="A26" s="77">
        <v>66</v>
      </c>
      <c r="B26" s="79" t="s">
        <v>114</v>
      </c>
      <c r="C26" s="145">
        <v>15534</v>
      </c>
      <c r="D26" s="131">
        <v>36669</v>
      </c>
      <c r="E26" s="166">
        <v>777</v>
      </c>
      <c r="F26" s="166"/>
      <c r="G26" s="37">
        <f t="shared" si="0"/>
        <v>777</v>
      </c>
      <c r="H26" s="52">
        <f t="shared" si="5"/>
        <v>776.7</v>
      </c>
      <c r="I26" s="37">
        <f t="shared" si="7"/>
        <v>0.29999999999995453</v>
      </c>
      <c r="J26" s="37">
        <v>15</v>
      </c>
      <c r="K26" s="83">
        <f t="shared" si="8"/>
        <v>20.86849315068493</v>
      </c>
      <c r="L26" s="37">
        <f t="shared" si="2"/>
        <v>-5.8684931506849303</v>
      </c>
      <c r="M26" s="84">
        <f t="shared" si="3"/>
        <v>0</v>
      </c>
      <c r="N26" s="37">
        <f t="shared" si="4"/>
        <v>0</v>
      </c>
      <c r="O26" s="335"/>
      <c r="P26" s="167"/>
    </row>
    <row r="27" spans="1:16" ht="15" customHeight="1" x14ac:dyDescent="0.2">
      <c r="A27" s="77">
        <v>5</v>
      </c>
      <c r="B27" s="132" t="s">
        <v>115</v>
      </c>
      <c r="C27" s="145">
        <v>3300</v>
      </c>
      <c r="D27" s="131">
        <v>36656</v>
      </c>
      <c r="E27" s="166">
        <v>0</v>
      </c>
      <c r="F27" s="166"/>
      <c r="G27" s="37">
        <f t="shared" si="0"/>
        <v>0</v>
      </c>
      <c r="H27" s="52">
        <f t="shared" si="5"/>
        <v>165</v>
      </c>
      <c r="I27" s="37">
        <f>+G27</f>
        <v>0</v>
      </c>
      <c r="J27" s="37">
        <v>15</v>
      </c>
      <c r="K27" s="83">
        <f t="shared" si="8"/>
        <v>20.904109589041095</v>
      </c>
      <c r="L27" s="37">
        <f t="shared" si="2"/>
        <v>-5.9041095890410951</v>
      </c>
      <c r="M27" s="84">
        <f t="shared" si="3"/>
        <v>0</v>
      </c>
      <c r="N27" s="37">
        <f t="shared" si="4"/>
        <v>0</v>
      </c>
      <c r="O27" s="335"/>
      <c r="P27" s="167"/>
    </row>
    <row r="28" spans="1:16" ht="15" customHeight="1" x14ac:dyDescent="0.2">
      <c r="A28" s="77"/>
      <c r="B28" s="342" t="s">
        <v>597</v>
      </c>
      <c r="C28" s="350">
        <f>189009/2</f>
        <v>94504.5</v>
      </c>
      <c r="D28" s="344">
        <v>37243</v>
      </c>
      <c r="E28" s="345">
        <f>9450.45/2</f>
        <v>4725.2250000000004</v>
      </c>
      <c r="F28" s="345"/>
      <c r="G28" s="346">
        <f t="shared" si="0"/>
        <v>4725.2250000000004</v>
      </c>
      <c r="H28" s="347">
        <f t="shared" si="5"/>
        <v>4725.2250000000004</v>
      </c>
      <c r="I28" s="346">
        <f t="shared" si="7"/>
        <v>0</v>
      </c>
      <c r="J28" s="346">
        <v>15</v>
      </c>
      <c r="K28" s="348">
        <f t="shared" si="8"/>
        <v>19.295890410958904</v>
      </c>
      <c r="L28" s="346">
        <f t="shared" si="2"/>
        <v>-4.2958904109589042</v>
      </c>
      <c r="M28" s="349">
        <f t="shared" si="3"/>
        <v>0</v>
      </c>
      <c r="N28" s="387">
        <f t="shared" si="4"/>
        <v>0</v>
      </c>
      <c r="O28" s="335" t="s">
        <v>609</v>
      </c>
      <c r="P28" s="170"/>
    </row>
    <row r="29" spans="1:16" ht="15" customHeight="1" x14ac:dyDescent="0.2">
      <c r="A29" s="77"/>
      <c r="B29" s="79" t="s">
        <v>597</v>
      </c>
      <c r="C29" s="145">
        <f>189009/2</f>
        <v>94504.5</v>
      </c>
      <c r="D29" s="131">
        <v>37243</v>
      </c>
      <c r="E29" s="166">
        <f>9450.45/2</f>
        <v>4725.2250000000004</v>
      </c>
      <c r="F29" s="166"/>
      <c r="G29" s="37">
        <f t="shared" ref="G29" si="10">E29+F29-N29</f>
        <v>4725.2250000000004</v>
      </c>
      <c r="H29" s="52">
        <f t="shared" ref="H29" si="11">(C29+F29)*5%</f>
        <v>4725.2250000000004</v>
      </c>
      <c r="I29" s="37">
        <f t="shared" ref="I29" si="12">E29-H29</f>
        <v>0</v>
      </c>
      <c r="J29" s="37">
        <v>15</v>
      </c>
      <c r="K29" s="83">
        <f t="shared" ref="K29" si="13">($J$1-D29)/365</f>
        <v>19.295890410958904</v>
      </c>
      <c r="L29" s="37">
        <f t="shared" ref="L29" si="14">J29-K29</f>
        <v>-4.2958904109589042</v>
      </c>
      <c r="M29" s="84">
        <f t="shared" ref="M29" si="15">IF(L29&gt;0,(1-(H29/(E29+F29))^(1/J29)),0)</f>
        <v>0</v>
      </c>
      <c r="N29" s="37">
        <f t="shared" ref="N29" si="16">ROUND((E29+F29)*M29,0)</f>
        <v>0</v>
      </c>
      <c r="O29" s="335"/>
      <c r="P29" s="170"/>
    </row>
    <row r="30" spans="1:16" ht="15" customHeight="1" x14ac:dyDescent="0.2">
      <c r="A30" s="77">
        <v>6</v>
      </c>
      <c r="B30" s="79" t="s">
        <v>116</v>
      </c>
      <c r="C30" s="145">
        <v>63545</v>
      </c>
      <c r="D30" s="131">
        <v>37243</v>
      </c>
      <c r="E30" s="166">
        <v>3177.25</v>
      </c>
      <c r="F30" s="166"/>
      <c r="G30" s="37">
        <f t="shared" si="0"/>
        <v>3177.25</v>
      </c>
      <c r="H30" s="52">
        <f t="shared" si="5"/>
        <v>3177.25</v>
      </c>
      <c r="I30" s="37">
        <f t="shared" si="7"/>
        <v>0</v>
      </c>
      <c r="J30" s="37">
        <v>15</v>
      </c>
      <c r="K30" s="83">
        <f t="shared" si="8"/>
        <v>19.295890410958904</v>
      </c>
      <c r="L30" s="37">
        <f t="shared" si="2"/>
        <v>-4.2958904109589042</v>
      </c>
      <c r="M30" s="84">
        <f t="shared" si="3"/>
        <v>0</v>
      </c>
      <c r="N30" s="37">
        <f t="shared" si="4"/>
        <v>0</v>
      </c>
      <c r="O30" s="335"/>
      <c r="P30" s="170"/>
    </row>
    <row r="31" spans="1:16" ht="15" customHeight="1" x14ac:dyDescent="0.2">
      <c r="A31" s="70">
        <v>7</v>
      </c>
      <c r="B31" s="132" t="s">
        <v>117</v>
      </c>
      <c r="C31" s="145">
        <v>381534</v>
      </c>
      <c r="D31" s="131">
        <v>37243</v>
      </c>
      <c r="E31" s="166">
        <v>19076.7</v>
      </c>
      <c r="F31" s="166"/>
      <c r="G31" s="37">
        <f t="shared" si="0"/>
        <v>19076.7</v>
      </c>
      <c r="H31" s="52">
        <f t="shared" si="5"/>
        <v>19076.7</v>
      </c>
      <c r="I31" s="37">
        <f t="shared" si="7"/>
        <v>0</v>
      </c>
      <c r="J31" s="37">
        <v>15</v>
      </c>
      <c r="K31" s="83">
        <f t="shared" si="8"/>
        <v>19.295890410958904</v>
      </c>
      <c r="L31" s="37">
        <f t="shared" si="2"/>
        <v>-4.2958904109589042</v>
      </c>
      <c r="M31" s="84">
        <f t="shared" si="3"/>
        <v>0</v>
      </c>
      <c r="N31" s="37">
        <f t="shared" si="4"/>
        <v>0</v>
      </c>
      <c r="O31" s="335"/>
      <c r="P31" s="170"/>
    </row>
    <row r="32" spans="1:16" ht="15" customHeight="1" x14ac:dyDescent="0.2">
      <c r="A32" s="70"/>
      <c r="B32" s="124" t="s">
        <v>118</v>
      </c>
      <c r="C32" s="173">
        <v>12522</v>
      </c>
      <c r="D32" s="126">
        <v>38806</v>
      </c>
      <c r="E32" s="166">
        <v>1738.46</v>
      </c>
      <c r="F32" s="166"/>
      <c r="G32" s="37">
        <f t="shared" si="0"/>
        <v>1738.46</v>
      </c>
      <c r="H32" s="52">
        <f t="shared" si="5"/>
        <v>626.1</v>
      </c>
      <c r="I32" s="37">
        <f t="shared" si="7"/>
        <v>1112.3600000000001</v>
      </c>
      <c r="J32" s="37">
        <v>15</v>
      </c>
      <c r="K32" s="83">
        <f t="shared" si="8"/>
        <v>15.013698630136986</v>
      </c>
      <c r="L32" s="37">
        <f t="shared" si="2"/>
        <v>-1.3698630136985912E-2</v>
      </c>
      <c r="M32" s="84">
        <f t="shared" si="3"/>
        <v>0</v>
      </c>
      <c r="N32" s="388">
        <f t="shared" si="4"/>
        <v>0</v>
      </c>
      <c r="O32" s="335" t="s">
        <v>12</v>
      </c>
      <c r="P32" s="170"/>
    </row>
    <row r="33" spans="1:16" ht="15" customHeight="1" x14ac:dyDescent="0.2">
      <c r="A33" s="77">
        <v>8</v>
      </c>
      <c r="B33" s="79" t="s">
        <v>119</v>
      </c>
      <c r="C33" s="145">
        <v>9360</v>
      </c>
      <c r="D33" s="131">
        <v>38806</v>
      </c>
      <c r="E33" s="166">
        <v>1297.7999999999997</v>
      </c>
      <c r="F33" s="166"/>
      <c r="G33" s="37">
        <f t="shared" si="0"/>
        <v>1297.7999999999997</v>
      </c>
      <c r="H33" s="52">
        <f t="shared" si="5"/>
        <v>468</v>
      </c>
      <c r="I33" s="37">
        <f t="shared" si="7"/>
        <v>829.79999999999973</v>
      </c>
      <c r="J33" s="37">
        <v>15</v>
      </c>
      <c r="K33" s="83">
        <f t="shared" si="8"/>
        <v>15.013698630136986</v>
      </c>
      <c r="L33" s="37">
        <f t="shared" si="2"/>
        <v>-1.3698630136985912E-2</v>
      </c>
      <c r="M33" s="84">
        <f t="shared" si="3"/>
        <v>0</v>
      </c>
      <c r="N33" s="37">
        <f t="shared" si="4"/>
        <v>0</v>
      </c>
      <c r="O33" s="335"/>
      <c r="P33" s="170"/>
    </row>
    <row r="34" spans="1:16" ht="15" customHeight="1" x14ac:dyDescent="0.2">
      <c r="A34" s="77"/>
      <c r="B34" s="132" t="s">
        <v>120</v>
      </c>
      <c r="C34" s="145">
        <v>11741</v>
      </c>
      <c r="D34" s="131">
        <v>38806</v>
      </c>
      <c r="E34" s="166">
        <v>1630.23</v>
      </c>
      <c r="F34" s="166"/>
      <c r="G34" s="37">
        <f t="shared" si="0"/>
        <v>1630.23</v>
      </c>
      <c r="H34" s="52">
        <f t="shared" si="5"/>
        <v>587.05000000000007</v>
      </c>
      <c r="I34" s="37">
        <f t="shared" si="7"/>
        <v>1043.1799999999998</v>
      </c>
      <c r="J34" s="37">
        <v>15</v>
      </c>
      <c r="K34" s="83">
        <f t="shared" si="8"/>
        <v>15.013698630136986</v>
      </c>
      <c r="L34" s="37">
        <f t="shared" si="2"/>
        <v>-1.3698630136985912E-2</v>
      </c>
      <c r="M34" s="84">
        <f t="shared" si="3"/>
        <v>0</v>
      </c>
      <c r="N34" s="37">
        <f t="shared" si="4"/>
        <v>0</v>
      </c>
      <c r="O34" s="335"/>
      <c r="P34" s="170"/>
    </row>
    <row r="35" spans="1:16" ht="15" customHeight="1" x14ac:dyDescent="0.2">
      <c r="A35" s="77"/>
      <c r="B35" s="79" t="s">
        <v>121</v>
      </c>
      <c r="C35" s="145">
        <v>15149</v>
      </c>
      <c r="D35" s="131">
        <v>38806</v>
      </c>
      <c r="E35" s="166">
        <v>2101.4699999999998</v>
      </c>
      <c r="F35" s="166"/>
      <c r="G35" s="37">
        <f t="shared" si="0"/>
        <v>2101.4699999999998</v>
      </c>
      <c r="H35" s="52">
        <f t="shared" si="5"/>
        <v>757.45</v>
      </c>
      <c r="I35" s="37">
        <f t="shared" si="7"/>
        <v>1344.0199999999998</v>
      </c>
      <c r="J35" s="37">
        <v>15</v>
      </c>
      <c r="K35" s="83">
        <f t="shared" si="8"/>
        <v>15.013698630136986</v>
      </c>
      <c r="L35" s="37">
        <f t="shared" si="2"/>
        <v>-1.3698630136985912E-2</v>
      </c>
      <c r="M35" s="84">
        <f t="shared" si="3"/>
        <v>0</v>
      </c>
      <c r="N35" s="37">
        <f t="shared" si="4"/>
        <v>0</v>
      </c>
      <c r="O35" s="335"/>
      <c r="P35" s="170"/>
    </row>
    <row r="36" spans="1:16" ht="15" customHeight="1" x14ac:dyDescent="0.2">
      <c r="A36" s="77"/>
      <c r="B36" s="79" t="s">
        <v>122</v>
      </c>
      <c r="C36" s="145">
        <v>285953</v>
      </c>
      <c r="D36" s="131">
        <v>39161</v>
      </c>
      <c r="E36" s="166">
        <v>48458.394698630123</v>
      </c>
      <c r="F36" s="166"/>
      <c r="G36" s="37">
        <f t="shared" si="0"/>
        <v>44671.394698630123</v>
      </c>
      <c r="H36" s="52">
        <f t="shared" si="5"/>
        <v>14297.650000000001</v>
      </c>
      <c r="I36" s="37">
        <f t="shared" si="7"/>
        <v>34160.744698630122</v>
      </c>
      <c r="J36" s="37">
        <v>15</v>
      </c>
      <c r="K36" s="83">
        <f t="shared" si="8"/>
        <v>14.04109589041096</v>
      </c>
      <c r="L36" s="37">
        <f t="shared" si="2"/>
        <v>0.95890410958904049</v>
      </c>
      <c r="M36" s="84">
        <f t="shared" si="3"/>
        <v>7.815116911638964E-2</v>
      </c>
      <c r="N36" s="37">
        <f t="shared" si="4"/>
        <v>3787</v>
      </c>
      <c r="O36" s="335"/>
      <c r="P36" s="170"/>
    </row>
    <row r="37" spans="1:16" ht="15" customHeight="1" x14ac:dyDescent="0.2">
      <c r="A37" s="77"/>
      <c r="B37" s="132" t="s">
        <v>123</v>
      </c>
      <c r="C37" s="145">
        <v>8323</v>
      </c>
      <c r="D37" s="131">
        <v>39562</v>
      </c>
      <c r="E37" s="166">
        <v>1732.594352250489</v>
      </c>
      <c r="F37" s="166"/>
      <c r="G37" s="37">
        <f t="shared" si="0"/>
        <v>1575.594352250489</v>
      </c>
      <c r="H37" s="52">
        <f t="shared" si="5"/>
        <v>416.15000000000003</v>
      </c>
      <c r="I37" s="37">
        <f t="shared" si="7"/>
        <v>1316.4443522504889</v>
      </c>
      <c r="J37" s="37">
        <v>15</v>
      </c>
      <c r="K37" s="83">
        <f t="shared" si="8"/>
        <v>12.942465753424658</v>
      </c>
      <c r="L37" s="37">
        <f t="shared" si="2"/>
        <v>2.0575342465753419</v>
      </c>
      <c r="M37" s="84">
        <f t="shared" si="3"/>
        <v>9.0707657717022938E-2</v>
      </c>
      <c r="N37" s="37">
        <f t="shared" si="4"/>
        <v>157</v>
      </c>
      <c r="O37" s="335"/>
      <c r="P37" s="170"/>
    </row>
    <row r="38" spans="1:16" ht="15" customHeight="1" x14ac:dyDescent="0.2">
      <c r="A38" s="77"/>
      <c r="B38" s="132" t="s">
        <v>124</v>
      </c>
      <c r="C38" s="145">
        <v>5361</v>
      </c>
      <c r="D38" s="131">
        <v>39827</v>
      </c>
      <c r="E38" s="166">
        <v>1285.6960787671235</v>
      </c>
      <c r="F38" s="166"/>
      <c r="G38" s="37">
        <f t="shared" si="0"/>
        <v>1157.6960787671235</v>
      </c>
      <c r="H38" s="52">
        <f t="shared" si="5"/>
        <v>268.05</v>
      </c>
      <c r="I38" s="37">
        <f t="shared" si="7"/>
        <v>1017.6460787671235</v>
      </c>
      <c r="J38" s="37">
        <v>15</v>
      </c>
      <c r="K38" s="83">
        <f t="shared" si="8"/>
        <v>12.216438356164383</v>
      </c>
      <c r="L38" s="37">
        <f t="shared" si="2"/>
        <v>2.7835616438356166</v>
      </c>
      <c r="M38" s="84">
        <f t="shared" si="3"/>
        <v>9.9248142989145305E-2</v>
      </c>
      <c r="N38" s="37">
        <f t="shared" si="4"/>
        <v>128</v>
      </c>
      <c r="O38" s="335"/>
      <c r="P38" s="170"/>
    </row>
    <row r="39" spans="1:16" ht="15" customHeight="1" x14ac:dyDescent="0.2">
      <c r="A39" s="77"/>
      <c r="B39" s="124" t="s">
        <v>125</v>
      </c>
      <c r="C39" s="173">
        <v>23194</v>
      </c>
      <c r="D39" s="126">
        <v>38928</v>
      </c>
      <c r="E39" s="166">
        <v>3293.62</v>
      </c>
      <c r="F39" s="166"/>
      <c r="G39" s="37">
        <f t="shared" si="0"/>
        <v>3072.62</v>
      </c>
      <c r="H39" s="52">
        <f t="shared" si="5"/>
        <v>1159.7</v>
      </c>
      <c r="I39" s="37">
        <f t="shared" si="7"/>
        <v>2133.92</v>
      </c>
      <c r="J39" s="37">
        <v>15</v>
      </c>
      <c r="K39" s="83">
        <f t="shared" si="8"/>
        <v>14.67945205479452</v>
      </c>
      <c r="L39" s="37">
        <f t="shared" si="2"/>
        <v>0.32054794520547958</v>
      </c>
      <c r="M39" s="84">
        <f t="shared" si="3"/>
        <v>6.7222322387418987E-2</v>
      </c>
      <c r="N39" s="388">
        <f t="shared" si="4"/>
        <v>221</v>
      </c>
      <c r="O39" s="335" t="s">
        <v>12</v>
      </c>
      <c r="P39" s="170"/>
    </row>
    <row r="40" spans="1:16" ht="15" customHeight="1" x14ac:dyDescent="0.2">
      <c r="A40" s="77"/>
      <c r="B40" s="79" t="s">
        <v>126</v>
      </c>
      <c r="C40" s="145">
        <v>350915</v>
      </c>
      <c r="D40" s="131">
        <v>38943</v>
      </c>
      <c r="E40" s="166">
        <v>49968.05</v>
      </c>
      <c r="F40" s="166"/>
      <c r="G40" s="37">
        <f t="shared" si="0"/>
        <v>46600.05</v>
      </c>
      <c r="H40" s="52">
        <f t="shared" si="5"/>
        <v>17545.75</v>
      </c>
      <c r="I40" s="37">
        <f t="shared" si="7"/>
        <v>32422.300000000003</v>
      </c>
      <c r="J40" s="37">
        <v>15</v>
      </c>
      <c r="K40" s="83">
        <f t="shared" si="8"/>
        <v>14.638356164383561</v>
      </c>
      <c r="L40" s="37">
        <f t="shared" si="2"/>
        <v>0.36164383561643909</v>
      </c>
      <c r="M40" s="84">
        <f t="shared" si="3"/>
        <v>6.7393075526163693E-2</v>
      </c>
      <c r="N40" s="37">
        <f t="shared" si="4"/>
        <v>3368</v>
      </c>
      <c r="O40" s="335"/>
      <c r="P40" s="170"/>
    </row>
    <row r="41" spans="1:16" ht="15" customHeight="1" x14ac:dyDescent="0.2">
      <c r="A41" s="77"/>
      <c r="B41" s="79" t="s">
        <v>127</v>
      </c>
      <c r="C41" s="145">
        <v>45965</v>
      </c>
      <c r="D41" s="131">
        <v>38943</v>
      </c>
      <c r="E41" s="166">
        <v>6167.1378356164369</v>
      </c>
      <c r="F41" s="166"/>
      <c r="G41" s="37">
        <f t="shared" si="0"/>
        <v>5774.1378356164369</v>
      </c>
      <c r="H41" s="52">
        <f t="shared" si="5"/>
        <v>2298.25</v>
      </c>
      <c r="I41" s="37">
        <f t="shared" si="7"/>
        <v>3868.8878356164369</v>
      </c>
      <c r="J41" s="37">
        <v>15</v>
      </c>
      <c r="K41" s="83">
        <f t="shared" si="8"/>
        <v>14.638356164383561</v>
      </c>
      <c r="L41" s="37">
        <f t="shared" si="2"/>
        <v>0.36164383561643909</v>
      </c>
      <c r="M41" s="84">
        <f t="shared" si="3"/>
        <v>6.3687314107198301E-2</v>
      </c>
      <c r="N41" s="37">
        <f t="shared" si="4"/>
        <v>393</v>
      </c>
      <c r="O41" s="335"/>
      <c r="P41" s="170"/>
    </row>
    <row r="42" spans="1:16" ht="15" customHeight="1" x14ac:dyDescent="0.2">
      <c r="A42" s="77"/>
      <c r="B42" s="79" t="s">
        <v>128</v>
      </c>
      <c r="C42" s="145">
        <v>40297</v>
      </c>
      <c r="D42" s="131">
        <v>38943</v>
      </c>
      <c r="E42" s="166">
        <v>5407.5994465753429</v>
      </c>
      <c r="F42" s="166"/>
      <c r="G42" s="37">
        <f t="shared" si="0"/>
        <v>5063.5994465753429</v>
      </c>
      <c r="H42" s="52">
        <f t="shared" si="5"/>
        <v>2014.8500000000001</v>
      </c>
      <c r="I42" s="37">
        <f t="shared" si="7"/>
        <v>3392.7494465753425</v>
      </c>
      <c r="J42" s="37">
        <v>15</v>
      </c>
      <c r="K42" s="83">
        <f t="shared" si="8"/>
        <v>14.638356164383561</v>
      </c>
      <c r="L42" s="37">
        <f t="shared" si="2"/>
        <v>0.36164383561643909</v>
      </c>
      <c r="M42" s="84">
        <f t="shared" si="3"/>
        <v>6.3698152532608465E-2</v>
      </c>
      <c r="N42" s="37">
        <f t="shared" si="4"/>
        <v>344</v>
      </c>
      <c r="O42" s="335"/>
      <c r="P42" s="170"/>
    </row>
    <row r="43" spans="1:16" ht="15" customHeight="1" x14ac:dyDescent="0.2">
      <c r="A43" s="77"/>
      <c r="B43" s="79" t="s">
        <v>129</v>
      </c>
      <c r="C43" s="145">
        <v>40040</v>
      </c>
      <c r="D43" s="131">
        <v>38840</v>
      </c>
      <c r="E43" s="166">
        <v>5263.0968767123286</v>
      </c>
      <c r="F43" s="166"/>
      <c r="G43" s="37">
        <f t="shared" si="0"/>
        <v>4935.0968767123286</v>
      </c>
      <c r="H43" s="52">
        <f t="shared" si="5"/>
        <v>2002</v>
      </c>
      <c r="I43" s="37">
        <f t="shared" si="7"/>
        <v>3261.0968767123286</v>
      </c>
      <c r="J43" s="37">
        <v>15</v>
      </c>
      <c r="K43" s="83">
        <f t="shared" si="8"/>
        <v>14.920547945205479</v>
      </c>
      <c r="L43" s="37">
        <f t="shared" si="2"/>
        <v>7.9452054794520777E-2</v>
      </c>
      <c r="M43" s="84">
        <f t="shared" si="3"/>
        <v>6.2405939992588144E-2</v>
      </c>
      <c r="N43" s="37">
        <f t="shared" si="4"/>
        <v>328</v>
      </c>
      <c r="O43" s="335"/>
      <c r="P43" s="170"/>
    </row>
    <row r="44" spans="1:16" ht="15" customHeight="1" x14ac:dyDescent="0.2">
      <c r="A44" s="77"/>
      <c r="B44" s="79" t="s">
        <v>130</v>
      </c>
      <c r="C44" s="145">
        <v>19529</v>
      </c>
      <c r="D44" s="131">
        <v>38867</v>
      </c>
      <c r="E44" s="166">
        <v>2741.0699999999997</v>
      </c>
      <c r="F44" s="166"/>
      <c r="G44" s="37">
        <f t="shared" si="0"/>
        <v>2559.0699999999997</v>
      </c>
      <c r="H44" s="52">
        <f t="shared" si="5"/>
        <v>976.45</v>
      </c>
      <c r="I44" s="37">
        <f t="shared" si="7"/>
        <v>1764.6199999999997</v>
      </c>
      <c r="J44" s="37">
        <v>15</v>
      </c>
      <c r="K44" s="83">
        <f t="shared" si="8"/>
        <v>14.846575342465753</v>
      </c>
      <c r="L44" s="37">
        <f t="shared" si="2"/>
        <v>0.15342465753424683</v>
      </c>
      <c r="M44" s="84">
        <f t="shared" si="3"/>
        <v>6.6497843510899379E-2</v>
      </c>
      <c r="N44" s="37">
        <f t="shared" si="4"/>
        <v>182</v>
      </c>
      <c r="O44" s="335"/>
      <c r="P44" s="170"/>
    </row>
    <row r="45" spans="1:16" ht="15" customHeight="1" x14ac:dyDescent="0.2">
      <c r="A45" s="70"/>
      <c r="B45" s="79" t="s">
        <v>131</v>
      </c>
      <c r="C45" s="145">
        <v>12066</v>
      </c>
      <c r="D45" s="131">
        <v>38822</v>
      </c>
      <c r="E45" s="166">
        <v>1679.7800000000002</v>
      </c>
      <c r="F45" s="166"/>
      <c r="G45" s="37">
        <f t="shared" si="0"/>
        <v>1568.7800000000002</v>
      </c>
      <c r="H45" s="52">
        <f t="shared" si="5"/>
        <v>603.30000000000007</v>
      </c>
      <c r="I45" s="37">
        <f t="shared" si="7"/>
        <v>1076.48</v>
      </c>
      <c r="J45" s="37">
        <v>15</v>
      </c>
      <c r="K45" s="83">
        <f t="shared" si="8"/>
        <v>14.96986301369863</v>
      </c>
      <c r="L45" s="37">
        <f t="shared" si="2"/>
        <v>3.0136986301370072E-2</v>
      </c>
      <c r="M45" s="84">
        <f t="shared" si="3"/>
        <v>6.5988848888455021E-2</v>
      </c>
      <c r="N45" s="37">
        <f t="shared" si="4"/>
        <v>111</v>
      </c>
      <c r="O45" s="335"/>
      <c r="P45" s="170"/>
    </row>
    <row r="46" spans="1:16" ht="15" customHeight="1" x14ac:dyDescent="0.2">
      <c r="A46" s="171">
        <v>26</v>
      </c>
      <c r="B46" s="79" t="s">
        <v>132</v>
      </c>
      <c r="C46" s="145">
        <v>14458</v>
      </c>
      <c r="D46" s="131">
        <v>38867</v>
      </c>
      <c r="E46" s="166">
        <v>2029.7399999999998</v>
      </c>
      <c r="F46" s="166"/>
      <c r="G46" s="37">
        <f t="shared" si="0"/>
        <v>1894.7399999999998</v>
      </c>
      <c r="H46" s="52">
        <f t="shared" si="5"/>
        <v>722.90000000000009</v>
      </c>
      <c r="I46" s="37">
        <f t="shared" si="7"/>
        <v>1306.8399999999997</v>
      </c>
      <c r="J46" s="37">
        <v>15</v>
      </c>
      <c r="K46" s="83">
        <f t="shared" si="8"/>
        <v>14.846575342465753</v>
      </c>
      <c r="L46" s="37">
        <f t="shared" si="2"/>
        <v>0.15342465753424683</v>
      </c>
      <c r="M46" s="84">
        <f t="shared" si="3"/>
        <v>6.6511036705484083E-2</v>
      </c>
      <c r="N46" s="37">
        <f t="shared" si="4"/>
        <v>135</v>
      </c>
      <c r="O46" s="335"/>
      <c r="P46" s="170"/>
    </row>
    <row r="47" spans="1:16" ht="15" customHeight="1" x14ac:dyDescent="0.2">
      <c r="A47" s="171">
        <v>27</v>
      </c>
      <c r="B47" s="79" t="s">
        <v>133</v>
      </c>
      <c r="C47" s="145">
        <v>495174</v>
      </c>
      <c r="D47" s="131">
        <v>38886</v>
      </c>
      <c r="E47" s="166">
        <v>65697.472098630125</v>
      </c>
      <c r="F47" s="166"/>
      <c r="G47" s="37">
        <f t="shared" si="0"/>
        <v>61559.472098630125</v>
      </c>
      <c r="H47" s="52">
        <f t="shared" si="5"/>
        <v>24758.7</v>
      </c>
      <c r="I47" s="37">
        <f t="shared" si="7"/>
        <v>40938.772098630128</v>
      </c>
      <c r="J47" s="37">
        <v>15</v>
      </c>
      <c r="K47" s="83">
        <f t="shared" si="8"/>
        <v>14.794520547945206</v>
      </c>
      <c r="L47" s="37">
        <f t="shared" si="2"/>
        <v>0.20547945205479401</v>
      </c>
      <c r="M47" s="84">
        <f t="shared" si="3"/>
        <v>6.298772864073221E-2</v>
      </c>
      <c r="N47" s="37">
        <f t="shared" si="4"/>
        <v>4138</v>
      </c>
      <c r="O47" s="335"/>
      <c r="P47" s="170"/>
    </row>
    <row r="48" spans="1:16" ht="15" customHeight="1" x14ac:dyDescent="0.2">
      <c r="A48" s="77">
        <v>9</v>
      </c>
      <c r="B48" s="79" t="s">
        <v>134</v>
      </c>
      <c r="C48" s="145">
        <v>188588</v>
      </c>
      <c r="D48" s="131">
        <v>38886</v>
      </c>
      <c r="E48" s="166">
        <v>25022.193950684938</v>
      </c>
      <c r="F48" s="166"/>
      <c r="G48" s="37">
        <f t="shared" si="0"/>
        <v>23446.193950684938</v>
      </c>
      <c r="H48" s="52">
        <f t="shared" si="5"/>
        <v>9429.4</v>
      </c>
      <c r="I48" s="37">
        <f t="shared" si="7"/>
        <v>15592.793950684938</v>
      </c>
      <c r="J48" s="37">
        <v>15</v>
      </c>
      <c r="K48" s="83">
        <f t="shared" si="8"/>
        <v>14.794520547945206</v>
      </c>
      <c r="L48" s="37">
        <f t="shared" si="2"/>
        <v>0.20547945205479401</v>
      </c>
      <c r="M48" s="84">
        <f t="shared" si="3"/>
        <v>6.2990678054081317E-2</v>
      </c>
      <c r="N48" s="37">
        <f t="shared" si="4"/>
        <v>1576</v>
      </c>
      <c r="O48" s="335"/>
      <c r="P48" s="170"/>
    </row>
    <row r="49" spans="1:16" ht="15" customHeight="1" x14ac:dyDescent="0.2">
      <c r="A49" s="77"/>
      <c r="B49" s="79" t="s">
        <v>135</v>
      </c>
      <c r="C49" s="145">
        <v>34563</v>
      </c>
      <c r="D49" s="131">
        <v>38886</v>
      </c>
      <c r="E49" s="166">
        <v>4585.2751835616436</v>
      </c>
      <c r="F49" s="166"/>
      <c r="G49" s="37">
        <f t="shared" si="0"/>
        <v>4296.2751835616436</v>
      </c>
      <c r="H49" s="52">
        <f t="shared" si="5"/>
        <v>1728.15</v>
      </c>
      <c r="I49" s="37">
        <f t="shared" si="7"/>
        <v>2857.1251835616436</v>
      </c>
      <c r="J49" s="37">
        <v>15</v>
      </c>
      <c r="K49" s="83">
        <f t="shared" si="8"/>
        <v>14.794520547945206</v>
      </c>
      <c r="L49" s="37">
        <f t="shared" si="2"/>
        <v>0.20547945205479401</v>
      </c>
      <c r="M49" s="84">
        <f t="shared" si="3"/>
        <v>6.2982427887354198E-2</v>
      </c>
      <c r="N49" s="37">
        <f t="shared" si="4"/>
        <v>289</v>
      </c>
      <c r="O49" s="335"/>
      <c r="P49" s="170"/>
    </row>
    <row r="50" spans="1:16" ht="15" customHeight="1" x14ac:dyDescent="0.2">
      <c r="A50" s="77"/>
      <c r="B50" s="124" t="s">
        <v>136</v>
      </c>
      <c r="C50" s="173">
        <v>7100</v>
      </c>
      <c r="D50" s="126">
        <v>39079</v>
      </c>
      <c r="E50" s="166">
        <v>0</v>
      </c>
      <c r="F50" s="166"/>
      <c r="G50" s="37">
        <f t="shared" si="0"/>
        <v>0</v>
      </c>
      <c r="H50" s="52">
        <f t="shared" si="5"/>
        <v>355</v>
      </c>
      <c r="I50" s="37">
        <f>+E50</f>
        <v>0</v>
      </c>
      <c r="J50" s="37">
        <v>15</v>
      </c>
      <c r="K50" s="83">
        <f t="shared" si="8"/>
        <v>14.265753424657534</v>
      </c>
      <c r="L50" s="37">
        <f t="shared" si="2"/>
        <v>0.73424657534246585</v>
      </c>
      <c r="M50" s="84">
        <v>0</v>
      </c>
      <c r="N50" s="388">
        <f t="shared" si="4"/>
        <v>0</v>
      </c>
      <c r="O50" s="335" t="s">
        <v>12</v>
      </c>
      <c r="P50" s="170"/>
    </row>
    <row r="51" spans="1:16" ht="15" customHeight="1" x14ac:dyDescent="0.2">
      <c r="A51" s="77">
        <v>13</v>
      </c>
      <c r="B51" s="79" t="s">
        <v>137</v>
      </c>
      <c r="C51" s="145">
        <v>222542</v>
      </c>
      <c r="D51" s="131">
        <v>39099</v>
      </c>
      <c r="E51" s="166">
        <v>39599.549999999996</v>
      </c>
      <c r="F51" s="166"/>
      <c r="G51" s="37">
        <f t="shared" si="0"/>
        <v>36386.549999999996</v>
      </c>
      <c r="H51" s="52">
        <f t="shared" si="5"/>
        <v>11127.1</v>
      </c>
      <c r="I51" s="37">
        <f t="shared" si="7"/>
        <v>28472.449999999997</v>
      </c>
      <c r="J51" s="37">
        <v>15</v>
      </c>
      <c r="K51" s="83">
        <f t="shared" si="8"/>
        <v>14.210958904109589</v>
      </c>
      <c r="L51" s="37">
        <f t="shared" si="2"/>
        <v>0.78904109589041127</v>
      </c>
      <c r="M51" s="84">
        <f t="shared" si="3"/>
        <v>8.1146834107002297E-2</v>
      </c>
      <c r="N51" s="37">
        <f t="shared" si="4"/>
        <v>3213</v>
      </c>
      <c r="O51" s="335"/>
      <c r="P51" s="170"/>
    </row>
    <row r="52" spans="1:16" ht="15" customHeight="1" x14ac:dyDescent="0.2">
      <c r="A52" s="77"/>
      <c r="B52" s="342" t="s">
        <v>138</v>
      </c>
      <c r="C52" s="350">
        <v>39250</v>
      </c>
      <c r="D52" s="344">
        <v>39126</v>
      </c>
      <c r="E52" s="345">
        <v>7021.25</v>
      </c>
      <c r="F52" s="345"/>
      <c r="G52" s="346">
        <f t="shared" si="0"/>
        <v>6449.25</v>
      </c>
      <c r="H52" s="347">
        <f t="shared" si="5"/>
        <v>1962.5</v>
      </c>
      <c r="I52" s="346">
        <f t="shared" si="7"/>
        <v>5058.75</v>
      </c>
      <c r="J52" s="346">
        <v>15</v>
      </c>
      <c r="K52" s="348">
        <f t="shared" si="8"/>
        <v>14.136986301369863</v>
      </c>
      <c r="L52" s="346">
        <f t="shared" si="2"/>
        <v>0.86301369863013733</v>
      </c>
      <c r="M52" s="349">
        <f t="shared" si="3"/>
        <v>8.1470698114213258E-2</v>
      </c>
      <c r="N52" s="387">
        <f t="shared" si="4"/>
        <v>572</v>
      </c>
      <c r="O52" s="389" t="s">
        <v>606</v>
      </c>
      <c r="P52" s="170"/>
    </row>
    <row r="53" spans="1:16" ht="15" customHeight="1" x14ac:dyDescent="0.2">
      <c r="A53" s="77"/>
      <c r="B53" s="172" t="s">
        <v>139</v>
      </c>
      <c r="C53" s="173">
        <v>138137</v>
      </c>
      <c r="D53" s="126">
        <v>39291</v>
      </c>
      <c r="E53" s="166">
        <v>15649.424999999996</v>
      </c>
      <c r="F53" s="166"/>
      <c r="G53" s="37">
        <f t="shared" si="0"/>
        <v>14819.424999999996</v>
      </c>
      <c r="H53" s="52">
        <f t="shared" si="5"/>
        <v>6906.85</v>
      </c>
      <c r="I53" s="37">
        <f t="shared" si="7"/>
        <v>8742.5749999999953</v>
      </c>
      <c r="J53" s="37">
        <v>15</v>
      </c>
      <c r="K53" s="83">
        <f t="shared" si="8"/>
        <v>13.684931506849315</v>
      </c>
      <c r="L53" s="37">
        <f t="shared" si="2"/>
        <v>1.3150684931506849</v>
      </c>
      <c r="M53" s="84">
        <f t="shared" si="3"/>
        <v>5.3068037320374128E-2</v>
      </c>
      <c r="N53" s="37">
        <f t="shared" si="4"/>
        <v>830</v>
      </c>
      <c r="O53" s="335"/>
      <c r="P53" s="170"/>
    </row>
    <row r="54" spans="1:16" ht="15" customHeight="1" x14ac:dyDescent="0.2">
      <c r="A54" s="77"/>
      <c r="B54" s="174" t="s">
        <v>140</v>
      </c>
      <c r="C54" s="145">
        <v>192290</v>
      </c>
      <c r="D54" s="131">
        <v>39301</v>
      </c>
      <c r="E54" s="166">
        <v>35535.75</v>
      </c>
      <c r="F54" s="166"/>
      <c r="G54" s="37">
        <f t="shared" si="0"/>
        <v>32569.75</v>
      </c>
      <c r="H54" s="52">
        <f t="shared" si="5"/>
        <v>9614.5</v>
      </c>
      <c r="I54" s="37">
        <f t="shared" si="7"/>
        <v>25921.25</v>
      </c>
      <c r="J54" s="37">
        <v>15</v>
      </c>
      <c r="K54" s="83">
        <f t="shared" si="8"/>
        <v>13.657534246575343</v>
      </c>
      <c r="L54" s="37">
        <f t="shared" si="2"/>
        <v>1.3424657534246567</v>
      </c>
      <c r="M54" s="84">
        <f t="shared" si="3"/>
        <v>8.3461425589027805E-2</v>
      </c>
      <c r="N54" s="37">
        <f t="shared" si="4"/>
        <v>2966</v>
      </c>
      <c r="O54" s="335"/>
      <c r="P54" s="170"/>
    </row>
    <row r="55" spans="1:16" ht="15" customHeight="1" x14ac:dyDescent="0.2">
      <c r="A55" s="77"/>
      <c r="B55" s="175" t="s">
        <v>141</v>
      </c>
      <c r="C55" s="145">
        <v>11840</v>
      </c>
      <c r="D55" s="131">
        <v>39599</v>
      </c>
      <c r="E55" s="166">
        <v>2629.2857142857147</v>
      </c>
      <c r="F55" s="166"/>
      <c r="G55" s="37">
        <f t="shared" si="0"/>
        <v>2380.2857142857147</v>
      </c>
      <c r="H55" s="52">
        <f t="shared" si="5"/>
        <v>592</v>
      </c>
      <c r="I55" s="37">
        <f t="shared" si="7"/>
        <v>2037.2857142857147</v>
      </c>
      <c r="J55" s="37">
        <v>15</v>
      </c>
      <c r="K55" s="83">
        <f t="shared" si="8"/>
        <v>12.841095890410958</v>
      </c>
      <c r="L55" s="37">
        <f t="shared" si="2"/>
        <v>2.1589041095890416</v>
      </c>
      <c r="M55" s="84">
        <f t="shared" si="3"/>
        <v>9.4617154280448257E-2</v>
      </c>
      <c r="N55" s="37">
        <f t="shared" si="4"/>
        <v>249</v>
      </c>
      <c r="O55" s="335"/>
      <c r="P55" s="170"/>
    </row>
    <row r="56" spans="1:16" ht="15" customHeight="1" x14ac:dyDescent="0.2">
      <c r="A56" s="77"/>
      <c r="B56" s="352" t="s">
        <v>142</v>
      </c>
      <c r="C56" s="350">
        <v>51286</v>
      </c>
      <c r="D56" s="344">
        <v>39366</v>
      </c>
      <c r="E56" s="345">
        <v>10913.271428571428</v>
      </c>
      <c r="F56" s="345"/>
      <c r="G56" s="346">
        <f t="shared" si="0"/>
        <v>9909.2714285714283</v>
      </c>
      <c r="H56" s="347">
        <f t="shared" si="5"/>
        <v>2564.3000000000002</v>
      </c>
      <c r="I56" s="346">
        <f t="shared" si="7"/>
        <v>8348.971428571429</v>
      </c>
      <c r="J56" s="346">
        <v>15</v>
      </c>
      <c r="K56" s="348">
        <f t="shared" si="8"/>
        <v>13.479452054794521</v>
      </c>
      <c r="L56" s="346">
        <f t="shared" si="2"/>
        <v>1.5205479452054789</v>
      </c>
      <c r="M56" s="349">
        <f t="shared" si="3"/>
        <v>9.203816959606681E-2</v>
      </c>
      <c r="N56" s="387">
        <f t="shared" si="4"/>
        <v>1004</v>
      </c>
      <c r="O56" s="389" t="s">
        <v>606</v>
      </c>
      <c r="P56" s="170"/>
    </row>
    <row r="57" spans="1:16" ht="15" customHeight="1" x14ac:dyDescent="0.2">
      <c r="A57" s="77"/>
      <c r="B57" s="174" t="s">
        <v>143</v>
      </c>
      <c r="C57" s="145">
        <v>52067</v>
      </c>
      <c r="D57" s="131">
        <v>39478</v>
      </c>
      <c r="E57" s="166">
        <v>11310.007142857141</v>
      </c>
      <c r="F57" s="166"/>
      <c r="G57" s="37">
        <f t="shared" si="0"/>
        <v>10255.007142857141</v>
      </c>
      <c r="H57" s="52">
        <f t="shared" si="5"/>
        <v>2603.3500000000004</v>
      </c>
      <c r="I57" s="37">
        <f t="shared" si="7"/>
        <v>8706.6571428571406</v>
      </c>
      <c r="J57" s="37">
        <v>15</v>
      </c>
      <c r="K57" s="83">
        <f t="shared" si="8"/>
        <v>13.172602739726027</v>
      </c>
      <c r="L57" s="37">
        <f t="shared" si="2"/>
        <v>1.8273972602739725</v>
      </c>
      <c r="M57" s="84">
        <f t="shared" si="3"/>
        <v>9.3283931895475125E-2</v>
      </c>
      <c r="N57" s="37">
        <f t="shared" si="4"/>
        <v>1055</v>
      </c>
      <c r="O57" s="335"/>
      <c r="P57" s="170"/>
    </row>
    <row r="58" spans="1:16" ht="15" customHeight="1" x14ac:dyDescent="0.2">
      <c r="A58" s="77"/>
      <c r="B58" s="175" t="s">
        <v>144</v>
      </c>
      <c r="C58" s="145">
        <v>69905</v>
      </c>
      <c r="D58" s="131">
        <v>39331</v>
      </c>
      <c r="E58" s="166">
        <v>12989.625</v>
      </c>
      <c r="F58" s="166"/>
      <c r="G58" s="37">
        <f t="shared" si="0"/>
        <v>11901.625</v>
      </c>
      <c r="H58" s="52">
        <f t="shared" si="5"/>
        <v>3495.25</v>
      </c>
      <c r="I58" s="37">
        <f t="shared" si="7"/>
        <v>9494.375</v>
      </c>
      <c r="J58" s="37">
        <v>15</v>
      </c>
      <c r="K58" s="83">
        <f t="shared" si="8"/>
        <v>13.575342465753424</v>
      </c>
      <c r="L58" s="37">
        <f t="shared" si="2"/>
        <v>1.4246575342465757</v>
      </c>
      <c r="M58" s="84">
        <f t="shared" si="3"/>
        <v>8.37961577592653E-2</v>
      </c>
      <c r="N58" s="37">
        <f t="shared" si="4"/>
        <v>1088</v>
      </c>
      <c r="O58" s="335"/>
      <c r="P58" s="170"/>
    </row>
    <row r="59" spans="1:16" ht="15" customHeight="1" x14ac:dyDescent="0.2">
      <c r="A59" s="77"/>
      <c r="B59" s="342" t="s">
        <v>145</v>
      </c>
      <c r="C59" s="350">
        <v>57935</v>
      </c>
      <c r="D59" s="344">
        <v>39338</v>
      </c>
      <c r="E59" s="345">
        <v>10779.374999999998</v>
      </c>
      <c r="F59" s="345"/>
      <c r="G59" s="346">
        <f t="shared" si="0"/>
        <v>9875.3749999999982</v>
      </c>
      <c r="H59" s="347">
        <f t="shared" si="5"/>
        <v>2896.75</v>
      </c>
      <c r="I59" s="346">
        <f t="shared" si="7"/>
        <v>7882.6249999999982</v>
      </c>
      <c r="J59" s="346">
        <v>15</v>
      </c>
      <c r="K59" s="348">
        <f t="shared" si="8"/>
        <v>13.556164383561644</v>
      </c>
      <c r="L59" s="346">
        <f t="shared" si="2"/>
        <v>1.4438356164383563</v>
      </c>
      <c r="M59" s="349">
        <f t="shared" si="3"/>
        <v>8.3875504242796439E-2</v>
      </c>
      <c r="N59" s="387">
        <f t="shared" si="4"/>
        <v>904</v>
      </c>
      <c r="O59" s="389" t="s">
        <v>606</v>
      </c>
      <c r="P59" s="170"/>
    </row>
    <row r="60" spans="1:16" ht="15" customHeight="1" x14ac:dyDescent="0.2">
      <c r="A60" s="77"/>
      <c r="B60" s="174" t="s">
        <v>146</v>
      </c>
      <c r="C60" s="145">
        <v>90311</v>
      </c>
      <c r="D60" s="131">
        <v>39251</v>
      </c>
      <c r="E60" s="166">
        <v>16536.432500000003</v>
      </c>
      <c r="F60" s="166"/>
      <c r="G60" s="37">
        <f t="shared" si="0"/>
        <v>15165.432500000003</v>
      </c>
      <c r="H60" s="52">
        <f t="shared" si="5"/>
        <v>4515.55</v>
      </c>
      <c r="I60" s="37">
        <f t="shared" si="7"/>
        <v>12020.882500000003</v>
      </c>
      <c r="J60" s="37">
        <v>15</v>
      </c>
      <c r="K60" s="83">
        <f t="shared" si="8"/>
        <v>13.794520547945206</v>
      </c>
      <c r="L60" s="37">
        <f t="shared" si="2"/>
        <v>1.205479452054794</v>
      </c>
      <c r="M60" s="84">
        <f t="shared" si="3"/>
        <v>8.289740522794764E-2</v>
      </c>
      <c r="N60" s="37">
        <f t="shared" si="4"/>
        <v>1371</v>
      </c>
      <c r="O60" s="335"/>
      <c r="P60" s="170"/>
    </row>
    <row r="61" spans="1:16" ht="15" customHeight="1" x14ac:dyDescent="0.2">
      <c r="A61" s="77"/>
      <c r="B61" s="79" t="s">
        <v>147</v>
      </c>
      <c r="C61" s="145">
        <v>21801</v>
      </c>
      <c r="D61" s="131">
        <v>39389</v>
      </c>
      <c r="E61" s="166">
        <v>4657.8785714285714</v>
      </c>
      <c r="F61" s="166"/>
      <c r="G61" s="37">
        <f t="shared" si="0"/>
        <v>4227.8785714285714</v>
      </c>
      <c r="H61" s="52">
        <f t="shared" si="5"/>
        <v>1090.05</v>
      </c>
      <c r="I61" s="37">
        <f t="shared" si="7"/>
        <v>3567.8285714285712</v>
      </c>
      <c r="J61" s="37">
        <v>15</v>
      </c>
      <c r="K61" s="83">
        <f t="shared" si="8"/>
        <v>13.416438356164383</v>
      </c>
      <c r="L61" s="37">
        <f t="shared" si="2"/>
        <v>1.5835616438356173</v>
      </c>
      <c r="M61" s="84">
        <f t="shared" si="3"/>
        <v>9.2282830014886907E-2</v>
      </c>
      <c r="N61" s="37">
        <f t="shared" si="4"/>
        <v>430</v>
      </c>
      <c r="O61" s="335"/>
      <c r="P61" s="170"/>
    </row>
    <row r="62" spans="1:16" ht="15" customHeight="1" x14ac:dyDescent="0.2">
      <c r="A62" s="70"/>
      <c r="B62" s="79" t="s">
        <v>26</v>
      </c>
      <c r="C62" s="145">
        <v>397758</v>
      </c>
      <c r="D62" s="131">
        <v>39437</v>
      </c>
      <c r="E62" s="166">
        <v>85750.671428571426</v>
      </c>
      <c r="F62" s="166"/>
      <c r="G62" s="37">
        <f t="shared" si="0"/>
        <v>77790.671428571426</v>
      </c>
      <c r="H62" s="52">
        <f t="shared" si="5"/>
        <v>19887.900000000001</v>
      </c>
      <c r="I62" s="37">
        <f t="shared" si="7"/>
        <v>65862.771428571432</v>
      </c>
      <c r="J62" s="37">
        <v>15</v>
      </c>
      <c r="K62" s="83">
        <f t="shared" si="8"/>
        <v>13.284931506849315</v>
      </c>
      <c r="L62" s="37">
        <f t="shared" si="2"/>
        <v>1.7150684931506852</v>
      </c>
      <c r="M62" s="84">
        <f t="shared" si="3"/>
        <v>9.2827047423591158E-2</v>
      </c>
      <c r="N62" s="37">
        <f t="shared" si="4"/>
        <v>7960</v>
      </c>
      <c r="O62" s="335"/>
      <c r="P62" s="170"/>
    </row>
    <row r="63" spans="1:16" s="169" customFormat="1" ht="15" customHeight="1" x14ac:dyDescent="0.2">
      <c r="A63" s="77"/>
      <c r="B63" s="124" t="s">
        <v>148</v>
      </c>
      <c r="C63" s="173">
        <v>236211</v>
      </c>
      <c r="D63" s="126">
        <v>39864</v>
      </c>
      <c r="E63" s="166">
        <v>60306.081250000017</v>
      </c>
      <c r="F63" s="166"/>
      <c r="G63" s="37">
        <f t="shared" si="0"/>
        <v>54095.081250000017</v>
      </c>
      <c r="H63" s="52">
        <f t="shared" si="5"/>
        <v>11810.550000000001</v>
      </c>
      <c r="I63" s="37">
        <f t="shared" si="7"/>
        <v>48495.531250000015</v>
      </c>
      <c r="J63" s="37">
        <v>15</v>
      </c>
      <c r="K63" s="83">
        <f t="shared" si="8"/>
        <v>12.115068493150686</v>
      </c>
      <c r="L63" s="37">
        <f t="shared" si="2"/>
        <v>2.8849315068493144</v>
      </c>
      <c r="M63" s="84">
        <f t="shared" si="3"/>
        <v>0.10299691998897942</v>
      </c>
      <c r="N63" s="388">
        <f t="shared" si="4"/>
        <v>6211</v>
      </c>
      <c r="O63" s="335" t="s">
        <v>12</v>
      </c>
      <c r="P63" s="170"/>
    </row>
    <row r="64" spans="1:16" ht="15" customHeight="1" x14ac:dyDescent="0.2">
      <c r="A64" s="77">
        <v>14</v>
      </c>
      <c r="B64" s="79" t="s">
        <v>149</v>
      </c>
      <c r="C64" s="145">
        <v>121356</v>
      </c>
      <c r="D64" s="131">
        <v>39864</v>
      </c>
      <c r="E64" s="166">
        <v>30982.174999999996</v>
      </c>
      <c r="F64" s="166"/>
      <c r="G64" s="37">
        <f t="shared" si="0"/>
        <v>27791.174999999996</v>
      </c>
      <c r="H64" s="52">
        <f t="shared" si="5"/>
        <v>6067.8</v>
      </c>
      <c r="I64" s="37">
        <f t="shared" si="7"/>
        <v>24914.374999999996</v>
      </c>
      <c r="J64" s="37">
        <v>15</v>
      </c>
      <c r="K64" s="83">
        <f t="shared" si="8"/>
        <v>12.115068493150686</v>
      </c>
      <c r="L64" s="37">
        <f t="shared" si="2"/>
        <v>2.8849315068493144</v>
      </c>
      <c r="M64" s="84">
        <f t="shared" si="3"/>
        <v>0.10299549609817737</v>
      </c>
      <c r="N64" s="37">
        <f t="shared" si="4"/>
        <v>3191</v>
      </c>
      <c r="O64" s="335"/>
      <c r="P64" s="170"/>
    </row>
    <row r="65" spans="1:16" ht="15" customHeight="1" x14ac:dyDescent="0.2">
      <c r="A65" s="77">
        <v>10</v>
      </c>
      <c r="B65" s="79" t="s">
        <v>150</v>
      </c>
      <c r="C65" s="145">
        <v>119045</v>
      </c>
      <c r="D65" s="131">
        <v>40210</v>
      </c>
      <c r="E65" s="166">
        <v>34573.749999999993</v>
      </c>
      <c r="F65" s="166"/>
      <c r="G65" s="37">
        <f t="shared" si="0"/>
        <v>30747.749999999993</v>
      </c>
      <c r="H65" s="52">
        <f t="shared" si="5"/>
        <v>5952.25</v>
      </c>
      <c r="I65" s="37">
        <f t="shared" si="7"/>
        <v>28621.499999999993</v>
      </c>
      <c r="J65" s="37">
        <v>15</v>
      </c>
      <c r="K65" s="83">
        <f t="shared" si="8"/>
        <v>11.167123287671233</v>
      </c>
      <c r="L65" s="37">
        <f t="shared" si="2"/>
        <v>3.8328767123287673</v>
      </c>
      <c r="M65" s="84">
        <f t="shared" si="3"/>
        <v>0.11067129208023774</v>
      </c>
      <c r="N65" s="37">
        <f t="shared" si="4"/>
        <v>3826</v>
      </c>
      <c r="O65" s="335"/>
      <c r="P65" s="170"/>
    </row>
    <row r="66" spans="1:16" ht="15" customHeight="1" x14ac:dyDescent="0.2">
      <c r="A66" s="77"/>
      <c r="B66" s="124" t="s">
        <v>151</v>
      </c>
      <c r="C66" s="145">
        <v>450323</v>
      </c>
      <c r="D66" s="131">
        <v>40264</v>
      </c>
      <c r="E66" s="166">
        <v>125248.85993911722</v>
      </c>
      <c r="F66" s="166"/>
      <c r="G66" s="37">
        <f t="shared" si="0"/>
        <v>111708.85993911722</v>
      </c>
      <c r="H66" s="52">
        <f t="shared" si="5"/>
        <v>22516.15</v>
      </c>
      <c r="I66" s="37">
        <f t="shared" si="7"/>
        <v>102732.70993911722</v>
      </c>
      <c r="J66" s="37">
        <v>15</v>
      </c>
      <c r="K66" s="83">
        <f t="shared" si="8"/>
        <v>11.019178082191781</v>
      </c>
      <c r="L66" s="37">
        <f t="shared" si="2"/>
        <v>3.9808219178082194</v>
      </c>
      <c r="M66" s="84">
        <f t="shared" si="3"/>
        <v>0.10810302671593586</v>
      </c>
      <c r="N66" s="37">
        <f t="shared" si="4"/>
        <v>13540</v>
      </c>
      <c r="O66" s="335"/>
      <c r="P66" s="170"/>
    </row>
    <row r="67" spans="1:16" ht="15" customHeight="1" x14ac:dyDescent="0.2">
      <c r="A67" s="77"/>
      <c r="B67" s="124" t="s">
        <v>152</v>
      </c>
      <c r="C67" s="173">
        <v>225161.66666666666</v>
      </c>
      <c r="D67" s="126">
        <v>40264</v>
      </c>
      <c r="E67" s="166">
        <v>64510.325449010648</v>
      </c>
      <c r="F67" s="166"/>
      <c r="G67" s="37">
        <f t="shared" si="0"/>
        <v>57423.325449010648</v>
      </c>
      <c r="H67" s="52">
        <f t="shared" si="5"/>
        <v>11258.083333333334</v>
      </c>
      <c r="I67" s="37">
        <f t="shared" si="7"/>
        <v>53252.242115677313</v>
      </c>
      <c r="J67" s="37">
        <v>15</v>
      </c>
      <c r="K67" s="83">
        <f t="shared" si="8"/>
        <v>11.019178082191781</v>
      </c>
      <c r="L67" s="37">
        <f t="shared" si="2"/>
        <v>3.9808219178082194</v>
      </c>
      <c r="M67" s="84">
        <f t="shared" si="3"/>
        <v>0.10986540179651516</v>
      </c>
      <c r="N67" s="388">
        <f t="shared" si="4"/>
        <v>7087</v>
      </c>
      <c r="O67" s="335"/>
      <c r="P67" s="170"/>
    </row>
    <row r="68" spans="1:16" ht="15" customHeight="1" x14ac:dyDescent="0.2">
      <c r="A68" s="77">
        <v>11</v>
      </c>
      <c r="B68" s="79" t="s">
        <v>153</v>
      </c>
      <c r="C68" s="145">
        <v>2500</v>
      </c>
      <c r="D68" s="131">
        <v>40538</v>
      </c>
      <c r="E68" s="166">
        <v>761.79999999999973</v>
      </c>
      <c r="F68" s="166"/>
      <c r="G68" s="37">
        <f t="shared" si="0"/>
        <v>675.79999999999973</v>
      </c>
      <c r="H68" s="52">
        <f t="shared" si="5"/>
        <v>125</v>
      </c>
      <c r="I68" s="37">
        <f t="shared" si="7"/>
        <v>636.79999999999973</v>
      </c>
      <c r="J68" s="37">
        <v>15</v>
      </c>
      <c r="K68" s="83">
        <f t="shared" si="8"/>
        <v>10.268493150684931</v>
      </c>
      <c r="L68" s="37">
        <f t="shared" si="2"/>
        <v>4.7315068493150694</v>
      </c>
      <c r="M68" s="84">
        <f t="shared" si="3"/>
        <v>0.11351524853904815</v>
      </c>
      <c r="N68" s="37">
        <f t="shared" si="4"/>
        <v>86</v>
      </c>
      <c r="O68" s="335"/>
      <c r="P68" s="170"/>
    </row>
    <row r="69" spans="1:16" ht="15" customHeight="1" x14ac:dyDescent="0.2">
      <c r="A69" s="77"/>
      <c r="B69" s="79" t="s">
        <v>154</v>
      </c>
      <c r="C69" s="145">
        <v>114513</v>
      </c>
      <c r="D69" s="131">
        <v>40264</v>
      </c>
      <c r="E69" s="166">
        <v>33552.549999999996</v>
      </c>
      <c r="F69" s="166"/>
      <c r="G69" s="37">
        <f t="shared" si="0"/>
        <v>29821.549999999996</v>
      </c>
      <c r="H69" s="52">
        <f t="shared" si="5"/>
        <v>5725.6500000000005</v>
      </c>
      <c r="I69" s="37">
        <f t="shared" si="7"/>
        <v>27826.899999999994</v>
      </c>
      <c r="J69" s="37">
        <v>15</v>
      </c>
      <c r="K69" s="83">
        <f t="shared" si="8"/>
        <v>11.019178082191781</v>
      </c>
      <c r="L69" s="37">
        <f t="shared" si="2"/>
        <v>3.9808219178082194</v>
      </c>
      <c r="M69" s="84">
        <f t="shared" si="3"/>
        <v>0.11119473689753556</v>
      </c>
      <c r="N69" s="37">
        <f t="shared" si="4"/>
        <v>3731</v>
      </c>
      <c r="O69" s="335"/>
      <c r="P69" s="170"/>
    </row>
    <row r="70" spans="1:16" ht="15" customHeight="1" x14ac:dyDescent="0.2">
      <c r="A70" s="70"/>
      <c r="B70" s="79" t="s">
        <v>155</v>
      </c>
      <c r="C70" s="145">
        <v>123380</v>
      </c>
      <c r="D70" s="131">
        <v>40264</v>
      </c>
      <c r="E70" s="166">
        <v>34315.584109589036</v>
      </c>
      <c r="F70" s="166"/>
      <c r="G70" s="37">
        <f t="shared" si="0"/>
        <v>30605.584109589036</v>
      </c>
      <c r="H70" s="52">
        <f t="shared" si="5"/>
        <v>6169</v>
      </c>
      <c r="I70" s="37">
        <f t="shared" si="7"/>
        <v>28146.584109589036</v>
      </c>
      <c r="J70" s="37">
        <v>15</v>
      </c>
      <c r="K70" s="83">
        <f t="shared" si="8"/>
        <v>11.019178082191781</v>
      </c>
      <c r="L70" s="37">
        <f t="shared" si="2"/>
        <v>3.9808219178082194</v>
      </c>
      <c r="M70" s="84">
        <f t="shared" si="3"/>
        <v>0.1081026128664947</v>
      </c>
      <c r="N70" s="37">
        <f t="shared" si="4"/>
        <v>3710</v>
      </c>
      <c r="O70" s="335"/>
      <c r="P70" s="170"/>
    </row>
    <row r="71" spans="1:16" ht="15" customHeight="1" x14ac:dyDescent="0.2">
      <c r="A71" s="171"/>
      <c r="B71" s="79" t="s">
        <v>156</v>
      </c>
      <c r="C71" s="145">
        <v>382328</v>
      </c>
      <c r="D71" s="131">
        <v>40175</v>
      </c>
      <c r="E71" s="166">
        <v>39230.133333333331</v>
      </c>
      <c r="F71" s="166"/>
      <c r="G71" s="37">
        <f t="shared" ref="G71:G134" si="17">E71+F71-N71</f>
        <v>37394.133333333331</v>
      </c>
      <c r="H71" s="52">
        <f t="shared" si="5"/>
        <v>19116.400000000001</v>
      </c>
      <c r="I71" s="37">
        <f t="shared" ref="I71:I133" si="18">E71-H71</f>
        <v>20113.73333333333</v>
      </c>
      <c r="J71" s="37">
        <v>15</v>
      </c>
      <c r="K71" s="83">
        <f t="shared" si="8"/>
        <v>11.263013698630138</v>
      </c>
      <c r="L71" s="37">
        <f t="shared" ref="L71:L134" si="19">J71-K71</f>
        <v>3.7369863013698623</v>
      </c>
      <c r="M71" s="84">
        <f t="shared" ref="M71:M134" si="20">IF(L71&gt;0,(1-(H71/(E71+F71))^(1/J71)),0)</f>
        <v>4.6796221967486784E-2</v>
      </c>
      <c r="N71" s="37">
        <f t="shared" ref="N71:N135" si="21">ROUND((E71+F71)*M71,0)</f>
        <v>1836</v>
      </c>
      <c r="O71" s="335"/>
      <c r="P71" s="170"/>
    </row>
    <row r="72" spans="1:16" ht="15" customHeight="1" x14ac:dyDescent="0.2">
      <c r="A72" s="171"/>
      <c r="B72" s="79" t="s">
        <v>157</v>
      </c>
      <c r="C72" s="145">
        <v>606277</v>
      </c>
      <c r="D72" s="131">
        <v>40395</v>
      </c>
      <c r="E72" s="166">
        <v>183484.6166666667</v>
      </c>
      <c r="F72" s="166"/>
      <c r="G72" s="37">
        <f t="shared" si="17"/>
        <v>162730.6166666667</v>
      </c>
      <c r="H72" s="52">
        <f t="shared" ref="H72:H135" si="22">(C72+F72)*5%</f>
        <v>30313.850000000002</v>
      </c>
      <c r="I72" s="37">
        <f t="shared" si="18"/>
        <v>153170.76666666669</v>
      </c>
      <c r="J72" s="37">
        <v>15</v>
      </c>
      <c r="K72" s="83">
        <f t="shared" si="8"/>
        <v>10.66027397260274</v>
      </c>
      <c r="L72" s="37">
        <f t="shared" si="19"/>
        <v>4.3397260273972602</v>
      </c>
      <c r="M72" s="84">
        <f t="shared" si="20"/>
        <v>0.11311067160834243</v>
      </c>
      <c r="N72" s="37">
        <f t="shared" si="21"/>
        <v>20754</v>
      </c>
      <c r="O72" s="335"/>
      <c r="P72" s="170"/>
    </row>
    <row r="73" spans="1:16" ht="15" customHeight="1" x14ac:dyDescent="0.2">
      <c r="A73" s="77"/>
      <c r="B73" s="342" t="s">
        <v>158</v>
      </c>
      <c r="C73" s="350">
        <v>99887</v>
      </c>
      <c r="D73" s="344">
        <v>40397</v>
      </c>
      <c r="E73" s="345">
        <v>30244.116666666661</v>
      </c>
      <c r="F73" s="345"/>
      <c r="G73" s="346">
        <f t="shared" si="17"/>
        <v>26822.116666666661</v>
      </c>
      <c r="H73" s="347">
        <f t="shared" si="22"/>
        <v>4994.3500000000004</v>
      </c>
      <c r="I73" s="346">
        <f t="shared" si="18"/>
        <v>25249.766666666663</v>
      </c>
      <c r="J73" s="346">
        <v>15</v>
      </c>
      <c r="K73" s="348">
        <f t="shared" si="8"/>
        <v>10.654794520547945</v>
      </c>
      <c r="L73" s="346">
        <f t="shared" si="19"/>
        <v>4.3452054794520549</v>
      </c>
      <c r="M73" s="349">
        <f t="shared" si="20"/>
        <v>0.11313835834664376</v>
      </c>
      <c r="N73" s="387">
        <f t="shared" si="21"/>
        <v>3422</v>
      </c>
      <c r="O73" s="389" t="s">
        <v>606</v>
      </c>
      <c r="P73" s="170"/>
    </row>
    <row r="74" spans="1:16" ht="15" customHeight="1" x14ac:dyDescent="0.2">
      <c r="A74" s="77"/>
      <c r="B74" s="79" t="s">
        <v>159</v>
      </c>
      <c r="C74" s="145">
        <v>15000</v>
      </c>
      <c r="D74" s="131">
        <v>40498</v>
      </c>
      <c r="E74" s="166">
        <v>4920.1999999999989</v>
      </c>
      <c r="F74" s="166"/>
      <c r="G74" s="37">
        <f t="shared" si="17"/>
        <v>4340.1999999999989</v>
      </c>
      <c r="H74" s="52">
        <f t="shared" si="22"/>
        <v>750</v>
      </c>
      <c r="I74" s="37">
        <f t="shared" si="18"/>
        <v>4170.1999999999989</v>
      </c>
      <c r="J74" s="37">
        <v>15</v>
      </c>
      <c r="K74" s="83">
        <f t="shared" si="8"/>
        <v>10.378082191780821</v>
      </c>
      <c r="L74" s="37">
        <f t="shared" si="19"/>
        <v>4.6219178082191785</v>
      </c>
      <c r="M74" s="84">
        <f t="shared" si="20"/>
        <v>0.1178578635332892</v>
      </c>
      <c r="N74" s="37">
        <f t="shared" si="21"/>
        <v>580</v>
      </c>
      <c r="O74" s="335"/>
      <c r="P74" s="170"/>
    </row>
    <row r="75" spans="1:16" ht="15" customHeight="1" x14ac:dyDescent="0.2">
      <c r="A75" s="77"/>
      <c r="B75" s="79" t="s">
        <v>160</v>
      </c>
      <c r="C75" s="145">
        <v>4000</v>
      </c>
      <c r="D75" s="131">
        <v>40624</v>
      </c>
      <c r="E75" s="166">
        <v>1350.9000000000003</v>
      </c>
      <c r="F75" s="166"/>
      <c r="G75" s="37">
        <f t="shared" si="17"/>
        <v>1188.9000000000003</v>
      </c>
      <c r="H75" s="52">
        <f t="shared" si="22"/>
        <v>200</v>
      </c>
      <c r="I75" s="37">
        <f t="shared" si="18"/>
        <v>1150.9000000000003</v>
      </c>
      <c r="J75" s="37">
        <v>15</v>
      </c>
      <c r="K75" s="83">
        <f t="shared" si="8"/>
        <v>10.032876712328767</v>
      </c>
      <c r="L75" s="37">
        <f t="shared" si="19"/>
        <v>4.9671232876712335</v>
      </c>
      <c r="M75" s="84">
        <f t="shared" si="20"/>
        <v>0.119572120781678</v>
      </c>
      <c r="N75" s="37">
        <f t="shared" si="21"/>
        <v>162</v>
      </c>
      <c r="O75" s="335"/>
      <c r="P75" s="170"/>
    </row>
    <row r="76" spans="1:16" ht="15" customHeight="1" x14ac:dyDescent="0.2">
      <c r="A76" s="77">
        <v>16</v>
      </c>
      <c r="B76" s="79" t="s">
        <v>161</v>
      </c>
      <c r="C76" s="145">
        <v>4000</v>
      </c>
      <c r="D76" s="131">
        <v>40648</v>
      </c>
      <c r="E76" s="166">
        <v>1359.5</v>
      </c>
      <c r="F76" s="166"/>
      <c r="G76" s="37">
        <f t="shared" si="17"/>
        <v>1196.5</v>
      </c>
      <c r="H76" s="52">
        <f t="shared" si="22"/>
        <v>200</v>
      </c>
      <c r="I76" s="37">
        <f t="shared" si="18"/>
        <v>1159.5</v>
      </c>
      <c r="J76" s="37">
        <v>15</v>
      </c>
      <c r="K76" s="83">
        <f t="shared" si="8"/>
        <v>9.9671232876712335</v>
      </c>
      <c r="L76" s="37">
        <f t="shared" si="19"/>
        <v>5.0328767123287665</v>
      </c>
      <c r="M76" s="84">
        <f t="shared" si="20"/>
        <v>0.11994451864384503</v>
      </c>
      <c r="N76" s="37">
        <f t="shared" si="21"/>
        <v>163</v>
      </c>
      <c r="O76" s="335"/>
      <c r="P76" s="170"/>
    </row>
    <row r="77" spans="1:16" ht="15" customHeight="1" x14ac:dyDescent="0.2">
      <c r="A77" s="70"/>
      <c r="B77" s="79" t="s">
        <v>162</v>
      </c>
      <c r="C77" s="145">
        <v>52584</v>
      </c>
      <c r="D77" s="131">
        <v>40733</v>
      </c>
      <c r="E77" s="166">
        <v>18227.560000000001</v>
      </c>
      <c r="F77" s="166"/>
      <c r="G77" s="37">
        <f t="shared" si="17"/>
        <v>16020.560000000001</v>
      </c>
      <c r="H77" s="52">
        <f t="shared" si="22"/>
        <v>2629.2000000000003</v>
      </c>
      <c r="I77" s="37">
        <f t="shared" si="18"/>
        <v>15598.36</v>
      </c>
      <c r="J77" s="37">
        <v>15</v>
      </c>
      <c r="K77" s="83">
        <f t="shared" si="8"/>
        <v>9.7342465753424658</v>
      </c>
      <c r="L77" s="37">
        <f t="shared" si="19"/>
        <v>5.2657534246575342</v>
      </c>
      <c r="M77" s="84">
        <f t="shared" si="20"/>
        <v>0.12109957905614732</v>
      </c>
      <c r="N77" s="37">
        <f t="shared" si="21"/>
        <v>2207</v>
      </c>
      <c r="O77" s="335"/>
      <c r="P77" s="170"/>
    </row>
    <row r="78" spans="1:16" ht="15" customHeight="1" x14ac:dyDescent="0.2">
      <c r="A78" s="77">
        <v>17</v>
      </c>
      <c r="B78" s="79" t="s">
        <v>163</v>
      </c>
      <c r="C78" s="145">
        <v>194636</v>
      </c>
      <c r="D78" s="131">
        <v>40777</v>
      </c>
      <c r="E78" s="166">
        <v>68140.439999999988</v>
      </c>
      <c r="F78" s="166"/>
      <c r="G78" s="37">
        <f t="shared" si="17"/>
        <v>59849.439999999988</v>
      </c>
      <c r="H78" s="52">
        <f t="shared" si="22"/>
        <v>9731.8000000000011</v>
      </c>
      <c r="I78" s="37">
        <f t="shared" si="18"/>
        <v>58408.639999999985</v>
      </c>
      <c r="J78" s="37">
        <v>15</v>
      </c>
      <c r="K78" s="83">
        <f t="shared" si="8"/>
        <v>9.6136986301369856</v>
      </c>
      <c r="L78" s="37">
        <f t="shared" si="19"/>
        <v>5.3863013698630144</v>
      </c>
      <c r="M78" s="84">
        <f t="shared" si="20"/>
        <v>0.12168045026894325</v>
      </c>
      <c r="N78" s="37">
        <f t="shared" si="21"/>
        <v>8291</v>
      </c>
      <c r="O78" s="335"/>
      <c r="P78" s="170"/>
    </row>
    <row r="79" spans="1:16" ht="15" customHeight="1" x14ac:dyDescent="0.2">
      <c r="A79" s="70"/>
      <c r="B79" s="79" t="s">
        <v>164</v>
      </c>
      <c r="C79" s="145">
        <v>95755</v>
      </c>
      <c r="D79" s="131">
        <v>40936</v>
      </c>
      <c r="E79" s="166">
        <v>36321.477272727265</v>
      </c>
      <c r="F79" s="166"/>
      <c r="G79" s="37">
        <f t="shared" si="17"/>
        <v>31731.477272727265</v>
      </c>
      <c r="H79" s="52">
        <f t="shared" si="22"/>
        <v>4787.75</v>
      </c>
      <c r="I79" s="37">
        <f t="shared" si="18"/>
        <v>31533.727272727265</v>
      </c>
      <c r="J79" s="37">
        <v>15</v>
      </c>
      <c r="K79" s="83">
        <f t="shared" si="8"/>
        <v>9.1780821917808222</v>
      </c>
      <c r="L79" s="37">
        <f t="shared" si="19"/>
        <v>5.8219178082191778</v>
      </c>
      <c r="M79" s="84">
        <f t="shared" si="20"/>
        <v>0.12636264082574444</v>
      </c>
      <c r="N79" s="37">
        <f t="shared" si="21"/>
        <v>4590</v>
      </c>
      <c r="O79" s="335"/>
      <c r="P79" s="170"/>
    </row>
    <row r="80" spans="1:16" ht="15" customHeight="1" x14ac:dyDescent="0.2">
      <c r="A80" s="77">
        <v>18</v>
      </c>
      <c r="B80" s="177" t="s">
        <v>165</v>
      </c>
      <c r="C80" s="37"/>
      <c r="D80" s="131"/>
      <c r="E80" s="166"/>
      <c r="F80" s="166"/>
      <c r="G80" s="37"/>
      <c r="H80" s="52">
        <f t="shared" si="22"/>
        <v>0</v>
      </c>
      <c r="I80" s="37"/>
      <c r="J80" s="37"/>
      <c r="K80" s="83"/>
      <c r="L80" s="37"/>
      <c r="M80" s="84"/>
      <c r="N80" s="37"/>
      <c r="O80" s="335"/>
      <c r="P80" s="170"/>
    </row>
    <row r="81" spans="1:16" ht="15" customHeight="1" x14ac:dyDescent="0.2">
      <c r="A81" s="70"/>
      <c r="B81" s="178" t="s">
        <v>166</v>
      </c>
      <c r="C81" s="179">
        <v>9791</v>
      </c>
      <c r="D81" s="180">
        <f>DATE(78,1,1)</f>
        <v>28491</v>
      </c>
      <c r="E81" s="166">
        <v>489.54999999999927</v>
      </c>
      <c r="F81" s="166"/>
      <c r="G81" s="37">
        <f t="shared" si="17"/>
        <v>489.54999999999927</v>
      </c>
      <c r="H81" s="52">
        <f t="shared" si="22"/>
        <v>489.55</v>
      </c>
      <c r="I81" s="37">
        <f t="shared" si="18"/>
        <v>-7.3896444519050419E-13</v>
      </c>
      <c r="J81" s="37">
        <v>15</v>
      </c>
      <c r="K81" s="83">
        <f t="shared" si="8"/>
        <v>43.273972602739725</v>
      </c>
      <c r="L81" s="37">
        <f t="shared" si="19"/>
        <v>-28.273972602739725</v>
      </c>
      <c r="M81" s="84">
        <f t="shared" si="20"/>
        <v>0</v>
      </c>
      <c r="N81" s="37">
        <f t="shared" si="21"/>
        <v>0</v>
      </c>
      <c r="O81" s="335"/>
      <c r="P81" s="170"/>
    </row>
    <row r="82" spans="1:16" ht="15" customHeight="1" x14ac:dyDescent="0.2">
      <c r="A82" s="77">
        <v>19</v>
      </c>
      <c r="B82" s="79" t="s">
        <v>167</v>
      </c>
      <c r="C82" s="82">
        <v>7000</v>
      </c>
      <c r="D82" s="131">
        <f>DATE(89,1,6)</f>
        <v>32514</v>
      </c>
      <c r="E82" s="166">
        <v>350</v>
      </c>
      <c r="F82" s="166"/>
      <c r="G82" s="37">
        <f t="shared" si="17"/>
        <v>350</v>
      </c>
      <c r="H82" s="52">
        <f t="shared" si="22"/>
        <v>350</v>
      </c>
      <c r="I82" s="37">
        <f t="shared" si="18"/>
        <v>0</v>
      </c>
      <c r="J82" s="37">
        <v>15</v>
      </c>
      <c r="K82" s="83">
        <f t="shared" ref="K82:K145" si="23">($J$1-D82)/365</f>
        <v>32.252054794520546</v>
      </c>
      <c r="L82" s="37">
        <f t="shared" si="19"/>
        <v>-17.252054794520546</v>
      </c>
      <c r="M82" s="84">
        <f t="shared" si="20"/>
        <v>0</v>
      </c>
      <c r="N82" s="37">
        <f t="shared" si="21"/>
        <v>0</v>
      </c>
      <c r="O82" s="335"/>
      <c r="P82" s="170"/>
    </row>
    <row r="83" spans="1:16" ht="15" customHeight="1" x14ac:dyDescent="0.2">
      <c r="A83" s="77"/>
      <c r="B83" s="79" t="s">
        <v>168</v>
      </c>
      <c r="C83" s="145">
        <v>1150</v>
      </c>
      <c r="D83" s="131">
        <v>39509</v>
      </c>
      <c r="E83" s="166">
        <v>0</v>
      </c>
      <c r="F83" s="166"/>
      <c r="G83" s="37">
        <f t="shared" si="17"/>
        <v>0</v>
      </c>
      <c r="H83" s="52">
        <v>0</v>
      </c>
      <c r="I83" s="37">
        <f t="shared" si="18"/>
        <v>0</v>
      </c>
      <c r="J83" s="37">
        <v>15</v>
      </c>
      <c r="K83" s="83">
        <f t="shared" si="23"/>
        <v>13.087671232876712</v>
      </c>
      <c r="L83" s="37">
        <f t="shared" si="19"/>
        <v>1.912328767123288</v>
      </c>
      <c r="M83" s="84">
        <v>0</v>
      </c>
      <c r="N83" s="37">
        <f t="shared" si="21"/>
        <v>0</v>
      </c>
      <c r="O83" s="335"/>
      <c r="P83" s="170"/>
    </row>
    <row r="84" spans="1:16" ht="15" customHeight="1" x14ac:dyDescent="0.2">
      <c r="A84" s="171" t="s">
        <v>169</v>
      </c>
      <c r="B84" s="79" t="s">
        <v>170</v>
      </c>
      <c r="C84" s="145">
        <v>76791</v>
      </c>
      <c r="D84" s="131">
        <v>39703</v>
      </c>
      <c r="E84" s="166">
        <v>19854.664285714287</v>
      </c>
      <c r="F84" s="166"/>
      <c r="G84" s="37">
        <f t="shared" si="17"/>
        <v>17794.664285714287</v>
      </c>
      <c r="H84" s="52">
        <f t="shared" si="22"/>
        <v>3839.55</v>
      </c>
      <c r="I84" s="37">
        <f t="shared" si="18"/>
        <v>16015.114285714288</v>
      </c>
      <c r="J84" s="37">
        <v>15</v>
      </c>
      <c r="K84" s="83">
        <f t="shared" si="23"/>
        <v>12.556164383561644</v>
      </c>
      <c r="L84" s="37">
        <f t="shared" si="19"/>
        <v>2.4438356164383563</v>
      </c>
      <c r="M84" s="84">
        <f t="shared" si="20"/>
        <v>0.1037527172994237</v>
      </c>
      <c r="N84" s="37">
        <f t="shared" si="21"/>
        <v>2060</v>
      </c>
      <c r="O84" s="335"/>
      <c r="P84" s="170"/>
    </row>
    <row r="85" spans="1:16" ht="15" customHeight="1" x14ac:dyDescent="0.2">
      <c r="A85" s="171" t="s">
        <v>171</v>
      </c>
      <c r="B85" s="79" t="s">
        <v>172</v>
      </c>
      <c r="C85" s="145">
        <v>54087</v>
      </c>
      <c r="D85" s="131">
        <v>40267</v>
      </c>
      <c r="E85" s="166">
        <v>17968.116666666665</v>
      </c>
      <c r="F85" s="166"/>
      <c r="G85" s="37">
        <f t="shared" si="17"/>
        <v>15837.116666666665</v>
      </c>
      <c r="H85" s="52">
        <f t="shared" si="22"/>
        <v>2704.3500000000004</v>
      </c>
      <c r="I85" s="37">
        <f t="shared" si="18"/>
        <v>15263.766666666665</v>
      </c>
      <c r="J85" s="37">
        <v>15</v>
      </c>
      <c r="K85" s="83">
        <f t="shared" si="23"/>
        <v>11.010958904109589</v>
      </c>
      <c r="L85" s="37">
        <f t="shared" si="19"/>
        <v>3.9890410958904106</v>
      </c>
      <c r="M85" s="84">
        <f t="shared" si="20"/>
        <v>0.11860478332788027</v>
      </c>
      <c r="N85" s="37">
        <f t="shared" si="21"/>
        <v>2131</v>
      </c>
      <c r="O85" s="335"/>
      <c r="P85" s="170"/>
    </row>
    <row r="86" spans="1:16" ht="15" customHeight="1" x14ac:dyDescent="0.2">
      <c r="A86" s="171" t="s">
        <v>173</v>
      </c>
      <c r="B86" s="79" t="s">
        <v>174</v>
      </c>
      <c r="C86" s="145">
        <v>6000</v>
      </c>
      <c r="D86" s="131">
        <v>41618</v>
      </c>
      <c r="E86" s="166">
        <v>2820.3076923076919</v>
      </c>
      <c r="F86" s="166"/>
      <c r="G86" s="37">
        <f t="shared" si="17"/>
        <v>2429.3076923076919</v>
      </c>
      <c r="H86" s="52">
        <f t="shared" si="22"/>
        <v>300</v>
      </c>
      <c r="I86" s="37">
        <f t="shared" si="18"/>
        <v>2520.3076923076919</v>
      </c>
      <c r="J86" s="37">
        <v>15</v>
      </c>
      <c r="K86" s="83">
        <f t="shared" si="23"/>
        <v>7.3095890410958901</v>
      </c>
      <c r="L86" s="37">
        <f t="shared" si="19"/>
        <v>7.6904109589041099</v>
      </c>
      <c r="M86" s="84">
        <f t="shared" si="20"/>
        <v>0.13876503983478006</v>
      </c>
      <c r="N86" s="37">
        <f t="shared" si="21"/>
        <v>391</v>
      </c>
      <c r="O86" s="335"/>
      <c r="P86" s="170"/>
    </row>
    <row r="87" spans="1:16" ht="15" customHeight="1" x14ac:dyDescent="0.2">
      <c r="A87" s="171" t="s">
        <v>175</v>
      </c>
      <c r="B87" s="70"/>
      <c r="C87" s="37"/>
      <c r="D87" s="131"/>
      <c r="E87" s="166"/>
      <c r="F87" s="166"/>
      <c r="G87" s="37"/>
      <c r="H87" s="52">
        <f t="shared" si="22"/>
        <v>0</v>
      </c>
      <c r="I87" s="37"/>
      <c r="J87" s="37"/>
      <c r="K87" s="83"/>
      <c r="L87" s="37"/>
      <c r="M87" s="84"/>
      <c r="N87" s="37"/>
      <c r="O87" s="335"/>
      <c r="P87" s="170"/>
    </row>
    <row r="88" spans="1:16" ht="15" customHeight="1" x14ac:dyDescent="0.2">
      <c r="A88" s="77">
        <v>20</v>
      </c>
      <c r="B88" s="177" t="s">
        <v>176</v>
      </c>
      <c r="C88" s="37"/>
      <c r="D88" s="131"/>
      <c r="E88" s="166"/>
      <c r="F88" s="166"/>
      <c r="G88" s="37"/>
      <c r="H88" s="52">
        <f t="shared" si="22"/>
        <v>0</v>
      </c>
      <c r="I88" s="37"/>
      <c r="J88" s="37"/>
      <c r="K88" s="83"/>
      <c r="L88" s="37"/>
      <c r="M88" s="84"/>
      <c r="N88" s="37"/>
      <c r="O88" s="335"/>
      <c r="P88" s="170"/>
    </row>
    <row r="89" spans="1:16" ht="15" customHeight="1" x14ac:dyDescent="0.2">
      <c r="A89" s="171">
        <v>22</v>
      </c>
      <c r="B89" s="79" t="s">
        <v>177</v>
      </c>
      <c r="C89" s="145">
        <v>240727</v>
      </c>
      <c r="D89" s="131">
        <v>38806</v>
      </c>
      <c r="E89" s="166">
        <v>44083.210000000006</v>
      </c>
      <c r="F89" s="166"/>
      <c r="G89" s="37">
        <f t="shared" si="17"/>
        <v>44083.210000000006</v>
      </c>
      <c r="H89" s="52">
        <f t="shared" si="22"/>
        <v>12036.35</v>
      </c>
      <c r="I89" s="37">
        <f t="shared" si="18"/>
        <v>32046.860000000008</v>
      </c>
      <c r="J89" s="37">
        <v>15</v>
      </c>
      <c r="K89" s="83">
        <f t="shared" si="23"/>
        <v>15.013698630136986</v>
      </c>
      <c r="L89" s="37">
        <f t="shared" si="19"/>
        <v>-1.3698630136985912E-2</v>
      </c>
      <c r="M89" s="84">
        <f t="shared" si="20"/>
        <v>0</v>
      </c>
      <c r="N89" s="37">
        <f t="shared" si="21"/>
        <v>0</v>
      </c>
      <c r="O89" s="335"/>
      <c r="P89" s="170"/>
    </row>
    <row r="90" spans="1:16" ht="15" customHeight="1" x14ac:dyDescent="0.2">
      <c r="A90" s="77">
        <v>21</v>
      </c>
      <c r="B90" s="177" t="s">
        <v>178</v>
      </c>
      <c r="C90" s="37"/>
      <c r="D90" s="131"/>
      <c r="E90" s="166"/>
      <c r="F90" s="166"/>
      <c r="G90" s="37"/>
      <c r="H90" s="52">
        <f t="shared" si="22"/>
        <v>0</v>
      </c>
      <c r="I90" s="37"/>
      <c r="J90" s="37"/>
      <c r="K90" s="83"/>
      <c r="L90" s="37"/>
      <c r="M90" s="84"/>
      <c r="N90" s="37"/>
      <c r="O90" s="335"/>
      <c r="P90" s="170"/>
    </row>
    <row r="91" spans="1:16" ht="15" customHeight="1" x14ac:dyDescent="0.2">
      <c r="A91" s="70"/>
      <c r="B91" s="79" t="s">
        <v>179</v>
      </c>
      <c r="C91" s="37">
        <v>11072</v>
      </c>
      <c r="D91" s="131">
        <f>DATE(78,6,22)</f>
        <v>28663</v>
      </c>
      <c r="E91" s="166">
        <v>0</v>
      </c>
      <c r="F91" s="166"/>
      <c r="G91" s="37">
        <f t="shared" si="17"/>
        <v>0</v>
      </c>
      <c r="H91" s="52">
        <f t="shared" si="22"/>
        <v>553.6</v>
      </c>
      <c r="I91" s="37">
        <f>+E91</f>
        <v>0</v>
      </c>
      <c r="J91" s="37">
        <v>10</v>
      </c>
      <c r="K91" s="83">
        <f t="shared" si="23"/>
        <v>42.802739726027397</v>
      </c>
      <c r="L91" s="37">
        <f t="shared" si="19"/>
        <v>-32.802739726027397</v>
      </c>
      <c r="M91" s="84">
        <f t="shared" si="20"/>
        <v>0</v>
      </c>
      <c r="N91" s="37">
        <f t="shared" si="21"/>
        <v>0</v>
      </c>
      <c r="O91" s="335"/>
      <c r="P91" s="170"/>
    </row>
    <row r="92" spans="1:16" ht="15" customHeight="1" x14ac:dyDescent="0.2">
      <c r="A92" s="70"/>
      <c r="B92" s="124" t="s">
        <v>180</v>
      </c>
      <c r="C92" s="37">
        <v>611</v>
      </c>
      <c r="D92" s="126">
        <f>DATE(79,4,15)</f>
        <v>28960</v>
      </c>
      <c r="E92" s="166">
        <v>31</v>
      </c>
      <c r="F92" s="166"/>
      <c r="G92" s="37">
        <f t="shared" si="17"/>
        <v>31</v>
      </c>
      <c r="H92" s="52">
        <f t="shared" si="22"/>
        <v>30.55</v>
      </c>
      <c r="I92" s="37">
        <f t="shared" si="18"/>
        <v>0.44999999999999929</v>
      </c>
      <c r="J92" s="37">
        <v>10</v>
      </c>
      <c r="K92" s="83">
        <f t="shared" si="23"/>
        <v>41.989041095890414</v>
      </c>
      <c r="L92" s="37">
        <f t="shared" si="19"/>
        <v>-31.989041095890414</v>
      </c>
      <c r="M92" s="84">
        <f t="shared" si="20"/>
        <v>0</v>
      </c>
      <c r="N92" s="388">
        <f t="shared" si="21"/>
        <v>0</v>
      </c>
      <c r="O92" s="335"/>
      <c r="P92" s="170"/>
    </row>
    <row r="93" spans="1:16" s="169" customFormat="1" ht="15" customHeight="1" x14ac:dyDescent="0.2">
      <c r="A93" s="77"/>
      <c r="B93" s="342" t="s">
        <v>181</v>
      </c>
      <c r="C93" s="346">
        <v>1339</v>
      </c>
      <c r="D93" s="344">
        <f>DATE(81,2,18)</f>
        <v>29635</v>
      </c>
      <c r="E93" s="345">
        <v>67</v>
      </c>
      <c r="F93" s="345"/>
      <c r="G93" s="346">
        <f t="shared" si="17"/>
        <v>67</v>
      </c>
      <c r="H93" s="347">
        <f t="shared" si="22"/>
        <v>66.95</v>
      </c>
      <c r="I93" s="346">
        <f t="shared" si="18"/>
        <v>4.9999999999997158E-2</v>
      </c>
      <c r="J93" s="346">
        <v>10</v>
      </c>
      <c r="K93" s="348">
        <f t="shared" si="23"/>
        <v>40.139726027397259</v>
      </c>
      <c r="L93" s="346">
        <f t="shared" si="19"/>
        <v>-30.139726027397259</v>
      </c>
      <c r="M93" s="349">
        <f t="shared" si="20"/>
        <v>0</v>
      </c>
      <c r="N93" s="387">
        <f t="shared" si="21"/>
        <v>0</v>
      </c>
      <c r="O93" s="389" t="s">
        <v>606</v>
      </c>
      <c r="P93" s="170"/>
    </row>
    <row r="94" spans="1:16" ht="15" customHeight="1" x14ac:dyDescent="0.2">
      <c r="A94" s="171">
        <v>23</v>
      </c>
      <c r="B94" s="79" t="s">
        <v>182</v>
      </c>
      <c r="C94" s="37">
        <v>1536430</v>
      </c>
      <c r="D94" s="131">
        <v>38806</v>
      </c>
      <c r="E94" s="166">
        <v>233509.09999999998</v>
      </c>
      <c r="F94" s="166"/>
      <c r="G94" s="37">
        <f t="shared" si="17"/>
        <v>233509.09999999998</v>
      </c>
      <c r="H94" s="52">
        <f t="shared" si="22"/>
        <v>76821.5</v>
      </c>
      <c r="I94" s="37">
        <f t="shared" si="18"/>
        <v>156687.59999999998</v>
      </c>
      <c r="J94" s="37">
        <v>15</v>
      </c>
      <c r="K94" s="83">
        <f t="shared" si="23"/>
        <v>15.013698630136986</v>
      </c>
      <c r="L94" s="37">
        <f t="shared" si="19"/>
        <v>-1.3698630136985912E-2</v>
      </c>
      <c r="M94" s="84">
        <f t="shared" si="20"/>
        <v>0</v>
      </c>
      <c r="N94" s="37">
        <f t="shared" si="21"/>
        <v>0</v>
      </c>
      <c r="O94" s="335"/>
      <c r="P94" s="170"/>
    </row>
    <row r="95" spans="1:16" ht="15" customHeight="1" x14ac:dyDescent="0.2">
      <c r="A95" s="171"/>
      <c r="B95" s="181" t="s">
        <v>183</v>
      </c>
      <c r="C95" s="37">
        <v>555107</v>
      </c>
      <c r="D95" s="182">
        <v>42311</v>
      </c>
      <c r="E95" s="166">
        <v>302445.46999999997</v>
      </c>
      <c r="F95" s="166"/>
      <c r="G95" s="37">
        <f t="shared" si="17"/>
        <v>257925.46999999997</v>
      </c>
      <c r="H95" s="52">
        <f t="shared" si="22"/>
        <v>27755.350000000002</v>
      </c>
      <c r="I95" s="37">
        <f t="shared" si="18"/>
        <v>274690.12</v>
      </c>
      <c r="J95" s="37">
        <v>15</v>
      </c>
      <c r="K95" s="83">
        <f t="shared" si="23"/>
        <v>5.4109589041095889</v>
      </c>
      <c r="L95" s="37">
        <f t="shared" si="19"/>
        <v>9.589041095890412</v>
      </c>
      <c r="M95" s="84">
        <f t="shared" si="20"/>
        <v>0.14720108014425737</v>
      </c>
      <c r="N95" s="37">
        <f t="shared" si="21"/>
        <v>44520</v>
      </c>
      <c r="O95" s="335"/>
      <c r="P95" s="170"/>
    </row>
    <row r="96" spans="1:16" ht="15" customHeight="1" x14ac:dyDescent="0.2">
      <c r="A96" s="171"/>
      <c r="B96" s="177" t="s">
        <v>15</v>
      </c>
      <c r="C96" s="37"/>
      <c r="D96" s="131"/>
      <c r="E96" s="166"/>
      <c r="F96" s="166"/>
      <c r="G96" s="37"/>
      <c r="H96" s="52">
        <f t="shared" si="22"/>
        <v>0</v>
      </c>
      <c r="I96" s="37"/>
      <c r="J96" s="37"/>
      <c r="K96" s="83"/>
      <c r="L96" s="37"/>
      <c r="M96" s="84"/>
      <c r="N96" s="37"/>
      <c r="O96" s="335"/>
      <c r="P96" s="170"/>
    </row>
    <row r="97" spans="1:16" ht="15" customHeight="1" x14ac:dyDescent="0.2">
      <c r="A97" s="171">
        <v>25</v>
      </c>
      <c r="B97" s="79" t="s">
        <v>184</v>
      </c>
      <c r="C97" s="37">
        <v>3796</v>
      </c>
      <c r="D97" s="131">
        <f>DATE(85,6,28)</f>
        <v>31226</v>
      </c>
      <c r="E97" s="166">
        <v>189.80000000000018</v>
      </c>
      <c r="F97" s="166"/>
      <c r="G97" s="37">
        <f t="shared" si="17"/>
        <v>189.80000000000018</v>
      </c>
      <c r="H97" s="52">
        <f t="shared" si="22"/>
        <v>189.8</v>
      </c>
      <c r="I97" s="37">
        <f t="shared" si="18"/>
        <v>0</v>
      </c>
      <c r="J97" s="37">
        <v>15</v>
      </c>
      <c r="K97" s="83">
        <f t="shared" si="23"/>
        <v>35.780821917808218</v>
      </c>
      <c r="L97" s="37">
        <f t="shared" si="19"/>
        <v>-20.780821917808218</v>
      </c>
      <c r="M97" s="84">
        <f t="shared" si="20"/>
        <v>0</v>
      </c>
      <c r="N97" s="37">
        <f t="shared" si="21"/>
        <v>0</v>
      </c>
      <c r="O97" s="335"/>
      <c r="P97" s="170"/>
    </row>
    <row r="98" spans="1:16" ht="15" customHeight="1" x14ac:dyDescent="0.2">
      <c r="A98" s="77">
        <v>74</v>
      </c>
      <c r="B98" s="79" t="s">
        <v>185</v>
      </c>
      <c r="C98" s="37">
        <v>35700</v>
      </c>
      <c r="D98" s="131">
        <f>DATE(85,11,30)</f>
        <v>31381</v>
      </c>
      <c r="E98" s="166">
        <v>1785</v>
      </c>
      <c r="F98" s="166"/>
      <c r="G98" s="37">
        <f t="shared" si="17"/>
        <v>1785</v>
      </c>
      <c r="H98" s="52">
        <f t="shared" si="22"/>
        <v>1785</v>
      </c>
      <c r="I98" s="37">
        <f t="shared" si="18"/>
        <v>0</v>
      </c>
      <c r="J98" s="37">
        <v>15</v>
      </c>
      <c r="K98" s="83">
        <f t="shared" si="23"/>
        <v>35.356164383561641</v>
      </c>
      <c r="L98" s="37">
        <f t="shared" si="19"/>
        <v>-20.356164383561641</v>
      </c>
      <c r="M98" s="84">
        <f t="shared" si="20"/>
        <v>0</v>
      </c>
      <c r="N98" s="37">
        <f t="shared" si="21"/>
        <v>0</v>
      </c>
      <c r="O98" s="335"/>
      <c r="P98" s="170"/>
    </row>
    <row r="99" spans="1:16" ht="15" customHeight="1" x14ac:dyDescent="0.2">
      <c r="A99" s="171">
        <v>28</v>
      </c>
      <c r="B99" s="124" t="s">
        <v>186</v>
      </c>
      <c r="C99" s="37">
        <v>13900</v>
      </c>
      <c r="D99" s="126">
        <v>38922</v>
      </c>
      <c r="E99" s="166">
        <v>2271.8000000000002</v>
      </c>
      <c r="F99" s="166"/>
      <c r="G99" s="37">
        <f t="shared" si="17"/>
        <v>2099.8000000000002</v>
      </c>
      <c r="H99" s="52">
        <f t="shared" si="22"/>
        <v>695</v>
      </c>
      <c r="I99" s="37">
        <f t="shared" si="18"/>
        <v>1576.8000000000002</v>
      </c>
      <c r="J99" s="37">
        <v>15</v>
      </c>
      <c r="K99" s="83">
        <f t="shared" si="23"/>
        <v>14.695890410958905</v>
      </c>
      <c r="L99" s="37">
        <f t="shared" si="19"/>
        <v>0.30410958904109542</v>
      </c>
      <c r="M99" s="84">
        <f t="shared" si="20"/>
        <v>7.5924092877209581E-2</v>
      </c>
      <c r="N99" s="388">
        <f t="shared" si="21"/>
        <v>172</v>
      </c>
      <c r="O99" s="335"/>
      <c r="P99" s="170"/>
    </row>
    <row r="100" spans="1:16" ht="15" customHeight="1" x14ac:dyDescent="0.2">
      <c r="A100" s="171">
        <v>29</v>
      </c>
      <c r="B100" s="79" t="s">
        <v>187</v>
      </c>
      <c r="C100" s="37">
        <v>15930</v>
      </c>
      <c r="D100" s="131">
        <v>39235</v>
      </c>
      <c r="E100" s="166">
        <v>3350.25</v>
      </c>
      <c r="F100" s="166"/>
      <c r="G100" s="37">
        <f t="shared" si="17"/>
        <v>3044.25</v>
      </c>
      <c r="H100" s="52">
        <f t="shared" si="22"/>
        <v>796.5</v>
      </c>
      <c r="I100" s="37">
        <f t="shared" si="18"/>
        <v>2553.75</v>
      </c>
      <c r="J100" s="37">
        <v>15</v>
      </c>
      <c r="K100" s="83">
        <f t="shared" si="23"/>
        <v>13.838356164383562</v>
      </c>
      <c r="L100" s="37">
        <f t="shared" si="19"/>
        <v>1.161643835616438</v>
      </c>
      <c r="M100" s="84">
        <f t="shared" si="20"/>
        <v>9.1327807935261407E-2</v>
      </c>
      <c r="N100" s="37">
        <f t="shared" si="21"/>
        <v>306</v>
      </c>
      <c r="O100" s="335"/>
      <c r="P100" s="170"/>
    </row>
    <row r="101" spans="1:16" ht="15" customHeight="1" x14ac:dyDescent="0.2">
      <c r="A101" s="77">
        <v>30</v>
      </c>
      <c r="B101" s="342" t="s">
        <v>188</v>
      </c>
      <c r="C101" s="346">
        <v>33225</v>
      </c>
      <c r="D101" s="344">
        <v>39287</v>
      </c>
      <c r="E101" s="345">
        <v>7046.625</v>
      </c>
      <c r="F101" s="345"/>
      <c r="G101" s="346">
        <f t="shared" si="17"/>
        <v>6399.625</v>
      </c>
      <c r="H101" s="347">
        <f t="shared" si="22"/>
        <v>1661.25</v>
      </c>
      <c r="I101" s="346">
        <f t="shared" si="18"/>
        <v>5385.375</v>
      </c>
      <c r="J101" s="346">
        <v>15</v>
      </c>
      <c r="K101" s="348">
        <f t="shared" si="23"/>
        <v>13.695890410958905</v>
      </c>
      <c r="L101" s="346">
        <f t="shared" si="19"/>
        <v>1.3041095890410954</v>
      </c>
      <c r="M101" s="349">
        <f t="shared" si="20"/>
        <v>9.183744994321541E-2</v>
      </c>
      <c r="N101" s="387">
        <f t="shared" si="21"/>
        <v>647</v>
      </c>
      <c r="O101" s="389" t="s">
        <v>606</v>
      </c>
      <c r="P101" s="170"/>
    </row>
    <row r="102" spans="1:16" ht="15" customHeight="1" x14ac:dyDescent="0.2">
      <c r="A102" s="77"/>
      <c r="B102" s="351" t="s">
        <v>189</v>
      </c>
      <c r="C102" s="346">
        <v>8549</v>
      </c>
      <c r="D102" s="344">
        <v>39627</v>
      </c>
      <c r="E102" s="345">
        <v>2184.4785714285717</v>
      </c>
      <c r="F102" s="345"/>
      <c r="G102" s="346">
        <f t="shared" si="17"/>
        <v>1959.4785714285717</v>
      </c>
      <c r="H102" s="347">
        <f t="shared" si="22"/>
        <v>427.45000000000005</v>
      </c>
      <c r="I102" s="346">
        <f t="shared" si="18"/>
        <v>1757.0285714285717</v>
      </c>
      <c r="J102" s="346">
        <v>15</v>
      </c>
      <c r="K102" s="348">
        <f t="shared" si="23"/>
        <v>12.764383561643836</v>
      </c>
      <c r="L102" s="346">
        <f t="shared" si="19"/>
        <v>2.2356164383561641</v>
      </c>
      <c r="M102" s="349">
        <f t="shared" si="20"/>
        <v>0.10304806969839886</v>
      </c>
      <c r="N102" s="387">
        <f t="shared" si="21"/>
        <v>225</v>
      </c>
      <c r="O102" s="389" t="s">
        <v>606</v>
      </c>
      <c r="P102" s="170"/>
    </row>
    <row r="103" spans="1:16" ht="15" customHeight="1" x14ac:dyDescent="0.2">
      <c r="A103" s="77">
        <v>31</v>
      </c>
      <c r="B103" s="351" t="s">
        <v>190</v>
      </c>
      <c r="C103" s="346">
        <v>33224</v>
      </c>
      <c r="D103" s="344">
        <v>39745</v>
      </c>
      <c r="E103" s="345">
        <v>9510.5750000000007</v>
      </c>
      <c r="F103" s="345"/>
      <c r="G103" s="346">
        <f t="shared" si="17"/>
        <v>8466.5750000000007</v>
      </c>
      <c r="H103" s="347">
        <f t="shared" si="22"/>
        <v>1661.2</v>
      </c>
      <c r="I103" s="346">
        <f t="shared" si="18"/>
        <v>7849.3750000000009</v>
      </c>
      <c r="J103" s="346">
        <v>15</v>
      </c>
      <c r="K103" s="348">
        <f t="shared" si="23"/>
        <v>12.441095890410958</v>
      </c>
      <c r="L103" s="346">
        <f t="shared" si="19"/>
        <v>2.5589041095890419</v>
      </c>
      <c r="M103" s="349">
        <f t="shared" si="20"/>
        <v>0.10981348753286835</v>
      </c>
      <c r="N103" s="387">
        <f t="shared" si="21"/>
        <v>1044</v>
      </c>
      <c r="O103" s="389" t="s">
        <v>606</v>
      </c>
      <c r="P103" s="170"/>
    </row>
    <row r="104" spans="1:16" ht="15" customHeight="1" x14ac:dyDescent="0.2">
      <c r="A104" s="70"/>
      <c r="B104" s="342" t="s">
        <v>191</v>
      </c>
      <c r="C104" s="346">
        <v>31681</v>
      </c>
      <c r="D104" s="344">
        <v>40247</v>
      </c>
      <c r="E104" s="345">
        <v>10493.683333333331</v>
      </c>
      <c r="F104" s="345"/>
      <c r="G104" s="346">
        <f t="shared" si="17"/>
        <v>9250.6833333333307</v>
      </c>
      <c r="H104" s="347">
        <f t="shared" si="22"/>
        <v>1584.0500000000002</v>
      </c>
      <c r="I104" s="346">
        <f t="shared" si="18"/>
        <v>8909.6333333333314</v>
      </c>
      <c r="J104" s="346">
        <v>15</v>
      </c>
      <c r="K104" s="348">
        <f t="shared" si="23"/>
        <v>11.065753424657535</v>
      </c>
      <c r="L104" s="346">
        <f t="shared" si="19"/>
        <v>3.9342465753424651</v>
      </c>
      <c r="M104" s="349">
        <f t="shared" si="20"/>
        <v>0.11843150320933327</v>
      </c>
      <c r="N104" s="387">
        <f t="shared" si="21"/>
        <v>1243</v>
      </c>
      <c r="O104" s="389" t="s">
        <v>606</v>
      </c>
      <c r="P104" s="170"/>
    </row>
    <row r="105" spans="1:16" ht="15" customHeight="1" x14ac:dyDescent="0.2">
      <c r="A105" s="77">
        <v>92</v>
      </c>
      <c r="B105" s="79" t="s">
        <v>192</v>
      </c>
      <c r="C105" s="37">
        <v>15000</v>
      </c>
      <c r="D105" s="131">
        <v>40653</v>
      </c>
      <c r="E105" s="166">
        <v>5561.8000000000011</v>
      </c>
      <c r="F105" s="166"/>
      <c r="G105" s="37">
        <f t="shared" si="17"/>
        <v>4866.8000000000011</v>
      </c>
      <c r="H105" s="52">
        <f t="shared" si="22"/>
        <v>750</v>
      </c>
      <c r="I105" s="37">
        <f t="shared" si="18"/>
        <v>4811.8000000000011</v>
      </c>
      <c r="J105" s="37">
        <v>15</v>
      </c>
      <c r="K105" s="83">
        <f t="shared" si="23"/>
        <v>9.9534246575342458</v>
      </c>
      <c r="L105" s="37">
        <f t="shared" si="19"/>
        <v>5.0465753424657542</v>
      </c>
      <c r="M105" s="84">
        <f t="shared" si="20"/>
        <v>0.12503692305199032</v>
      </c>
      <c r="N105" s="37">
        <f t="shared" si="21"/>
        <v>695</v>
      </c>
      <c r="O105" s="335"/>
      <c r="P105" s="170"/>
    </row>
    <row r="106" spans="1:16" ht="15" customHeight="1" x14ac:dyDescent="0.2">
      <c r="A106" s="77"/>
      <c r="B106" s="124" t="s">
        <v>193</v>
      </c>
      <c r="C106" s="37">
        <v>18500</v>
      </c>
      <c r="D106" s="126">
        <v>40639</v>
      </c>
      <c r="E106" s="166">
        <v>6847.6000000000022</v>
      </c>
      <c r="F106" s="166"/>
      <c r="G106" s="37">
        <f t="shared" si="17"/>
        <v>5991.6000000000022</v>
      </c>
      <c r="H106" s="52">
        <f t="shared" si="22"/>
        <v>925</v>
      </c>
      <c r="I106" s="37">
        <f t="shared" si="18"/>
        <v>5922.6000000000022</v>
      </c>
      <c r="J106" s="37">
        <v>15</v>
      </c>
      <c r="K106" s="83">
        <f t="shared" si="23"/>
        <v>9.9917808219178088</v>
      </c>
      <c r="L106" s="37">
        <f t="shared" si="19"/>
        <v>5.0082191780821912</v>
      </c>
      <c r="M106" s="84">
        <f t="shared" si="20"/>
        <v>0.12493518215053268</v>
      </c>
      <c r="N106" s="388">
        <f t="shared" si="21"/>
        <v>856</v>
      </c>
      <c r="O106" s="335"/>
      <c r="P106" s="170"/>
    </row>
    <row r="107" spans="1:16" ht="15" customHeight="1" x14ac:dyDescent="0.2">
      <c r="A107" s="77"/>
      <c r="B107" s="124" t="s">
        <v>194</v>
      </c>
      <c r="C107" s="37">
        <v>27000</v>
      </c>
      <c r="D107" s="126">
        <v>40652</v>
      </c>
      <c r="E107" s="166">
        <v>10011.700000000001</v>
      </c>
      <c r="F107" s="166"/>
      <c r="G107" s="37">
        <f t="shared" si="17"/>
        <v>8759.7000000000007</v>
      </c>
      <c r="H107" s="52">
        <f t="shared" si="22"/>
        <v>1350</v>
      </c>
      <c r="I107" s="37">
        <f t="shared" si="18"/>
        <v>8661.7000000000007</v>
      </c>
      <c r="J107" s="37">
        <v>15</v>
      </c>
      <c r="K107" s="83">
        <f t="shared" si="23"/>
        <v>9.956164383561644</v>
      </c>
      <c r="L107" s="37">
        <f t="shared" si="19"/>
        <v>5.043835616438356</v>
      </c>
      <c r="M107" s="84">
        <f t="shared" si="20"/>
        <v>0.12503960319386109</v>
      </c>
      <c r="N107" s="388">
        <f t="shared" si="21"/>
        <v>1252</v>
      </c>
      <c r="O107" s="335"/>
      <c r="P107" s="170"/>
    </row>
    <row r="108" spans="1:16" ht="15" customHeight="1" x14ac:dyDescent="0.2">
      <c r="A108" s="77">
        <v>32</v>
      </c>
      <c r="B108" s="183" t="s">
        <v>195</v>
      </c>
      <c r="C108" s="37"/>
      <c r="D108" s="131"/>
      <c r="E108" s="166"/>
      <c r="F108" s="166"/>
      <c r="G108" s="37"/>
      <c r="H108" s="52">
        <f t="shared" si="22"/>
        <v>0</v>
      </c>
      <c r="I108" s="37"/>
      <c r="J108" s="37"/>
      <c r="K108" s="83"/>
      <c r="L108" s="37"/>
      <c r="M108" s="84"/>
      <c r="N108" s="37"/>
      <c r="O108" s="335"/>
      <c r="P108" s="170"/>
    </row>
    <row r="109" spans="1:16" ht="15" customHeight="1" x14ac:dyDescent="0.2">
      <c r="A109" s="70"/>
      <c r="B109" s="79" t="s">
        <v>196</v>
      </c>
      <c r="C109" s="37">
        <v>11130</v>
      </c>
      <c r="D109" s="131">
        <f>DATE(88,4,23)</f>
        <v>32256</v>
      </c>
      <c r="E109" s="166">
        <v>556.5</v>
      </c>
      <c r="F109" s="166"/>
      <c r="G109" s="37">
        <f t="shared" si="17"/>
        <v>556.5</v>
      </c>
      <c r="H109" s="52">
        <f t="shared" si="22"/>
        <v>556.5</v>
      </c>
      <c r="I109" s="37">
        <f t="shared" si="18"/>
        <v>0</v>
      </c>
      <c r="J109" s="37">
        <v>15</v>
      </c>
      <c r="K109" s="83">
        <f t="shared" si="23"/>
        <v>32.958904109589042</v>
      </c>
      <c r="L109" s="37">
        <f t="shared" si="19"/>
        <v>-17.958904109589042</v>
      </c>
      <c r="M109" s="84">
        <f t="shared" si="20"/>
        <v>0</v>
      </c>
      <c r="N109" s="37">
        <f t="shared" si="21"/>
        <v>0</v>
      </c>
      <c r="O109" s="335"/>
      <c r="P109" s="170"/>
    </row>
    <row r="110" spans="1:16" ht="15" customHeight="1" x14ac:dyDescent="0.2">
      <c r="A110" s="70"/>
      <c r="B110" s="79" t="s">
        <v>197</v>
      </c>
      <c r="C110" s="37">
        <v>9624</v>
      </c>
      <c r="D110" s="131">
        <f>DATE(88,11,12)</f>
        <v>32459</v>
      </c>
      <c r="E110" s="166">
        <v>481.20000000000073</v>
      </c>
      <c r="F110" s="166"/>
      <c r="G110" s="37">
        <f t="shared" si="17"/>
        <v>481.20000000000073</v>
      </c>
      <c r="H110" s="52">
        <f t="shared" si="22"/>
        <v>481.20000000000005</v>
      </c>
      <c r="I110" s="37">
        <f t="shared" si="18"/>
        <v>6.8212102632969618E-13</v>
      </c>
      <c r="J110" s="37">
        <v>15</v>
      </c>
      <c r="K110" s="83">
        <f t="shared" si="23"/>
        <v>32.402739726027399</v>
      </c>
      <c r="L110" s="37">
        <f t="shared" si="19"/>
        <v>-17.402739726027399</v>
      </c>
      <c r="M110" s="84">
        <f t="shared" si="20"/>
        <v>0</v>
      </c>
      <c r="N110" s="37">
        <f t="shared" si="21"/>
        <v>0</v>
      </c>
      <c r="O110" s="335"/>
      <c r="P110" s="170"/>
    </row>
    <row r="111" spans="1:16" ht="15" customHeight="1" x14ac:dyDescent="0.2">
      <c r="A111" s="70"/>
      <c r="B111" s="79" t="s">
        <v>198</v>
      </c>
      <c r="C111" s="37">
        <v>14184</v>
      </c>
      <c r="D111" s="131">
        <f>DATE(88,12,10)</f>
        <v>32487</v>
      </c>
      <c r="E111" s="166">
        <v>709</v>
      </c>
      <c r="F111" s="166"/>
      <c r="G111" s="37">
        <f t="shared" si="17"/>
        <v>709</v>
      </c>
      <c r="H111" s="52">
        <f t="shared" si="22"/>
        <v>709.2</v>
      </c>
      <c r="I111" s="37">
        <f t="shared" si="18"/>
        <v>-0.20000000000004547</v>
      </c>
      <c r="J111" s="37">
        <v>15</v>
      </c>
      <c r="K111" s="83">
        <f t="shared" si="23"/>
        <v>32.326027397260276</v>
      </c>
      <c r="L111" s="37">
        <f t="shared" si="19"/>
        <v>-17.326027397260276</v>
      </c>
      <c r="M111" s="84">
        <f t="shared" si="20"/>
        <v>0</v>
      </c>
      <c r="N111" s="37">
        <f t="shared" si="21"/>
        <v>0</v>
      </c>
      <c r="O111" s="335"/>
      <c r="P111" s="170"/>
    </row>
    <row r="112" spans="1:16" ht="15" customHeight="1" x14ac:dyDescent="0.2">
      <c r="A112" s="70"/>
      <c r="B112" s="79" t="s">
        <v>199</v>
      </c>
      <c r="C112" s="37">
        <v>1109</v>
      </c>
      <c r="D112" s="131">
        <f>DATE(88,9,30)</f>
        <v>32416</v>
      </c>
      <c r="E112" s="166">
        <v>55</v>
      </c>
      <c r="F112" s="166"/>
      <c r="G112" s="37">
        <f t="shared" si="17"/>
        <v>55</v>
      </c>
      <c r="H112" s="52">
        <f t="shared" si="22"/>
        <v>55.45</v>
      </c>
      <c r="I112" s="37">
        <f t="shared" si="18"/>
        <v>-0.45000000000000284</v>
      </c>
      <c r="J112" s="37">
        <v>15</v>
      </c>
      <c r="K112" s="83">
        <f t="shared" si="23"/>
        <v>32.520547945205479</v>
      </c>
      <c r="L112" s="37">
        <f t="shared" si="19"/>
        <v>-17.520547945205479</v>
      </c>
      <c r="M112" s="84">
        <f t="shared" si="20"/>
        <v>0</v>
      </c>
      <c r="N112" s="37">
        <f t="shared" si="21"/>
        <v>0</v>
      </c>
      <c r="O112" s="335"/>
      <c r="P112" s="170"/>
    </row>
    <row r="113" spans="1:16" ht="15" customHeight="1" x14ac:dyDescent="0.2">
      <c r="A113" s="70"/>
      <c r="B113" s="79" t="s">
        <v>200</v>
      </c>
      <c r="C113" s="37">
        <v>949</v>
      </c>
      <c r="D113" s="131">
        <f>DATE(88,10,13)</f>
        <v>32429</v>
      </c>
      <c r="E113" s="166">
        <v>47</v>
      </c>
      <c r="F113" s="166"/>
      <c r="G113" s="37">
        <f t="shared" si="17"/>
        <v>47</v>
      </c>
      <c r="H113" s="52">
        <f t="shared" si="22"/>
        <v>47.45</v>
      </c>
      <c r="I113" s="37">
        <f t="shared" si="18"/>
        <v>-0.45000000000000284</v>
      </c>
      <c r="J113" s="37">
        <v>15</v>
      </c>
      <c r="K113" s="83">
        <f t="shared" si="23"/>
        <v>32.484931506849314</v>
      </c>
      <c r="L113" s="37">
        <f t="shared" si="19"/>
        <v>-17.484931506849314</v>
      </c>
      <c r="M113" s="84">
        <f t="shared" si="20"/>
        <v>0</v>
      </c>
      <c r="N113" s="37">
        <f t="shared" si="21"/>
        <v>0</v>
      </c>
      <c r="O113" s="335"/>
      <c r="P113" s="170"/>
    </row>
    <row r="114" spans="1:16" ht="15" customHeight="1" x14ac:dyDescent="0.2">
      <c r="A114" s="77">
        <v>35</v>
      </c>
      <c r="B114" s="79" t="s">
        <v>201</v>
      </c>
      <c r="C114" s="37">
        <v>30093</v>
      </c>
      <c r="D114" s="131">
        <f>DATE(89,1,12)</f>
        <v>32520</v>
      </c>
      <c r="E114" s="166">
        <v>1504.3000000000029</v>
      </c>
      <c r="F114" s="166"/>
      <c r="G114" s="37">
        <f t="shared" si="17"/>
        <v>1504.3000000000029</v>
      </c>
      <c r="H114" s="52">
        <f t="shared" si="22"/>
        <v>1504.65</v>
      </c>
      <c r="I114" s="37">
        <f t="shared" si="18"/>
        <v>-0.34999999999718057</v>
      </c>
      <c r="J114" s="37">
        <v>15</v>
      </c>
      <c r="K114" s="83">
        <f t="shared" si="23"/>
        <v>32.235616438356168</v>
      </c>
      <c r="L114" s="37">
        <f t="shared" si="19"/>
        <v>-17.235616438356168</v>
      </c>
      <c r="M114" s="84">
        <f t="shared" si="20"/>
        <v>0</v>
      </c>
      <c r="N114" s="37">
        <f t="shared" si="21"/>
        <v>0</v>
      </c>
      <c r="O114" s="335"/>
      <c r="P114" s="170"/>
    </row>
    <row r="115" spans="1:16" ht="15" customHeight="1" x14ac:dyDescent="0.2">
      <c r="A115" s="70"/>
      <c r="B115" s="79" t="s">
        <v>202</v>
      </c>
      <c r="C115" s="37">
        <v>18490</v>
      </c>
      <c r="D115" s="131">
        <f>DATE(88,8,17)</f>
        <v>32372</v>
      </c>
      <c r="E115" s="166">
        <v>924.09999999999854</v>
      </c>
      <c r="F115" s="166"/>
      <c r="G115" s="37">
        <f t="shared" si="17"/>
        <v>924.09999999999854</v>
      </c>
      <c r="H115" s="52">
        <f t="shared" si="22"/>
        <v>924.5</v>
      </c>
      <c r="I115" s="37">
        <f t="shared" si="18"/>
        <v>-0.40000000000145519</v>
      </c>
      <c r="J115" s="37">
        <v>15</v>
      </c>
      <c r="K115" s="83">
        <f t="shared" si="23"/>
        <v>32.641095890410959</v>
      </c>
      <c r="L115" s="37">
        <f t="shared" si="19"/>
        <v>-17.641095890410959</v>
      </c>
      <c r="M115" s="84">
        <f t="shared" si="20"/>
        <v>0</v>
      </c>
      <c r="N115" s="37">
        <f t="shared" si="21"/>
        <v>0</v>
      </c>
      <c r="O115" s="335"/>
      <c r="P115" s="170"/>
    </row>
    <row r="116" spans="1:16" ht="15" customHeight="1" x14ac:dyDescent="0.2">
      <c r="A116" s="70"/>
      <c r="B116" s="79" t="s">
        <v>203</v>
      </c>
      <c r="C116" s="37">
        <v>27509</v>
      </c>
      <c r="D116" s="131">
        <f>DATE(88,11,3)</f>
        <v>32450</v>
      </c>
      <c r="E116" s="166">
        <v>1375</v>
      </c>
      <c r="F116" s="166"/>
      <c r="G116" s="37">
        <f t="shared" si="17"/>
        <v>1375</v>
      </c>
      <c r="H116" s="52">
        <f t="shared" si="22"/>
        <v>1375.45</v>
      </c>
      <c r="I116" s="37">
        <f t="shared" si="18"/>
        <v>-0.45000000000004547</v>
      </c>
      <c r="J116" s="37">
        <v>15</v>
      </c>
      <c r="K116" s="83">
        <f t="shared" si="23"/>
        <v>32.42739726027397</v>
      </c>
      <c r="L116" s="37">
        <f t="shared" si="19"/>
        <v>-17.42739726027397</v>
      </c>
      <c r="M116" s="84">
        <f t="shared" si="20"/>
        <v>0</v>
      </c>
      <c r="N116" s="37">
        <f t="shared" si="21"/>
        <v>0</v>
      </c>
      <c r="O116" s="335"/>
      <c r="P116" s="170"/>
    </row>
    <row r="117" spans="1:16" ht="15" customHeight="1" x14ac:dyDescent="0.2">
      <c r="A117" s="70"/>
      <c r="B117" s="79" t="s">
        <v>204</v>
      </c>
      <c r="C117" s="37">
        <v>2082</v>
      </c>
      <c r="D117" s="131">
        <f>DATE(89,2,18)</f>
        <v>32557</v>
      </c>
      <c r="E117" s="166">
        <v>104</v>
      </c>
      <c r="F117" s="166"/>
      <c r="G117" s="37">
        <f t="shared" si="17"/>
        <v>104</v>
      </c>
      <c r="H117" s="52">
        <f t="shared" si="22"/>
        <v>104.10000000000001</v>
      </c>
      <c r="I117" s="37">
        <f t="shared" si="18"/>
        <v>-0.10000000000000853</v>
      </c>
      <c r="J117" s="37">
        <v>15</v>
      </c>
      <c r="K117" s="83">
        <f t="shared" si="23"/>
        <v>32.134246575342466</v>
      </c>
      <c r="L117" s="37">
        <f t="shared" si="19"/>
        <v>-17.134246575342466</v>
      </c>
      <c r="M117" s="84">
        <f t="shared" si="20"/>
        <v>0</v>
      </c>
      <c r="N117" s="37">
        <f t="shared" si="21"/>
        <v>0</v>
      </c>
      <c r="O117" s="335"/>
      <c r="P117" s="170"/>
    </row>
    <row r="118" spans="1:16" ht="15" customHeight="1" x14ac:dyDescent="0.2">
      <c r="A118" s="70"/>
      <c r="B118" s="124" t="s">
        <v>205</v>
      </c>
      <c r="C118" s="37">
        <v>43009</v>
      </c>
      <c r="D118" s="126">
        <f>DATE(92,6,22)</f>
        <v>33777</v>
      </c>
      <c r="E118" s="166">
        <v>2150</v>
      </c>
      <c r="F118" s="166"/>
      <c r="G118" s="37">
        <f t="shared" si="17"/>
        <v>2150</v>
      </c>
      <c r="H118" s="52">
        <f t="shared" si="22"/>
        <v>2150.4500000000003</v>
      </c>
      <c r="I118" s="37">
        <f t="shared" si="18"/>
        <v>-0.45000000000027285</v>
      </c>
      <c r="J118" s="37">
        <v>15</v>
      </c>
      <c r="K118" s="83">
        <f t="shared" si="23"/>
        <v>28.791780821917808</v>
      </c>
      <c r="L118" s="37">
        <f t="shared" si="19"/>
        <v>-13.791780821917808</v>
      </c>
      <c r="M118" s="84">
        <f t="shared" si="20"/>
        <v>0</v>
      </c>
      <c r="N118" s="388">
        <f t="shared" si="21"/>
        <v>0</v>
      </c>
      <c r="O118" s="335"/>
      <c r="P118" s="170"/>
    </row>
    <row r="119" spans="1:16" ht="15" customHeight="1" x14ac:dyDescent="0.2">
      <c r="A119" s="70"/>
      <c r="B119" s="124" t="s">
        <v>206</v>
      </c>
      <c r="C119" s="37">
        <v>24345</v>
      </c>
      <c r="D119" s="126">
        <f>DATE(92,8,12)</f>
        <v>33828</v>
      </c>
      <c r="E119" s="166">
        <v>1217</v>
      </c>
      <c r="F119" s="166"/>
      <c r="G119" s="37">
        <f t="shared" si="17"/>
        <v>1217</v>
      </c>
      <c r="H119" s="52">
        <f t="shared" si="22"/>
        <v>1217.25</v>
      </c>
      <c r="I119" s="37">
        <f t="shared" si="18"/>
        <v>-0.25</v>
      </c>
      <c r="J119" s="37">
        <v>15</v>
      </c>
      <c r="K119" s="83">
        <f t="shared" si="23"/>
        <v>28.652054794520549</v>
      </c>
      <c r="L119" s="37">
        <f t="shared" si="19"/>
        <v>-13.652054794520549</v>
      </c>
      <c r="M119" s="84">
        <f t="shared" si="20"/>
        <v>0</v>
      </c>
      <c r="N119" s="388">
        <f t="shared" si="21"/>
        <v>0</v>
      </c>
      <c r="O119" s="335"/>
      <c r="P119" s="170"/>
    </row>
    <row r="120" spans="1:16" ht="15" customHeight="1" x14ac:dyDescent="0.2">
      <c r="A120" s="70"/>
      <c r="B120" s="124" t="s">
        <v>207</v>
      </c>
      <c r="C120" s="37">
        <v>5078</v>
      </c>
      <c r="D120" s="126">
        <f>DATE(92,12,17)</f>
        <v>33955</v>
      </c>
      <c r="E120" s="166">
        <v>253.79999999999927</v>
      </c>
      <c r="F120" s="166"/>
      <c r="G120" s="37">
        <f t="shared" si="17"/>
        <v>253.79999999999927</v>
      </c>
      <c r="H120" s="52">
        <f t="shared" si="22"/>
        <v>253.9</v>
      </c>
      <c r="I120" s="37">
        <f t="shared" si="18"/>
        <v>-0.10000000000073328</v>
      </c>
      <c r="J120" s="37">
        <v>15</v>
      </c>
      <c r="K120" s="83">
        <f t="shared" si="23"/>
        <v>28.304109589041097</v>
      </c>
      <c r="L120" s="37">
        <f t="shared" si="19"/>
        <v>-13.304109589041097</v>
      </c>
      <c r="M120" s="84">
        <f t="shared" si="20"/>
        <v>0</v>
      </c>
      <c r="N120" s="388">
        <f t="shared" si="21"/>
        <v>0</v>
      </c>
      <c r="O120" s="335"/>
      <c r="P120" s="170"/>
    </row>
    <row r="121" spans="1:16" ht="15" customHeight="1" x14ac:dyDescent="0.2">
      <c r="A121" s="70"/>
      <c r="B121" s="124" t="s">
        <v>208</v>
      </c>
      <c r="C121" s="37">
        <v>1601</v>
      </c>
      <c r="D121" s="126">
        <f>DATE(93,1,7)</f>
        <v>33976</v>
      </c>
      <c r="E121" s="166">
        <v>80</v>
      </c>
      <c r="F121" s="166"/>
      <c r="G121" s="37">
        <f t="shared" si="17"/>
        <v>80</v>
      </c>
      <c r="H121" s="52">
        <f t="shared" si="22"/>
        <v>80.050000000000011</v>
      </c>
      <c r="I121" s="37">
        <f t="shared" si="18"/>
        <v>-5.0000000000011369E-2</v>
      </c>
      <c r="J121" s="37">
        <v>15</v>
      </c>
      <c r="K121" s="83">
        <f t="shared" si="23"/>
        <v>28.246575342465754</v>
      </c>
      <c r="L121" s="37">
        <f t="shared" si="19"/>
        <v>-13.246575342465754</v>
      </c>
      <c r="M121" s="84">
        <f t="shared" si="20"/>
        <v>0</v>
      </c>
      <c r="N121" s="388">
        <f t="shared" si="21"/>
        <v>0</v>
      </c>
      <c r="O121" s="335"/>
      <c r="P121" s="170"/>
    </row>
    <row r="122" spans="1:16" ht="15" customHeight="1" x14ac:dyDescent="0.2">
      <c r="A122" s="70"/>
      <c r="B122" s="342" t="s">
        <v>209</v>
      </c>
      <c r="C122" s="346">
        <v>22441</v>
      </c>
      <c r="D122" s="344">
        <f>DATE(93,5,20)</f>
        <v>34109</v>
      </c>
      <c r="E122" s="345">
        <v>1122</v>
      </c>
      <c r="F122" s="345"/>
      <c r="G122" s="346">
        <f t="shared" si="17"/>
        <v>1122</v>
      </c>
      <c r="H122" s="347">
        <f t="shared" si="22"/>
        <v>1122.05</v>
      </c>
      <c r="I122" s="346">
        <f t="shared" si="18"/>
        <v>-4.9999999999954525E-2</v>
      </c>
      <c r="J122" s="346">
        <v>15</v>
      </c>
      <c r="K122" s="348">
        <f t="shared" si="23"/>
        <v>27.882191780821916</v>
      </c>
      <c r="L122" s="346">
        <f t="shared" si="19"/>
        <v>-12.882191780821916</v>
      </c>
      <c r="M122" s="349">
        <f t="shared" si="20"/>
        <v>0</v>
      </c>
      <c r="N122" s="387">
        <f t="shared" si="21"/>
        <v>0</v>
      </c>
      <c r="O122" s="389" t="s">
        <v>606</v>
      </c>
      <c r="P122" s="170"/>
    </row>
    <row r="123" spans="1:16" ht="15" customHeight="1" x14ac:dyDescent="0.2">
      <c r="A123" s="70"/>
      <c r="B123" s="124" t="s">
        <v>210</v>
      </c>
      <c r="C123" s="37">
        <v>40402</v>
      </c>
      <c r="D123" s="126">
        <f>DATE(93,9,22)</f>
        <v>34234</v>
      </c>
      <c r="E123" s="166">
        <v>1458</v>
      </c>
      <c r="F123" s="166"/>
      <c r="G123" s="37">
        <f t="shared" si="17"/>
        <v>1458</v>
      </c>
      <c r="H123" s="52">
        <f t="shared" si="22"/>
        <v>2020.1000000000001</v>
      </c>
      <c r="I123" s="37">
        <v>0</v>
      </c>
      <c r="J123" s="37">
        <v>15</v>
      </c>
      <c r="K123" s="83">
        <f t="shared" si="23"/>
        <v>27.539726027397261</v>
      </c>
      <c r="L123" s="37">
        <f t="shared" si="19"/>
        <v>-12.539726027397261</v>
      </c>
      <c r="M123" s="84">
        <f t="shared" si="20"/>
        <v>0</v>
      </c>
      <c r="N123" s="388">
        <f t="shared" si="21"/>
        <v>0</v>
      </c>
      <c r="O123" s="335" t="s">
        <v>12</v>
      </c>
      <c r="P123" s="170"/>
    </row>
    <row r="124" spans="1:16" ht="15" customHeight="1" x14ac:dyDescent="0.2">
      <c r="A124" s="70"/>
      <c r="B124" s="124" t="s">
        <v>211</v>
      </c>
      <c r="C124" s="37">
        <v>41380</v>
      </c>
      <c r="D124" s="126">
        <f>DATE(96,1,30)</f>
        <v>35094</v>
      </c>
      <c r="E124" s="166">
        <v>2069</v>
      </c>
      <c r="F124" s="166"/>
      <c r="G124" s="37">
        <f t="shared" si="17"/>
        <v>2069</v>
      </c>
      <c r="H124" s="52">
        <f t="shared" si="22"/>
        <v>2069</v>
      </c>
      <c r="I124" s="37">
        <f t="shared" si="18"/>
        <v>0</v>
      </c>
      <c r="J124" s="37">
        <v>15</v>
      </c>
      <c r="K124" s="83">
        <f t="shared" si="23"/>
        <v>25.183561643835617</v>
      </c>
      <c r="L124" s="37">
        <f t="shared" si="19"/>
        <v>-10.183561643835617</v>
      </c>
      <c r="M124" s="84">
        <f t="shared" si="20"/>
        <v>0</v>
      </c>
      <c r="N124" s="388">
        <f t="shared" si="21"/>
        <v>0</v>
      </c>
      <c r="O124" s="335" t="s">
        <v>12</v>
      </c>
      <c r="P124" s="170"/>
    </row>
    <row r="125" spans="1:16" ht="15" customHeight="1" x14ac:dyDescent="0.2">
      <c r="A125" s="70"/>
      <c r="B125" s="124" t="s">
        <v>212</v>
      </c>
      <c r="C125" s="37">
        <v>25660</v>
      </c>
      <c r="D125" s="126">
        <f>DATE(95,9,25)</f>
        <v>34967</v>
      </c>
      <c r="E125" s="166">
        <v>945</v>
      </c>
      <c r="F125" s="166"/>
      <c r="G125" s="37">
        <f t="shared" si="17"/>
        <v>945</v>
      </c>
      <c r="H125" s="52">
        <f t="shared" si="22"/>
        <v>1283</v>
      </c>
      <c r="I125" s="37">
        <v>0</v>
      </c>
      <c r="J125" s="37">
        <v>15</v>
      </c>
      <c r="K125" s="83">
        <f t="shared" si="23"/>
        <v>25.531506849315068</v>
      </c>
      <c r="L125" s="37">
        <f t="shared" si="19"/>
        <v>-10.531506849315068</v>
      </c>
      <c r="M125" s="84">
        <f t="shared" si="20"/>
        <v>0</v>
      </c>
      <c r="N125" s="388">
        <f t="shared" si="21"/>
        <v>0</v>
      </c>
      <c r="O125" s="335" t="s">
        <v>12</v>
      </c>
      <c r="P125" s="170"/>
    </row>
    <row r="126" spans="1:16" ht="15" customHeight="1" x14ac:dyDescent="0.2">
      <c r="A126" s="70"/>
      <c r="B126" s="124" t="s">
        <v>213</v>
      </c>
      <c r="C126" s="37">
        <v>30721</v>
      </c>
      <c r="D126" s="126">
        <f>DATE(96,6,25)</f>
        <v>35241</v>
      </c>
      <c r="E126" s="166">
        <v>1536</v>
      </c>
      <c r="F126" s="166"/>
      <c r="G126" s="37">
        <f t="shared" si="17"/>
        <v>1536</v>
      </c>
      <c r="H126" s="52">
        <f t="shared" si="22"/>
        <v>1536.0500000000002</v>
      </c>
      <c r="I126" s="37">
        <f t="shared" si="18"/>
        <v>-5.0000000000181899E-2</v>
      </c>
      <c r="J126" s="37">
        <v>15</v>
      </c>
      <c r="K126" s="83">
        <f t="shared" si="23"/>
        <v>24.780821917808218</v>
      </c>
      <c r="L126" s="37">
        <f t="shared" si="19"/>
        <v>-9.7808219178082183</v>
      </c>
      <c r="M126" s="84">
        <f t="shared" si="20"/>
        <v>0</v>
      </c>
      <c r="N126" s="388">
        <f t="shared" si="21"/>
        <v>0</v>
      </c>
      <c r="O126" s="335" t="s">
        <v>12</v>
      </c>
      <c r="P126" s="170"/>
    </row>
    <row r="127" spans="1:16" ht="15" customHeight="1" x14ac:dyDescent="0.2">
      <c r="A127" s="70"/>
      <c r="B127" s="124" t="s">
        <v>214</v>
      </c>
      <c r="C127" s="37">
        <v>11952</v>
      </c>
      <c r="D127" s="126">
        <f>DATE(96,11,7)</f>
        <v>35376</v>
      </c>
      <c r="E127" s="166">
        <v>596.20000000000073</v>
      </c>
      <c r="F127" s="166"/>
      <c r="G127" s="37">
        <f t="shared" si="17"/>
        <v>596.20000000000073</v>
      </c>
      <c r="H127" s="52">
        <f t="shared" si="22"/>
        <v>597.6</v>
      </c>
      <c r="I127" s="37">
        <f t="shared" si="18"/>
        <v>-1.3999999999992951</v>
      </c>
      <c r="J127" s="37">
        <v>15</v>
      </c>
      <c r="K127" s="83">
        <f t="shared" si="23"/>
        <v>24.410958904109588</v>
      </c>
      <c r="L127" s="37">
        <f t="shared" si="19"/>
        <v>-9.410958904109588</v>
      </c>
      <c r="M127" s="84">
        <f t="shared" si="20"/>
        <v>0</v>
      </c>
      <c r="N127" s="388">
        <f t="shared" si="21"/>
        <v>0</v>
      </c>
      <c r="O127" s="335" t="s">
        <v>12</v>
      </c>
      <c r="P127" s="170"/>
    </row>
    <row r="128" spans="1:16" ht="15" customHeight="1" x14ac:dyDescent="0.2">
      <c r="A128" s="77">
        <v>86</v>
      </c>
      <c r="B128" s="124" t="s">
        <v>215</v>
      </c>
      <c r="C128" s="37">
        <v>6771</v>
      </c>
      <c r="D128" s="126">
        <f>DATE(96,11,22)</f>
        <v>35391</v>
      </c>
      <c r="E128" s="166">
        <v>338.10000000000036</v>
      </c>
      <c r="F128" s="166"/>
      <c r="G128" s="37">
        <f t="shared" si="17"/>
        <v>338.10000000000036</v>
      </c>
      <c r="H128" s="52">
        <f t="shared" si="22"/>
        <v>338.55</v>
      </c>
      <c r="I128" s="37">
        <f t="shared" si="18"/>
        <v>-0.44999999999964757</v>
      </c>
      <c r="J128" s="37">
        <v>15</v>
      </c>
      <c r="K128" s="83">
        <f t="shared" si="23"/>
        <v>24.36986301369863</v>
      </c>
      <c r="L128" s="37">
        <f t="shared" si="19"/>
        <v>-9.3698630136986303</v>
      </c>
      <c r="M128" s="84">
        <f t="shared" si="20"/>
        <v>0</v>
      </c>
      <c r="N128" s="388">
        <f t="shared" si="21"/>
        <v>0</v>
      </c>
      <c r="O128" s="335" t="s">
        <v>12</v>
      </c>
      <c r="P128" s="170"/>
    </row>
    <row r="129" spans="1:16" ht="15" customHeight="1" x14ac:dyDescent="0.2">
      <c r="A129" s="77"/>
      <c r="B129" s="124" t="s">
        <v>216</v>
      </c>
      <c r="C129" s="37">
        <v>16879</v>
      </c>
      <c r="D129" s="126">
        <f>DATE(96,12,3)</f>
        <v>35402</v>
      </c>
      <c r="E129" s="166">
        <v>843.90000000000146</v>
      </c>
      <c r="F129" s="166"/>
      <c r="G129" s="37">
        <f t="shared" si="17"/>
        <v>843.90000000000146</v>
      </c>
      <c r="H129" s="52">
        <f t="shared" si="22"/>
        <v>843.95</v>
      </c>
      <c r="I129" s="37">
        <f t="shared" si="18"/>
        <v>-4.9999999998590283E-2</v>
      </c>
      <c r="J129" s="37">
        <v>15</v>
      </c>
      <c r="K129" s="83">
        <f t="shared" si="23"/>
        <v>24.339726027397262</v>
      </c>
      <c r="L129" s="37">
        <f t="shared" si="19"/>
        <v>-9.339726027397262</v>
      </c>
      <c r="M129" s="84">
        <f t="shared" si="20"/>
        <v>0</v>
      </c>
      <c r="N129" s="388">
        <f t="shared" si="21"/>
        <v>0</v>
      </c>
      <c r="O129" s="335" t="s">
        <v>12</v>
      </c>
      <c r="P129" s="170"/>
    </row>
    <row r="130" spans="1:16" ht="15" customHeight="1" x14ac:dyDescent="0.2">
      <c r="A130" s="77"/>
      <c r="B130" s="124" t="s">
        <v>217</v>
      </c>
      <c r="C130" s="37">
        <v>38866</v>
      </c>
      <c r="D130" s="126">
        <f>DATE(96,12,18)</f>
        <v>35417</v>
      </c>
      <c r="E130" s="166">
        <v>1943</v>
      </c>
      <c r="F130" s="166"/>
      <c r="G130" s="37">
        <f t="shared" si="17"/>
        <v>1943</v>
      </c>
      <c r="H130" s="52">
        <f t="shared" si="22"/>
        <v>1943.3000000000002</v>
      </c>
      <c r="I130" s="37">
        <f t="shared" si="18"/>
        <v>-0.3000000000001819</v>
      </c>
      <c r="J130" s="37">
        <v>15</v>
      </c>
      <c r="K130" s="83">
        <f t="shared" si="23"/>
        <v>24.298630136986301</v>
      </c>
      <c r="L130" s="37">
        <f t="shared" si="19"/>
        <v>-9.2986301369863007</v>
      </c>
      <c r="M130" s="84">
        <f t="shared" si="20"/>
        <v>0</v>
      </c>
      <c r="N130" s="388">
        <f t="shared" si="21"/>
        <v>0</v>
      </c>
      <c r="O130" s="335" t="s">
        <v>12</v>
      </c>
      <c r="P130" s="170"/>
    </row>
    <row r="131" spans="1:16" ht="15" customHeight="1" x14ac:dyDescent="0.2">
      <c r="A131" s="77"/>
      <c r="B131" s="124" t="s">
        <v>218</v>
      </c>
      <c r="C131" s="37">
        <v>4536</v>
      </c>
      <c r="D131" s="126">
        <f>DATE(97,3,4)</f>
        <v>35493</v>
      </c>
      <c r="E131" s="166">
        <v>226.60000000000036</v>
      </c>
      <c r="F131" s="166"/>
      <c r="G131" s="37">
        <f t="shared" si="17"/>
        <v>226.60000000000036</v>
      </c>
      <c r="H131" s="52">
        <f t="shared" si="22"/>
        <v>226.8</v>
      </c>
      <c r="I131" s="37">
        <f t="shared" si="18"/>
        <v>-0.19999999999964757</v>
      </c>
      <c r="J131" s="37">
        <v>15</v>
      </c>
      <c r="K131" s="83">
        <f t="shared" si="23"/>
        <v>24.090410958904108</v>
      </c>
      <c r="L131" s="37">
        <f t="shared" si="19"/>
        <v>-9.0904109589041084</v>
      </c>
      <c r="M131" s="84">
        <f t="shared" si="20"/>
        <v>0</v>
      </c>
      <c r="N131" s="388">
        <f t="shared" si="21"/>
        <v>0</v>
      </c>
      <c r="O131" s="335" t="s">
        <v>12</v>
      </c>
      <c r="P131" s="170"/>
    </row>
    <row r="132" spans="1:16" ht="15" customHeight="1" x14ac:dyDescent="0.2">
      <c r="A132" s="70"/>
      <c r="B132" s="124" t="s">
        <v>219</v>
      </c>
      <c r="C132" s="37">
        <v>4454</v>
      </c>
      <c r="D132" s="126">
        <f>DATE(97,3,26)</f>
        <v>35515</v>
      </c>
      <c r="E132" s="166">
        <v>222.39999999999964</v>
      </c>
      <c r="F132" s="166"/>
      <c r="G132" s="37">
        <f t="shared" si="17"/>
        <v>222.39999999999964</v>
      </c>
      <c r="H132" s="52">
        <f t="shared" si="22"/>
        <v>222.70000000000002</v>
      </c>
      <c r="I132" s="37">
        <f t="shared" si="18"/>
        <v>-0.30000000000038085</v>
      </c>
      <c r="J132" s="37">
        <v>15</v>
      </c>
      <c r="K132" s="83">
        <f t="shared" si="23"/>
        <v>24.030136986301368</v>
      </c>
      <c r="L132" s="37">
        <f t="shared" si="19"/>
        <v>-9.0301369863013683</v>
      </c>
      <c r="M132" s="84">
        <f t="shared" si="20"/>
        <v>0</v>
      </c>
      <c r="N132" s="388">
        <f t="shared" si="21"/>
        <v>0</v>
      </c>
      <c r="O132" s="335" t="s">
        <v>12</v>
      </c>
      <c r="P132" s="170"/>
    </row>
    <row r="133" spans="1:16" ht="15" customHeight="1" x14ac:dyDescent="0.2">
      <c r="A133" s="77"/>
      <c r="B133" s="124" t="s">
        <v>220</v>
      </c>
      <c r="C133" s="37">
        <v>23708</v>
      </c>
      <c r="D133" s="126">
        <f>DATE(96,12,18)</f>
        <v>35417</v>
      </c>
      <c r="E133" s="166">
        <v>1185</v>
      </c>
      <c r="F133" s="166"/>
      <c r="G133" s="37">
        <f t="shared" si="17"/>
        <v>1185</v>
      </c>
      <c r="H133" s="52">
        <f t="shared" si="22"/>
        <v>1185.4000000000001</v>
      </c>
      <c r="I133" s="37">
        <f t="shared" si="18"/>
        <v>-0.40000000000009095</v>
      </c>
      <c r="J133" s="37">
        <v>15</v>
      </c>
      <c r="K133" s="83">
        <f t="shared" si="23"/>
        <v>24.298630136986301</v>
      </c>
      <c r="L133" s="37">
        <f t="shared" si="19"/>
        <v>-9.2986301369863007</v>
      </c>
      <c r="M133" s="84">
        <f t="shared" si="20"/>
        <v>0</v>
      </c>
      <c r="N133" s="388">
        <f t="shared" si="21"/>
        <v>0</v>
      </c>
      <c r="O133" s="335" t="s">
        <v>12</v>
      </c>
      <c r="P133" s="170"/>
    </row>
    <row r="134" spans="1:16" ht="15" customHeight="1" x14ac:dyDescent="0.2">
      <c r="A134" s="77"/>
      <c r="B134" s="79" t="s">
        <v>221</v>
      </c>
      <c r="C134" s="37">
        <v>51254</v>
      </c>
      <c r="D134" s="131">
        <f>DATE(98,12,26)</f>
        <v>36155</v>
      </c>
      <c r="E134" s="166">
        <v>2562.0999999999985</v>
      </c>
      <c r="F134" s="166"/>
      <c r="G134" s="37">
        <f t="shared" si="17"/>
        <v>2562.0999999999985</v>
      </c>
      <c r="H134" s="52">
        <f t="shared" si="22"/>
        <v>2562.7000000000003</v>
      </c>
      <c r="I134" s="37">
        <v>0</v>
      </c>
      <c r="J134" s="37">
        <v>15</v>
      </c>
      <c r="K134" s="83">
        <f t="shared" si="23"/>
        <v>22.276712328767122</v>
      </c>
      <c r="L134" s="37">
        <f t="shared" si="19"/>
        <v>-7.2767123287671218</v>
      </c>
      <c r="M134" s="84">
        <f t="shared" si="20"/>
        <v>0</v>
      </c>
      <c r="N134" s="37">
        <f t="shared" si="21"/>
        <v>0</v>
      </c>
      <c r="O134" s="335"/>
      <c r="P134" s="170"/>
    </row>
    <row r="135" spans="1:16" ht="15" customHeight="1" x14ac:dyDescent="0.2">
      <c r="A135" s="77"/>
      <c r="B135" s="79" t="s">
        <v>222</v>
      </c>
      <c r="C135" s="37">
        <v>22631</v>
      </c>
      <c r="D135" s="131">
        <v>38756</v>
      </c>
      <c r="E135" s="166">
        <v>1079.9299999999998</v>
      </c>
      <c r="F135" s="166"/>
      <c r="G135" s="37">
        <f t="shared" ref="G135:G190" si="24">E135+F135-N135</f>
        <v>1079.9299999999998</v>
      </c>
      <c r="H135" s="52">
        <f t="shared" si="22"/>
        <v>1131.55</v>
      </c>
      <c r="I135" s="37">
        <v>0</v>
      </c>
      <c r="J135" s="37">
        <v>15</v>
      </c>
      <c r="K135" s="83">
        <f t="shared" si="23"/>
        <v>15.150684931506849</v>
      </c>
      <c r="L135" s="37">
        <f t="shared" ref="L135:L190" si="25">J135-K135</f>
        <v>-0.15068493150684859</v>
      </c>
      <c r="M135" s="84">
        <v>0</v>
      </c>
      <c r="N135" s="37">
        <f t="shared" si="21"/>
        <v>0</v>
      </c>
      <c r="O135" s="335"/>
      <c r="P135" s="170"/>
    </row>
    <row r="136" spans="1:16" ht="15" customHeight="1" x14ac:dyDescent="0.2">
      <c r="A136" s="77">
        <v>90</v>
      </c>
      <c r="B136" s="79" t="s">
        <v>223</v>
      </c>
      <c r="C136" s="37">
        <v>19567</v>
      </c>
      <c r="D136" s="131">
        <v>38756</v>
      </c>
      <c r="E136" s="166">
        <v>934.41000000000008</v>
      </c>
      <c r="F136" s="166"/>
      <c r="G136" s="37">
        <f t="shared" si="24"/>
        <v>934.41000000000008</v>
      </c>
      <c r="H136" s="52">
        <f t="shared" ref="H136:H189" si="26">(C136+F136)*5%</f>
        <v>978.35</v>
      </c>
      <c r="I136" s="37">
        <v>0</v>
      </c>
      <c r="J136" s="37">
        <v>15</v>
      </c>
      <c r="K136" s="83">
        <f t="shared" si="23"/>
        <v>15.150684931506849</v>
      </c>
      <c r="L136" s="37">
        <f t="shared" si="25"/>
        <v>-0.15068493150684859</v>
      </c>
      <c r="M136" s="84">
        <v>0</v>
      </c>
      <c r="N136" s="37">
        <f t="shared" ref="N136:N189" si="27">ROUND((E136+F136)*M136,0)</f>
        <v>0</v>
      </c>
      <c r="O136" s="335"/>
      <c r="P136" s="170"/>
    </row>
    <row r="137" spans="1:16" ht="15" customHeight="1" x14ac:dyDescent="0.2">
      <c r="A137" s="77">
        <v>97</v>
      </c>
      <c r="B137" s="79" t="s">
        <v>224</v>
      </c>
      <c r="C137" s="37">
        <v>19027</v>
      </c>
      <c r="D137" s="131">
        <v>38756</v>
      </c>
      <c r="E137" s="166">
        <v>908.21</v>
      </c>
      <c r="F137" s="166"/>
      <c r="G137" s="37">
        <f t="shared" si="24"/>
        <v>908.21</v>
      </c>
      <c r="H137" s="52">
        <f t="shared" si="26"/>
        <v>951.35</v>
      </c>
      <c r="I137" s="37">
        <v>0</v>
      </c>
      <c r="J137" s="37">
        <v>15</v>
      </c>
      <c r="K137" s="83">
        <f t="shared" si="23"/>
        <v>15.150684931506849</v>
      </c>
      <c r="L137" s="37">
        <f t="shared" si="25"/>
        <v>-0.15068493150684859</v>
      </c>
      <c r="M137" s="84">
        <v>0</v>
      </c>
      <c r="N137" s="37">
        <f t="shared" si="27"/>
        <v>0</v>
      </c>
      <c r="O137" s="335"/>
      <c r="P137" s="170"/>
    </row>
    <row r="138" spans="1:16" ht="15" customHeight="1" x14ac:dyDescent="0.2">
      <c r="A138" s="77">
        <v>91</v>
      </c>
      <c r="B138" s="79" t="s">
        <v>225</v>
      </c>
      <c r="C138" s="37">
        <v>14736</v>
      </c>
      <c r="D138" s="131">
        <v>38756</v>
      </c>
      <c r="E138" s="166">
        <v>703.48</v>
      </c>
      <c r="F138" s="166"/>
      <c r="G138" s="37">
        <f t="shared" si="24"/>
        <v>703.48</v>
      </c>
      <c r="H138" s="52">
        <f t="shared" si="26"/>
        <v>736.80000000000007</v>
      </c>
      <c r="I138" s="37">
        <v>0</v>
      </c>
      <c r="J138" s="37">
        <v>15</v>
      </c>
      <c r="K138" s="83">
        <f t="shared" si="23"/>
        <v>15.150684931506849</v>
      </c>
      <c r="L138" s="37">
        <f t="shared" si="25"/>
        <v>-0.15068493150684859</v>
      </c>
      <c r="M138" s="84">
        <v>0</v>
      </c>
      <c r="N138" s="37">
        <f t="shared" si="27"/>
        <v>0</v>
      </c>
      <c r="O138" s="335"/>
      <c r="P138" s="170"/>
    </row>
    <row r="139" spans="1:16" s="169" customFormat="1" ht="15" customHeight="1" x14ac:dyDescent="0.2">
      <c r="A139" s="77"/>
      <c r="B139" s="79" t="s">
        <v>226</v>
      </c>
      <c r="C139" s="37">
        <v>48117</v>
      </c>
      <c r="D139" s="131">
        <v>38857</v>
      </c>
      <c r="E139" s="166">
        <v>2633.31</v>
      </c>
      <c r="F139" s="166"/>
      <c r="G139" s="37">
        <f t="shared" si="24"/>
        <v>2617.31</v>
      </c>
      <c r="H139" s="52">
        <f t="shared" si="26"/>
        <v>2405.85</v>
      </c>
      <c r="I139" s="37">
        <f t="shared" ref="I139:I189" si="28">E139-H139</f>
        <v>227.46000000000004</v>
      </c>
      <c r="J139" s="37">
        <v>15</v>
      </c>
      <c r="K139" s="83">
        <f t="shared" si="23"/>
        <v>14.873972602739727</v>
      </c>
      <c r="L139" s="37">
        <f t="shared" si="25"/>
        <v>0.12602739726027323</v>
      </c>
      <c r="M139" s="84">
        <f t="shared" ref="M139:M190" si="29">IF(L139&gt;0,(1-(H139/(E139+F139))^(1/J139)),0)</f>
        <v>6.0044566654351428E-3</v>
      </c>
      <c r="N139" s="37">
        <f t="shared" si="27"/>
        <v>16</v>
      </c>
      <c r="O139" s="335"/>
      <c r="P139" s="170"/>
    </row>
    <row r="140" spans="1:16" s="169" customFormat="1" ht="15" customHeight="1" x14ac:dyDescent="0.2">
      <c r="A140" s="77"/>
      <c r="B140" s="79" t="s">
        <v>227</v>
      </c>
      <c r="C140" s="37">
        <v>64611</v>
      </c>
      <c r="D140" s="131">
        <v>39098</v>
      </c>
      <c r="E140" s="166">
        <v>5150.7750000000005</v>
      </c>
      <c r="F140" s="166"/>
      <c r="G140" s="37">
        <f t="shared" si="24"/>
        <v>4992.7750000000005</v>
      </c>
      <c r="H140" s="52">
        <f t="shared" si="26"/>
        <v>3230.55</v>
      </c>
      <c r="I140" s="37">
        <f t="shared" si="28"/>
        <v>1920.2250000000004</v>
      </c>
      <c r="J140" s="37">
        <v>15</v>
      </c>
      <c r="K140" s="83">
        <f t="shared" si="23"/>
        <v>14.213698630136987</v>
      </c>
      <c r="L140" s="37">
        <f t="shared" si="25"/>
        <v>0.78630136986301302</v>
      </c>
      <c r="M140" s="84">
        <f t="shared" si="29"/>
        <v>3.062103276938577E-2</v>
      </c>
      <c r="N140" s="37">
        <f t="shared" si="27"/>
        <v>158</v>
      </c>
      <c r="O140" s="335"/>
      <c r="P140" s="170"/>
    </row>
    <row r="141" spans="1:16" ht="15" customHeight="1" x14ac:dyDescent="0.2">
      <c r="A141" s="77"/>
      <c r="B141" s="79" t="s">
        <v>228</v>
      </c>
      <c r="C141" s="37">
        <v>27281</v>
      </c>
      <c r="D141" s="131">
        <v>39238</v>
      </c>
      <c r="E141" s="166">
        <v>2501.5249999999996</v>
      </c>
      <c r="F141" s="166"/>
      <c r="G141" s="37">
        <f t="shared" si="24"/>
        <v>2402.5249999999996</v>
      </c>
      <c r="H141" s="52">
        <f t="shared" si="26"/>
        <v>1364.0500000000002</v>
      </c>
      <c r="I141" s="37">
        <f t="shared" si="28"/>
        <v>1137.4749999999995</v>
      </c>
      <c r="J141" s="37">
        <v>15</v>
      </c>
      <c r="K141" s="83">
        <f t="shared" si="23"/>
        <v>13.830136986301369</v>
      </c>
      <c r="L141" s="37">
        <f t="shared" si="25"/>
        <v>1.169863013698631</v>
      </c>
      <c r="M141" s="84">
        <f t="shared" si="29"/>
        <v>3.9623120438247006E-2</v>
      </c>
      <c r="N141" s="37">
        <f t="shared" si="27"/>
        <v>99</v>
      </c>
      <c r="O141" s="335"/>
      <c r="P141" s="170"/>
    </row>
    <row r="142" spans="1:16" ht="15" customHeight="1" x14ac:dyDescent="0.2">
      <c r="A142" s="77">
        <v>36</v>
      </c>
      <c r="B142" s="124" t="s">
        <v>229</v>
      </c>
      <c r="C142" s="37">
        <v>14500</v>
      </c>
      <c r="D142" s="126">
        <v>39204</v>
      </c>
      <c r="E142" s="166">
        <v>1287</v>
      </c>
      <c r="F142" s="166"/>
      <c r="G142" s="37">
        <f t="shared" si="24"/>
        <v>1239</v>
      </c>
      <c r="H142" s="52">
        <f t="shared" si="26"/>
        <v>725</v>
      </c>
      <c r="I142" s="37">
        <f t="shared" si="28"/>
        <v>562</v>
      </c>
      <c r="J142" s="37">
        <v>15</v>
      </c>
      <c r="K142" s="83">
        <f t="shared" si="23"/>
        <v>13.923287671232877</v>
      </c>
      <c r="L142" s="37">
        <f t="shared" si="25"/>
        <v>1.0767123287671225</v>
      </c>
      <c r="M142" s="84">
        <f t="shared" si="29"/>
        <v>3.7537174910209137E-2</v>
      </c>
      <c r="N142" s="388">
        <f t="shared" si="27"/>
        <v>48</v>
      </c>
      <c r="O142" s="335" t="s">
        <v>12</v>
      </c>
      <c r="P142" s="170"/>
    </row>
    <row r="143" spans="1:16" ht="15" customHeight="1" x14ac:dyDescent="0.2">
      <c r="A143" s="77" t="e">
        <f>+#REF!+1</f>
        <v>#REF!</v>
      </c>
      <c r="B143" s="132" t="s">
        <v>230</v>
      </c>
      <c r="C143" s="37">
        <v>14283</v>
      </c>
      <c r="D143" s="131">
        <v>39672</v>
      </c>
      <c r="E143" s="166">
        <v>2050.7785714285715</v>
      </c>
      <c r="F143" s="166"/>
      <c r="G143" s="37">
        <f t="shared" si="24"/>
        <v>1911.7785714285715</v>
      </c>
      <c r="H143" s="52">
        <f t="shared" si="26"/>
        <v>714.15000000000009</v>
      </c>
      <c r="I143" s="37">
        <f t="shared" si="28"/>
        <v>1336.6285714285714</v>
      </c>
      <c r="J143" s="37">
        <v>15</v>
      </c>
      <c r="K143" s="83">
        <f t="shared" si="23"/>
        <v>12.641095890410959</v>
      </c>
      <c r="L143" s="37">
        <f t="shared" si="25"/>
        <v>2.3589041095890408</v>
      </c>
      <c r="M143" s="84">
        <f t="shared" si="29"/>
        <v>6.7909579324972991E-2</v>
      </c>
      <c r="N143" s="37">
        <f t="shared" si="27"/>
        <v>139</v>
      </c>
      <c r="O143" s="335"/>
      <c r="P143" s="170"/>
    </row>
    <row r="144" spans="1:16" ht="15" customHeight="1" x14ac:dyDescent="0.2">
      <c r="A144" s="77" t="e">
        <f t="shared" ref="A144:A153" si="30">+A143+1</f>
        <v>#REF!</v>
      </c>
      <c r="B144" s="132" t="s">
        <v>231</v>
      </c>
      <c r="C144" s="37">
        <v>99766</v>
      </c>
      <c r="D144" s="131">
        <v>39702</v>
      </c>
      <c r="E144" s="166">
        <v>14608.7</v>
      </c>
      <c r="F144" s="166"/>
      <c r="G144" s="37">
        <f t="shared" si="24"/>
        <v>13598.7</v>
      </c>
      <c r="H144" s="52">
        <f t="shared" si="26"/>
        <v>4988.3</v>
      </c>
      <c r="I144" s="37">
        <f t="shared" si="28"/>
        <v>9620.4000000000015</v>
      </c>
      <c r="J144" s="37">
        <v>15</v>
      </c>
      <c r="K144" s="83">
        <f t="shared" si="23"/>
        <v>12.558904109589042</v>
      </c>
      <c r="L144" s="37">
        <f t="shared" si="25"/>
        <v>2.4410958904109581</v>
      </c>
      <c r="M144" s="84">
        <f t="shared" si="29"/>
        <v>6.9129216669732707E-2</v>
      </c>
      <c r="N144" s="37">
        <f t="shared" si="27"/>
        <v>1010</v>
      </c>
      <c r="O144" s="335"/>
      <c r="P144" s="170"/>
    </row>
    <row r="145" spans="1:16" ht="15" customHeight="1" x14ac:dyDescent="0.2">
      <c r="A145" s="77" t="e">
        <f t="shared" si="30"/>
        <v>#REF!</v>
      </c>
      <c r="B145" s="79" t="s">
        <v>232</v>
      </c>
      <c r="C145" s="37">
        <v>44830</v>
      </c>
      <c r="D145" s="131">
        <v>40133</v>
      </c>
      <c r="E145" s="166">
        <v>9857.8333333333321</v>
      </c>
      <c r="F145" s="166"/>
      <c r="G145" s="37">
        <f t="shared" si="24"/>
        <v>8930.8333333333321</v>
      </c>
      <c r="H145" s="52">
        <f t="shared" si="26"/>
        <v>2241.5</v>
      </c>
      <c r="I145" s="37">
        <f t="shared" si="28"/>
        <v>7616.3333333333321</v>
      </c>
      <c r="J145" s="37">
        <v>15</v>
      </c>
      <c r="K145" s="83">
        <f t="shared" si="23"/>
        <v>11.378082191780821</v>
      </c>
      <c r="L145" s="37">
        <f t="shared" si="25"/>
        <v>3.6219178082191785</v>
      </c>
      <c r="M145" s="84">
        <f t="shared" si="29"/>
        <v>9.4023043677849416E-2</v>
      </c>
      <c r="N145" s="37">
        <f t="shared" si="27"/>
        <v>927</v>
      </c>
      <c r="O145" s="335"/>
      <c r="P145" s="170"/>
    </row>
    <row r="146" spans="1:16" ht="15" customHeight="1" x14ac:dyDescent="0.2">
      <c r="A146" s="77" t="e">
        <f t="shared" si="30"/>
        <v>#REF!</v>
      </c>
      <c r="B146" s="79" t="s">
        <v>233</v>
      </c>
      <c r="C146" s="37">
        <v>25118</v>
      </c>
      <c r="D146" s="131">
        <v>40145</v>
      </c>
      <c r="E146" s="166">
        <v>5558.3</v>
      </c>
      <c r="F146" s="166"/>
      <c r="G146" s="37">
        <f t="shared" si="24"/>
        <v>5033.3</v>
      </c>
      <c r="H146" s="52">
        <f t="shared" si="26"/>
        <v>1255.9000000000001</v>
      </c>
      <c r="I146" s="37">
        <f t="shared" si="28"/>
        <v>4302.3999999999996</v>
      </c>
      <c r="J146" s="37">
        <v>15</v>
      </c>
      <c r="K146" s="83">
        <f t="shared" ref="K146:K189" si="31">($J$1-D146)/365</f>
        <v>11.345205479452055</v>
      </c>
      <c r="L146" s="37">
        <f t="shared" si="25"/>
        <v>3.6547945205479451</v>
      </c>
      <c r="M146" s="84">
        <f t="shared" si="29"/>
        <v>9.4404605632855132E-2</v>
      </c>
      <c r="N146" s="37">
        <f t="shared" si="27"/>
        <v>525</v>
      </c>
      <c r="O146" s="335"/>
      <c r="P146" s="170"/>
    </row>
    <row r="147" spans="1:16" ht="15" customHeight="1" x14ac:dyDescent="0.2">
      <c r="A147" s="77" t="e">
        <f t="shared" si="30"/>
        <v>#REF!</v>
      </c>
      <c r="B147" s="124" t="s">
        <v>234</v>
      </c>
      <c r="C147" s="37">
        <v>26048</v>
      </c>
      <c r="D147" s="126">
        <v>40241</v>
      </c>
      <c r="E147" s="166">
        <v>6053.7999999999993</v>
      </c>
      <c r="F147" s="166"/>
      <c r="G147" s="37">
        <f t="shared" si="24"/>
        <v>5464.7999999999993</v>
      </c>
      <c r="H147" s="52">
        <f t="shared" si="26"/>
        <v>1302.4000000000001</v>
      </c>
      <c r="I147" s="37">
        <f t="shared" si="28"/>
        <v>4751.3999999999996</v>
      </c>
      <c r="J147" s="37">
        <v>15</v>
      </c>
      <c r="K147" s="83">
        <f t="shared" si="31"/>
        <v>11.082191780821917</v>
      </c>
      <c r="L147" s="37">
        <f t="shared" si="25"/>
        <v>3.9178082191780828</v>
      </c>
      <c r="M147" s="84">
        <f t="shared" si="29"/>
        <v>9.7360319865425593E-2</v>
      </c>
      <c r="N147" s="388">
        <f t="shared" si="27"/>
        <v>589</v>
      </c>
      <c r="O147" s="335" t="s">
        <v>12</v>
      </c>
      <c r="P147" s="170"/>
    </row>
    <row r="148" spans="1:16" ht="15" customHeight="1" x14ac:dyDescent="0.2">
      <c r="A148" s="77" t="e">
        <f t="shared" si="30"/>
        <v>#REF!</v>
      </c>
      <c r="B148" s="124" t="s">
        <v>235</v>
      </c>
      <c r="C148" s="37">
        <v>64505</v>
      </c>
      <c r="D148" s="126">
        <v>40448</v>
      </c>
      <c r="E148" s="166">
        <v>16529.750000000004</v>
      </c>
      <c r="F148" s="166"/>
      <c r="G148" s="37">
        <f t="shared" si="24"/>
        <v>14823.750000000004</v>
      </c>
      <c r="H148" s="52">
        <f t="shared" si="26"/>
        <v>3225.25</v>
      </c>
      <c r="I148" s="37">
        <f t="shared" si="28"/>
        <v>13304.500000000004</v>
      </c>
      <c r="J148" s="37">
        <v>15</v>
      </c>
      <c r="K148" s="83">
        <f t="shared" si="31"/>
        <v>10.515068493150684</v>
      </c>
      <c r="L148" s="37">
        <f t="shared" si="25"/>
        <v>4.4849315068493159</v>
      </c>
      <c r="M148" s="84">
        <f t="shared" si="29"/>
        <v>0.10321884531955328</v>
      </c>
      <c r="N148" s="388">
        <f t="shared" si="27"/>
        <v>1706</v>
      </c>
      <c r="O148" s="335" t="s">
        <v>12</v>
      </c>
      <c r="P148" s="170"/>
    </row>
    <row r="149" spans="1:16" ht="15" customHeight="1" x14ac:dyDescent="0.2">
      <c r="A149" s="77" t="e">
        <f t="shared" si="30"/>
        <v>#REF!</v>
      </c>
      <c r="B149" s="124" t="s">
        <v>236</v>
      </c>
      <c r="C149" s="37">
        <v>15400</v>
      </c>
      <c r="D149" s="126">
        <v>40565</v>
      </c>
      <c r="E149" s="166">
        <v>4386.0999999999995</v>
      </c>
      <c r="F149" s="166"/>
      <c r="G149" s="37">
        <f t="shared" si="24"/>
        <v>3906.0999999999995</v>
      </c>
      <c r="H149" s="52">
        <f t="shared" si="26"/>
        <v>770</v>
      </c>
      <c r="I149" s="37">
        <f t="shared" si="28"/>
        <v>3616.0999999999995</v>
      </c>
      <c r="J149" s="37">
        <v>15</v>
      </c>
      <c r="K149" s="83">
        <f t="shared" si="31"/>
        <v>10.194520547945206</v>
      </c>
      <c r="L149" s="37">
        <f t="shared" si="25"/>
        <v>4.8054794520547937</v>
      </c>
      <c r="M149" s="84">
        <f t="shared" si="29"/>
        <v>0.10951321313512286</v>
      </c>
      <c r="N149" s="388">
        <f t="shared" si="27"/>
        <v>480</v>
      </c>
      <c r="O149" s="335" t="s">
        <v>12</v>
      </c>
      <c r="P149" s="170"/>
    </row>
    <row r="150" spans="1:16" ht="15" customHeight="1" x14ac:dyDescent="0.2">
      <c r="A150" s="77" t="e">
        <f t="shared" si="30"/>
        <v>#REF!</v>
      </c>
      <c r="B150" s="79" t="s">
        <v>237</v>
      </c>
      <c r="C150" s="37">
        <v>7510</v>
      </c>
      <c r="D150" s="131">
        <v>40588</v>
      </c>
      <c r="E150" s="166">
        <v>2160.6500000000005</v>
      </c>
      <c r="F150" s="166"/>
      <c r="G150" s="37">
        <f t="shared" si="24"/>
        <v>1922.6500000000005</v>
      </c>
      <c r="H150" s="52">
        <f t="shared" si="26"/>
        <v>375.5</v>
      </c>
      <c r="I150" s="37">
        <f t="shared" si="28"/>
        <v>1785.1500000000005</v>
      </c>
      <c r="J150" s="37">
        <v>15</v>
      </c>
      <c r="K150" s="83">
        <f t="shared" si="31"/>
        <v>10.131506849315068</v>
      </c>
      <c r="L150" s="37">
        <f t="shared" si="25"/>
        <v>4.868493150684932</v>
      </c>
      <c r="M150" s="84">
        <f t="shared" si="29"/>
        <v>0.11011264707050838</v>
      </c>
      <c r="N150" s="37">
        <f t="shared" si="27"/>
        <v>238</v>
      </c>
      <c r="O150" s="335"/>
      <c r="P150" s="170"/>
    </row>
    <row r="151" spans="1:16" ht="15" customHeight="1" x14ac:dyDescent="0.2">
      <c r="A151" s="77" t="e">
        <f>+A150+1</f>
        <v>#REF!</v>
      </c>
      <c r="B151" s="79" t="s">
        <v>238</v>
      </c>
      <c r="C151" s="37">
        <v>14984</v>
      </c>
      <c r="D151" s="131">
        <v>40597</v>
      </c>
      <c r="E151" s="166">
        <v>4325.4599999999991</v>
      </c>
      <c r="F151" s="166"/>
      <c r="G151" s="37">
        <f t="shared" si="24"/>
        <v>3848.4599999999991</v>
      </c>
      <c r="H151" s="52">
        <f t="shared" si="26"/>
        <v>749.2</v>
      </c>
      <c r="I151" s="37">
        <f t="shared" si="28"/>
        <v>3576.2599999999993</v>
      </c>
      <c r="J151" s="37">
        <v>15</v>
      </c>
      <c r="K151" s="83">
        <f t="shared" si="31"/>
        <v>10.106849315068493</v>
      </c>
      <c r="L151" s="37">
        <f t="shared" si="25"/>
        <v>4.8931506849315074</v>
      </c>
      <c r="M151" s="84">
        <f t="shared" si="29"/>
        <v>0.11031207169693169</v>
      </c>
      <c r="N151" s="37">
        <f t="shared" si="27"/>
        <v>477</v>
      </c>
      <c r="O151" s="335"/>
      <c r="P151" s="170"/>
    </row>
    <row r="152" spans="1:16" ht="15" customHeight="1" x14ac:dyDescent="0.2">
      <c r="A152" s="77" t="e">
        <f t="shared" si="30"/>
        <v>#REF!</v>
      </c>
      <c r="B152" s="79" t="s">
        <v>239</v>
      </c>
      <c r="C152" s="37">
        <v>21524</v>
      </c>
      <c r="D152" s="131">
        <v>40607</v>
      </c>
      <c r="E152" s="166">
        <v>6241.26</v>
      </c>
      <c r="F152" s="166"/>
      <c r="G152" s="37">
        <f t="shared" si="24"/>
        <v>5551.26</v>
      </c>
      <c r="H152" s="52">
        <f t="shared" si="26"/>
        <v>1076.2</v>
      </c>
      <c r="I152" s="37">
        <f t="shared" si="28"/>
        <v>5165.0600000000004</v>
      </c>
      <c r="J152" s="37">
        <v>15</v>
      </c>
      <c r="K152" s="83">
        <f t="shared" si="31"/>
        <v>10.079452054794521</v>
      </c>
      <c r="L152" s="37">
        <f t="shared" si="25"/>
        <v>4.9205479452054792</v>
      </c>
      <c r="M152" s="84">
        <f t="shared" si="29"/>
        <v>0.11057763151139899</v>
      </c>
      <c r="N152" s="37">
        <f t="shared" si="27"/>
        <v>690</v>
      </c>
      <c r="O152" s="335"/>
      <c r="P152" s="170"/>
    </row>
    <row r="153" spans="1:16" ht="15" customHeight="1" x14ac:dyDescent="0.2">
      <c r="A153" s="77" t="e">
        <f t="shared" si="30"/>
        <v>#REF!</v>
      </c>
      <c r="B153" s="79" t="s">
        <v>240</v>
      </c>
      <c r="C153" s="37">
        <v>18808</v>
      </c>
      <c r="D153" s="131">
        <v>40619</v>
      </c>
      <c r="E153" s="166">
        <v>5481.12</v>
      </c>
      <c r="F153" s="166"/>
      <c r="G153" s="37">
        <f t="shared" si="24"/>
        <v>4873.12</v>
      </c>
      <c r="H153" s="52">
        <f t="shared" si="26"/>
        <v>940.40000000000009</v>
      </c>
      <c r="I153" s="37">
        <f t="shared" si="28"/>
        <v>4540.7199999999993</v>
      </c>
      <c r="J153" s="37">
        <v>15</v>
      </c>
      <c r="K153" s="83">
        <f t="shared" si="31"/>
        <v>10.046575342465754</v>
      </c>
      <c r="L153" s="37">
        <f t="shared" si="25"/>
        <v>4.9534246575342458</v>
      </c>
      <c r="M153" s="84">
        <f t="shared" si="29"/>
        <v>0.11087486562526405</v>
      </c>
      <c r="N153" s="37">
        <f t="shared" si="27"/>
        <v>608</v>
      </c>
      <c r="O153" s="335"/>
      <c r="P153" s="170"/>
    </row>
    <row r="154" spans="1:16" ht="15" customHeight="1" x14ac:dyDescent="0.2">
      <c r="A154" s="77">
        <v>51</v>
      </c>
      <c r="B154" s="79" t="s">
        <v>241</v>
      </c>
      <c r="C154" s="37">
        <v>59718</v>
      </c>
      <c r="D154" s="131">
        <v>40633</v>
      </c>
      <c r="E154" s="166">
        <v>17502.47</v>
      </c>
      <c r="F154" s="166"/>
      <c r="G154" s="37">
        <f t="shared" si="24"/>
        <v>15556.470000000001</v>
      </c>
      <c r="H154" s="52">
        <f t="shared" si="26"/>
        <v>2985.9</v>
      </c>
      <c r="I154" s="37">
        <f t="shared" si="28"/>
        <v>14516.570000000002</v>
      </c>
      <c r="J154" s="37">
        <v>15</v>
      </c>
      <c r="K154" s="83">
        <f t="shared" si="31"/>
        <v>10.008219178082191</v>
      </c>
      <c r="L154" s="37">
        <f t="shared" si="25"/>
        <v>4.9917808219178088</v>
      </c>
      <c r="M154" s="84">
        <f t="shared" si="29"/>
        <v>0.11121156588140713</v>
      </c>
      <c r="N154" s="37">
        <f t="shared" si="27"/>
        <v>1946</v>
      </c>
      <c r="O154" s="335"/>
      <c r="P154" s="170"/>
    </row>
    <row r="155" spans="1:16" ht="15" customHeight="1" x14ac:dyDescent="0.2">
      <c r="A155" s="77">
        <v>52</v>
      </c>
      <c r="B155" s="79" t="s">
        <v>242</v>
      </c>
      <c r="C155" s="37">
        <v>78535</v>
      </c>
      <c r="D155" s="131">
        <v>40655</v>
      </c>
      <c r="E155" s="166">
        <v>23227.025000000005</v>
      </c>
      <c r="F155" s="166"/>
      <c r="G155" s="37">
        <f t="shared" si="24"/>
        <v>20631.025000000005</v>
      </c>
      <c r="H155" s="52">
        <f t="shared" si="26"/>
        <v>3926.75</v>
      </c>
      <c r="I155" s="37">
        <f t="shared" si="28"/>
        <v>19300.275000000005</v>
      </c>
      <c r="J155" s="37">
        <v>15</v>
      </c>
      <c r="K155" s="83">
        <f t="shared" si="31"/>
        <v>9.9479452054794528</v>
      </c>
      <c r="L155" s="37">
        <f t="shared" si="25"/>
        <v>5.0520547945205472</v>
      </c>
      <c r="M155" s="84">
        <f t="shared" si="29"/>
        <v>0.11174844250972726</v>
      </c>
      <c r="N155" s="37">
        <f t="shared" si="27"/>
        <v>2596</v>
      </c>
      <c r="O155" s="335"/>
      <c r="P155" s="170"/>
    </row>
    <row r="156" spans="1:16" s="169" customFormat="1" ht="15" customHeight="1" x14ac:dyDescent="0.2">
      <c r="A156" s="77"/>
      <c r="B156" s="79" t="s">
        <v>243</v>
      </c>
      <c r="C156" s="37">
        <v>16698</v>
      </c>
      <c r="D156" s="131">
        <v>40815</v>
      </c>
      <c r="E156" s="166">
        <v>5261.77</v>
      </c>
      <c r="F156" s="166"/>
      <c r="G156" s="37">
        <f t="shared" si="24"/>
        <v>4653.7700000000004</v>
      </c>
      <c r="H156" s="52">
        <f t="shared" si="26"/>
        <v>834.90000000000009</v>
      </c>
      <c r="I156" s="37">
        <f t="shared" si="28"/>
        <v>4426.8700000000008</v>
      </c>
      <c r="J156" s="37">
        <v>15</v>
      </c>
      <c r="K156" s="83">
        <f t="shared" si="31"/>
        <v>9.5095890410958912</v>
      </c>
      <c r="L156" s="37">
        <f t="shared" si="25"/>
        <v>5.4904109589041088</v>
      </c>
      <c r="M156" s="84">
        <f t="shared" si="29"/>
        <v>0.11549524214933771</v>
      </c>
      <c r="N156" s="37">
        <f t="shared" si="27"/>
        <v>608</v>
      </c>
      <c r="O156" s="335"/>
      <c r="P156" s="170"/>
    </row>
    <row r="157" spans="1:16" s="169" customFormat="1" ht="15" customHeight="1" x14ac:dyDescent="0.2">
      <c r="A157" s="77"/>
      <c r="B157" s="79" t="s">
        <v>244</v>
      </c>
      <c r="C157" s="37">
        <v>15918</v>
      </c>
      <c r="D157" s="131">
        <v>40834</v>
      </c>
      <c r="E157" s="166">
        <v>5282.336363636362</v>
      </c>
      <c r="F157" s="166"/>
      <c r="G157" s="37">
        <f t="shared" si="24"/>
        <v>4656.336363636362</v>
      </c>
      <c r="H157" s="52">
        <f t="shared" si="26"/>
        <v>795.90000000000009</v>
      </c>
      <c r="I157" s="37">
        <f t="shared" si="28"/>
        <v>4486.4363636363614</v>
      </c>
      <c r="J157" s="37">
        <v>15</v>
      </c>
      <c r="K157" s="83">
        <f t="shared" si="31"/>
        <v>9.4575342465753423</v>
      </c>
      <c r="L157" s="37">
        <f t="shared" si="25"/>
        <v>5.5424657534246577</v>
      </c>
      <c r="M157" s="84">
        <f t="shared" si="29"/>
        <v>0.11854090446881804</v>
      </c>
      <c r="N157" s="37">
        <f t="shared" si="27"/>
        <v>626</v>
      </c>
      <c r="O157" s="335"/>
      <c r="P157" s="170"/>
    </row>
    <row r="158" spans="1:16" s="169" customFormat="1" ht="15" customHeight="1" x14ac:dyDescent="0.2">
      <c r="A158" s="77"/>
      <c r="B158" s="79" t="s">
        <v>245</v>
      </c>
      <c r="C158" s="37">
        <v>27650</v>
      </c>
      <c r="D158" s="131">
        <v>40834</v>
      </c>
      <c r="E158" s="166">
        <v>9176.5</v>
      </c>
      <c r="F158" s="166"/>
      <c r="G158" s="37">
        <f t="shared" si="24"/>
        <v>8088.5</v>
      </c>
      <c r="H158" s="52">
        <f t="shared" si="26"/>
        <v>1382.5</v>
      </c>
      <c r="I158" s="37">
        <f t="shared" si="28"/>
        <v>7794</v>
      </c>
      <c r="J158" s="37">
        <v>15</v>
      </c>
      <c r="K158" s="83">
        <f t="shared" si="31"/>
        <v>9.4575342465753423</v>
      </c>
      <c r="L158" s="37">
        <f t="shared" si="25"/>
        <v>5.5424657534246577</v>
      </c>
      <c r="M158" s="84">
        <f t="shared" si="29"/>
        <v>0.11854690963947778</v>
      </c>
      <c r="N158" s="37">
        <f t="shared" si="27"/>
        <v>1088</v>
      </c>
      <c r="O158" s="335"/>
      <c r="P158" s="170"/>
    </row>
    <row r="159" spans="1:16" ht="15" customHeight="1" x14ac:dyDescent="0.2">
      <c r="A159" s="77">
        <v>53</v>
      </c>
      <c r="B159" s="174" t="s">
        <v>246</v>
      </c>
      <c r="C159" s="37">
        <v>122125</v>
      </c>
      <c r="D159" s="131">
        <v>40866</v>
      </c>
      <c r="E159" s="166">
        <v>41021.431818181823</v>
      </c>
      <c r="F159" s="166"/>
      <c r="G159" s="37">
        <f t="shared" si="24"/>
        <v>36129.431818181823</v>
      </c>
      <c r="H159" s="52">
        <f t="shared" si="26"/>
        <v>6106.25</v>
      </c>
      <c r="I159" s="37">
        <f t="shared" si="28"/>
        <v>34915.181818181823</v>
      </c>
      <c r="J159" s="37">
        <v>15</v>
      </c>
      <c r="K159" s="83">
        <f t="shared" si="31"/>
        <v>9.3698630136986303</v>
      </c>
      <c r="L159" s="37">
        <f t="shared" si="25"/>
        <v>5.6301369863013697</v>
      </c>
      <c r="M159" s="84">
        <f t="shared" si="29"/>
        <v>0.11925351677969387</v>
      </c>
      <c r="N159" s="37">
        <f t="shared" si="27"/>
        <v>4892</v>
      </c>
      <c r="O159" s="335"/>
      <c r="P159" s="170"/>
    </row>
    <row r="160" spans="1:16" ht="15" customHeight="1" x14ac:dyDescent="0.2">
      <c r="A160" s="77">
        <v>54</v>
      </c>
      <c r="B160" s="79" t="s">
        <v>247</v>
      </c>
      <c r="C160" s="37">
        <v>85983</v>
      </c>
      <c r="D160" s="131">
        <v>40876</v>
      </c>
      <c r="E160" s="166">
        <v>41545.495454545453</v>
      </c>
      <c r="F160" s="166"/>
      <c r="G160" s="37">
        <f t="shared" si="24"/>
        <v>35714.495454545453</v>
      </c>
      <c r="H160" s="52">
        <f t="shared" si="26"/>
        <v>4299.1500000000005</v>
      </c>
      <c r="I160" s="37">
        <f t="shared" si="28"/>
        <v>37246.345454545452</v>
      </c>
      <c r="J160" s="37">
        <v>15</v>
      </c>
      <c r="K160" s="83">
        <f t="shared" si="31"/>
        <v>9.3424657534246567</v>
      </c>
      <c r="L160" s="37">
        <f t="shared" si="25"/>
        <v>5.6575342465753433</v>
      </c>
      <c r="M160" s="84">
        <f t="shared" si="29"/>
        <v>0.14034556042887381</v>
      </c>
      <c r="N160" s="37">
        <f t="shared" si="27"/>
        <v>5831</v>
      </c>
      <c r="O160" s="335"/>
      <c r="P160" s="170"/>
    </row>
    <row r="161" spans="1:16" ht="15" customHeight="1" x14ac:dyDescent="0.2">
      <c r="A161" s="77">
        <v>56</v>
      </c>
      <c r="B161" s="79" t="s">
        <v>248</v>
      </c>
      <c r="C161" s="37">
        <v>106432</v>
      </c>
      <c r="D161" s="131">
        <v>40886</v>
      </c>
      <c r="E161" s="166">
        <v>36022.254545454547</v>
      </c>
      <c r="F161" s="166"/>
      <c r="G161" s="37">
        <f t="shared" si="24"/>
        <v>31710.254545454547</v>
      </c>
      <c r="H161" s="52">
        <f t="shared" si="26"/>
        <v>5321.6</v>
      </c>
      <c r="I161" s="37">
        <f t="shared" si="28"/>
        <v>30700.654545454548</v>
      </c>
      <c r="J161" s="37">
        <v>15</v>
      </c>
      <c r="K161" s="83">
        <f t="shared" si="31"/>
        <v>9.3150684931506849</v>
      </c>
      <c r="L161" s="37">
        <f t="shared" si="25"/>
        <v>5.6849315068493151</v>
      </c>
      <c r="M161" s="84">
        <f t="shared" si="29"/>
        <v>0.11969853937762165</v>
      </c>
      <c r="N161" s="37">
        <f t="shared" si="27"/>
        <v>4312</v>
      </c>
      <c r="O161" s="335"/>
      <c r="P161" s="170"/>
    </row>
    <row r="162" spans="1:16" ht="15" customHeight="1" x14ac:dyDescent="0.2">
      <c r="A162" s="77">
        <v>59</v>
      </c>
      <c r="B162" s="79" t="s">
        <v>249</v>
      </c>
      <c r="C162" s="37">
        <v>134157</v>
      </c>
      <c r="D162" s="131">
        <v>40906</v>
      </c>
      <c r="E162" s="166">
        <v>45744.05000000001</v>
      </c>
      <c r="F162" s="166"/>
      <c r="G162" s="37">
        <f t="shared" si="24"/>
        <v>40249.05000000001</v>
      </c>
      <c r="H162" s="52">
        <f t="shared" si="26"/>
        <v>6707.85</v>
      </c>
      <c r="I162" s="37">
        <f t="shared" si="28"/>
        <v>39036.200000000012</v>
      </c>
      <c r="J162" s="37">
        <v>15</v>
      </c>
      <c r="K162" s="83">
        <f t="shared" si="31"/>
        <v>9.2602739726027394</v>
      </c>
      <c r="L162" s="37">
        <f t="shared" si="25"/>
        <v>5.7397260273972606</v>
      </c>
      <c r="M162" s="84">
        <f t="shared" si="29"/>
        <v>0.12013390666322987</v>
      </c>
      <c r="N162" s="37">
        <f t="shared" si="27"/>
        <v>5495</v>
      </c>
      <c r="O162" s="335"/>
      <c r="P162" s="170"/>
    </row>
    <row r="163" spans="1:16" ht="15" customHeight="1" x14ac:dyDescent="0.2">
      <c r="A163" s="77">
        <v>60</v>
      </c>
      <c r="B163" s="79" t="s">
        <v>250</v>
      </c>
      <c r="C163" s="37">
        <v>77571</v>
      </c>
      <c r="D163" s="131">
        <v>40934</v>
      </c>
      <c r="E163" s="166">
        <v>26725.05909090909</v>
      </c>
      <c r="F163" s="166"/>
      <c r="G163" s="37">
        <f t="shared" si="24"/>
        <v>23498.05909090909</v>
      </c>
      <c r="H163" s="52">
        <f t="shared" si="26"/>
        <v>3878.55</v>
      </c>
      <c r="I163" s="37">
        <f t="shared" si="28"/>
        <v>22846.50909090909</v>
      </c>
      <c r="J163" s="37">
        <v>15</v>
      </c>
      <c r="K163" s="83">
        <f t="shared" si="31"/>
        <v>9.1835616438356169</v>
      </c>
      <c r="L163" s="37">
        <f t="shared" si="25"/>
        <v>5.8164383561643831</v>
      </c>
      <c r="M163" s="84">
        <f t="shared" si="29"/>
        <v>0.12074121807237592</v>
      </c>
      <c r="N163" s="37">
        <f t="shared" si="27"/>
        <v>3227</v>
      </c>
      <c r="O163" s="335"/>
      <c r="P163" s="170"/>
    </row>
    <row r="164" spans="1:16" ht="15" customHeight="1" x14ac:dyDescent="0.2">
      <c r="A164" s="77">
        <v>61</v>
      </c>
      <c r="B164" s="79" t="s">
        <v>251</v>
      </c>
      <c r="C164" s="52">
        <v>34332</v>
      </c>
      <c r="D164" s="131">
        <v>41022</v>
      </c>
      <c r="E164" s="166">
        <v>12211.254545454547</v>
      </c>
      <c r="F164" s="166"/>
      <c r="G164" s="37">
        <f t="shared" si="24"/>
        <v>10714.254545454547</v>
      </c>
      <c r="H164" s="52">
        <f t="shared" si="26"/>
        <v>1716.6000000000001</v>
      </c>
      <c r="I164" s="37">
        <f t="shared" si="28"/>
        <v>10494.654545454547</v>
      </c>
      <c r="J164" s="37">
        <v>15</v>
      </c>
      <c r="K164" s="83">
        <f t="shared" si="31"/>
        <v>8.9424657534246581</v>
      </c>
      <c r="L164" s="37">
        <f t="shared" si="25"/>
        <v>6.0575342465753419</v>
      </c>
      <c r="M164" s="84">
        <f t="shared" si="29"/>
        <v>0.12260749215490896</v>
      </c>
      <c r="N164" s="37">
        <f t="shared" si="27"/>
        <v>1497</v>
      </c>
      <c r="O164" s="335"/>
      <c r="P164" s="170"/>
    </row>
    <row r="165" spans="1:16" ht="15" customHeight="1" x14ac:dyDescent="0.2">
      <c r="A165" s="77">
        <v>67</v>
      </c>
      <c r="B165" s="79" t="s">
        <v>252</v>
      </c>
      <c r="C165" s="52">
        <v>33475</v>
      </c>
      <c r="D165" s="131">
        <v>41082</v>
      </c>
      <c r="E165" s="166">
        <v>12160.113636363632</v>
      </c>
      <c r="F165" s="166"/>
      <c r="G165" s="37">
        <f t="shared" si="24"/>
        <v>10654.113636363632</v>
      </c>
      <c r="H165" s="52">
        <f t="shared" si="26"/>
        <v>1673.75</v>
      </c>
      <c r="I165" s="37">
        <f t="shared" si="28"/>
        <v>10486.363636363632</v>
      </c>
      <c r="J165" s="37">
        <v>15</v>
      </c>
      <c r="K165" s="83">
        <f t="shared" si="31"/>
        <v>8.7780821917808218</v>
      </c>
      <c r="L165" s="37">
        <f t="shared" si="25"/>
        <v>6.2219178082191782</v>
      </c>
      <c r="M165" s="84">
        <f t="shared" si="29"/>
        <v>0.12383978147020092</v>
      </c>
      <c r="N165" s="37">
        <f t="shared" si="27"/>
        <v>1506</v>
      </c>
      <c r="O165" s="335"/>
      <c r="P165" s="170"/>
    </row>
    <row r="166" spans="1:16" ht="15" customHeight="1" x14ac:dyDescent="0.2">
      <c r="A166" s="77">
        <v>68</v>
      </c>
      <c r="B166" s="79" t="s">
        <v>253</v>
      </c>
      <c r="C166" s="52">
        <v>28990</v>
      </c>
      <c r="D166" s="131">
        <v>41092</v>
      </c>
      <c r="E166" s="166">
        <v>10567.227272727274</v>
      </c>
      <c r="F166" s="166"/>
      <c r="G166" s="37">
        <f t="shared" si="24"/>
        <v>9256.2272727272739</v>
      </c>
      <c r="H166" s="52">
        <f t="shared" si="26"/>
        <v>1449.5</v>
      </c>
      <c r="I166" s="37">
        <f t="shared" si="28"/>
        <v>9117.7272727272739</v>
      </c>
      <c r="J166" s="37">
        <v>15</v>
      </c>
      <c r="K166" s="83">
        <f t="shared" si="31"/>
        <v>8.75068493150685</v>
      </c>
      <c r="L166" s="37">
        <f t="shared" si="25"/>
        <v>6.24931506849315</v>
      </c>
      <c r="M166" s="84">
        <f t="shared" si="29"/>
        <v>0.12404093481223633</v>
      </c>
      <c r="N166" s="37">
        <f t="shared" si="27"/>
        <v>1311</v>
      </c>
      <c r="O166" s="335"/>
      <c r="P166" s="170"/>
    </row>
    <row r="167" spans="1:16" ht="15" customHeight="1" x14ac:dyDescent="0.2">
      <c r="A167" s="77">
        <v>71</v>
      </c>
      <c r="B167" s="79" t="s">
        <v>254</v>
      </c>
      <c r="C167" s="52">
        <v>62833</v>
      </c>
      <c r="D167" s="131">
        <v>41116</v>
      </c>
      <c r="E167" s="166">
        <v>23094.631818181821</v>
      </c>
      <c r="F167" s="166"/>
      <c r="G167" s="37">
        <f t="shared" si="24"/>
        <v>20218.631818181821</v>
      </c>
      <c r="H167" s="52">
        <f t="shared" si="26"/>
        <v>3141.65</v>
      </c>
      <c r="I167" s="37">
        <f t="shared" si="28"/>
        <v>19952.981818181819</v>
      </c>
      <c r="J167" s="37">
        <v>15</v>
      </c>
      <c r="K167" s="83">
        <f t="shared" si="31"/>
        <v>8.6849315068493151</v>
      </c>
      <c r="L167" s="37">
        <f t="shared" si="25"/>
        <v>6.3150684931506849</v>
      </c>
      <c r="M167" s="84">
        <f t="shared" si="29"/>
        <v>0.12452627355000978</v>
      </c>
      <c r="N167" s="37">
        <f t="shared" si="27"/>
        <v>2876</v>
      </c>
      <c r="O167" s="335"/>
      <c r="P167" s="170"/>
    </row>
    <row r="168" spans="1:16" ht="15" customHeight="1" x14ac:dyDescent="0.2">
      <c r="A168" s="77"/>
      <c r="B168" s="124" t="s">
        <v>255</v>
      </c>
      <c r="C168" s="52">
        <v>65105</v>
      </c>
      <c r="D168" s="126">
        <v>42026</v>
      </c>
      <c r="E168" s="166">
        <v>34780.366443452382</v>
      </c>
      <c r="F168" s="166"/>
      <c r="G168" s="37">
        <f t="shared" si="24"/>
        <v>29699.366443452382</v>
      </c>
      <c r="H168" s="52">
        <f t="shared" si="26"/>
        <v>3255.25</v>
      </c>
      <c r="I168" s="37">
        <f t="shared" si="28"/>
        <v>31525.116443452382</v>
      </c>
      <c r="J168" s="37">
        <v>15</v>
      </c>
      <c r="K168" s="83">
        <f t="shared" si="31"/>
        <v>6.1917808219178081</v>
      </c>
      <c r="L168" s="37">
        <f t="shared" si="25"/>
        <v>8.8082191780821919</v>
      </c>
      <c r="M168" s="84">
        <f t="shared" si="29"/>
        <v>0.14608099460762836</v>
      </c>
      <c r="N168" s="37">
        <f t="shared" si="27"/>
        <v>5081</v>
      </c>
      <c r="O168" s="335"/>
      <c r="P168" s="170"/>
    </row>
    <row r="169" spans="1:16" ht="15" customHeight="1" x14ac:dyDescent="0.2">
      <c r="A169" s="77"/>
      <c r="B169" s="76" t="s">
        <v>256</v>
      </c>
      <c r="C169" s="52">
        <v>66591</v>
      </c>
      <c r="D169" s="126">
        <v>42100</v>
      </c>
      <c r="E169" s="166">
        <v>34281.26619543651</v>
      </c>
      <c r="F169" s="166"/>
      <c r="G169" s="37">
        <f t="shared" si="24"/>
        <v>29345.26619543651</v>
      </c>
      <c r="H169" s="52">
        <f t="shared" si="26"/>
        <v>3329.55</v>
      </c>
      <c r="I169" s="37">
        <f t="shared" si="28"/>
        <v>30951.716195436511</v>
      </c>
      <c r="J169" s="37">
        <v>15</v>
      </c>
      <c r="K169" s="83">
        <f t="shared" si="31"/>
        <v>5.9890410958904106</v>
      </c>
      <c r="L169" s="37">
        <f t="shared" si="25"/>
        <v>9.0109589041095894</v>
      </c>
      <c r="M169" s="84">
        <f t="shared" si="29"/>
        <v>0.14397080006209839</v>
      </c>
      <c r="N169" s="37">
        <f t="shared" si="27"/>
        <v>4936</v>
      </c>
      <c r="O169" s="335"/>
      <c r="P169" s="170"/>
    </row>
    <row r="170" spans="1:16" ht="15" customHeight="1" x14ac:dyDescent="0.2">
      <c r="A170" s="77">
        <v>72</v>
      </c>
      <c r="B170" s="177" t="s">
        <v>257</v>
      </c>
      <c r="C170" s="52"/>
      <c r="D170" s="165"/>
      <c r="E170" s="166"/>
      <c r="F170" s="166"/>
      <c r="G170" s="37"/>
      <c r="H170" s="52">
        <f t="shared" si="26"/>
        <v>0</v>
      </c>
      <c r="I170" s="37"/>
      <c r="J170" s="37"/>
      <c r="K170" s="83"/>
      <c r="L170" s="37"/>
      <c r="M170" s="84"/>
      <c r="N170" s="37"/>
      <c r="O170" s="335"/>
      <c r="P170" s="170"/>
    </row>
    <row r="171" spans="1:16" ht="15" customHeight="1" x14ac:dyDescent="0.2">
      <c r="A171" s="77">
        <v>75</v>
      </c>
      <c r="B171" s="79" t="s">
        <v>258</v>
      </c>
      <c r="C171" s="184">
        <v>39185</v>
      </c>
      <c r="D171" s="131">
        <f>DATE(96,5,23)</f>
        <v>35208</v>
      </c>
      <c r="E171" s="166">
        <v>1959.25</v>
      </c>
      <c r="F171" s="166"/>
      <c r="G171" s="37">
        <f t="shared" si="24"/>
        <v>1959.25</v>
      </c>
      <c r="H171" s="52">
        <f t="shared" si="26"/>
        <v>1959.25</v>
      </c>
      <c r="I171" s="37">
        <f t="shared" si="28"/>
        <v>0</v>
      </c>
      <c r="J171" s="37">
        <v>15</v>
      </c>
      <c r="K171" s="83">
        <f t="shared" si="31"/>
        <v>24.87123287671233</v>
      </c>
      <c r="L171" s="37">
        <f t="shared" si="25"/>
        <v>-9.8712328767123303</v>
      </c>
      <c r="M171" s="84">
        <f t="shared" si="29"/>
        <v>0</v>
      </c>
      <c r="N171" s="37">
        <f t="shared" si="27"/>
        <v>0</v>
      </c>
      <c r="O171" s="335"/>
      <c r="P171" s="170"/>
    </row>
    <row r="172" spans="1:16" ht="15" customHeight="1" x14ac:dyDescent="0.2">
      <c r="A172" s="77">
        <v>76</v>
      </c>
      <c r="B172" s="79" t="s">
        <v>259</v>
      </c>
      <c r="C172" s="184">
        <v>10012</v>
      </c>
      <c r="D172" s="131">
        <f>DATE(96,7,24)</f>
        <v>35270</v>
      </c>
      <c r="E172" s="166">
        <v>500.60000000000036</v>
      </c>
      <c r="F172" s="166"/>
      <c r="G172" s="37">
        <f t="shared" si="24"/>
        <v>500.60000000000036</v>
      </c>
      <c r="H172" s="52">
        <f t="shared" si="26"/>
        <v>500.6</v>
      </c>
      <c r="I172" s="37">
        <f t="shared" si="28"/>
        <v>0</v>
      </c>
      <c r="J172" s="37">
        <v>15</v>
      </c>
      <c r="K172" s="83">
        <f t="shared" si="31"/>
        <v>24.701369863013699</v>
      </c>
      <c r="L172" s="37">
        <f t="shared" si="25"/>
        <v>-9.7013698630136993</v>
      </c>
      <c r="M172" s="84">
        <f t="shared" si="29"/>
        <v>0</v>
      </c>
      <c r="N172" s="37">
        <f t="shared" si="27"/>
        <v>0</v>
      </c>
      <c r="O172" s="335"/>
      <c r="P172" s="170"/>
    </row>
    <row r="173" spans="1:16" ht="15" customHeight="1" x14ac:dyDescent="0.2">
      <c r="A173" s="70"/>
      <c r="B173" s="77"/>
      <c r="C173" s="185"/>
      <c r="D173" s="165"/>
      <c r="E173" s="166"/>
      <c r="F173" s="166"/>
      <c r="G173" s="37"/>
      <c r="H173" s="52">
        <f t="shared" si="26"/>
        <v>0</v>
      </c>
      <c r="I173" s="37"/>
      <c r="J173" s="160"/>
      <c r="K173" s="83"/>
      <c r="L173" s="37"/>
      <c r="M173" s="84"/>
      <c r="N173" s="37"/>
      <c r="O173" s="335"/>
      <c r="P173" s="170"/>
    </row>
    <row r="174" spans="1:16" x14ac:dyDescent="0.2">
      <c r="B174" s="70" t="s">
        <v>31</v>
      </c>
      <c r="C174" s="52">
        <v>31255</v>
      </c>
      <c r="D174" s="126">
        <v>42685</v>
      </c>
      <c r="E174" s="166">
        <v>17541.941666666666</v>
      </c>
      <c r="F174" s="166"/>
      <c r="G174" s="37">
        <f t="shared" si="24"/>
        <v>14929.941666666666</v>
      </c>
      <c r="H174" s="52">
        <f t="shared" si="26"/>
        <v>1562.75</v>
      </c>
      <c r="I174" s="37">
        <f t="shared" si="28"/>
        <v>15979.191666666666</v>
      </c>
      <c r="J174" s="37">
        <v>15</v>
      </c>
      <c r="K174" s="83">
        <f t="shared" si="31"/>
        <v>4.3863013698630136</v>
      </c>
      <c r="L174" s="37">
        <f t="shared" si="25"/>
        <v>10.613698630136987</v>
      </c>
      <c r="M174" s="84">
        <f t="shared" si="29"/>
        <v>0.14888654473192497</v>
      </c>
      <c r="N174" s="37">
        <f t="shared" si="27"/>
        <v>2612</v>
      </c>
      <c r="O174" s="335"/>
      <c r="P174" s="170"/>
    </row>
    <row r="175" spans="1:16" x14ac:dyDescent="0.2">
      <c r="B175" s="70" t="s">
        <v>31</v>
      </c>
      <c r="C175" s="52">
        <v>51865</v>
      </c>
      <c r="D175" s="126">
        <v>42704</v>
      </c>
      <c r="E175" s="166">
        <v>29109.277380952379</v>
      </c>
      <c r="F175" s="166"/>
      <c r="G175" s="37">
        <f t="shared" si="24"/>
        <v>24775.277380952379</v>
      </c>
      <c r="H175" s="52">
        <f t="shared" si="26"/>
        <v>2593.25</v>
      </c>
      <c r="I175" s="37">
        <f t="shared" si="28"/>
        <v>26516.027380952379</v>
      </c>
      <c r="J175" s="37">
        <v>15</v>
      </c>
      <c r="K175" s="83">
        <f t="shared" si="31"/>
        <v>4.3342465753424655</v>
      </c>
      <c r="L175" s="37">
        <f t="shared" si="25"/>
        <v>10.665753424657535</v>
      </c>
      <c r="M175" s="84">
        <f t="shared" si="29"/>
        <v>0.14888639879654075</v>
      </c>
      <c r="N175" s="37">
        <f t="shared" si="27"/>
        <v>4334</v>
      </c>
      <c r="O175" s="335"/>
      <c r="P175" s="170"/>
    </row>
    <row r="176" spans="1:16" x14ac:dyDescent="0.2">
      <c r="B176" s="70" t="s">
        <v>260</v>
      </c>
      <c r="C176" s="52">
        <v>79829</v>
      </c>
      <c r="D176" s="126">
        <v>42643</v>
      </c>
      <c r="E176" s="166">
        <v>44804.621190476188</v>
      </c>
      <c r="F176" s="166"/>
      <c r="G176" s="37">
        <f t="shared" si="24"/>
        <v>38133.621190476188</v>
      </c>
      <c r="H176" s="52">
        <f t="shared" si="26"/>
        <v>3991.4500000000003</v>
      </c>
      <c r="I176" s="37">
        <f t="shared" si="28"/>
        <v>40813.171190476191</v>
      </c>
      <c r="J176" s="37">
        <v>15</v>
      </c>
      <c r="K176" s="83">
        <f t="shared" si="31"/>
        <v>4.5013698630136982</v>
      </c>
      <c r="L176" s="37">
        <f t="shared" si="25"/>
        <v>10.498630136986302</v>
      </c>
      <c r="M176" s="84">
        <f t="shared" si="29"/>
        <v>0.1488870623180728</v>
      </c>
      <c r="N176" s="37">
        <f t="shared" si="27"/>
        <v>6671</v>
      </c>
      <c r="O176" s="335"/>
      <c r="P176" s="170"/>
    </row>
    <row r="177" spans="2:16" x14ac:dyDescent="0.2">
      <c r="B177" s="70" t="s">
        <v>260</v>
      </c>
      <c r="C177" s="52">
        <v>107950</v>
      </c>
      <c r="D177" s="126">
        <v>42704</v>
      </c>
      <c r="E177" s="166">
        <v>60586.845238095251</v>
      </c>
      <c r="F177" s="166"/>
      <c r="G177" s="37">
        <f t="shared" si="24"/>
        <v>51565.845238095251</v>
      </c>
      <c r="H177" s="52">
        <f t="shared" si="26"/>
        <v>5397.5</v>
      </c>
      <c r="I177" s="37">
        <f t="shared" si="28"/>
        <v>55189.345238095251</v>
      </c>
      <c r="J177" s="37">
        <v>15</v>
      </c>
      <c r="K177" s="83">
        <f t="shared" si="31"/>
        <v>4.3342465753424655</v>
      </c>
      <c r="L177" s="37">
        <f t="shared" si="25"/>
        <v>10.665753424657535</v>
      </c>
      <c r="M177" s="84">
        <f t="shared" si="29"/>
        <v>0.14888622247102301</v>
      </c>
      <c r="N177" s="37">
        <f t="shared" si="27"/>
        <v>9021</v>
      </c>
      <c r="O177" s="335"/>
      <c r="P177" s="170"/>
    </row>
    <row r="178" spans="2:16" x14ac:dyDescent="0.2">
      <c r="B178" s="70" t="s">
        <v>260</v>
      </c>
      <c r="C178" s="52">
        <v>87270</v>
      </c>
      <c r="D178" s="126">
        <v>42825</v>
      </c>
      <c r="E178" s="166">
        <v>48979.492857142846</v>
      </c>
      <c r="F178" s="166"/>
      <c r="G178" s="37">
        <f t="shared" si="24"/>
        <v>41687.492857142846</v>
      </c>
      <c r="H178" s="52">
        <f t="shared" si="26"/>
        <v>4363.5</v>
      </c>
      <c r="I178" s="37">
        <f t="shared" si="28"/>
        <v>44615.992857142846</v>
      </c>
      <c r="J178" s="37">
        <v>15</v>
      </c>
      <c r="K178" s="83">
        <f t="shared" si="31"/>
        <v>4.0027397260273974</v>
      </c>
      <c r="L178" s="37">
        <f t="shared" si="25"/>
        <v>10.997260273972604</v>
      </c>
      <c r="M178" s="84">
        <f t="shared" si="29"/>
        <v>0.14888538831916931</v>
      </c>
      <c r="N178" s="37">
        <f t="shared" si="27"/>
        <v>7292</v>
      </c>
      <c r="O178" s="335"/>
      <c r="P178" s="170"/>
    </row>
    <row r="179" spans="2:16" x14ac:dyDescent="0.2">
      <c r="B179" s="186" t="s">
        <v>261</v>
      </c>
      <c r="C179" s="187">
        <v>190287</v>
      </c>
      <c r="D179" s="126">
        <v>42735</v>
      </c>
      <c r="E179" s="166">
        <v>106798.29214285713</v>
      </c>
      <c r="F179" s="166"/>
      <c r="G179" s="37">
        <f t="shared" si="24"/>
        <v>90897.292142857128</v>
      </c>
      <c r="H179" s="52">
        <f t="shared" si="26"/>
        <v>9514.35</v>
      </c>
      <c r="I179" s="37">
        <f t="shared" si="28"/>
        <v>97283.942142857122</v>
      </c>
      <c r="J179" s="37">
        <v>15</v>
      </c>
      <c r="K179" s="83">
        <f t="shared" si="31"/>
        <v>4.2493150684931509</v>
      </c>
      <c r="L179" s="37">
        <f t="shared" si="25"/>
        <v>10.75068493150685</v>
      </c>
      <c r="M179" s="84">
        <f t="shared" si="29"/>
        <v>0.14888615660481663</v>
      </c>
      <c r="N179" s="37">
        <f t="shared" si="27"/>
        <v>15901</v>
      </c>
      <c r="O179" s="335"/>
      <c r="P179" s="170"/>
    </row>
    <row r="180" spans="2:16" x14ac:dyDescent="0.2">
      <c r="B180" s="186" t="s">
        <v>262</v>
      </c>
      <c r="C180" s="187">
        <v>201980</v>
      </c>
      <c r="D180" s="126">
        <v>42735</v>
      </c>
      <c r="E180" s="166">
        <v>113360.51904761902</v>
      </c>
      <c r="F180" s="166"/>
      <c r="G180" s="37">
        <f t="shared" si="24"/>
        <v>96482.519047619018</v>
      </c>
      <c r="H180" s="52">
        <f t="shared" si="26"/>
        <v>10099</v>
      </c>
      <c r="I180" s="37">
        <f t="shared" si="28"/>
        <v>103261.51904761902</v>
      </c>
      <c r="J180" s="37">
        <v>15</v>
      </c>
      <c r="K180" s="83">
        <f t="shared" si="31"/>
        <v>4.2493150684931509</v>
      </c>
      <c r="L180" s="37">
        <f t="shared" si="25"/>
        <v>10.75068493150685</v>
      </c>
      <c r="M180" s="84">
        <f t="shared" si="29"/>
        <v>0.14888593049678089</v>
      </c>
      <c r="N180" s="37">
        <f t="shared" si="27"/>
        <v>16878</v>
      </c>
      <c r="O180" s="335"/>
      <c r="P180" s="170"/>
    </row>
    <row r="181" spans="2:16" x14ac:dyDescent="0.2">
      <c r="B181" s="186" t="s">
        <v>263</v>
      </c>
      <c r="C181" s="187">
        <f>335363+42451</f>
        <v>377814</v>
      </c>
      <c r="D181" s="126">
        <v>42766</v>
      </c>
      <c r="E181" s="166">
        <v>212047.49857142864</v>
      </c>
      <c r="F181" s="166"/>
      <c r="G181" s="37">
        <f t="shared" si="24"/>
        <v>180476.49857142864</v>
      </c>
      <c r="H181" s="52">
        <f t="shared" si="26"/>
        <v>18890.7</v>
      </c>
      <c r="I181" s="37">
        <f t="shared" si="28"/>
        <v>193156.79857142863</v>
      </c>
      <c r="J181" s="37">
        <v>15</v>
      </c>
      <c r="K181" s="83">
        <f t="shared" si="31"/>
        <v>4.1643835616438354</v>
      </c>
      <c r="L181" s="37">
        <f t="shared" si="25"/>
        <v>10.835616438356166</v>
      </c>
      <c r="M181" s="84">
        <f t="shared" si="29"/>
        <v>0.14888614593580551</v>
      </c>
      <c r="N181" s="37">
        <f t="shared" si="27"/>
        <v>31571</v>
      </c>
      <c r="O181" s="335"/>
      <c r="P181" s="170"/>
    </row>
    <row r="182" spans="2:16" x14ac:dyDescent="0.2">
      <c r="B182" s="70" t="s">
        <v>264</v>
      </c>
      <c r="C182" s="52">
        <v>4062</v>
      </c>
      <c r="D182" s="188">
        <v>43125</v>
      </c>
      <c r="E182" s="166">
        <v>2567.9265753424661</v>
      </c>
      <c r="F182" s="166"/>
      <c r="G182" s="37">
        <f t="shared" si="24"/>
        <v>2167.9265753424661</v>
      </c>
      <c r="H182" s="52">
        <f t="shared" si="26"/>
        <v>203.10000000000002</v>
      </c>
      <c r="I182" s="37">
        <f t="shared" si="28"/>
        <v>2364.8265753424662</v>
      </c>
      <c r="J182" s="37">
        <v>15</v>
      </c>
      <c r="K182" s="83">
        <f t="shared" si="31"/>
        <v>3.1808219178082191</v>
      </c>
      <c r="L182" s="37">
        <f t="shared" si="25"/>
        <v>11.819178082191781</v>
      </c>
      <c r="M182" s="84">
        <f t="shared" si="29"/>
        <v>0.15561244965956655</v>
      </c>
      <c r="N182" s="37">
        <f t="shared" si="27"/>
        <v>400</v>
      </c>
      <c r="O182" s="335"/>
    </row>
    <row r="183" spans="2:16" x14ac:dyDescent="0.2">
      <c r="B183" s="70" t="s">
        <v>265</v>
      </c>
      <c r="C183" s="52">
        <v>6200</v>
      </c>
      <c r="D183" s="188">
        <v>43121</v>
      </c>
      <c r="E183" s="166">
        <v>3917.1031963470314</v>
      </c>
      <c r="F183" s="166"/>
      <c r="G183" s="37">
        <f t="shared" si="24"/>
        <v>3308.1031963470314</v>
      </c>
      <c r="H183" s="52">
        <f t="shared" si="26"/>
        <v>310</v>
      </c>
      <c r="I183" s="37">
        <f t="shared" si="28"/>
        <v>3607.1031963470314</v>
      </c>
      <c r="J183" s="37">
        <v>15</v>
      </c>
      <c r="K183" s="83">
        <f t="shared" si="31"/>
        <v>3.1917808219178081</v>
      </c>
      <c r="L183" s="37">
        <f t="shared" si="25"/>
        <v>11.808219178082192</v>
      </c>
      <c r="M183" s="84">
        <f t="shared" si="29"/>
        <v>0.15557753508549266</v>
      </c>
      <c r="N183" s="37">
        <f t="shared" si="27"/>
        <v>609</v>
      </c>
      <c r="O183" s="335"/>
    </row>
    <row r="184" spans="2:16" x14ac:dyDescent="0.2">
      <c r="B184" s="70" t="s">
        <v>266</v>
      </c>
      <c r="C184" s="52">
        <v>555454</v>
      </c>
      <c r="D184" s="188">
        <v>43040</v>
      </c>
      <c r="E184" s="166">
        <v>345953.22474885843</v>
      </c>
      <c r="F184" s="166"/>
      <c r="G184" s="37">
        <f t="shared" si="24"/>
        <v>292409.22474885843</v>
      </c>
      <c r="H184" s="52">
        <f t="shared" si="26"/>
        <v>27772.7</v>
      </c>
      <c r="I184" s="37">
        <f t="shared" si="28"/>
        <v>318180.52474885841</v>
      </c>
      <c r="J184" s="37">
        <v>15</v>
      </c>
      <c r="K184" s="83">
        <f t="shared" si="31"/>
        <v>3.4136986301369863</v>
      </c>
      <c r="L184" s="37">
        <f t="shared" si="25"/>
        <v>11.586301369863014</v>
      </c>
      <c r="M184" s="84">
        <f t="shared" si="29"/>
        <v>0.15477296189631873</v>
      </c>
      <c r="N184" s="37">
        <f t="shared" si="27"/>
        <v>53544</v>
      </c>
      <c r="O184" s="335"/>
    </row>
    <row r="185" spans="2:16" x14ac:dyDescent="0.2">
      <c r="B185" s="70" t="s">
        <v>267</v>
      </c>
      <c r="C185" s="52">
        <v>1850</v>
      </c>
      <c r="D185" s="188">
        <v>43182</v>
      </c>
      <c r="E185" s="166">
        <v>1181</v>
      </c>
      <c r="F185" s="166"/>
      <c r="G185" s="37">
        <f t="shared" si="24"/>
        <v>997</v>
      </c>
      <c r="H185" s="52">
        <f t="shared" si="26"/>
        <v>92.5</v>
      </c>
      <c r="I185" s="37">
        <f t="shared" si="28"/>
        <v>1088.5</v>
      </c>
      <c r="J185" s="37">
        <v>15</v>
      </c>
      <c r="K185" s="83">
        <f t="shared" si="31"/>
        <v>3.0246575342465754</v>
      </c>
      <c r="L185" s="37">
        <f t="shared" si="25"/>
        <v>11.975342465753425</v>
      </c>
      <c r="M185" s="84">
        <f>IF(L185&gt;0,(1-(H185/(E185+F185))^(1/J185)),0)</f>
        <v>0.15616126769542182</v>
      </c>
      <c r="N185" s="388">
        <f t="shared" si="27"/>
        <v>184</v>
      </c>
      <c r="O185" s="335" t="s">
        <v>12</v>
      </c>
    </row>
    <row r="186" spans="2:16" x14ac:dyDescent="0.2">
      <c r="B186" s="70" t="s">
        <v>268</v>
      </c>
      <c r="C186" s="52">
        <f>5566+14106</f>
        <v>19672</v>
      </c>
      <c r="D186" s="188">
        <v>43046</v>
      </c>
      <c r="E186" s="166">
        <v>12265.576146118721</v>
      </c>
      <c r="F186" s="166"/>
      <c r="G186" s="37">
        <f t="shared" si="24"/>
        <v>10366.576146118721</v>
      </c>
      <c r="H186" s="52">
        <f t="shared" si="26"/>
        <v>983.6</v>
      </c>
      <c r="I186" s="37">
        <f t="shared" si="28"/>
        <v>11281.976146118721</v>
      </c>
      <c r="J186" s="37">
        <v>15</v>
      </c>
      <c r="K186" s="83">
        <f t="shared" si="31"/>
        <v>3.3972602739726026</v>
      </c>
      <c r="L186" s="37">
        <f t="shared" si="25"/>
        <v>11.602739726027398</v>
      </c>
      <c r="M186" s="84">
        <f t="shared" si="29"/>
        <v>0.15483396066288835</v>
      </c>
      <c r="N186" s="37">
        <f t="shared" si="27"/>
        <v>1899</v>
      </c>
      <c r="O186" s="335"/>
    </row>
    <row r="187" spans="2:16" x14ac:dyDescent="0.2">
      <c r="B187" s="70" t="s">
        <v>269</v>
      </c>
      <c r="C187" s="52">
        <f>35100</f>
        <v>35100</v>
      </c>
      <c r="D187" s="188">
        <v>43077</v>
      </c>
      <c r="E187" s="166">
        <v>22005.783561643839</v>
      </c>
      <c r="F187" s="166"/>
      <c r="G187" s="37">
        <f t="shared" si="24"/>
        <v>18591.783561643839</v>
      </c>
      <c r="H187" s="52">
        <f t="shared" si="26"/>
        <v>1755</v>
      </c>
      <c r="I187" s="37">
        <f t="shared" si="28"/>
        <v>20250.783561643839</v>
      </c>
      <c r="J187" s="37">
        <v>15</v>
      </c>
      <c r="K187" s="83">
        <f t="shared" si="31"/>
        <v>3.3123287671232875</v>
      </c>
      <c r="L187" s="37">
        <f t="shared" si="25"/>
        <v>11.687671232876713</v>
      </c>
      <c r="M187" s="84">
        <f t="shared" si="29"/>
        <v>0.15514401384619658</v>
      </c>
      <c r="N187" s="37">
        <f t="shared" si="27"/>
        <v>3414</v>
      </c>
      <c r="O187" s="335"/>
    </row>
    <row r="188" spans="2:16" x14ac:dyDescent="0.2">
      <c r="B188" s="70" t="s">
        <v>270</v>
      </c>
      <c r="C188" s="52">
        <f>301222+121200</f>
        <v>422422</v>
      </c>
      <c r="D188" s="188">
        <v>43070</v>
      </c>
      <c r="E188" s="166">
        <v>264499.97050228313</v>
      </c>
      <c r="F188" s="166"/>
      <c r="G188" s="37">
        <f t="shared" si="24"/>
        <v>223482.97050228313</v>
      </c>
      <c r="H188" s="52">
        <f t="shared" si="26"/>
        <v>21121.100000000002</v>
      </c>
      <c r="I188" s="37">
        <f t="shared" si="28"/>
        <v>243378.87050228313</v>
      </c>
      <c r="J188" s="37">
        <v>15</v>
      </c>
      <c r="K188" s="83">
        <f t="shared" si="31"/>
        <v>3.3315068493150686</v>
      </c>
      <c r="L188" s="37">
        <f t="shared" si="25"/>
        <v>11.668493150684931</v>
      </c>
      <c r="M188" s="84">
        <f t="shared" si="29"/>
        <v>0.15507260066599582</v>
      </c>
      <c r="N188" s="37">
        <f t="shared" si="27"/>
        <v>41017</v>
      </c>
      <c r="O188" s="335"/>
    </row>
    <row r="189" spans="2:16" x14ac:dyDescent="0.2">
      <c r="B189" s="70" t="s">
        <v>271</v>
      </c>
      <c r="C189" s="37">
        <v>148000</v>
      </c>
      <c r="D189" s="126">
        <v>43150</v>
      </c>
      <c r="E189" s="166">
        <v>93980.452054794499</v>
      </c>
      <c r="F189" s="166"/>
      <c r="G189" s="37">
        <f t="shared" si="24"/>
        <v>79332.452054794499</v>
      </c>
      <c r="H189" s="52">
        <f t="shared" si="26"/>
        <v>7400</v>
      </c>
      <c r="I189" s="37">
        <f t="shared" si="28"/>
        <v>86580.452054794499</v>
      </c>
      <c r="J189" s="37">
        <v>15</v>
      </c>
      <c r="K189" s="83">
        <f t="shared" si="31"/>
        <v>3.1123287671232878</v>
      </c>
      <c r="L189" s="37">
        <f t="shared" si="25"/>
        <v>11.887671232876713</v>
      </c>
      <c r="M189" s="84">
        <f t="shared" si="29"/>
        <v>0.15586298167141988</v>
      </c>
      <c r="N189" s="37">
        <f t="shared" si="27"/>
        <v>14648</v>
      </c>
      <c r="O189" s="335"/>
    </row>
    <row r="190" spans="2:16" x14ac:dyDescent="0.2">
      <c r="B190" s="70" t="s">
        <v>544</v>
      </c>
      <c r="C190" s="37">
        <v>23763</v>
      </c>
      <c r="D190" s="126">
        <v>44275</v>
      </c>
      <c r="E190" s="37">
        <v>23633</v>
      </c>
      <c r="F190" s="37">
        <v>0</v>
      </c>
      <c r="G190" s="37">
        <f t="shared" si="24"/>
        <v>22921</v>
      </c>
      <c r="H190" s="52">
        <f>(F190)*5%</f>
        <v>0</v>
      </c>
      <c r="I190" s="37">
        <f>F190-H190</f>
        <v>0</v>
      </c>
      <c r="J190" s="37">
        <v>15</v>
      </c>
      <c r="K190" s="37">
        <v>0</v>
      </c>
      <c r="L190" s="37">
        <f t="shared" si="25"/>
        <v>15</v>
      </c>
      <c r="M190" s="84">
        <f t="shared" si="29"/>
        <v>1</v>
      </c>
      <c r="N190" s="37">
        <f>ROUND((E190+F190)*M190/365*11,0)</f>
        <v>712</v>
      </c>
      <c r="O190" s="335"/>
    </row>
    <row r="191" spans="2:16" x14ac:dyDescent="0.2">
      <c r="B191" s="70"/>
      <c r="C191" s="37"/>
      <c r="D191" s="126"/>
      <c r="E191" s="37"/>
      <c r="F191" s="37"/>
      <c r="G191" s="37"/>
      <c r="H191" s="52"/>
      <c r="I191" s="37"/>
      <c r="J191" s="37"/>
      <c r="K191" s="37"/>
      <c r="L191" s="37"/>
      <c r="M191" s="84"/>
      <c r="N191" s="388"/>
      <c r="O191" s="70"/>
    </row>
    <row r="192" spans="2:16" x14ac:dyDescent="0.2">
      <c r="C192" s="76"/>
      <c r="O192" s="390"/>
    </row>
    <row r="193" spans="2:16" ht="13.5" thickBot="1" x14ac:dyDescent="0.25">
      <c r="B193" s="190" t="s">
        <v>5</v>
      </c>
      <c r="C193" s="191">
        <f t="shared" ref="C193:I193" si="32">SUBTOTAL(9,C6:C192)</f>
        <v>14290995.666666668</v>
      </c>
      <c r="D193" s="191"/>
      <c r="E193" s="191">
        <f t="shared" si="32"/>
        <v>3889752.0715134353</v>
      </c>
      <c r="F193" s="191">
        <f t="shared" si="32"/>
        <v>0</v>
      </c>
      <c r="G193" s="191">
        <f t="shared" si="32"/>
        <v>3447779.0715134353</v>
      </c>
      <c r="H193" s="191">
        <f t="shared" si="32"/>
        <v>713304.13333333307</v>
      </c>
      <c r="I193" s="191">
        <f t="shared" si="32"/>
        <v>3163472.1081801024</v>
      </c>
      <c r="J193" s="191"/>
      <c r="K193" s="191"/>
      <c r="L193" s="191"/>
      <c r="M193" s="192"/>
      <c r="N193" s="191">
        <f>SUBTOTAL(9,N6:N192)</f>
        <v>441973</v>
      </c>
      <c r="O193" s="170"/>
      <c r="P193" s="191">
        <f>+SUM(P6:P181)</f>
        <v>0</v>
      </c>
    </row>
    <row r="194" spans="2:16" ht="13.5" thickTop="1" x14ac:dyDescent="0.2">
      <c r="B194" s="169"/>
      <c r="C194" s="176"/>
      <c r="D194" s="176"/>
      <c r="E194" s="176"/>
      <c r="F194" s="176"/>
      <c r="G194" s="176"/>
      <c r="H194" s="176"/>
      <c r="I194" s="176"/>
      <c r="J194" s="176"/>
      <c r="K194" s="176"/>
      <c r="L194" s="176"/>
      <c r="M194" s="193"/>
      <c r="N194" s="176"/>
    </row>
  </sheetData>
  <autoFilter ref="A3:P190"/>
  <printOptions horizontalCentered="1"/>
  <pageMargins left="0.39370078740157483" right="0.51181102362204722" top="0.23622047244094491" bottom="0.51181102362204722" header="0.23622047244094491" footer="0.51181102362204722"/>
  <pageSetup paperSize="9" scale="63" orientation="landscape" r:id="rId1"/>
  <headerFooter alignWithMargins="0">
    <oddHeader>&amp;LDepreciation on Machinery&amp;C Century Aluminium Mfg Co Ltd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38"/>
  <sheetViews>
    <sheetView view="pageBreakPreview" zoomScaleNormal="100" zoomScaleSheetLayoutView="100" workbookViewId="0">
      <pane xSplit="2" ySplit="6" topLeftCell="C28" activePane="bottomRight" state="frozen"/>
      <selection pane="topRight" activeCell="C1" sqref="C1"/>
      <selection pane="bottomLeft" activeCell="A6" sqref="A6"/>
      <selection pane="bottomRight" activeCell="H41" sqref="H41"/>
    </sheetView>
  </sheetViews>
  <sheetFormatPr defaultRowHeight="12.75" x14ac:dyDescent="0.2"/>
  <cols>
    <col min="1" max="1" width="3.42578125" style="71" customWidth="1"/>
    <col min="2" max="2" width="45" style="71" bestFit="1" customWidth="1"/>
    <col min="3" max="7" width="12.5703125" style="62" customWidth="1"/>
    <col min="8" max="8" width="13.140625" style="62" customWidth="1"/>
    <col min="9" max="9" width="12.5703125" style="62" customWidth="1"/>
    <col min="10" max="10" width="11.5703125" style="62" bestFit="1" customWidth="1"/>
    <col min="11" max="11" width="11.140625" style="62" bestFit="1" customWidth="1"/>
    <col min="12" max="12" width="10.85546875" style="62" bestFit="1" customWidth="1"/>
    <col min="13" max="13" width="10.85546875" style="62" customWidth="1"/>
    <col min="14" max="15" width="12.5703125" style="170" customWidth="1"/>
    <col min="16" max="16" width="9.140625" style="76"/>
    <col min="17" max="16384" width="9.140625" style="71"/>
  </cols>
  <sheetData>
    <row r="1" spans="1:16" s="68" customFormat="1" hidden="1" x14ac:dyDescent="0.2">
      <c r="A1" s="421" t="str">
        <f>+'[2]D-BUILDING'!A1:C1</f>
        <v>CENTURY ALUMINIUM MFG. CO. LTD.</v>
      </c>
      <c r="B1" s="421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56"/>
      <c r="O1" s="156"/>
      <c r="P1" s="155"/>
    </row>
    <row r="2" spans="1:16" s="68" customFormat="1" hidden="1" x14ac:dyDescent="0.2">
      <c r="A2" s="421" t="str">
        <f>+'[2]D-BUILDING'!A3</f>
        <v>KOLKATA</v>
      </c>
      <c r="B2" s="421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56"/>
      <c r="O2" s="156"/>
      <c r="P2" s="155"/>
    </row>
    <row r="3" spans="1:16" s="68" customFormat="1" hidden="1" x14ac:dyDescent="0.2">
      <c r="A3" s="421" t="e">
        <f>+'[2]D-BUILDING'!#REF!</f>
        <v>#REF!</v>
      </c>
      <c r="B3" s="421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56"/>
      <c r="O3" s="156"/>
      <c r="P3" s="155"/>
    </row>
    <row r="5" spans="1:16" s="68" customFormat="1" x14ac:dyDescent="0.2">
      <c r="A5" s="64"/>
      <c r="B5" s="65"/>
      <c r="C5" s="195"/>
      <c r="D5" s="195"/>
      <c r="E5" s="195"/>
      <c r="F5" s="195"/>
      <c r="G5" s="195"/>
      <c r="H5" s="195"/>
      <c r="I5" s="195"/>
      <c r="J5" s="195"/>
      <c r="K5" s="67">
        <v>44286</v>
      </c>
      <c r="L5" s="195"/>
      <c r="M5" s="195"/>
      <c r="N5" s="196"/>
      <c r="O5" s="196"/>
      <c r="P5" s="155"/>
    </row>
    <row r="6" spans="1:16" ht="38.25" x14ac:dyDescent="0.2">
      <c r="A6" s="104" t="s">
        <v>34</v>
      </c>
      <c r="B6" s="88" t="s">
        <v>35</v>
      </c>
      <c r="C6" s="106" t="s">
        <v>36</v>
      </c>
      <c r="D6" s="107" t="s">
        <v>37</v>
      </c>
      <c r="E6" s="106" t="s">
        <v>541</v>
      </c>
      <c r="F6" s="107" t="s">
        <v>38</v>
      </c>
      <c r="G6" s="106" t="s">
        <v>570</v>
      </c>
      <c r="H6" s="106" t="s">
        <v>39</v>
      </c>
      <c r="I6" s="106" t="s">
        <v>40</v>
      </c>
      <c r="J6" s="108" t="s">
        <v>41</v>
      </c>
      <c r="K6" s="108" t="s">
        <v>42</v>
      </c>
      <c r="L6" s="108" t="s">
        <v>43</v>
      </c>
      <c r="M6" s="109" t="s">
        <v>44</v>
      </c>
      <c r="N6" s="106" t="s">
        <v>45</v>
      </c>
      <c r="O6" s="197" t="s">
        <v>578</v>
      </c>
    </row>
    <row r="7" spans="1:16" x14ac:dyDescent="0.2">
      <c r="A7" s="198" t="s">
        <v>272</v>
      </c>
      <c r="B7" s="75" t="s">
        <v>14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6" x14ac:dyDescent="0.2">
      <c r="A8" s="69"/>
      <c r="B8" s="70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</row>
    <row r="9" spans="1:16" s="76" customFormat="1" x14ac:dyDescent="0.2">
      <c r="A9" s="77"/>
      <c r="B9" s="75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170"/>
    </row>
    <row r="10" spans="1:16" s="76" customFormat="1" x14ac:dyDescent="0.2">
      <c r="A10" s="77"/>
      <c r="B10" s="124" t="s">
        <v>273</v>
      </c>
      <c r="C10" s="200">
        <v>1340</v>
      </c>
      <c r="D10" s="126">
        <f>DATE(79,7,9)</f>
        <v>29045</v>
      </c>
      <c r="E10" s="201">
        <v>67</v>
      </c>
      <c r="F10" s="201"/>
      <c r="G10" s="37">
        <f t="shared" ref="G10:G36" si="0">E10+F10-N10</f>
        <v>67</v>
      </c>
      <c r="H10" s="52">
        <f>ROUND((C10+F10)*5%,0)</f>
        <v>67</v>
      </c>
      <c r="I10" s="37">
        <f t="shared" ref="I10:I33" si="1">E10-H10</f>
        <v>0</v>
      </c>
      <c r="J10" s="37">
        <v>10</v>
      </c>
      <c r="K10" s="83">
        <f>($K$5-D10)/365</f>
        <v>41.756164383561647</v>
      </c>
      <c r="L10" s="37">
        <f t="shared" ref="L10:L36" si="2">J10-K10</f>
        <v>-31.756164383561647</v>
      </c>
      <c r="M10" s="84">
        <f t="shared" ref="M10:M36" si="3">IF(L10&gt;0,(1-(H10/(E10+F10))^(1/J10)),0)</f>
        <v>0</v>
      </c>
      <c r="N10" s="37">
        <f t="shared" ref="N10:N36" si="4">ROUND((E10+F10)*M10,0)</f>
        <v>0</v>
      </c>
      <c r="O10" s="170"/>
    </row>
    <row r="11" spans="1:16" s="76" customFormat="1" x14ac:dyDescent="0.2">
      <c r="A11" s="77"/>
      <c r="B11" s="124" t="s">
        <v>274</v>
      </c>
      <c r="C11" s="200">
        <v>74470</v>
      </c>
      <c r="D11" s="126">
        <f>DATE(89,3,31)</f>
        <v>32598</v>
      </c>
      <c r="E11" s="201">
        <v>3723</v>
      </c>
      <c r="F11" s="201"/>
      <c r="G11" s="37">
        <f t="shared" si="0"/>
        <v>3723</v>
      </c>
      <c r="H11" s="52">
        <f t="shared" ref="H11:H35" si="5">ROUND((C11+F11)*5%,0)</f>
        <v>3724</v>
      </c>
      <c r="I11" s="37">
        <f t="shared" si="1"/>
        <v>-1</v>
      </c>
      <c r="J11" s="37">
        <v>10</v>
      </c>
      <c r="K11" s="83">
        <f t="shared" ref="K11:K32" si="6">($K$5-D11)/365</f>
        <v>32.021917808219179</v>
      </c>
      <c r="L11" s="37">
        <f t="shared" si="2"/>
        <v>-22.021917808219179</v>
      </c>
      <c r="M11" s="84">
        <f t="shared" si="3"/>
        <v>0</v>
      </c>
      <c r="N11" s="37">
        <f t="shared" si="4"/>
        <v>0</v>
      </c>
      <c r="O11" s="170"/>
    </row>
    <row r="12" spans="1:16" s="76" customFormat="1" x14ac:dyDescent="0.2">
      <c r="A12" s="77"/>
      <c r="B12" s="124" t="s">
        <v>275</v>
      </c>
      <c r="C12" s="200">
        <v>66442</v>
      </c>
      <c r="D12" s="126">
        <f>DATE(88,2,1)</f>
        <v>32174</v>
      </c>
      <c r="E12" s="201">
        <v>3322</v>
      </c>
      <c r="F12" s="201"/>
      <c r="G12" s="37">
        <f t="shared" si="0"/>
        <v>3322</v>
      </c>
      <c r="H12" s="52">
        <f t="shared" si="5"/>
        <v>3322</v>
      </c>
      <c r="I12" s="37">
        <f>E12-H12+0.2</f>
        <v>0.2</v>
      </c>
      <c r="J12" s="37">
        <v>10</v>
      </c>
      <c r="K12" s="83">
        <f t="shared" si="6"/>
        <v>33.183561643835617</v>
      </c>
      <c r="L12" s="37">
        <f t="shared" si="2"/>
        <v>-23.183561643835617</v>
      </c>
      <c r="M12" s="84">
        <f t="shared" si="3"/>
        <v>0</v>
      </c>
      <c r="N12" s="37">
        <f t="shared" si="4"/>
        <v>0</v>
      </c>
      <c r="O12" s="170"/>
    </row>
    <row r="13" spans="1:16" s="76" customFormat="1" x14ac:dyDescent="0.2">
      <c r="A13" s="77"/>
      <c r="B13" s="124" t="s">
        <v>276</v>
      </c>
      <c r="C13" s="200">
        <v>24329</v>
      </c>
      <c r="D13" s="126">
        <f>DATE(90,8,25)</f>
        <v>33110</v>
      </c>
      <c r="E13" s="201">
        <v>1216</v>
      </c>
      <c r="F13" s="201"/>
      <c r="G13" s="37">
        <f t="shared" si="0"/>
        <v>1216</v>
      </c>
      <c r="H13" s="52">
        <f t="shared" si="5"/>
        <v>1216</v>
      </c>
      <c r="I13" s="37">
        <f t="shared" si="1"/>
        <v>0</v>
      </c>
      <c r="J13" s="37">
        <v>10</v>
      </c>
      <c r="K13" s="83">
        <f t="shared" si="6"/>
        <v>30.61917808219178</v>
      </c>
      <c r="L13" s="37">
        <f t="shared" si="2"/>
        <v>-20.61917808219178</v>
      </c>
      <c r="M13" s="84">
        <f t="shared" si="3"/>
        <v>0</v>
      </c>
      <c r="N13" s="37">
        <f t="shared" si="4"/>
        <v>0</v>
      </c>
      <c r="O13" s="170"/>
    </row>
    <row r="14" spans="1:16" s="76" customFormat="1" x14ac:dyDescent="0.2">
      <c r="A14" s="363"/>
      <c r="B14" s="342" t="s">
        <v>277</v>
      </c>
      <c r="C14" s="343">
        <v>21000</v>
      </c>
      <c r="D14" s="344">
        <f>DATE(89,3,16)</f>
        <v>32583</v>
      </c>
      <c r="E14" s="364">
        <v>1050</v>
      </c>
      <c r="F14" s="364"/>
      <c r="G14" s="346">
        <f t="shared" si="0"/>
        <v>1050</v>
      </c>
      <c r="H14" s="347">
        <f t="shared" si="5"/>
        <v>1050</v>
      </c>
      <c r="I14" s="346">
        <f t="shared" si="1"/>
        <v>0</v>
      </c>
      <c r="J14" s="346">
        <v>10</v>
      </c>
      <c r="K14" s="348">
        <f t="shared" si="6"/>
        <v>32.063013698630137</v>
      </c>
      <c r="L14" s="346">
        <f t="shared" si="2"/>
        <v>-22.063013698630137</v>
      </c>
      <c r="M14" s="349">
        <f t="shared" si="3"/>
        <v>0</v>
      </c>
      <c r="N14" s="346">
        <f t="shared" si="4"/>
        <v>0</v>
      </c>
      <c r="O14" s="365" t="s">
        <v>577</v>
      </c>
    </row>
    <row r="15" spans="1:16" s="76" customFormat="1" x14ac:dyDescent="0.2">
      <c r="A15" s="363"/>
      <c r="B15" s="342" t="s">
        <v>278</v>
      </c>
      <c r="C15" s="343">
        <v>44000</v>
      </c>
      <c r="D15" s="344">
        <f>DATE(89,5,31)</f>
        <v>32659</v>
      </c>
      <c r="E15" s="364">
        <v>2200</v>
      </c>
      <c r="F15" s="364"/>
      <c r="G15" s="346">
        <f t="shared" si="0"/>
        <v>2200</v>
      </c>
      <c r="H15" s="347">
        <f t="shared" si="5"/>
        <v>2200</v>
      </c>
      <c r="I15" s="346">
        <f t="shared" si="1"/>
        <v>0</v>
      </c>
      <c r="J15" s="346">
        <v>10</v>
      </c>
      <c r="K15" s="348">
        <f t="shared" si="6"/>
        <v>31.854794520547944</v>
      </c>
      <c r="L15" s="346">
        <f t="shared" si="2"/>
        <v>-21.854794520547944</v>
      </c>
      <c r="M15" s="349">
        <f t="shared" si="3"/>
        <v>0</v>
      </c>
      <c r="N15" s="346">
        <f t="shared" si="4"/>
        <v>0</v>
      </c>
      <c r="O15" s="365" t="s">
        <v>577</v>
      </c>
    </row>
    <row r="16" spans="1:16" s="76" customFormat="1" x14ac:dyDescent="0.2">
      <c r="A16" s="363"/>
      <c r="B16" s="342" t="s">
        <v>279</v>
      </c>
      <c r="C16" s="343">
        <v>9186</v>
      </c>
      <c r="D16" s="344">
        <f>DATE(89,6,7)</f>
        <v>32666</v>
      </c>
      <c r="E16" s="364">
        <v>458</v>
      </c>
      <c r="F16" s="364"/>
      <c r="G16" s="346">
        <f t="shared" si="0"/>
        <v>458</v>
      </c>
      <c r="H16" s="347">
        <f t="shared" si="5"/>
        <v>459</v>
      </c>
      <c r="I16" s="346">
        <f t="shared" si="1"/>
        <v>-1</v>
      </c>
      <c r="J16" s="346">
        <v>10</v>
      </c>
      <c r="K16" s="348">
        <f t="shared" si="6"/>
        <v>31.835616438356166</v>
      </c>
      <c r="L16" s="346">
        <f t="shared" si="2"/>
        <v>-21.835616438356166</v>
      </c>
      <c r="M16" s="349">
        <f t="shared" si="3"/>
        <v>0</v>
      </c>
      <c r="N16" s="346">
        <f t="shared" si="4"/>
        <v>0</v>
      </c>
      <c r="O16" s="365" t="s">
        <v>577</v>
      </c>
    </row>
    <row r="17" spans="1:16" s="76" customFormat="1" x14ac:dyDescent="0.2">
      <c r="A17" s="77"/>
      <c r="B17" s="124" t="s">
        <v>280</v>
      </c>
      <c r="C17" s="200">
        <v>28334</v>
      </c>
      <c r="D17" s="126">
        <f>DATE(93,1,1)</f>
        <v>33970</v>
      </c>
      <c r="E17" s="201">
        <v>1417</v>
      </c>
      <c r="F17" s="201"/>
      <c r="G17" s="37">
        <f t="shared" si="0"/>
        <v>1417</v>
      </c>
      <c r="H17" s="52">
        <f t="shared" si="5"/>
        <v>1417</v>
      </c>
      <c r="I17" s="37">
        <f t="shared" si="1"/>
        <v>0</v>
      </c>
      <c r="J17" s="37">
        <v>10</v>
      </c>
      <c r="K17" s="83">
        <f t="shared" si="6"/>
        <v>28.263013698630136</v>
      </c>
      <c r="L17" s="37">
        <f t="shared" si="2"/>
        <v>-18.263013698630136</v>
      </c>
      <c r="M17" s="84">
        <f t="shared" si="3"/>
        <v>0</v>
      </c>
      <c r="N17" s="37">
        <f t="shared" si="4"/>
        <v>0</v>
      </c>
      <c r="O17" s="170"/>
    </row>
    <row r="18" spans="1:16" s="76" customFormat="1" x14ac:dyDescent="0.2">
      <c r="A18" s="363"/>
      <c r="B18" s="342" t="s">
        <v>278</v>
      </c>
      <c r="C18" s="343">
        <v>43200</v>
      </c>
      <c r="D18" s="344">
        <f>DATE(95,5,9)</f>
        <v>34828</v>
      </c>
      <c r="E18" s="364">
        <v>2160</v>
      </c>
      <c r="F18" s="364"/>
      <c r="G18" s="346">
        <f t="shared" si="0"/>
        <v>2160</v>
      </c>
      <c r="H18" s="347">
        <f t="shared" si="5"/>
        <v>2160</v>
      </c>
      <c r="I18" s="346">
        <f t="shared" si="1"/>
        <v>0</v>
      </c>
      <c r="J18" s="346">
        <v>10</v>
      </c>
      <c r="K18" s="348">
        <f t="shared" si="6"/>
        <v>25.912328767123288</v>
      </c>
      <c r="L18" s="346">
        <f t="shared" si="2"/>
        <v>-15.912328767123288</v>
      </c>
      <c r="M18" s="349">
        <f t="shared" si="3"/>
        <v>0</v>
      </c>
      <c r="N18" s="346">
        <f t="shared" si="4"/>
        <v>0</v>
      </c>
      <c r="O18" s="365" t="s">
        <v>577</v>
      </c>
    </row>
    <row r="19" spans="1:16" s="76" customFormat="1" x14ac:dyDescent="0.2">
      <c r="A19" s="363"/>
      <c r="B19" s="342" t="s">
        <v>281</v>
      </c>
      <c r="C19" s="343">
        <v>57900</v>
      </c>
      <c r="D19" s="344">
        <f>DATE(97,5,28)</f>
        <v>35578</v>
      </c>
      <c r="E19" s="364">
        <v>2895</v>
      </c>
      <c r="F19" s="364"/>
      <c r="G19" s="346">
        <f t="shared" si="0"/>
        <v>2895</v>
      </c>
      <c r="H19" s="347">
        <f t="shared" si="5"/>
        <v>2895</v>
      </c>
      <c r="I19" s="346">
        <f t="shared" si="1"/>
        <v>0</v>
      </c>
      <c r="J19" s="346">
        <v>10</v>
      </c>
      <c r="K19" s="348">
        <f t="shared" si="6"/>
        <v>23.857534246575341</v>
      </c>
      <c r="L19" s="346">
        <f t="shared" si="2"/>
        <v>-13.857534246575341</v>
      </c>
      <c r="M19" s="349">
        <f t="shared" si="3"/>
        <v>0</v>
      </c>
      <c r="N19" s="346">
        <f t="shared" si="4"/>
        <v>0</v>
      </c>
      <c r="O19" s="365" t="s">
        <v>577</v>
      </c>
    </row>
    <row r="20" spans="1:16" s="76" customFormat="1" x14ac:dyDescent="0.2">
      <c r="A20" s="363"/>
      <c r="B20" s="342" t="s">
        <v>282</v>
      </c>
      <c r="C20" s="343">
        <v>56490</v>
      </c>
      <c r="D20" s="344">
        <v>36633</v>
      </c>
      <c r="E20" s="364">
        <v>2825</v>
      </c>
      <c r="F20" s="364"/>
      <c r="G20" s="346">
        <f t="shared" si="0"/>
        <v>2825</v>
      </c>
      <c r="H20" s="347">
        <f t="shared" si="5"/>
        <v>2825</v>
      </c>
      <c r="I20" s="346">
        <f t="shared" si="1"/>
        <v>0</v>
      </c>
      <c r="J20" s="346">
        <v>10</v>
      </c>
      <c r="K20" s="348">
        <f t="shared" si="6"/>
        <v>20.967123287671232</v>
      </c>
      <c r="L20" s="346">
        <f t="shared" si="2"/>
        <v>-10.967123287671232</v>
      </c>
      <c r="M20" s="349">
        <f t="shared" si="3"/>
        <v>0</v>
      </c>
      <c r="N20" s="346">
        <f t="shared" si="4"/>
        <v>0</v>
      </c>
      <c r="O20" s="365" t="s">
        <v>577</v>
      </c>
    </row>
    <row r="21" spans="1:16" s="76" customFormat="1" x14ac:dyDescent="0.2">
      <c r="A21" s="363"/>
      <c r="B21" s="342" t="s">
        <v>282</v>
      </c>
      <c r="C21" s="343">
        <v>46000</v>
      </c>
      <c r="D21" s="344">
        <v>36887</v>
      </c>
      <c r="E21" s="364">
        <v>2300</v>
      </c>
      <c r="F21" s="364"/>
      <c r="G21" s="346">
        <f t="shared" si="0"/>
        <v>2300</v>
      </c>
      <c r="H21" s="347">
        <f t="shared" si="5"/>
        <v>2300</v>
      </c>
      <c r="I21" s="346">
        <f t="shared" si="1"/>
        <v>0</v>
      </c>
      <c r="J21" s="346">
        <v>10</v>
      </c>
      <c r="K21" s="348">
        <f t="shared" si="6"/>
        <v>20.271232876712329</v>
      </c>
      <c r="L21" s="346">
        <f t="shared" si="2"/>
        <v>-10.271232876712329</v>
      </c>
      <c r="M21" s="349">
        <f t="shared" si="3"/>
        <v>0</v>
      </c>
      <c r="N21" s="346">
        <f t="shared" si="4"/>
        <v>0</v>
      </c>
      <c r="O21" s="365" t="s">
        <v>577</v>
      </c>
    </row>
    <row r="22" spans="1:16" s="76" customFormat="1" x14ac:dyDescent="0.2">
      <c r="A22" s="363"/>
      <c r="B22" s="351" t="s">
        <v>283</v>
      </c>
      <c r="C22" s="350">
        <v>41400</v>
      </c>
      <c r="D22" s="344">
        <v>36988</v>
      </c>
      <c r="E22" s="364">
        <v>2070</v>
      </c>
      <c r="F22" s="364"/>
      <c r="G22" s="346">
        <f t="shared" si="0"/>
        <v>2070</v>
      </c>
      <c r="H22" s="347">
        <f t="shared" si="5"/>
        <v>2070</v>
      </c>
      <c r="I22" s="346">
        <f t="shared" si="1"/>
        <v>0</v>
      </c>
      <c r="J22" s="346">
        <v>10</v>
      </c>
      <c r="K22" s="348">
        <f t="shared" si="6"/>
        <v>19.994520547945207</v>
      </c>
      <c r="L22" s="346">
        <f t="shared" si="2"/>
        <v>-9.9945205479452071</v>
      </c>
      <c r="M22" s="349">
        <f t="shared" si="3"/>
        <v>0</v>
      </c>
      <c r="N22" s="346">
        <f t="shared" si="4"/>
        <v>0</v>
      </c>
      <c r="O22" s="365" t="s">
        <v>577</v>
      </c>
    </row>
    <row r="23" spans="1:16" s="76" customFormat="1" x14ac:dyDescent="0.2">
      <c r="A23" s="77"/>
      <c r="B23" s="124" t="s">
        <v>284</v>
      </c>
      <c r="C23" s="173">
        <v>5744</v>
      </c>
      <c r="D23" s="126">
        <v>37243</v>
      </c>
      <c r="E23" s="201">
        <v>287</v>
      </c>
      <c r="F23" s="201"/>
      <c r="G23" s="37">
        <f t="shared" si="0"/>
        <v>287</v>
      </c>
      <c r="H23" s="52">
        <f t="shared" si="5"/>
        <v>287</v>
      </c>
      <c r="I23" s="37">
        <f t="shared" si="1"/>
        <v>0</v>
      </c>
      <c r="J23" s="37">
        <v>10</v>
      </c>
      <c r="K23" s="83">
        <f t="shared" si="6"/>
        <v>19.295890410958904</v>
      </c>
      <c r="L23" s="37">
        <f t="shared" si="2"/>
        <v>-9.2958904109589042</v>
      </c>
      <c r="M23" s="84">
        <f t="shared" si="3"/>
        <v>0</v>
      </c>
      <c r="N23" s="37">
        <f t="shared" si="4"/>
        <v>0</v>
      </c>
      <c r="O23" s="170"/>
    </row>
    <row r="24" spans="1:16" s="76" customFormat="1" x14ac:dyDescent="0.2">
      <c r="A24" s="77"/>
      <c r="B24" s="124" t="s">
        <v>285</v>
      </c>
      <c r="C24" s="200">
        <v>46000</v>
      </c>
      <c r="D24" s="126">
        <v>37508</v>
      </c>
      <c r="E24" s="201">
        <v>2300</v>
      </c>
      <c r="F24" s="201"/>
      <c r="G24" s="37">
        <f t="shared" si="0"/>
        <v>2300</v>
      </c>
      <c r="H24" s="52">
        <f t="shared" si="5"/>
        <v>2300</v>
      </c>
      <c r="I24" s="37">
        <f t="shared" si="1"/>
        <v>0</v>
      </c>
      <c r="J24" s="37">
        <v>10</v>
      </c>
      <c r="K24" s="83">
        <f t="shared" si="6"/>
        <v>18.56986301369863</v>
      </c>
      <c r="L24" s="37">
        <f t="shared" si="2"/>
        <v>-8.5698630136986296</v>
      </c>
      <c r="M24" s="84">
        <f t="shared" si="3"/>
        <v>0</v>
      </c>
      <c r="N24" s="37">
        <f t="shared" si="4"/>
        <v>0</v>
      </c>
      <c r="O24" s="170"/>
    </row>
    <row r="25" spans="1:16" s="76" customFormat="1" x14ac:dyDescent="0.2">
      <c r="A25" s="77"/>
      <c r="B25" s="129" t="s">
        <v>286</v>
      </c>
      <c r="C25" s="200">
        <v>654197</v>
      </c>
      <c r="D25" s="126">
        <v>38806</v>
      </c>
      <c r="E25" s="201">
        <v>32709</v>
      </c>
      <c r="F25" s="201"/>
      <c r="G25" s="37">
        <f t="shared" si="0"/>
        <v>32709</v>
      </c>
      <c r="H25" s="52">
        <f t="shared" si="5"/>
        <v>32710</v>
      </c>
      <c r="I25" s="37">
        <f t="shared" si="1"/>
        <v>-1</v>
      </c>
      <c r="J25" s="37">
        <v>10</v>
      </c>
      <c r="K25" s="83">
        <f t="shared" si="6"/>
        <v>15.013698630136986</v>
      </c>
      <c r="L25" s="37">
        <f t="shared" si="2"/>
        <v>-5.0136986301369859</v>
      </c>
      <c r="M25" s="84">
        <f t="shared" si="3"/>
        <v>0</v>
      </c>
      <c r="N25" s="37">
        <f t="shared" si="4"/>
        <v>0</v>
      </c>
      <c r="O25" s="170"/>
    </row>
    <row r="26" spans="1:16" s="76" customFormat="1" x14ac:dyDescent="0.2">
      <c r="A26" s="77"/>
      <c r="B26" s="129" t="s">
        <v>286</v>
      </c>
      <c r="C26" s="200">
        <v>120752</v>
      </c>
      <c r="D26" s="126">
        <v>39172</v>
      </c>
      <c r="E26" s="201">
        <v>6038</v>
      </c>
      <c r="F26" s="201"/>
      <c r="G26" s="37">
        <f t="shared" si="0"/>
        <v>6038</v>
      </c>
      <c r="H26" s="52">
        <f t="shared" si="5"/>
        <v>6038</v>
      </c>
      <c r="I26" s="37">
        <f t="shared" si="1"/>
        <v>0</v>
      </c>
      <c r="J26" s="37">
        <v>10</v>
      </c>
      <c r="K26" s="83">
        <f t="shared" si="6"/>
        <v>14.010958904109589</v>
      </c>
      <c r="L26" s="37">
        <f t="shared" si="2"/>
        <v>-4.0109589041095894</v>
      </c>
      <c r="M26" s="84">
        <f t="shared" si="3"/>
        <v>0</v>
      </c>
      <c r="N26" s="37">
        <f t="shared" si="4"/>
        <v>0</v>
      </c>
      <c r="O26" s="170"/>
      <c r="P26" s="202"/>
    </row>
    <row r="27" spans="1:16" s="76" customFormat="1" x14ac:dyDescent="0.2">
      <c r="A27" s="77"/>
      <c r="B27" s="124" t="s">
        <v>287</v>
      </c>
      <c r="C27" s="200">
        <v>16485</v>
      </c>
      <c r="D27" s="126">
        <v>38989</v>
      </c>
      <c r="E27" s="201">
        <v>825</v>
      </c>
      <c r="F27" s="201"/>
      <c r="G27" s="37">
        <f t="shared" si="0"/>
        <v>825</v>
      </c>
      <c r="H27" s="52">
        <f t="shared" si="5"/>
        <v>824</v>
      </c>
      <c r="I27" s="37">
        <f t="shared" si="1"/>
        <v>1</v>
      </c>
      <c r="J27" s="37">
        <v>10</v>
      </c>
      <c r="K27" s="83">
        <f t="shared" si="6"/>
        <v>14.512328767123288</v>
      </c>
      <c r="L27" s="37">
        <f t="shared" si="2"/>
        <v>-4.5123287671232877</v>
      </c>
      <c r="M27" s="84">
        <f t="shared" si="3"/>
        <v>0</v>
      </c>
      <c r="N27" s="37">
        <f t="shared" si="4"/>
        <v>0</v>
      </c>
      <c r="O27" s="170"/>
    </row>
    <row r="28" spans="1:16" s="76" customFormat="1" ht="13.5" customHeight="1" x14ac:dyDescent="0.2">
      <c r="A28" s="77"/>
      <c r="B28" s="129" t="s">
        <v>286</v>
      </c>
      <c r="C28" s="200">
        <v>31041</v>
      </c>
      <c r="D28" s="126">
        <v>39279</v>
      </c>
      <c r="E28" s="201">
        <v>1552</v>
      </c>
      <c r="F28" s="201"/>
      <c r="G28" s="37">
        <f t="shared" si="0"/>
        <v>1552</v>
      </c>
      <c r="H28" s="52">
        <f t="shared" si="5"/>
        <v>1552</v>
      </c>
      <c r="I28" s="37">
        <f t="shared" si="1"/>
        <v>0</v>
      </c>
      <c r="J28" s="37">
        <v>10</v>
      </c>
      <c r="K28" s="83">
        <f t="shared" si="6"/>
        <v>13.717808219178082</v>
      </c>
      <c r="L28" s="37">
        <f t="shared" si="2"/>
        <v>-3.7178082191780817</v>
      </c>
      <c r="M28" s="84">
        <f t="shared" si="3"/>
        <v>0</v>
      </c>
      <c r="N28" s="37">
        <f t="shared" si="4"/>
        <v>0</v>
      </c>
      <c r="O28" s="170"/>
      <c r="P28" s="202"/>
    </row>
    <row r="29" spans="1:16" s="76" customFormat="1" x14ac:dyDescent="0.2">
      <c r="A29" s="77"/>
      <c r="B29" s="129" t="s">
        <v>288</v>
      </c>
      <c r="C29" s="200">
        <v>197457</v>
      </c>
      <c r="D29" s="126">
        <v>40264</v>
      </c>
      <c r="E29" s="201">
        <v>34863</v>
      </c>
      <c r="F29" s="201"/>
      <c r="G29" s="37">
        <f t="shared" si="0"/>
        <v>34863</v>
      </c>
      <c r="H29" s="52">
        <f t="shared" si="5"/>
        <v>9873</v>
      </c>
      <c r="I29" s="37">
        <f t="shared" si="1"/>
        <v>24990</v>
      </c>
      <c r="J29" s="37">
        <v>10</v>
      </c>
      <c r="K29" s="83">
        <f t="shared" si="6"/>
        <v>11.019178082191781</v>
      </c>
      <c r="L29" s="37">
        <f t="shared" si="2"/>
        <v>-1.0191780821917806</v>
      </c>
      <c r="M29" s="84">
        <f t="shared" si="3"/>
        <v>0</v>
      </c>
      <c r="N29" s="37">
        <f t="shared" si="4"/>
        <v>0</v>
      </c>
      <c r="O29" s="170"/>
      <c r="P29" s="202"/>
    </row>
    <row r="30" spans="1:16" s="76" customFormat="1" x14ac:dyDescent="0.2">
      <c r="A30" s="363"/>
      <c r="B30" s="342" t="s">
        <v>289</v>
      </c>
      <c r="C30" s="343">
        <v>17025</v>
      </c>
      <c r="D30" s="344">
        <v>40534</v>
      </c>
      <c r="E30" s="364">
        <v>3035</v>
      </c>
      <c r="F30" s="364"/>
      <c r="G30" s="346">
        <f t="shared" si="0"/>
        <v>3035</v>
      </c>
      <c r="H30" s="347">
        <f t="shared" si="5"/>
        <v>851</v>
      </c>
      <c r="I30" s="346">
        <f t="shared" si="1"/>
        <v>2184</v>
      </c>
      <c r="J30" s="346">
        <v>10</v>
      </c>
      <c r="K30" s="348">
        <f t="shared" si="6"/>
        <v>10.27945205479452</v>
      </c>
      <c r="L30" s="346">
        <f t="shared" si="2"/>
        <v>-0.27945205479452007</v>
      </c>
      <c r="M30" s="349">
        <f t="shared" si="3"/>
        <v>0</v>
      </c>
      <c r="N30" s="346">
        <f>ROUND((E30+F30)*M30,0)</f>
        <v>0</v>
      </c>
      <c r="O30" s="365" t="s">
        <v>577</v>
      </c>
      <c r="P30" s="202"/>
    </row>
    <row r="31" spans="1:16" s="76" customFormat="1" x14ac:dyDescent="0.2">
      <c r="A31" s="363"/>
      <c r="B31" s="342" t="s">
        <v>290</v>
      </c>
      <c r="C31" s="343">
        <v>14000</v>
      </c>
      <c r="D31" s="344">
        <v>40956</v>
      </c>
      <c r="E31" s="364">
        <v>3227</v>
      </c>
      <c r="F31" s="364"/>
      <c r="G31" s="346">
        <f t="shared" si="0"/>
        <v>2770</v>
      </c>
      <c r="H31" s="347">
        <f t="shared" si="5"/>
        <v>700</v>
      </c>
      <c r="I31" s="346">
        <f t="shared" si="1"/>
        <v>2527</v>
      </c>
      <c r="J31" s="346">
        <v>10</v>
      </c>
      <c r="K31" s="348">
        <f t="shared" si="6"/>
        <v>9.1232876712328768</v>
      </c>
      <c r="L31" s="346">
        <f t="shared" si="2"/>
        <v>0.87671232876712324</v>
      </c>
      <c r="M31" s="349">
        <f t="shared" si="3"/>
        <v>0.14171819185584211</v>
      </c>
      <c r="N31" s="346">
        <f t="shared" si="4"/>
        <v>457</v>
      </c>
      <c r="O31" s="365" t="s">
        <v>577</v>
      </c>
      <c r="P31" s="202"/>
    </row>
    <row r="32" spans="1:16" s="76" customFormat="1" x14ac:dyDescent="0.2">
      <c r="A32" s="77"/>
      <c r="B32" s="129" t="s">
        <v>286</v>
      </c>
      <c r="C32" s="200">
        <v>46442</v>
      </c>
      <c r="D32" s="126">
        <v>43153</v>
      </c>
      <c r="E32" s="201">
        <v>23819</v>
      </c>
      <c r="F32" s="201"/>
      <c r="G32" s="37">
        <f t="shared" si="0"/>
        <v>18872</v>
      </c>
      <c r="H32" s="52">
        <f t="shared" si="5"/>
        <v>2322</v>
      </c>
      <c r="I32" s="37">
        <f t="shared" si="1"/>
        <v>21497</v>
      </c>
      <c r="J32" s="37">
        <v>10</v>
      </c>
      <c r="K32" s="83">
        <f t="shared" si="6"/>
        <v>3.1041095890410957</v>
      </c>
      <c r="L32" s="37">
        <f t="shared" si="2"/>
        <v>6.8958904109589039</v>
      </c>
      <c r="M32" s="84">
        <f t="shared" si="3"/>
        <v>0.20769231371246843</v>
      </c>
      <c r="N32" s="37">
        <f t="shared" si="4"/>
        <v>4947</v>
      </c>
      <c r="O32" s="170"/>
      <c r="P32" s="202"/>
    </row>
    <row r="33" spans="1:16" s="76" customFormat="1" x14ac:dyDescent="0.2">
      <c r="A33" s="77"/>
      <c r="B33" s="124" t="s">
        <v>291</v>
      </c>
      <c r="C33" s="200">
        <v>22819</v>
      </c>
      <c r="D33" s="126">
        <v>43426</v>
      </c>
      <c r="E33" s="200">
        <v>12525</v>
      </c>
      <c r="F33" s="200"/>
      <c r="G33" s="37">
        <f t="shared" si="0"/>
        <v>9857</v>
      </c>
      <c r="H33" s="52">
        <f t="shared" si="5"/>
        <v>1141</v>
      </c>
      <c r="I33" s="37">
        <f t="shared" si="1"/>
        <v>11384</v>
      </c>
      <c r="J33" s="37">
        <v>10</v>
      </c>
      <c r="K33" s="83">
        <f>($K$5-D33)/365</f>
        <v>2.3561643835616439</v>
      </c>
      <c r="L33" s="37">
        <f t="shared" si="2"/>
        <v>7.6438356164383556</v>
      </c>
      <c r="M33" s="84">
        <f t="shared" si="3"/>
        <v>0.2130433837880944</v>
      </c>
      <c r="N33" s="37">
        <f t="shared" si="4"/>
        <v>2668</v>
      </c>
      <c r="O33" s="170"/>
      <c r="P33" s="202"/>
    </row>
    <row r="34" spans="1:16" s="76" customFormat="1" x14ac:dyDescent="0.2">
      <c r="A34" s="77"/>
      <c r="B34" s="124" t="s">
        <v>292</v>
      </c>
      <c r="C34" s="200">
        <v>29134.3</v>
      </c>
      <c r="D34" s="126">
        <v>43610</v>
      </c>
      <c r="E34" s="200">
        <v>16490.3</v>
      </c>
      <c r="F34" s="200"/>
      <c r="G34" s="37">
        <f t="shared" si="0"/>
        <v>12937.3</v>
      </c>
      <c r="H34" s="52">
        <f t="shared" si="5"/>
        <v>1457</v>
      </c>
      <c r="I34" s="37">
        <f>(E34+F34)-H34</f>
        <v>15033.3</v>
      </c>
      <c r="J34" s="37">
        <v>10</v>
      </c>
      <c r="K34" s="83">
        <f>($K$5-D34)/365</f>
        <v>1.8520547945205479</v>
      </c>
      <c r="L34" s="37">
        <f t="shared" si="2"/>
        <v>8.1479452054794521</v>
      </c>
      <c r="M34" s="84">
        <f t="shared" si="3"/>
        <v>0.21544553293740121</v>
      </c>
      <c r="N34" s="37">
        <f t="shared" si="4"/>
        <v>3553</v>
      </c>
      <c r="O34" s="170"/>
      <c r="P34" s="202"/>
    </row>
    <row r="35" spans="1:16" s="76" customFormat="1" x14ac:dyDescent="0.2">
      <c r="A35" s="77"/>
      <c r="B35" s="124" t="s">
        <v>542</v>
      </c>
      <c r="C35" s="200">
        <v>21718.75</v>
      </c>
      <c r="D35" s="126">
        <v>44100</v>
      </c>
      <c r="E35" s="200">
        <v>18838.75</v>
      </c>
      <c r="F35" s="200"/>
      <c r="G35" s="37">
        <f t="shared" si="0"/>
        <v>14161.75</v>
      </c>
      <c r="H35" s="52">
        <f t="shared" si="5"/>
        <v>1086</v>
      </c>
      <c r="I35" s="37">
        <f>(E35+F35)-H35</f>
        <v>17752.75</v>
      </c>
      <c r="J35" s="37">
        <v>10</v>
      </c>
      <c r="K35" s="83">
        <f t="shared" ref="K35:K36" si="7">($K$5-D35)/365</f>
        <v>0.50958904109589043</v>
      </c>
      <c r="L35" s="37">
        <f t="shared" si="2"/>
        <v>9.4904109589041088</v>
      </c>
      <c r="M35" s="84">
        <f t="shared" si="3"/>
        <v>0.24824249194245196</v>
      </c>
      <c r="N35" s="37">
        <f t="shared" si="4"/>
        <v>4677</v>
      </c>
      <c r="O35" s="170"/>
      <c r="P35" s="202"/>
    </row>
    <row r="36" spans="1:16" s="76" customFormat="1" x14ac:dyDescent="0.2">
      <c r="A36" s="77"/>
      <c r="B36" s="124" t="s">
        <v>542</v>
      </c>
      <c r="C36" s="333">
        <v>0</v>
      </c>
      <c r="D36" s="126">
        <v>44407</v>
      </c>
      <c r="E36" s="200">
        <v>0</v>
      </c>
      <c r="F36" s="298">
        <v>25390.63</v>
      </c>
      <c r="G36" s="37">
        <f t="shared" si="0"/>
        <v>18818.63</v>
      </c>
      <c r="H36" s="52">
        <f>ROUND((F36)*5%,0)</f>
        <v>1270</v>
      </c>
      <c r="I36" s="37">
        <f>(E36+F36)-H36</f>
        <v>24120.63</v>
      </c>
      <c r="J36" s="37">
        <v>10</v>
      </c>
      <c r="K36" s="83">
        <f t="shared" si="7"/>
        <v>-0.33150684931506852</v>
      </c>
      <c r="L36" s="37">
        <f t="shared" si="2"/>
        <v>10.331506849315069</v>
      </c>
      <c r="M36" s="84">
        <f t="shared" si="3"/>
        <v>0.25883820506969346</v>
      </c>
      <c r="N36" s="37">
        <f t="shared" si="4"/>
        <v>6572</v>
      </c>
      <c r="O36" s="170"/>
      <c r="P36" s="202"/>
    </row>
    <row r="37" spans="1:16" s="169" customFormat="1" x14ac:dyDescent="0.2">
      <c r="A37" s="77"/>
      <c r="B37" s="75"/>
      <c r="C37" s="160">
        <f>SUM(C7:C36)</f>
        <v>1736906.05</v>
      </c>
      <c r="D37" s="160"/>
      <c r="E37" s="160">
        <f>SUM(E7:E36)</f>
        <v>182212.05</v>
      </c>
      <c r="F37" s="160">
        <f>SUM(F7:F36)</f>
        <v>25390.63</v>
      </c>
      <c r="G37" s="160">
        <f>SUM(G7:G36)</f>
        <v>184728.68</v>
      </c>
      <c r="H37" s="160">
        <f t="shared" ref="H37:I37" si="8">SUM(H7:H35)</f>
        <v>86846</v>
      </c>
      <c r="I37" s="160">
        <f t="shared" si="8"/>
        <v>95366.25</v>
      </c>
      <c r="J37" s="160"/>
      <c r="K37" s="160"/>
      <c r="L37" s="160"/>
      <c r="M37" s="160"/>
      <c r="N37" s="160">
        <f t="shared" ref="N37" si="9">SUM(N7:N35)</f>
        <v>16302</v>
      </c>
      <c r="O37" s="176"/>
      <c r="P37" s="176"/>
    </row>
    <row r="38" spans="1:16" s="203" customFormat="1" x14ac:dyDescent="0.2"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170"/>
      <c r="O38" s="170"/>
      <c r="P38" s="76"/>
    </row>
  </sheetData>
  <autoFilter ref="A6:O38"/>
  <mergeCells count="3">
    <mergeCell ref="A1:B1"/>
    <mergeCell ref="A2:B2"/>
    <mergeCell ref="A3:B3"/>
  </mergeCells>
  <printOptions horizontalCentered="1" gridLines="1"/>
  <pageMargins left="0.15748031496062992" right="0.23622047244094491" top="0.55118110236220474" bottom="0.51181102362204722" header="0.27559055118110237" footer="0.51181102362204722"/>
  <pageSetup scale="66" orientation="landscape" horizontalDpi="4294967292" verticalDpi="300" r:id="rId1"/>
  <headerFooter alignWithMargins="0">
    <oddHeader>&amp;LElectrical Installation&amp;CCentury Aluminium Mfg Co Ltd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15"/>
  <sheetViews>
    <sheetView view="pageBreakPreview" topLeftCell="B1" zoomScaleNormal="100" zoomScaleSheetLayoutView="100" workbookViewId="0">
      <pane xSplit="1" ySplit="4" topLeftCell="C5" activePane="bottomRight" state="frozen"/>
      <selection activeCell="I1" sqref="I1"/>
      <selection pane="topRight" activeCell="I1" sqref="I1"/>
      <selection pane="bottomLeft" activeCell="I1" sqref="I1"/>
      <selection pane="bottomRight" activeCell="H27" sqref="H27"/>
    </sheetView>
  </sheetViews>
  <sheetFormatPr defaultRowHeight="12.75" x14ac:dyDescent="0.2"/>
  <cols>
    <col min="1" max="1" width="9.140625" style="71"/>
    <col min="2" max="2" width="39.85546875" style="71" customWidth="1"/>
    <col min="3" max="3" width="12" style="62" customWidth="1"/>
    <col min="4" max="4" width="9.85546875" style="62" customWidth="1"/>
    <col min="5" max="5" width="10.85546875" style="62" customWidth="1"/>
    <col min="6" max="8" width="10.5703125" style="62" customWidth="1"/>
    <col min="9" max="9" width="9.85546875" style="62" customWidth="1"/>
    <col min="10" max="10" width="12" style="62" customWidth="1"/>
    <col min="11" max="11" width="8.85546875" style="246" customWidth="1"/>
    <col min="12" max="12" width="8.5703125" style="62" customWidth="1"/>
    <col min="13" max="14" width="12" style="62" customWidth="1"/>
    <col min="15" max="15" width="12" style="170" customWidth="1"/>
    <col min="16" max="16384" width="9.140625" style="71"/>
  </cols>
  <sheetData>
    <row r="1" spans="1:16" s="210" customFormat="1" x14ac:dyDescent="0.2">
      <c r="A1" s="205"/>
      <c r="B1" s="206"/>
      <c r="C1" s="207"/>
      <c r="D1" s="207"/>
      <c r="E1" s="207"/>
      <c r="F1" s="207"/>
      <c r="G1" s="207"/>
      <c r="H1" s="207"/>
      <c r="I1" s="207"/>
      <c r="J1" s="208">
        <v>44286</v>
      </c>
      <c r="K1" s="209"/>
      <c r="L1" s="207"/>
      <c r="M1" s="207"/>
      <c r="N1" s="207"/>
      <c r="O1" s="156"/>
      <c r="P1" s="68"/>
    </row>
    <row r="2" spans="1:16" s="217" customFormat="1" x14ac:dyDescent="0.2">
      <c r="A2" s="211"/>
      <c r="B2" s="212"/>
      <c r="C2" s="213"/>
      <c r="D2" s="214"/>
      <c r="E2" s="214"/>
      <c r="F2" s="214"/>
      <c r="G2" s="214"/>
      <c r="H2" s="214"/>
      <c r="I2" s="214"/>
      <c r="J2" s="214"/>
      <c r="K2" s="215"/>
      <c r="L2" s="214"/>
      <c r="M2" s="214"/>
      <c r="N2" s="214"/>
      <c r="O2" s="216"/>
      <c r="P2" s="71"/>
    </row>
    <row r="3" spans="1:16" s="217" customFormat="1" ht="51" x14ac:dyDescent="0.2">
      <c r="A3" s="218" t="s">
        <v>34</v>
      </c>
      <c r="B3" s="219" t="s">
        <v>293</v>
      </c>
      <c r="C3" s="106" t="s">
        <v>36</v>
      </c>
      <c r="D3" s="107" t="s">
        <v>37</v>
      </c>
      <c r="E3" s="106" t="s">
        <v>541</v>
      </c>
      <c r="F3" s="107" t="s">
        <v>38</v>
      </c>
      <c r="G3" s="106" t="s">
        <v>570</v>
      </c>
      <c r="H3" s="106" t="s">
        <v>39</v>
      </c>
      <c r="I3" s="106" t="s">
        <v>40</v>
      </c>
      <c r="J3" s="108" t="s">
        <v>41</v>
      </c>
      <c r="K3" s="108" t="s">
        <v>42</v>
      </c>
      <c r="L3" s="108" t="s">
        <v>43</v>
      </c>
      <c r="M3" s="109" t="s">
        <v>44</v>
      </c>
      <c r="N3" s="220" t="s">
        <v>45</v>
      </c>
      <c r="O3" s="221"/>
      <c r="P3" s="71"/>
    </row>
    <row r="4" spans="1:16" s="217" customFormat="1" x14ac:dyDescent="0.2">
      <c r="A4" s="222"/>
      <c r="B4" s="223"/>
      <c r="C4" s="224"/>
      <c r="D4" s="225"/>
      <c r="E4" s="224"/>
      <c r="F4" s="225"/>
      <c r="G4" s="226"/>
      <c r="H4" s="226"/>
      <c r="I4" s="225"/>
      <c r="J4" s="225"/>
      <c r="K4" s="225"/>
      <c r="L4" s="225"/>
      <c r="M4" s="225"/>
      <c r="N4" s="225"/>
      <c r="O4" s="221"/>
      <c r="P4" s="71"/>
    </row>
    <row r="5" spans="1:16" s="217" customFormat="1" hidden="1" x14ac:dyDescent="0.2">
      <c r="A5" s="222"/>
      <c r="B5" s="227"/>
      <c r="C5" s="228"/>
      <c r="D5" s="229"/>
      <c r="E5" s="230"/>
      <c r="F5" s="229"/>
      <c r="G5" s="231"/>
      <c r="H5" s="231"/>
      <c r="I5" s="229"/>
      <c r="J5" s="229"/>
      <c r="K5" s="229"/>
      <c r="L5" s="229"/>
      <c r="M5" s="229"/>
      <c r="N5" s="229"/>
      <c r="O5" s="232"/>
      <c r="P5" s="71"/>
    </row>
    <row r="6" spans="1:16" s="217" customFormat="1" hidden="1" x14ac:dyDescent="0.2">
      <c r="A6" s="233" t="s">
        <v>294</v>
      </c>
      <c r="B6" s="234" t="s">
        <v>295</v>
      </c>
      <c r="C6" s="37"/>
      <c r="D6" s="37"/>
      <c r="E6" s="37"/>
      <c r="F6" s="37"/>
      <c r="G6" s="199"/>
      <c r="H6" s="199"/>
      <c r="I6" s="37"/>
      <c r="J6" s="37"/>
      <c r="K6" s="37"/>
      <c r="L6" s="37"/>
      <c r="M6" s="37"/>
      <c r="N6" s="37"/>
      <c r="O6" s="170"/>
      <c r="P6" s="71"/>
    </row>
    <row r="7" spans="1:16" s="217" customFormat="1" hidden="1" x14ac:dyDescent="0.2">
      <c r="A7" s="233" t="s">
        <v>12</v>
      </c>
      <c r="B7" s="234" t="s">
        <v>296</v>
      </c>
      <c r="C7" s="235"/>
      <c r="E7" s="235"/>
      <c r="F7" s="37"/>
      <c r="G7" s="199"/>
      <c r="H7" s="199"/>
      <c r="I7" s="37"/>
      <c r="J7" s="37"/>
      <c r="K7" s="236"/>
      <c r="L7" s="237"/>
      <c r="M7" s="37"/>
      <c r="N7" s="37"/>
      <c r="O7" s="170"/>
      <c r="P7" s="71"/>
    </row>
    <row r="8" spans="1:16" s="217" customFormat="1" hidden="1" x14ac:dyDescent="0.2">
      <c r="A8" s="238"/>
      <c r="B8" s="181" t="s">
        <v>297</v>
      </c>
      <c r="C8" s="145">
        <v>644324</v>
      </c>
      <c r="D8" s="131">
        <v>39217</v>
      </c>
      <c r="E8" s="82">
        <v>32216</v>
      </c>
      <c r="F8" s="37">
        <f>C8*5%</f>
        <v>32216.2</v>
      </c>
      <c r="G8" s="199"/>
      <c r="H8" s="199"/>
      <c r="I8" s="37" t="e">
        <f>+F8-#REF!</f>
        <v>#REF!</v>
      </c>
      <c r="J8" s="37">
        <v>8</v>
      </c>
      <c r="K8" s="236">
        <f>ROUND(($J$1-D8)/365,0)</f>
        <v>14</v>
      </c>
      <c r="L8" s="237">
        <f>J8-K8</f>
        <v>-6</v>
      </c>
      <c r="M8" s="37"/>
      <c r="N8" s="37" t="e">
        <f>ROUND(I8/L8,0)</f>
        <v>#REF!</v>
      </c>
      <c r="O8" s="170"/>
      <c r="P8" s="71"/>
    </row>
    <row r="9" spans="1:16" s="217" customFormat="1" hidden="1" x14ac:dyDescent="0.2">
      <c r="A9" s="238"/>
      <c r="B9" s="181" t="s">
        <v>298</v>
      </c>
      <c r="C9" s="145">
        <v>220009</v>
      </c>
      <c r="D9" s="131">
        <v>40442</v>
      </c>
      <c r="E9" s="82">
        <v>78656</v>
      </c>
      <c r="F9" s="37">
        <f>C9*5%</f>
        <v>11000.45</v>
      </c>
      <c r="G9" s="199" t="e">
        <f>(+E8+E9)-(#REF!+#REF!)-N9</f>
        <v>#REF!</v>
      </c>
      <c r="H9" s="199"/>
      <c r="I9" s="37">
        <v>0</v>
      </c>
      <c r="J9" s="37">
        <v>8</v>
      </c>
      <c r="K9" s="236">
        <f>ROUND(($J$1-D9)/365,0)</f>
        <v>11</v>
      </c>
      <c r="L9" s="237">
        <f>J9-K9</f>
        <v>-3</v>
      </c>
      <c r="M9" s="37"/>
      <c r="N9" s="37"/>
      <c r="O9" s="170"/>
      <c r="P9" s="71"/>
    </row>
    <row r="10" spans="1:16" s="217" customFormat="1" hidden="1" x14ac:dyDescent="0.2">
      <c r="A10" s="238"/>
      <c r="B10" s="239" t="s">
        <v>299</v>
      </c>
      <c r="C10" s="240"/>
      <c r="D10" s="240"/>
      <c r="E10" s="240"/>
      <c r="F10" s="37"/>
      <c r="G10" s="199"/>
      <c r="H10" s="199"/>
      <c r="I10" s="37"/>
      <c r="J10" s="37"/>
      <c r="K10" s="236"/>
      <c r="L10" s="237"/>
      <c r="M10" s="37"/>
      <c r="N10" s="37"/>
      <c r="O10" s="170"/>
      <c r="P10" s="71"/>
    </row>
    <row r="11" spans="1:16" s="217" customFormat="1" hidden="1" x14ac:dyDescent="0.2">
      <c r="A11" s="238"/>
      <c r="B11" s="181" t="s">
        <v>300</v>
      </c>
      <c r="C11" s="82">
        <v>0</v>
      </c>
      <c r="D11" s="131">
        <f>DATE(96,3,4)</f>
        <v>35128</v>
      </c>
      <c r="E11" s="82">
        <v>0</v>
      </c>
      <c r="F11" s="37">
        <f>C11*5%</f>
        <v>0</v>
      </c>
      <c r="G11" s="199"/>
      <c r="H11" s="199"/>
      <c r="I11" s="37">
        <f>C11-F11</f>
        <v>0</v>
      </c>
      <c r="J11" s="37">
        <v>10</v>
      </c>
      <c r="K11" s="236">
        <f>ROUND(($J$1-D11)/365,0)</f>
        <v>25</v>
      </c>
      <c r="L11" s="237">
        <f>J11-K11</f>
        <v>-15</v>
      </c>
      <c r="M11" s="37"/>
      <c r="N11" s="37">
        <f t="shared" ref="N11:N13" si="0">ROUND(I11/L11,0)</f>
        <v>0</v>
      </c>
      <c r="O11" s="170"/>
      <c r="P11" s="71"/>
    </row>
    <row r="12" spans="1:16" s="217" customFormat="1" hidden="1" x14ac:dyDescent="0.2">
      <c r="A12" s="238"/>
      <c r="B12" s="181" t="s">
        <v>301</v>
      </c>
      <c r="C12" s="82"/>
      <c r="D12" s="131">
        <v>38986</v>
      </c>
      <c r="E12" s="82">
        <v>0</v>
      </c>
      <c r="F12" s="37">
        <v>0</v>
      </c>
      <c r="G12" s="199"/>
      <c r="H12" s="199"/>
      <c r="I12" s="37">
        <f t="shared" ref="I12:I13" si="1">E12-F12</f>
        <v>0</v>
      </c>
      <c r="J12" s="37">
        <v>10</v>
      </c>
      <c r="K12" s="236">
        <f>ROUND(($J$1-D12)/365,0)</f>
        <v>15</v>
      </c>
      <c r="L12" s="237">
        <f>J12-K12</f>
        <v>-5</v>
      </c>
      <c r="M12" s="37"/>
      <c r="N12" s="37">
        <f t="shared" si="0"/>
        <v>0</v>
      </c>
      <c r="O12" s="170"/>
      <c r="P12" s="71"/>
    </row>
    <row r="13" spans="1:16" s="217" customFormat="1" hidden="1" x14ac:dyDescent="0.2">
      <c r="A13" s="218"/>
      <c r="B13" s="241" t="s">
        <v>302</v>
      </c>
      <c r="C13" s="82"/>
      <c r="D13" s="131">
        <v>39486</v>
      </c>
      <c r="E13" s="82">
        <v>0</v>
      </c>
      <c r="F13" s="37">
        <v>0</v>
      </c>
      <c r="G13" s="199"/>
      <c r="H13" s="199"/>
      <c r="I13" s="37">
        <f t="shared" si="1"/>
        <v>0</v>
      </c>
      <c r="J13" s="37">
        <v>10</v>
      </c>
      <c r="K13" s="236">
        <f>ROUND(($J$1-D13)/365,0)</f>
        <v>13</v>
      </c>
      <c r="L13" s="237">
        <f>J13-K13</f>
        <v>-3</v>
      </c>
      <c r="M13" s="37"/>
      <c r="N13" s="37">
        <f t="shared" si="0"/>
        <v>0</v>
      </c>
      <c r="O13" s="170"/>
      <c r="P13" s="71"/>
    </row>
    <row r="14" spans="1:16" s="217" customFormat="1" x14ac:dyDescent="0.2">
      <c r="A14" s="71"/>
      <c r="B14" s="241" t="s">
        <v>303</v>
      </c>
      <c r="C14" s="82">
        <v>47030</v>
      </c>
      <c r="D14" s="131">
        <v>40672</v>
      </c>
      <c r="E14" s="199">
        <v>4691</v>
      </c>
      <c r="F14" s="242"/>
      <c r="G14" s="37">
        <f>E14+F14-N14</f>
        <v>4378</v>
      </c>
      <c r="H14" s="52">
        <f>(C14+F14)*5%</f>
        <v>2351.5</v>
      </c>
      <c r="I14" s="37">
        <f t="shared" ref="I14" si="2">E14-H14</f>
        <v>2339.5</v>
      </c>
      <c r="J14" s="37">
        <v>10</v>
      </c>
      <c r="K14" s="83">
        <f>($J$1-D14)/365</f>
        <v>9.9013698630136986</v>
      </c>
      <c r="L14" s="37">
        <f t="shared" ref="L14" si="3">J14-K14</f>
        <v>9.8630136986301409E-2</v>
      </c>
      <c r="M14" s="84">
        <f>IF(L14&gt;0,(1-(H14/(E14+F14))^(1/J14)),0)</f>
        <v>6.6728604538306868E-2</v>
      </c>
      <c r="N14" s="37">
        <f>ROUND((E14+F14)*M14,0)</f>
        <v>313</v>
      </c>
      <c r="O14" s="170"/>
      <c r="P14" s="71"/>
    </row>
    <row r="15" spans="1:16" x14ac:dyDescent="0.2">
      <c r="A15" s="243"/>
      <c r="B15" s="244"/>
      <c r="C15" s="245">
        <v>47030</v>
      </c>
      <c r="D15" s="245"/>
      <c r="E15" s="245">
        <f>SUM(E11:E14)</f>
        <v>4691</v>
      </c>
      <c r="F15" s="245">
        <v>0</v>
      </c>
      <c r="G15" s="245">
        <f>G14</f>
        <v>4378</v>
      </c>
      <c r="H15" s="245">
        <f>H14</f>
        <v>2351.5</v>
      </c>
      <c r="I15" s="245">
        <f>I14</f>
        <v>2339.5</v>
      </c>
      <c r="J15" s="245"/>
      <c r="K15" s="245"/>
      <c r="L15" s="245"/>
      <c r="M15" s="245"/>
      <c r="N15" s="245">
        <f>N14</f>
        <v>313</v>
      </c>
      <c r="O15" s="176"/>
    </row>
  </sheetData>
  <autoFilter ref="A3:O14"/>
  <printOptions horizontalCentered="1" gridLines="1"/>
  <pageMargins left="0.23622047244094491" right="0.23622047244094491" top="0.74803149606299213" bottom="0.51181102362204722" header="0.23622047244094491" footer="0.23622047244094491"/>
  <pageSetup paperSize="9" scale="82" orientation="landscape" horizontalDpi="180" verticalDpi="180" r:id="rId1"/>
  <headerFooter alignWithMargins="0">
    <oddHeader>&amp;LDepreciation on Vechile&amp;CCentury Aluminium Mfg Co Ltd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125"/>
  <sheetViews>
    <sheetView view="pageBreakPreview" zoomScale="85" zoomScaleNormal="100" zoomScaleSheetLayoutView="85" workbookViewId="0">
      <pane xSplit="4" ySplit="5" topLeftCell="E6" activePane="bottomRight" state="frozen"/>
      <selection activeCell="F15" sqref="F15"/>
      <selection pane="topRight" activeCell="F15" sqref="F15"/>
      <selection pane="bottomLeft" activeCell="F15" sqref="F15"/>
      <selection pane="bottomRight" activeCell="R104" sqref="R104"/>
    </sheetView>
  </sheetViews>
  <sheetFormatPr defaultRowHeight="12.75" x14ac:dyDescent="0.2"/>
  <cols>
    <col min="1" max="2" width="9.140625" style="71" hidden="1" customWidth="1"/>
    <col min="3" max="3" width="38.28515625" style="71" customWidth="1"/>
    <col min="4" max="5" width="12.42578125" style="62" customWidth="1"/>
    <col min="6" max="8" width="11.85546875" style="62" customWidth="1"/>
    <col min="9" max="9" width="10.85546875" style="62" customWidth="1"/>
    <col min="10" max="10" width="8.85546875" style="62" customWidth="1"/>
    <col min="11" max="11" width="12.28515625" style="62" customWidth="1"/>
    <col min="12" max="12" width="10.42578125" style="62" customWidth="1"/>
    <col min="13" max="13" width="8.85546875" style="62" customWidth="1"/>
    <col min="14" max="14" width="12.85546875" style="248" customWidth="1"/>
    <col min="15" max="15" width="12.85546875" style="62" customWidth="1"/>
    <col min="16" max="16" width="9.28515625" style="71" bestFit="1" customWidth="1"/>
    <col min="17" max="16384" width="9.140625" style="71"/>
  </cols>
  <sheetData>
    <row r="1" spans="2:16" x14ac:dyDescent="0.2">
      <c r="C1" s="422" t="s">
        <v>54</v>
      </c>
      <c r="D1" s="422"/>
      <c r="E1" s="422"/>
      <c r="F1" s="422"/>
      <c r="G1" s="247"/>
      <c r="H1" s="247"/>
    </row>
    <row r="2" spans="2:16" x14ac:dyDescent="0.2">
      <c r="C2" s="249" t="s">
        <v>55</v>
      </c>
      <c r="D2" s="249"/>
      <c r="E2" s="249"/>
      <c r="F2" s="250"/>
      <c r="G2" s="250"/>
      <c r="H2" s="250"/>
    </row>
    <row r="3" spans="2:16" s="217" customFormat="1" x14ac:dyDescent="0.2">
      <c r="B3" s="211"/>
      <c r="C3" s="249" t="s">
        <v>56</v>
      </c>
      <c r="D3" s="249"/>
      <c r="E3" s="249"/>
      <c r="F3" s="250"/>
      <c r="G3" s="250"/>
      <c r="H3" s="250"/>
      <c r="I3" s="251"/>
      <c r="J3" s="251"/>
      <c r="K3" s="157">
        <v>44286</v>
      </c>
      <c r="L3" s="251"/>
      <c r="M3" s="251"/>
      <c r="N3" s="252"/>
      <c r="O3" s="251"/>
    </row>
    <row r="4" spans="2:16" s="217" customFormat="1" ht="38.25" x14ac:dyDescent="0.2">
      <c r="B4" s="253" t="s">
        <v>34</v>
      </c>
      <c r="C4" s="88" t="s">
        <v>35</v>
      </c>
      <c r="D4" s="106" t="s">
        <v>36</v>
      </c>
      <c r="E4" s="107" t="s">
        <v>37</v>
      </c>
      <c r="F4" s="106" t="s">
        <v>541</v>
      </c>
      <c r="G4" s="107" t="s">
        <v>38</v>
      </c>
      <c r="H4" s="106" t="s">
        <v>570</v>
      </c>
      <c r="I4" s="106" t="s">
        <v>39</v>
      </c>
      <c r="J4" s="106" t="s">
        <v>40</v>
      </c>
      <c r="K4" s="108" t="s">
        <v>41</v>
      </c>
      <c r="L4" s="108" t="s">
        <v>42</v>
      </c>
      <c r="M4" s="108" t="s">
        <v>43</v>
      </c>
      <c r="N4" s="109" t="s">
        <v>44</v>
      </c>
      <c r="O4" s="220" t="s">
        <v>45</v>
      </c>
      <c r="P4" s="217" t="s">
        <v>578</v>
      </c>
    </row>
    <row r="5" spans="2:16" s="217" customFormat="1" x14ac:dyDescent="0.2">
      <c r="B5" s="254"/>
      <c r="C5" s="223"/>
      <c r="D5" s="224"/>
      <c r="E5" s="224"/>
      <c r="F5" s="224"/>
      <c r="G5" s="224"/>
      <c r="H5" s="224"/>
      <c r="I5" s="224"/>
      <c r="J5" s="224"/>
      <c r="K5" s="255"/>
      <c r="L5" s="255"/>
      <c r="M5" s="255"/>
      <c r="N5" s="256"/>
      <c r="O5" s="257"/>
    </row>
    <row r="6" spans="2:16" s="217" customFormat="1" x14ac:dyDescent="0.2">
      <c r="B6" s="258" t="s">
        <v>46</v>
      </c>
      <c r="C6" s="259" t="s">
        <v>304</v>
      </c>
      <c r="D6" s="235"/>
      <c r="E6" s="235"/>
      <c r="F6" s="235"/>
      <c r="G6" s="235"/>
      <c r="H6" s="235"/>
      <c r="I6" s="235"/>
      <c r="J6" s="235"/>
      <c r="K6" s="37"/>
      <c r="L6" s="37"/>
      <c r="M6" s="37"/>
      <c r="N6" s="37"/>
      <c r="O6" s="37"/>
    </row>
    <row r="7" spans="2:16" s="217" customFormat="1" x14ac:dyDescent="0.2">
      <c r="B7" s="260"/>
      <c r="C7" s="79" t="s">
        <v>305</v>
      </c>
      <c r="D7" s="82">
        <v>1476</v>
      </c>
      <c r="E7" s="131">
        <f>DATE(78,9,7)</f>
        <v>28740</v>
      </c>
      <c r="F7" s="242">
        <v>74</v>
      </c>
      <c r="G7" s="242"/>
      <c r="H7" s="37">
        <f>F7+G7-O7</f>
        <v>74</v>
      </c>
      <c r="I7" s="52">
        <f>(D7+G7)*5%</f>
        <v>73.8</v>
      </c>
      <c r="J7" s="37">
        <f t="shared" ref="J7:J70" si="0">F7-I7</f>
        <v>0.20000000000000284</v>
      </c>
      <c r="K7" s="37">
        <v>10</v>
      </c>
      <c r="L7" s="83">
        <f>($K$3-E7)/365</f>
        <v>42.591780821917808</v>
      </c>
      <c r="M7" s="37">
        <f t="shared" ref="M7:M70" si="1">K7-L7</f>
        <v>-32.591780821917808</v>
      </c>
      <c r="N7" s="84">
        <f>IF(M7&gt;0,(1-(I7/(F7+G7))^(1/K7)),0)</f>
        <v>0</v>
      </c>
      <c r="O7" s="37">
        <f>ROUND((F7+G7)*N7,0)</f>
        <v>0</v>
      </c>
    </row>
    <row r="8" spans="2:16" s="217" customFormat="1" x14ac:dyDescent="0.2">
      <c r="B8" s="260"/>
      <c r="C8" s="79" t="s">
        <v>306</v>
      </c>
      <c r="D8" s="82">
        <v>850</v>
      </c>
      <c r="E8" s="131">
        <f>DATE(78,8,5)</f>
        <v>28707</v>
      </c>
      <c r="F8" s="242">
        <v>42</v>
      </c>
      <c r="G8" s="242"/>
      <c r="H8" s="37">
        <f t="shared" ref="H8:H71" si="2">F8+G8-O8</f>
        <v>42</v>
      </c>
      <c r="I8" s="52">
        <v>42</v>
      </c>
      <c r="J8" s="37">
        <f t="shared" si="0"/>
        <v>0</v>
      </c>
      <c r="K8" s="37">
        <v>10</v>
      </c>
      <c r="L8" s="83">
        <f t="shared" ref="L8:L71" si="3">($K$3-E8)/365</f>
        <v>42.682191780821917</v>
      </c>
      <c r="M8" s="37">
        <f t="shared" si="1"/>
        <v>-32.682191780821917</v>
      </c>
      <c r="N8" s="84">
        <f t="shared" ref="N8:N71" si="4">IF(M8&gt;0,(1-(I8/(F8+G8))^(1/K8)),0)</f>
        <v>0</v>
      </c>
      <c r="O8" s="37">
        <f t="shared" ref="O8:O71" si="5">ROUND((F8+G8)*N8,0)</f>
        <v>0</v>
      </c>
    </row>
    <row r="9" spans="2:16" s="217" customFormat="1" x14ac:dyDescent="0.2">
      <c r="B9" s="260"/>
      <c r="C9" s="79" t="s">
        <v>307</v>
      </c>
      <c r="D9" s="82">
        <v>1382</v>
      </c>
      <c r="E9" s="131">
        <f>DATE(78,8,22)</f>
        <v>28724</v>
      </c>
      <c r="F9" s="242">
        <v>69</v>
      </c>
      <c r="G9" s="242"/>
      <c r="H9" s="37">
        <f t="shared" si="2"/>
        <v>69</v>
      </c>
      <c r="I9" s="52">
        <f t="shared" ref="I9:I71" si="6">(D9+G9)*5%</f>
        <v>69.100000000000009</v>
      </c>
      <c r="J9" s="37">
        <f t="shared" si="0"/>
        <v>-0.10000000000000853</v>
      </c>
      <c r="K9" s="37">
        <v>10</v>
      </c>
      <c r="L9" s="83">
        <f t="shared" si="3"/>
        <v>42.635616438356166</v>
      </c>
      <c r="M9" s="37">
        <f t="shared" si="1"/>
        <v>-32.635616438356166</v>
      </c>
      <c r="N9" s="84">
        <f t="shared" si="4"/>
        <v>0</v>
      </c>
      <c r="O9" s="37">
        <f t="shared" si="5"/>
        <v>0</v>
      </c>
    </row>
    <row r="10" spans="2:16" s="217" customFormat="1" x14ac:dyDescent="0.2">
      <c r="B10" s="260"/>
      <c r="C10" s="79" t="s">
        <v>308</v>
      </c>
      <c r="D10" s="82">
        <v>1313</v>
      </c>
      <c r="E10" s="131">
        <f>DATE(78,8,5)</f>
        <v>28707</v>
      </c>
      <c r="F10" s="242">
        <v>66</v>
      </c>
      <c r="G10" s="242"/>
      <c r="H10" s="37">
        <f t="shared" si="2"/>
        <v>66</v>
      </c>
      <c r="I10" s="52">
        <f t="shared" si="6"/>
        <v>65.650000000000006</v>
      </c>
      <c r="J10" s="37">
        <f t="shared" si="0"/>
        <v>0.34999999999999432</v>
      </c>
      <c r="K10" s="37">
        <v>10</v>
      </c>
      <c r="L10" s="83">
        <f t="shared" si="3"/>
        <v>42.682191780821917</v>
      </c>
      <c r="M10" s="37">
        <f t="shared" si="1"/>
        <v>-32.682191780821917</v>
      </c>
      <c r="N10" s="84">
        <f t="shared" si="4"/>
        <v>0</v>
      </c>
      <c r="O10" s="37">
        <f t="shared" si="5"/>
        <v>0</v>
      </c>
    </row>
    <row r="11" spans="2:16" s="217" customFormat="1" x14ac:dyDescent="0.2">
      <c r="B11" s="260"/>
      <c r="C11" s="79" t="s">
        <v>309</v>
      </c>
      <c r="D11" s="82">
        <v>1231</v>
      </c>
      <c r="E11" s="131">
        <f>DATE(78,7,27)</f>
        <v>28698</v>
      </c>
      <c r="F11" s="242">
        <v>62</v>
      </c>
      <c r="G11" s="242"/>
      <c r="H11" s="37">
        <f t="shared" si="2"/>
        <v>62</v>
      </c>
      <c r="I11" s="52">
        <f t="shared" si="6"/>
        <v>61.550000000000004</v>
      </c>
      <c r="J11" s="37">
        <f t="shared" si="0"/>
        <v>0.44999999999999574</v>
      </c>
      <c r="K11" s="37">
        <v>10</v>
      </c>
      <c r="L11" s="83">
        <f t="shared" si="3"/>
        <v>42.706849315068496</v>
      </c>
      <c r="M11" s="37">
        <f t="shared" si="1"/>
        <v>-32.706849315068496</v>
      </c>
      <c r="N11" s="84">
        <f t="shared" si="4"/>
        <v>0</v>
      </c>
      <c r="O11" s="37">
        <f t="shared" si="5"/>
        <v>0</v>
      </c>
    </row>
    <row r="12" spans="2:16" s="217" customFormat="1" x14ac:dyDescent="0.2">
      <c r="B12" s="260"/>
      <c r="C12" s="79" t="s">
        <v>309</v>
      </c>
      <c r="D12" s="82">
        <v>445</v>
      </c>
      <c r="E12" s="131">
        <f>DATE(81,12,30)</f>
        <v>29950</v>
      </c>
      <c r="F12" s="242">
        <v>22</v>
      </c>
      <c r="G12" s="242"/>
      <c r="H12" s="37">
        <f t="shared" si="2"/>
        <v>22</v>
      </c>
      <c r="I12" s="52">
        <f t="shared" si="6"/>
        <v>22.25</v>
      </c>
      <c r="J12" s="37">
        <f t="shared" si="0"/>
        <v>-0.25</v>
      </c>
      <c r="K12" s="37">
        <v>10</v>
      </c>
      <c r="L12" s="83">
        <f t="shared" si="3"/>
        <v>39.276712328767125</v>
      </c>
      <c r="M12" s="37">
        <f t="shared" si="1"/>
        <v>-29.276712328767125</v>
      </c>
      <c r="N12" s="84">
        <f t="shared" si="4"/>
        <v>0</v>
      </c>
      <c r="O12" s="37">
        <f t="shared" si="5"/>
        <v>0</v>
      </c>
    </row>
    <row r="13" spans="2:16" s="261" customFormat="1" x14ac:dyDescent="0.2">
      <c r="B13" s="164"/>
      <c r="C13" s="79" t="s">
        <v>310</v>
      </c>
      <c r="D13" s="82">
        <v>4978</v>
      </c>
      <c r="E13" s="131">
        <f>DATE(83,6,8)</f>
        <v>30475</v>
      </c>
      <c r="F13" s="242">
        <v>249</v>
      </c>
      <c r="G13" s="242"/>
      <c r="H13" s="37">
        <f t="shared" si="2"/>
        <v>249</v>
      </c>
      <c r="I13" s="52">
        <f t="shared" si="6"/>
        <v>248.9</v>
      </c>
      <c r="J13" s="37">
        <f t="shared" si="0"/>
        <v>9.9999999999994316E-2</v>
      </c>
      <c r="K13" s="37">
        <v>10</v>
      </c>
      <c r="L13" s="83">
        <f t="shared" si="3"/>
        <v>37.838356164383562</v>
      </c>
      <c r="M13" s="37">
        <f t="shared" si="1"/>
        <v>-27.838356164383562</v>
      </c>
      <c r="N13" s="84">
        <f t="shared" si="4"/>
        <v>0</v>
      </c>
      <c r="O13" s="37">
        <f t="shared" si="5"/>
        <v>0</v>
      </c>
      <c r="P13" s="217"/>
    </row>
    <row r="14" spans="2:16" s="261" customFormat="1" x14ac:dyDescent="0.2">
      <c r="B14" s="262"/>
      <c r="C14" s="79" t="s">
        <v>311</v>
      </c>
      <c r="D14" s="82">
        <v>760</v>
      </c>
      <c r="E14" s="131">
        <f>DATE(85,5,10)</f>
        <v>31177</v>
      </c>
      <c r="F14" s="242">
        <v>35</v>
      </c>
      <c r="G14" s="242"/>
      <c r="H14" s="37">
        <f t="shared" si="2"/>
        <v>35</v>
      </c>
      <c r="I14" s="52">
        <v>35</v>
      </c>
      <c r="J14" s="37">
        <f t="shared" si="0"/>
        <v>0</v>
      </c>
      <c r="K14" s="37">
        <v>10</v>
      </c>
      <c r="L14" s="83">
        <f t="shared" si="3"/>
        <v>35.915068493150685</v>
      </c>
      <c r="M14" s="37">
        <f t="shared" si="1"/>
        <v>-25.915068493150685</v>
      </c>
      <c r="N14" s="84">
        <f t="shared" si="4"/>
        <v>0</v>
      </c>
      <c r="O14" s="37">
        <f t="shared" si="5"/>
        <v>0</v>
      </c>
      <c r="P14" s="217"/>
    </row>
    <row r="15" spans="2:16" s="217" customFormat="1" x14ac:dyDescent="0.2">
      <c r="B15" s="260"/>
      <c r="C15" s="79" t="s">
        <v>312</v>
      </c>
      <c r="D15" s="82">
        <v>750</v>
      </c>
      <c r="E15" s="131">
        <f>DATE(85,12,31)</f>
        <v>31412</v>
      </c>
      <c r="F15" s="242">
        <v>37</v>
      </c>
      <c r="G15" s="242"/>
      <c r="H15" s="37">
        <f t="shared" si="2"/>
        <v>37</v>
      </c>
      <c r="I15" s="52">
        <v>37</v>
      </c>
      <c r="J15" s="37">
        <f t="shared" si="0"/>
        <v>0</v>
      </c>
      <c r="K15" s="37">
        <v>10</v>
      </c>
      <c r="L15" s="83">
        <f t="shared" si="3"/>
        <v>35.271232876712325</v>
      </c>
      <c r="M15" s="37">
        <f t="shared" si="1"/>
        <v>-25.271232876712325</v>
      </c>
      <c r="N15" s="84">
        <f t="shared" si="4"/>
        <v>0</v>
      </c>
      <c r="O15" s="37">
        <f t="shared" si="5"/>
        <v>0</v>
      </c>
    </row>
    <row r="16" spans="2:16" s="217" customFormat="1" x14ac:dyDescent="0.2">
      <c r="B16" s="260"/>
      <c r="C16" s="353" t="s">
        <v>313</v>
      </c>
      <c r="D16" s="354">
        <v>5330</v>
      </c>
      <c r="E16" s="355">
        <f>DATE(85,12,20)</f>
        <v>31401</v>
      </c>
      <c r="F16" s="370">
        <v>231</v>
      </c>
      <c r="G16" s="370"/>
      <c r="H16" s="356">
        <f t="shared" si="2"/>
        <v>231</v>
      </c>
      <c r="I16" s="357">
        <v>231</v>
      </c>
      <c r="J16" s="356">
        <f t="shared" si="0"/>
        <v>0</v>
      </c>
      <c r="K16" s="356">
        <v>10</v>
      </c>
      <c r="L16" s="358">
        <f t="shared" si="3"/>
        <v>35.301369863013697</v>
      </c>
      <c r="M16" s="356">
        <f t="shared" si="1"/>
        <v>-25.301369863013697</v>
      </c>
      <c r="N16" s="359">
        <f t="shared" si="4"/>
        <v>0</v>
      </c>
      <c r="O16" s="356">
        <f t="shared" si="5"/>
        <v>0</v>
      </c>
      <c r="P16" s="217" t="s">
        <v>577</v>
      </c>
    </row>
    <row r="17" spans="2:16" s="217" customFormat="1" x14ac:dyDescent="0.2">
      <c r="B17" s="260"/>
      <c r="C17" s="79" t="s">
        <v>314</v>
      </c>
      <c r="D17" s="82">
        <v>2080</v>
      </c>
      <c r="E17" s="131">
        <f>DATE(86,7,22)</f>
        <v>31615</v>
      </c>
      <c r="F17" s="242">
        <v>58</v>
      </c>
      <c r="G17" s="242"/>
      <c r="H17" s="37">
        <f t="shared" si="2"/>
        <v>58</v>
      </c>
      <c r="I17" s="52">
        <v>58</v>
      </c>
      <c r="J17" s="37">
        <f t="shared" si="0"/>
        <v>0</v>
      </c>
      <c r="K17" s="37">
        <v>10</v>
      </c>
      <c r="L17" s="83">
        <f t="shared" si="3"/>
        <v>34.715068493150682</v>
      </c>
      <c r="M17" s="37">
        <f t="shared" si="1"/>
        <v>-24.715068493150682</v>
      </c>
      <c r="N17" s="84">
        <f t="shared" si="4"/>
        <v>0</v>
      </c>
      <c r="O17" s="37">
        <f t="shared" si="5"/>
        <v>0</v>
      </c>
    </row>
    <row r="18" spans="2:16" s="217" customFormat="1" x14ac:dyDescent="0.2">
      <c r="B18" s="260"/>
      <c r="C18" s="79" t="s">
        <v>315</v>
      </c>
      <c r="D18" s="82">
        <v>4156</v>
      </c>
      <c r="E18" s="131">
        <f>DATE(86,7,15)</f>
        <v>31608</v>
      </c>
      <c r="F18" s="242">
        <v>208</v>
      </c>
      <c r="G18" s="242"/>
      <c r="H18" s="37">
        <f t="shared" si="2"/>
        <v>208</v>
      </c>
      <c r="I18" s="52">
        <f t="shared" si="6"/>
        <v>207.8</v>
      </c>
      <c r="J18" s="37">
        <f t="shared" si="0"/>
        <v>0.19999999999998863</v>
      </c>
      <c r="K18" s="37">
        <v>10</v>
      </c>
      <c r="L18" s="83">
        <f t="shared" si="3"/>
        <v>34.734246575342468</v>
      </c>
      <c r="M18" s="37">
        <f t="shared" si="1"/>
        <v>-24.734246575342468</v>
      </c>
      <c r="N18" s="84">
        <f t="shared" si="4"/>
        <v>0</v>
      </c>
      <c r="O18" s="37">
        <f t="shared" si="5"/>
        <v>0</v>
      </c>
    </row>
    <row r="19" spans="2:16" s="217" customFormat="1" x14ac:dyDescent="0.2">
      <c r="B19" s="260"/>
      <c r="C19" s="79" t="s">
        <v>316</v>
      </c>
      <c r="D19" s="82">
        <v>8001</v>
      </c>
      <c r="E19" s="131">
        <f>DATE(88,11,11)</f>
        <v>32458</v>
      </c>
      <c r="F19" s="242">
        <v>286</v>
      </c>
      <c r="G19" s="242"/>
      <c r="H19" s="37">
        <f t="shared" si="2"/>
        <v>286</v>
      </c>
      <c r="I19" s="52">
        <v>286</v>
      </c>
      <c r="J19" s="37">
        <f t="shared" si="0"/>
        <v>0</v>
      </c>
      <c r="K19" s="37">
        <v>10</v>
      </c>
      <c r="L19" s="83">
        <f t="shared" si="3"/>
        <v>32.405479452054792</v>
      </c>
      <c r="M19" s="37">
        <f t="shared" si="1"/>
        <v>-22.405479452054792</v>
      </c>
      <c r="N19" s="84">
        <f t="shared" si="4"/>
        <v>0</v>
      </c>
      <c r="O19" s="37">
        <f t="shared" si="5"/>
        <v>0</v>
      </c>
    </row>
    <row r="20" spans="2:16" s="217" customFormat="1" x14ac:dyDescent="0.2">
      <c r="B20" s="260"/>
      <c r="C20" s="79" t="s">
        <v>316</v>
      </c>
      <c r="D20" s="82">
        <v>12986</v>
      </c>
      <c r="E20" s="131">
        <f>DATE(88,12,16)</f>
        <v>32493</v>
      </c>
      <c r="F20" s="242">
        <v>493</v>
      </c>
      <c r="G20" s="242"/>
      <c r="H20" s="37">
        <f t="shared" si="2"/>
        <v>493</v>
      </c>
      <c r="I20" s="52">
        <v>493</v>
      </c>
      <c r="J20" s="37">
        <f t="shared" si="0"/>
        <v>0</v>
      </c>
      <c r="K20" s="37">
        <v>10</v>
      </c>
      <c r="L20" s="83">
        <f t="shared" si="3"/>
        <v>32.30958904109589</v>
      </c>
      <c r="M20" s="37">
        <f t="shared" si="1"/>
        <v>-22.30958904109589</v>
      </c>
      <c r="N20" s="84">
        <f t="shared" si="4"/>
        <v>0</v>
      </c>
      <c r="O20" s="37">
        <f t="shared" si="5"/>
        <v>0</v>
      </c>
    </row>
    <row r="21" spans="2:16" s="217" customFormat="1" x14ac:dyDescent="0.2">
      <c r="B21" s="260"/>
      <c r="C21" s="79" t="s">
        <v>317</v>
      </c>
      <c r="D21" s="82">
        <v>26036</v>
      </c>
      <c r="E21" s="131">
        <f>DATE(88,12,20)</f>
        <v>32497</v>
      </c>
      <c r="F21" s="242">
        <v>1145</v>
      </c>
      <c r="G21" s="242"/>
      <c r="H21" s="37">
        <f t="shared" si="2"/>
        <v>1145</v>
      </c>
      <c r="I21" s="52">
        <f>+F21</f>
        <v>1145</v>
      </c>
      <c r="J21" s="37">
        <f t="shared" si="0"/>
        <v>0</v>
      </c>
      <c r="K21" s="37">
        <v>10</v>
      </c>
      <c r="L21" s="83">
        <f t="shared" si="3"/>
        <v>32.298630136986304</v>
      </c>
      <c r="M21" s="37">
        <f t="shared" si="1"/>
        <v>-22.298630136986304</v>
      </c>
      <c r="N21" s="84">
        <f t="shared" si="4"/>
        <v>0</v>
      </c>
      <c r="O21" s="37">
        <f t="shared" si="5"/>
        <v>0</v>
      </c>
    </row>
    <row r="22" spans="2:16" s="217" customFormat="1" x14ac:dyDescent="0.2">
      <c r="B22" s="260"/>
      <c r="C22" s="79" t="s">
        <v>316</v>
      </c>
      <c r="D22" s="82">
        <v>8060</v>
      </c>
      <c r="E22" s="131">
        <f>DATE(89,3,11)</f>
        <v>32578</v>
      </c>
      <c r="F22" s="242">
        <v>403</v>
      </c>
      <c r="G22" s="242"/>
      <c r="H22" s="37">
        <f t="shared" si="2"/>
        <v>403</v>
      </c>
      <c r="I22" s="52">
        <f t="shared" si="6"/>
        <v>403</v>
      </c>
      <c r="J22" s="37">
        <f t="shared" si="0"/>
        <v>0</v>
      </c>
      <c r="K22" s="37">
        <v>10</v>
      </c>
      <c r="L22" s="83">
        <f t="shared" si="3"/>
        <v>32.076712328767123</v>
      </c>
      <c r="M22" s="37">
        <f t="shared" si="1"/>
        <v>-22.076712328767123</v>
      </c>
      <c r="N22" s="84">
        <f t="shared" si="4"/>
        <v>0</v>
      </c>
      <c r="O22" s="37">
        <f t="shared" si="5"/>
        <v>0</v>
      </c>
    </row>
    <row r="23" spans="2:16" s="217" customFormat="1" x14ac:dyDescent="0.2">
      <c r="B23" s="260"/>
      <c r="C23" s="79" t="s">
        <v>318</v>
      </c>
      <c r="D23" s="82">
        <v>400993</v>
      </c>
      <c r="E23" s="131">
        <f>DATE(88,2,1)</f>
        <v>32174</v>
      </c>
      <c r="F23" s="242">
        <v>5634</v>
      </c>
      <c r="G23" s="242"/>
      <c r="H23" s="37">
        <f t="shared" si="2"/>
        <v>5634</v>
      </c>
      <c r="I23" s="52">
        <f>+F23</f>
        <v>5634</v>
      </c>
      <c r="J23" s="37">
        <f t="shared" si="0"/>
        <v>0</v>
      </c>
      <c r="K23" s="37">
        <v>10</v>
      </c>
      <c r="L23" s="83">
        <f t="shared" si="3"/>
        <v>33.183561643835617</v>
      </c>
      <c r="M23" s="37">
        <f t="shared" si="1"/>
        <v>-23.183561643835617</v>
      </c>
      <c r="N23" s="84">
        <f t="shared" si="4"/>
        <v>0</v>
      </c>
      <c r="O23" s="37">
        <f t="shared" si="5"/>
        <v>0</v>
      </c>
    </row>
    <row r="24" spans="2:16" s="217" customFormat="1" x14ac:dyDescent="0.2">
      <c r="B24" s="260"/>
      <c r="C24" s="79" t="s">
        <v>319</v>
      </c>
      <c r="D24" s="82">
        <v>7400</v>
      </c>
      <c r="E24" s="131">
        <f>DATE(89,12,26)</f>
        <v>32868</v>
      </c>
      <c r="F24" s="242">
        <v>370</v>
      </c>
      <c r="G24" s="242"/>
      <c r="H24" s="37">
        <f t="shared" si="2"/>
        <v>370</v>
      </c>
      <c r="I24" s="52">
        <f t="shared" si="6"/>
        <v>370</v>
      </c>
      <c r="J24" s="37">
        <f t="shared" si="0"/>
        <v>0</v>
      </c>
      <c r="K24" s="37">
        <v>10</v>
      </c>
      <c r="L24" s="83">
        <f t="shared" si="3"/>
        <v>31.282191780821918</v>
      </c>
      <c r="M24" s="37">
        <f t="shared" si="1"/>
        <v>-21.282191780821918</v>
      </c>
      <c r="N24" s="84">
        <f t="shared" si="4"/>
        <v>0</v>
      </c>
      <c r="O24" s="37">
        <f t="shared" si="5"/>
        <v>0</v>
      </c>
    </row>
    <row r="25" spans="2:16" s="217" customFormat="1" x14ac:dyDescent="0.2">
      <c r="B25" s="260"/>
      <c r="C25" s="79" t="s">
        <v>320</v>
      </c>
      <c r="D25" s="82">
        <v>86476</v>
      </c>
      <c r="E25" s="131">
        <f>DATE(89,12,26)</f>
        <v>32868</v>
      </c>
      <c r="F25" s="242">
        <v>1194</v>
      </c>
      <c r="G25" s="242"/>
      <c r="H25" s="37">
        <f t="shared" si="2"/>
        <v>1194</v>
      </c>
      <c r="I25" s="52">
        <f>+F25</f>
        <v>1194</v>
      </c>
      <c r="J25" s="37">
        <f t="shared" si="0"/>
        <v>0</v>
      </c>
      <c r="K25" s="37">
        <v>10</v>
      </c>
      <c r="L25" s="83">
        <f t="shared" si="3"/>
        <v>31.282191780821918</v>
      </c>
      <c r="M25" s="37">
        <f t="shared" si="1"/>
        <v>-21.282191780821918</v>
      </c>
      <c r="N25" s="84">
        <f t="shared" si="4"/>
        <v>0</v>
      </c>
      <c r="O25" s="37">
        <f t="shared" si="5"/>
        <v>0</v>
      </c>
    </row>
    <row r="26" spans="2:16" s="217" customFormat="1" x14ac:dyDescent="0.2">
      <c r="B26" s="260"/>
      <c r="C26" s="79" t="s">
        <v>309</v>
      </c>
      <c r="D26" s="82">
        <v>22896</v>
      </c>
      <c r="E26" s="131">
        <f>DATE(91,5,1)</f>
        <v>33359</v>
      </c>
      <c r="F26" s="242">
        <v>1145</v>
      </c>
      <c r="G26" s="242"/>
      <c r="H26" s="37">
        <f t="shared" si="2"/>
        <v>1145</v>
      </c>
      <c r="I26" s="52">
        <f t="shared" si="6"/>
        <v>1144.8</v>
      </c>
      <c r="J26" s="37">
        <f t="shared" si="0"/>
        <v>0.20000000000004547</v>
      </c>
      <c r="K26" s="37">
        <v>10</v>
      </c>
      <c r="L26" s="83">
        <f t="shared" si="3"/>
        <v>29.936986301369863</v>
      </c>
      <c r="M26" s="37">
        <f t="shared" si="1"/>
        <v>-19.936986301369863</v>
      </c>
      <c r="N26" s="84">
        <f t="shared" si="4"/>
        <v>0</v>
      </c>
      <c r="O26" s="37">
        <f t="shared" si="5"/>
        <v>0</v>
      </c>
    </row>
    <row r="27" spans="2:16" s="217" customFormat="1" x14ac:dyDescent="0.2">
      <c r="B27" s="260"/>
      <c r="C27" s="79" t="s">
        <v>321</v>
      </c>
      <c r="D27" s="82">
        <v>2769</v>
      </c>
      <c r="E27" s="131">
        <f>DATE(91,8,31)</f>
        <v>33481</v>
      </c>
      <c r="F27" s="242">
        <v>138</v>
      </c>
      <c r="G27" s="242"/>
      <c r="H27" s="37">
        <f t="shared" si="2"/>
        <v>138</v>
      </c>
      <c r="I27" s="52">
        <f t="shared" si="6"/>
        <v>138.45000000000002</v>
      </c>
      <c r="J27" s="37">
        <f t="shared" si="0"/>
        <v>-0.45000000000001705</v>
      </c>
      <c r="K27" s="37">
        <v>10</v>
      </c>
      <c r="L27" s="83">
        <f t="shared" si="3"/>
        <v>29.602739726027398</v>
      </c>
      <c r="M27" s="37">
        <f t="shared" si="1"/>
        <v>-19.602739726027398</v>
      </c>
      <c r="N27" s="84">
        <f t="shared" si="4"/>
        <v>0</v>
      </c>
      <c r="O27" s="37">
        <f t="shared" si="5"/>
        <v>0</v>
      </c>
    </row>
    <row r="28" spans="2:16" s="217" customFormat="1" x14ac:dyDescent="0.2">
      <c r="B28" s="260"/>
      <c r="C28" s="79" t="s">
        <v>322</v>
      </c>
      <c r="D28" s="82">
        <v>7615</v>
      </c>
      <c r="E28" s="131">
        <f>DATE(92,8,4)</f>
        <v>33820</v>
      </c>
      <c r="F28" s="242">
        <v>381</v>
      </c>
      <c r="G28" s="242"/>
      <c r="H28" s="37">
        <f t="shared" si="2"/>
        <v>381</v>
      </c>
      <c r="I28" s="52">
        <f t="shared" si="6"/>
        <v>380.75</v>
      </c>
      <c r="J28" s="37">
        <f t="shared" si="0"/>
        <v>0.25</v>
      </c>
      <c r="K28" s="37">
        <v>10</v>
      </c>
      <c r="L28" s="83">
        <f t="shared" si="3"/>
        <v>28.673972602739727</v>
      </c>
      <c r="M28" s="37">
        <f t="shared" si="1"/>
        <v>-18.673972602739727</v>
      </c>
      <c r="N28" s="84">
        <f t="shared" si="4"/>
        <v>0</v>
      </c>
      <c r="O28" s="37">
        <f t="shared" si="5"/>
        <v>0</v>
      </c>
    </row>
    <row r="29" spans="2:16" s="217" customFormat="1" x14ac:dyDescent="0.2">
      <c r="B29" s="260"/>
      <c r="C29" s="79" t="s">
        <v>323</v>
      </c>
      <c r="D29" s="82">
        <v>8382</v>
      </c>
      <c r="E29" s="131">
        <f>DATE(93,3,31)</f>
        <v>34059</v>
      </c>
      <c r="F29" s="242">
        <v>419</v>
      </c>
      <c r="G29" s="242"/>
      <c r="H29" s="37">
        <f t="shared" si="2"/>
        <v>419</v>
      </c>
      <c r="I29" s="52">
        <f t="shared" si="6"/>
        <v>419.1</v>
      </c>
      <c r="J29" s="37">
        <f t="shared" si="0"/>
        <v>-0.10000000000002274</v>
      </c>
      <c r="K29" s="37">
        <v>10</v>
      </c>
      <c r="L29" s="83">
        <f t="shared" si="3"/>
        <v>28.019178082191782</v>
      </c>
      <c r="M29" s="37">
        <f t="shared" si="1"/>
        <v>-18.019178082191782</v>
      </c>
      <c r="N29" s="84">
        <f t="shared" si="4"/>
        <v>0</v>
      </c>
      <c r="O29" s="37">
        <f t="shared" si="5"/>
        <v>0</v>
      </c>
    </row>
    <row r="30" spans="2:16" s="217" customFormat="1" x14ac:dyDescent="0.2">
      <c r="B30" s="260"/>
      <c r="C30" s="353" t="s">
        <v>324</v>
      </c>
      <c r="D30" s="354">
        <v>9884</v>
      </c>
      <c r="E30" s="355">
        <f>DATE(88,8,26)</f>
        <v>32381</v>
      </c>
      <c r="F30" s="370">
        <v>494</v>
      </c>
      <c r="G30" s="370"/>
      <c r="H30" s="356">
        <f t="shared" si="2"/>
        <v>494</v>
      </c>
      <c r="I30" s="357">
        <f t="shared" si="6"/>
        <v>494.20000000000005</v>
      </c>
      <c r="J30" s="356">
        <f t="shared" si="0"/>
        <v>-0.20000000000004547</v>
      </c>
      <c r="K30" s="356">
        <v>10</v>
      </c>
      <c r="L30" s="358">
        <f t="shared" si="3"/>
        <v>32.61643835616438</v>
      </c>
      <c r="M30" s="356">
        <f t="shared" si="1"/>
        <v>-22.61643835616438</v>
      </c>
      <c r="N30" s="359">
        <f t="shared" si="4"/>
        <v>0</v>
      </c>
      <c r="O30" s="356">
        <f t="shared" si="5"/>
        <v>0</v>
      </c>
      <c r="P30" s="217" t="s">
        <v>577</v>
      </c>
    </row>
    <row r="31" spans="2:16" s="217" customFormat="1" x14ac:dyDescent="0.2">
      <c r="B31" s="260"/>
      <c r="C31" s="79" t="s">
        <v>325</v>
      </c>
      <c r="D31" s="82">
        <v>8165</v>
      </c>
      <c r="E31" s="131">
        <f>DATE(95,11,6)</f>
        <v>35009</v>
      </c>
      <c r="F31" s="242">
        <v>408</v>
      </c>
      <c r="G31" s="242"/>
      <c r="H31" s="37">
        <f t="shared" si="2"/>
        <v>408</v>
      </c>
      <c r="I31" s="52">
        <f t="shared" si="6"/>
        <v>408.25</v>
      </c>
      <c r="J31" s="37">
        <f t="shared" si="0"/>
        <v>-0.25</v>
      </c>
      <c r="K31" s="37">
        <v>10</v>
      </c>
      <c r="L31" s="83">
        <f t="shared" si="3"/>
        <v>25.416438356164385</v>
      </c>
      <c r="M31" s="37">
        <f t="shared" si="1"/>
        <v>-15.416438356164385</v>
      </c>
      <c r="N31" s="84">
        <f t="shared" si="4"/>
        <v>0</v>
      </c>
      <c r="O31" s="37">
        <f t="shared" si="5"/>
        <v>0</v>
      </c>
    </row>
    <row r="32" spans="2:16" s="217" customFormat="1" x14ac:dyDescent="0.2">
      <c r="B32" s="260"/>
      <c r="C32" s="79" t="s">
        <v>326</v>
      </c>
      <c r="D32" s="82">
        <v>4455</v>
      </c>
      <c r="E32" s="131">
        <f>DATE(95,5,9)</f>
        <v>34828</v>
      </c>
      <c r="F32" s="242">
        <v>223</v>
      </c>
      <c r="G32" s="242"/>
      <c r="H32" s="37">
        <f t="shared" si="2"/>
        <v>223</v>
      </c>
      <c r="I32" s="52">
        <f t="shared" si="6"/>
        <v>222.75</v>
      </c>
      <c r="J32" s="37">
        <f t="shared" si="0"/>
        <v>0.25</v>
      </c>
      <c r="K32" s="37">
        <v>10</v>
      </c>
      <c r="L32" s="83">
        <f t="shared" si="3"/>
        <v>25.912328767123288</v>
      </c>
      <c r="M32" s="37">
        <f t="shared" si="1"/>
        <v>-15.912328767123288</v>
      </c>
      <c r="N32" s="84">
        <f t="shared" si="4"/>
        <v>0</v>
      </c>
      <c r="O32" s="37">
        <f t="shared" si="5"/>
        <v>0</v>
      </c>
    </row>
    <row r="33" spans="2:16" s="217" customFormat="1" x14ac:dyDescent="0.2">
      <c r="B33" s="260"/>
      <c r="C33" s="79" t="s">
        <v>327</v>
      </c>
      <c r="D33" s="82">
        <v>5770</v>
      </c>
      <c r="E33" s="131">
        <f>DATE(95,4,11)</f>
        <v>34800</v>
      </c>
      <c r="F33" s="242">
        <v>289</v>
      </c>
      <c r="G33" s="242"/>
      <c r="H33" s="37">
        <f t="shared" si="2"/>
        <v>289</v>
      </c>
      <c r="I33" s="52">
        <f>+F33</f>
        <v>289</v>
      </c>
      <c r="J33" s="37">
        <f t="shared" si="0"/>
        <v>0</v>
      </c>
      <c r="K33" s="37">
        <v>10</v>
      </c>
      <c r="L33" s="83">
        <f t="shared" si="3"/>
        <v>25.989041095890411</v>
      </c>
      <c r="M33" s="37">
        <f t="shared" si="1"/>
        <v>-15.989041095890411</v>
      </c>
      <c r="N33" s="84">
        <f t="shared" si="4"/>
        <v>0</v>
      </c>
      <c r="O33" s="37">
        <f t="shared" si="5"/>
        <v>0</v>
      </c>
    </row>
    <row r="34" spans="2:16" s="217" customFormat="1" x14ac:dyDescent="0.2">
      <c r="B34" s="260"/>
      <c r="C34" s="79" t="s">
        <v>328</v>
      </c>
      <c r="D34" s="82">
        <v>2240</v>
      </c>
      <c r="E34" s="131">
        <f>DATE(95,9,26)</f>
        <v>34968</v>
      </c>
      <c r="F34" s="242">
        <v>112</v>
      </c>
      <c r="G34" s="242"/>
      <c r="H34" s="37">
        <f t="shared" si="2"/>
        <v>112</v>
      </c>
      <c r="I34" s="52">
        <f t="shared" si="6"/>
        <v>112</v>
      </c>
      <c r="J34" s="37">
        <f t="shared" si="0"/>
        <v>0</v>
      </c>
      <c r="K34" s="37">
        <v>10</v>
      </c>
      <c r="L34" s="83">
        <f t="shared" si="3"/>
        <v>25.528767123287672</v>
      </c>
      <c r="M34" s="37">
        <f t="shared" si="1"/>
        <v>-15.528767123287672</v>
      </c>
      <c r="N34" s="84">
        <f t="shared" si="4"/>
        <v>0</v>
      </c>
      <c r="O34" s="37">
        <f t="shared" si="5"/>
        <v>0</v>
      </c>
    </row>
    <row r="35" spans="2:16" s="217" customFormat="1" x14ac:dyDescent="0.2">
      <c r="B35" s="260"/>
      <c r="C35" s="79" t="s">
        <v>329</v>
      </c>
      <c r="D35" s="82">
        <v>2408</v>
      </c>
      <c r="E35" s="131">
        <f t="shared" ref="E35:E77" si="7">DATE(95,8,1)</f>
        <v>34912</v>
      </c>
      <c r="F35" s="242">
        <v>120</v>
      </c>
      <c r="G35" s="242"/>
      <c r="H35" s="37">
        <f t="shared" si="2"/>
        <v>120</v>
      </c>
      <c r="I35" s="52">
        <f t="shared" si="6"/>
        <v>120.4</v>
      </c>
      <c r="J35" s="37">
        <f t="shared" si="0"/>
        <v>-0.40000000000000568</v>
      </c>
      <c r="K35" s="37">
        <v>10</v>
      </c>
      <c r="L35" s="83">
        <f t="shared" si="3"/>
        <v>25.682191780821917</v>
      </c>
      <c r="M35" s="37">
        <f t="shared" si="1"/>
        <v>-15.682191780821917</v>
      </c>
      <c r="N35" s="84">
        <f t="shared" si="4"/>
        <v>0</v>
      </c>
      <c r="O35" s="37">
        <f t="shared" si="5"/>
        <v>0</v>
      </c>
    </row>
    <row r="36" spans="2:16" s="217" customFormat="1" x14ac:dyDescent="0.2">
      <c r="B36" s="260"/>
      <c r="C36" s="79" t="s">
        <v>330</v>
      </c>
      <c r="D36" s="82">
        <v>1972</v>
      </c>
      <c r="E36" s="131">
        <f t="shared" si="7"/>
        <v>34912</v>
      </c>
      <c r="F36" s="242">
        <v>99</v>
      </c>
      <c r="G36" s="242"/>
      <c r="H36" s="37">
        <f t="shared" si="2"/>
        <v>99</v>
      </c>
      <c r="I36" s="52">
        <f t="shared" si="6"/>
        <v>98.600000000000009</v>
      </c>
      <c r="J36" s="37">
        <f t="shared" si="0"/>
        <v>0.39999999999999147</v>
      </c>
      <c r="K36" s="37">
        <v>10</v>
      </c>
      <c r="L36" s="83">
        <f t="shared" si="3"/>
        <v>25.682191780821917</v>
      </c>
      <c r="M36" s="37">
        <f t="shared" si="1"/>
        <v>-15.682191780821917</v>
      </c>
      <c r="N36" s="84">
        <f t="shared" si="4"/>
        <v>0</v>
      </c>
      <c r="O36" s="37">
        <f t="shared" si="5"/>
        <v>0</v>
      </c>
    </row>
    <row r="37" spans="2:16" s="217" customFormat="1" x14ac:dyDescent="0.2">
      <c r="B37" s="260"/>
      <c r="C37" s="79" t="s">
        <v>331</v>
      </c>
      <c r="D37" s="82">
        <v>4865</v>
      </c>
      <c r="E37" s="131">
        <f t="shared" si="7"/>
        <v>34912</v>
      </c>
      <c r="F37" s="242">
        <v>243</v>
      </c>
      <c r="G37" s="242"/>
      <c r="H37" s="37">
        <f t="shared" si="2"/>
        <v>243</v>
      </c>
      <c r="I37" s="52">
        <f t="shared" si="6"/>
        <v>243.25</v>
      </c>
      <c r="J37" s="37">
        <f t="shared" si="0"/>
        <v>-0.25</v>
      </c>
      <c r="K37" s="37">
        <v>10</v>
      </c>
      <c r="L37" s="83">
        <f t="shared" si="3"/>
        <v>25.682191780821917</v>
      </c>
      <c r="M37" s="37">
        <f t="shared" si="1"/>
        <v>-15.682191780821917</v>
      </c>
      <c r="N37" s="84">
        <f t="shared" si="4"/>
        <v>0</v>
      </c>
      <c r="O37" s="37">
        <f t="shared" si="5"/>
        <v>0</v>
      </c>
    </row>
    <row r="38" spans="2:16" s="217" customFormat="1" x14ac:dyDescent="0.2">
      <c r="B38" s="260"/>
      <c r="C38" s="79" t="s">
        <v>332</v>
      </c>
      <c r="D38" s="82">
        <v>15790</v>
      </c>
      <c r="E38" s="131">
        <f t="shared" si="7"/>
        <v>34912</v>
      </c>
      <c r="F38" s="242">
        <v>790</v>
      </c>
      <c r="G38" s="242"/>
      <c r="H38" s="37">
        <f t="shared" si="2"/>
        <v>790</v>
      </c>
      <c r="I38" s="52">
        <f t="shared" si="6"/>
        <v>789.5</v>
      </c>
      <c r="J38" s="37">
        <f t="shared" si="0"/>
        <v>0.5</v>
      </c>
      <c r="K38" s="37">
        <v>10</v>
      </c>
      <c r="L38" s="83">
        <f t="shared" si="3"/>
        <v>25.682191780821917</v>
      </c>
      <c r="M38" s="37">
        <f t="shared" si="1"/>
        <v>-15.682191780821917</v>
      </c>
      <c r="N38" s="84">
        <f t="shared" si="4"/>
        <v>0</v>
      </c>
      <c r="O38" s="37">
        <f t="shared" si="5"/>
        <v>0</v>
      </c>
    </row>
    <row r="39" spans="2:16" s="217" customFormat="1" x14ac:dyDescent="0.2">
      <c r="B39" s="260"/>
      <c r="C39" s="79" t="s">
        <v>333</v>
      </c>
      <c r="D39" s="82">
        <v>8090</v>
      </c>
      <c r="E39" s="131">
        <f t="shared" si="7"/>
        <v>34912</v>
      </c>
      <c r="F39" s="242">
        <v>405</v>
      </c>
      <c r="G39" s="242"/>
      <c r="H39" s="37">
        <f t="shared" si="2"/>
        <v>405</v>
      </c>
      <c r="I39" s="52">
        <f t="shared" si="6"/>
        <v>404.5</v>
      </c>
      <c r="J39" s="37">
        <f t="shared" si="0"/>
        <v>0.5</v>
      </c>
      <c r="K39" s="37">
        <v>10</v>
      </c>
      <c r="L39" s="83">
        <f t="shared" si="3"/>
        <v>25.682191780821917</v>
      </c>
      <c r="M39" s="37">
        <f t="shared" si="1"/>
        <v>-15.682191780821917</v>
      </c>
      <c r="N39" s="84">
        <f t="shared" si="4"/>
        <v>0</v>
      </c>
      <c r="O39" s="37">
        <f t="shared" si="5"/>
        <v>0</v>
      </c>
    </row>
    <row r="40" spans="2:16" s="217" customFormat="1" x14ac:dyDescent="0.2">
      <c r="B40" s="260"/>
      <c r="C40" s="79" t="s">
        <v>334</v>
      </c>
      <c r="D40" s="82">
        <v>3425</v>
      </c>
      <c r="E40" s="131">
        <f t="shared" si="7"/>
        <v>34912</v>
      </c>
      <c r="F40" s="242">
        <v>171</v>
      </c>
      <c r="G40" s="242"/>
      <c r="H40" s="37">
        <f t="shared" si="2"/>
        <v>171</v>
      </c>
      <c r="I40" s="52">
        <f t="shared" si="6"/>
        <v>171.25</v>
      </c>
      <c r="J40" s="37">
        <f t="shared" si="0"/>
        <v>-0.25</v>
      </c>
      <c r="K40" s="37">
        <v>10</v>
      </c>
      <c r="L40" s="83">
        <f t="shared" si="3"/>
        <v>25.682191780821917</v>
      </c>
      <c r="M40" s="37">
        <f t="shared" si="1"/>
        <v>-15.682191780821917</v>
      </c>
      <c r="N40" s="84">
        <f t="shared" si="4"/>
        <v>0</v>
      </c>
      <c r="O40" s="37">
        <f t="shared" si="5"/>
        <v>0</v>
      </c>
    </row>
    <row r="41" spans="2:16" s="217" customFormat="1" x14ac:dyDescent="0.2">
      <c r="B41" s="260"/>
      <c r="C41" s="79" t="s">
        <v>335</v>
      </c>
      <c r="D41" s="82">
        <v>10275</v>
      </c>
      <c r="E41" s="131">
        <f t="shared" si="7"/>
        <v>34912</v>
      </c>
      <c r="F41" s="242">
        <v>514</v>
      </c>
      <c r="G41" s="242"/>
      <c r="H41" s="37">
        <f t="shared" si="2"/>
        <v>514</v>
      </c>
      <c r="I41" s="52">
        <f t="shared" si="6"/>
        <v>513.75</v>
      </c>
      <c r="J41" s="37">
        <f t="shared" si="0"/>
        <v>0.25</v>
      </c>
      <c r="K41" s="37">
        <v>10</v>
      </c>
      <c r="L41" s="83">
        <f t="shared" si="3"/>
        <v>25.682191780821917</v>
      </c>
      <c r="M41" s="37">
        <f t="shared" si="1"/>
        <v>-15.682191780821917</v>
      </c>
      <c r="N41" s="84">
        <f t="shared" si="4"/>
        <v>0</v>
      </c>
      <c r="O41" s="37">
        <f t="shared" si="5"/>
        <v>0</v>
      </c>
    </row>
    <row r="42" spans="2:16" s="217" customFormat="1" x14ac:dyDescent="0.2">
      <c r="B42" s="260"/>
      <c r="C42" s="79" t="s">
        <v>336</v>
      </c>
      <c r="D42" s="82">
        <v>6875</v>
      </c>
      <c r="E42" s="131">
        <f t="shared" si="7"/>
        <v>34912</v>
      </c>
      <c r="F42" s="242">
        <v>344</v>
      </c>
      <c r="G42" s="242"/>
      <c r="H42" s="37">
        <f t="shared" si="2"/>
        <v>344</v>
      </c>
      <c r="I42" s="52">
        <f t="shared" si="6"/>
        <v>343.75</v>
      </c>
      <c r="J42" s="37">
        <f t="shared" si="0"/>
        <v>0.25</v>
      </c>
      <c r="K42" s="37">
        <v>10</v>
      </c>
      <c r="L42" s="83">
        <f t="shared" si="3"/>
        <v>25.682191780821917</v>
      </c>
      <c r="M42" s="37">
        <f t="shared" si="1"/>
        <v>-15.682191780821917</v>
      </c>
      <c r="N42" s="84">
        <f t="shared" si="4"/>
        <v>0</v>
      </c>
      <c r="O42" s="37">
        <f t="shared" si="5"/>
        <v>0</v>
      </c>
    </row>
    <row r="43" spans="2:16" s="217" customFormat="1" x14ac:dyDescent="0.2">
      <c r="B43" s="260"/>
      <c r="C43" s="79" t="s">
        <v>337</v>
      </c>
      <c r="D43" s="82">
        <v>12510</v>
      </c>
      <c r="E43" s="131">
        <f t="shared" si="7"/>
        <v>34912</v>
      </c>
      <c r="F43" s="242">
        <v>626</v>
      </c>
      <c r="G43" s="242"/>
      <c r="H43" s="37">
        <f t="shared" si="2"/>
        <v>626</v>
      </c>
      <c r="I43" s="52">
        <f t="shared" si="6"/>
        <v>625.5</v>
      </c>
      <c r="J43" s="37">
        <f t="shared" si="0"/>
        <v>0.5</v>
      </c>
      <c r="K43" s="37">
        <v>10</v>
      </c>
      <c r="L43" s="83">
        <f t="shared" si="3"/>
        <v>25.682191780821917</v>
      </c>
      <c r="M43" s="37">
        <f t="shared" si="1"/>
        <v>-15.682191780821917</v>
      </c>
      <c r="N43" s="84">
        <f t="shared" si="4"/>
        <v>0</v>
      </c>
      <c r="O43" s="37">
        <f t="shared" si="5"/>
        <v>0</v>
      </c>
    </row>
    <row r="44" spans="2:16" s="217" customFormat="1" x14ac:dyDescent="0.2">
      <c r="B44" s="260"/>
      <c r="C44" s="79" t="s">
        <v>338</v>
      </c>
      <c r="D44" s="82">
        <v>4370</v>
      </c>
      <c r="E44" s="131">
        <f t="shared" si="7"/>
        <v>34912</v>
      </c>
      <c r="F44" s="242">
        <v>219</v>
      </c>
      <c r="G44" s="242"/>
      <c r="H44" s="37">
        <f t="shared" si="2"/>
        <v>219</v>
      </c>
      <c r="I44" s="52">
        <f t="shared" si="6"/>
        <v>218.5</v>
      </c>
      <c r="J44" s="37">
        <f t="shared" si="0"/>
        <v>0.5</v>
      </c>
      <c r="K44" s="37">
        <v>10</v>
      </c>
      <c r="L44" s="83">
        <f t="shared" si="3"/>
        <v>25.682191780821917</v>
      </c>
      <c r="M44" s="37">
        <f t="shared" si="1"/>
        <v>-15.682191780821917</v>
      </c>
      <c r="N44" s="84">
        <f t="shared" si="4"/>
        <v>0</v>
      </c>
      <c r="O44" s="37">
        <f t="shared" si="5"/>
        <v>0</v>
      </c>
    </row>
    <row r="45" spans="2:16" s="217" customFormat="1" x14ac:dyDescent="0.2">
      <c r="B45" s="260"/>
      <c r="C45" s="79" t="s">
        <v>339</v>
      </c>
      <c r="D45" s="82">
        <v>2135</v>
      </c>
      <c r="E45" s="131">
        <f t="shared" si="7"/>
        <v>34912</v>
      </c>
      <c r="F45" s="242">
        <v>106</v>
      </c>
      <c r="G45" s="242"/>
      <c r="H45" s="37">
        <f t="shared" si="2"/>
        <v>106</v>
      </c>
      <c r="I45" s="52">
        <f t="shared" si="6"/>
        <v>106.75</v>
      </c>
      <c r="J45" s="37">
        <f t="shared" si="0"/>
        <v>-0.75</v>
      </c>
      <c r="K45" s="37">
        <v>10</v>
      </c>
      <c r="L45" s="83">
        <f t="shared" si="3"/>
        <v>25.682191780821917</v>
      </c>
      <c r="M45" s="37">
        <f t="shared" si="1"/>
        <v>-15.682191780821917</v>
      </c>
      <c r="N45" s="84">
        <f t="shared" si="4"/>
        <v>0</v>
      </c>
      <c r="O45" s="37">
        <f t="shared" si="5"/>
        <v>0</v>
      </c>
    </row>
    <row r="46" spans="2:16" s="217" customFormat="1" x14ac:dyDescent="0.2">
      <c r="B46" s="260"/>
      <c r="C46" s="353" t="s">
        <v>340</v>
      </c>
      <c r="D46" s="354">
        <v>8490</v>
      </c>
      <c r="E46" s="355">
        <f t="shared" si="7"/>
        <v>34912</v>
      </c>
      <c r="F46" s="370">
        <v>425</v>
      </c>
      <c r="G46" s="370"/>
      <c r="H46" s="356">
        <f t="shared" si="2"/>
        <v>425</v>
      </c>
      <c r="I46" s="357">
        <f t="shared" si="6"/>
        <v>424.5</v>
      </c>
      <c r="J46" s="356">
        <f t="shared" si="0"/>
        <v>0.5</v>
      </c>
      <c r="K46" s="356">
        <v>10</v>
      </c>
      <c r="L46" s="358">
        <f t="shared" si="3"/>
        <v>25.682191780821917</v>
      </c>
      <c r="M46" s="356">
        <f t="shared" si="1"/>
        <v>-15.682191780821917</v>
      </c>
      <c r="N46" s="359">
        <f t="shared" si="4"/>
        <v>0</v>
      </c>
      <c r="O46" s="356">
        <f t="shared" si="5"/>
        <v>0</v>
      </c>
      <c r="P46" s="217" t="s">
        <v>577</v>
      </c>
    </row>
    <row r="47" spans="2:16" s="217" customFormat="1" x14ac:dyDescent="0.2">
      <c r="B47" s="260"/>
      <c r="C47" s="79" t="s">
        <v>341</v>
      </c>
      <c r="D47" s="82">
        <v>3970</v>
      </c>
      <c r="E47" s="131">
        <f t="shared" si="7"/>
        <v>34912</v>
      </c>
      <c r="F47" s="242">
        <v>199</v>
      </c>
      <c r="G47" s="242"/>
      <c r="H47" s="37">
        <f t="shared" si="2"/>
        <v>199</v>
      </c>
      <c r="I47" s="52">
        <f t="shared" si="6"/>
        <v>198.5</v>
      </c>
      <c r="J47" s="37">
        <f t="shared" si="0"/>
        <v>0.5</v>
      </c>
      <c r="K47" s="37">
        <v>10</v>
      </c>
      <c r="L47" s="83">
        <f t="shared" si="3"/>
        <v>25.682191780821917</v>
      </c>
      <c r="M47" s="37">
        <f t="shared" si="1"/>
        <v>-15.682191780821917</v>
      </c>
      <c r="N47" s="84">
        <f t="shared" si="4"/>
        <v>0</v>
      </c>
      <c r="O47" s="37">
        <f t="shared" si="5"/>
        <v>0</v>
      </c>
    </row>
    <row r="48" spans="2:16" s="217" customFormat="1" x14ac:dyDescent="0.2">
      <c r="B48" s="260"/>
      <c r="C48" s="79" t="s">
        <v>342</v>
      </c>
      <c r="D48" s="82">
        <v>2160</v>
      </c>
      <c r="E48" s="131">
        <f t="shared" si="7"/>
        <v>34912</v>
      </c>
      <c r="F48" s="242">
        <v>108</v>
      </c>
      <c r="G48" s="242"/>
      <c r="H48" s="37">
        <f t="shared" si="2"/>
        <v>108</v>
      </c>
      <c r="I48" s="52">
        <f t="shared" si="6"/>
        <v>108</v>
      </c>
      <c r="J48" s="37">
        <f t="shared" si="0"/>
        <v>0</v>
      </c>
      <c r="K48" s="37">
        <v>10</v>
      </c>
      <c r="L48" s="83">
        <f t="shared" si="3"/>
        <v>25.682191780821917</v>
      </c>
      <c r="M48" s="37">
        <f t="shared" si="1"/>
        <v>-15.682191780821917</v>
      </c>
      <c r="N48" s="84">
        <f t="shared" si="4"/>
        <v>0</v>
      </c>
      <c r="O48" s="37">
        <f t="shared" si="5"/>
        <v>0</v>
      </c>
    </row>
    <row r="49" spans="2:16" s="217" customFormat="1" x14ac:dyDescent="0.2">
      <c r="B49" s="260"/>
      <c r="C49" s="79" t="s">
        <v>343</v>
      </c>
      <c r="D49" s="82">
        <v>720</v>
      </c>
      <c r="E49" s="131">
        <f t="shared" si="7"/>
        <v>34912</v>
      </c>
      <c r="F49" s="242">
        <v>36</v>
      </c>
      <c r="G49" s="242"/>
      <c r="H49" s="37">
        <f t="shared" si="2"/>
        <v>36</v>
      </c>
      <c r="I49" s="52">
        <f t="shared" si="6"/>
        <v>36</v>
      </c>
      <c r="J49" s="37">
        <f t="shared" si="0"/>
        <v>0</v>
      </c>
      <c r="K49" s="37">
        <v>10</v>
      </c>
      <c r="L49" s="83">
        <f t="shared" si="3"/>
        <v>25.682191780821917</v>
      </c>
      <c r="M49" s="37">
        <f t="shared" si="1"/>
        <v>-15.682191780821917</v>
      </c>
      <c r="N49" s="84">
        <f t="shared" si="4"/>
        <v>0</v>
      </c>
      <c r="O49" s="37">
        <f t="shared" si="5"/>
        <v>0</v>
      </c>
    </row>
    <row r="50" spans="2:16" s="217" customFormat="1" x14ac:dyDescent="0.2">
      <c r="B50" s="260"/>
      <c r="C50" s="79" t="s">
        <v>344</v>
      </c>
      <c r="D50" s="82">
        <v>720</v>
      </c>
      <c r="E50" s="131">
        <f t="shared" si="7"/>
        <v>34912</v>
      </c>
      <c r="F50" s="242">
        <v>36</v>
      </c>
      <c r="G50" s="242"/>
      <c r="H50" s="37">
        <f t="shared" si="2"/>
        <v>36</v>
      </c>
      <c r="I50" s="52">
        <f t="shared" si="6"/>
        <v>36</v>
      </c>
      <c r="J50" s="37">
        <f t="shared" si="0"/>
        <v>0</v>
      </c>
      <c r="K50" s="37">
        <v>10</v>
      </c>
      <c r="L50" s="83">
        <f t="shared" si="3"/>
        <v>25.682191780821917</v>
      </c>
      <c r="M50" s="37">
        <f t="shared" si="1"/>
        <v>-15.682191780821917</v>
      </c>
      <c r="N50" s="84">
        <f t="shared" si="4"/>
        <v>0</v>
      </c>
      <c r="O50" s="37">
        <f t="shared" si="5"/>
        <v>0</v>
      </c>
    </row>
    <row r="51" spans="2:16" s="217" customFormat="1" x14ac:dyDescent="0.2">
      <c r="B51" s="260"/>
      <c r="C51" s="79" t="s">
        <v>345</v>
      </c>
      <c r="D51" s="82">
        <v>6155</v>
      </c>
      <c r="E51" s="131">
        <f t="shared" si="7"/>
        <v>34912</v>
      </c>
      <c r="F51" s="242">
        <v>308</v>
      </c>
      <c r="G51" s="242"/>
      <c r="H51" s="37">
        <f t="shared" si="2"/>
        <v>308</v>
      </c>
      <c r="I51" s="52">
        <f t="shared" si="6"/>
        <v>307.75</v>
      </c>
      <c r="J51" s="37">
        <f t="shared" si="0"/>
        <v>0.25</v>
      </c>
      <c r="K51" s="37">
        <v>10</v>
      </c>
      <c r="L51" s="83">
        <f t="shared" si="3"/>
        <v>25.682191780821917</v>
      </c>
      <c r="M51" s="37">
        <f t="shared" si="1"/>
        <v>-15.682191780821917</v>
      </c>
      <c r="N51" s="84">
        <f t="shared" si="4"/>
        <v>0</v>
      </c>
      <c r="O51" s="37">
        <f t="shared" si="5"/>
        <v>0</v>
      </c>
    </row>
    <row r="52" spans="2:16" s="217" customFormat="1" x14ac:dyDescent="0.2">
      <c r="B52" s="260"/>
      <c r="C52" s="79" t="s">
        <v>335</v>
      </c>
      <c r="D52" s="82">
        <v>2135</v>
      </c>
      <c r="E52" s="131">
        <f t="shared" si="7"/>
        <v>34912</v>
      </c>
      <c r="F52" s="242">
        <v>107</v>
      </c>
      <c r="G52" s="242"/>
      <c r="H52" s="37">
        <f t="shared" si="2"/>
        <v>107</v>
      </c>
      <c r="I52" s="52">
        <f t="shared" si="6"/>
        <v>106.75</v>
      </c>
      <c r="J52" s="37">
        <f t="shared" si="0"/>
        <v>0.25</v>
      </c>
      <c r="K52" s="37">
        <v>10</v>
      </c>
      <c r="L52" s="83">
        <f t="shared" si="3"/>
        <v>25.682191780821917</v>
      </c>
      <c r="M52" s="37">
        <f t="shared" si="1"/>
        <v>-15.682191780821917</v>
      </c>
      <c r="N52" s="84">
        <f t="shared" si="4"/>
        <v>0</v>
      </c>
      <c r="O52" s="37">
        <f t="shared" si="5"/>
        <v>0</v>
      </c>
    </row>
    <row r="53" spans="2:16" s="217" customFormat="1" x14ac:dyDescent="0.2">
      <c r="B53" s="260"/>
      <c r="C53" s="353" t="s">
        <v>346</v>
      </c>
      <c r="D53" s="354">
        <v>3672</v>
      </c>
      <c r="E53" s="355">
        <f t="shared" si="7"/>
        <v>34912</v>
      </c>
      <c r="F53" s="370">
        <v>184</v>
      </c>
      <c r="G53" s="370"/>
      <c r="H53" s="356">
        <f t="shared" si="2"/>
        <v>184</v>
      </c>
      <c r="I53" s="357">
        <f t="shared" si="6"/>
        <v>183.60000000000002</v>
      </c>
      <c r="J53" s="356">
        <f t="shared" si="0"/>
        <v>0.39999999999997726</v>
      </c>
      <c r="K53" s="356">
        <v>10</v>
      </c>
      <c r="L53" s="358">
        <f t="shared" si="3"/>
        <v>25.682191780821917</v>
      </c>
      <c r="M53" s="356">
        <f t="shared" si="1"/>
        <v>-15.682191780821917</v>
      </c>
      <c r="N53" s="359">
        <f t="shared" si="4"/>
        <v>0</v>
      </c>
      <c r="O53" s="356">
        <f t="shared" si="5"/>
        <v>0</v>
      </c>
      <c r="P53" s="217" t="s">
        <v>577</v>
      </c>
    </row>
    <row r="54" spans="2:16" s="217" customFormat="1" x14ac:dyDescent="0.2">
      <c r="B54" s="260"/>
      <c r="C54" s="79" t="s">
        <v>333</v>
      </c>
      <c r="D54" s="82">
        <v>2235</v>
      </c>
      <c r="E54" s="131">
        <f t="shared" si="7"/>
        <v>34912</v>
      </c>
      <c r="F54" s="242">
        <v>112</v>
      </c>
      <c r="G54" s="242"/>
      <c r="H54" s="37">
        <f t="shared" si="2"/>
        <v>112</v>
      </c>
      <c r="I54" s="52">
        <f t="shared" si="6"/>
        <v>111.75</v>
      </c>
      <c r="J54" s="37">
        <f t="shared" si="0"/>
        <v>0.25</v>
      </c>
      <c r="K54" s="37">
        <v>10</v>
      </c>
      <c r="L54" s="83">
        <f t="shared" si="3"/>
        <v>25.682191780821917</v>
      </c>
      <c r="M54" s="37">
        <f t="shared" si="1"/>
        <v>-15.682191780821917</v>
      </c>
      <c r="N54" s="84">
        <f t="shared" si="4"/>
        <v>0</v>
      </c>
      <c r="O54" s="37">
        <f t="shared" si="5"/>
        <v>0</v>
      </c>
    </row>
    <row r="55" spans="2:16" s="217" customFormat="1" x14ac:dyDescent="0.2">
      <c r="B55" s="260"/>
      <c r="C55" s="353" t="s">
        <v>347</v>
      </c>
      <c r="D55" s="354">
        <v>1400</v>
      </c>
      <c r="E55" s="355">
        <f t="shared" si="7"/>
        <v>34912</v>
      </c>
      <c r="F55" s="370">
        <v>70</v>
      </c>
      <c r="G55" s="370"/>
      <c r="H55" s="356">
        <f t="shared" si="2"/>
        <v>70</v>
      </c>
      <c r="I55" s="357">
        <f t="shared" si="6"/>
        <v>70</v>
      </c>
      <c r="J55" s="356">
        <f t="shared" si="0"/>
        <v>0</v>
      </c>
      <c r="K55" s="356">
        <v>10</v>
      </c>
      <c r="L55" s="358">
        <f t="shared" si="3"/>
        <v>25.682191780821917</v>
      </c>
      <c r="M55" s="356">
        <f t="shared" si="1"/>
        <v>-15.682191780821917</v>
      </c>
      <c r="N55" s="359">
        <f t="shared" si="4"/>
        <v>0</v>
      </c>
      <c r="O55" s="356">
        <f t="shared" si="5"/>
        <v>0</v>
      </c>
      <c r="P55" s="217" t="s">
        <v>577</v>
      </c>
    </row>
    <row r="56" spans="2:16" s="217" customFormat="1" x14ac:dyDescent="0.2">
      <c r="B56" s="260"/>
      <c r="C56" s="353" t="s">
        <v>348</v>
      </c>
      <c r="D56" s="354">
        <v>700</v>
      </c>
      <c r="E56" s="355">
        <f t="shared" si="7"/>
        <v>34912</v>
      </c>
      <c r="F56" s="370">
        <v>35</v>
      </c>
      <c r="G56" s="370"/>
      <c r="H56" s="356">
        <f t="shared" si="2"/>
        <v>35</v>
      </c>
      <c r="I56" s="357">
        <f t="shared" si="6"/>
        <v>35</v>
      </c>
      <c r="J56" s="356">
        <f t="shared" si="0"/>
        <v>0</v>
      </c>
      <c r="K56" s="356">
        <v>10</v>
      </c>
      <c r="L56" s="358">
        <f t="shared" si="3"/>
        <v>25.682191780821917</v>
      </c>
      <c r="M56" s="356">
        <f t="shared" si="1"/>
        <v>-15.682191780821917</v>
      </c>
      <c r="N56" s="359">
        <f t="shared" si="4"/>
        <v>0</v>
      </c>
      <c r="O56" s="356">
        <f t="shared" si="5"/>
        <v>0</v>
      </c>
      <c r="P56" s="217" t="s">
        <v>577</v>
      </c>
    </row>
    <row r="57" spans="2:16" s="217" customFormat="1" x14ac:dyDescent="0.2">
      <c r="B57" s="260"/>
      <c r="C57" s="79" t="s">
        <v>349</v>
      </c>
      <c r="D57" s="82">
        <v>1460</v>
      </c>
      <c r="E57" s="131">
        <f t="shared" si="7"/>
        <v>34912</v>
      </c>
      <c r="F57" s="242">
        <v>73</v>
      </c>
      <c r="G57" s="242"/>
      <c r="H57" s="37">
        <f t="shared" si="2"/>
        <v>73</v>
      </c>
      <c r="I57" s="52">
        <f t="shared" si="6"/>
        <v>73</v>
      </c>
      <c r="J57" s="37">
        <f t="shared" si="0"/>
        <v>0</v>
      </c>
      <c r="K57" s="37">
        <v>10</v>
      </c>
      <c r="L57" s="83">
        <f t="shared" si="3"/>
        <v>25.682191780821917</v>
      </c>
      <c r="M57" s="37">
        <f t="shared" si="1"/>
        <v>-15.682191780821917</v>
      </c>
      <c r="N57" s="84">
        <f t="shared" si="4"/>
        <v>0</v>
      </c>
      <c r="O57" s="37">
        <f t="shared" si="5"/>
        <v>0</v>
      </c>
    </row>
    <row r="58" spans="2:16" s="217" customFormat="1" x14ac:dyDescent="0.2">
      <c r="B58" s="260"/>
      <c r="C58" s="79" t="s">
        <v>350</v>
      </c>
      <c r="D58" s="82">
        <v>20052</v>
      </c>
      <c r="E58" s="131">
        <f t="shared" si="7"/>
        <v>34912</v>
      </c>
      <c r="F58" s="242">
        <v>1003</v>
      </c>
      <c r="G58" s="242"/>
      <c r="H58" s="37">
        <f t="shared" si="2"/>
        <v>1003</v>
      </c>
      <c r="I58" s="52">
        <f t="shared" si="6"/>
        <v>1002.6</v>
      </c>
      <c r="J58" s="37">
        <f t="shared" si="0"/>
        <v>0.39999999999997726</v>
      </c>
      <c r="K58" s="37">
        <v>10</v>
      </c>
      <c r="L58" s="83">
        <f t="shared" si="3"/>
        <v>25.682191780821917</v>
      </c>
      <c r="M58" s="37">
        <f t="shared" si="1"/>
        <v>-15.682191780821917</v>
      </c>
      <c r="N58" s="84">
        <f t="shared" si="4"/>
        <v>0</v>
      </c>
      <c r="O58" s="37">
        <f t="shared" si="5"/>
        <v>0</v>
      </c>
    </row>
    <row r="59" spans="2:16" s="217" customFormat="1" x14ac:dyDescent="0.2">
      <c r="B59" s="260"/>
      <c r="C59" s="79" t="s">
        <v>351</v>
      </c>
      <c r="D59" s="82">
        <v>3720</v>
      </c>
      <c r="E59" s="131">
        <f t="shared" si="7"/>
        <v>34912</v>
      </c>
      <c r="F59" s="242">
        <v>186</v>
      </c>
      <c r="G59" s="242"/>
      <c r="H59" s="37">
        <f t="shared" si="2"/>
        <v>186</v>
      </c>
      <c r="I59" s="52">
        <f t="shared" si="6"/>
        <v>186</v>
      </c>
      <c r="J59" s="37">
        <f t="shared" si="0"/>
        <v>0</v>
      </c>
      <c r="K59" s="37">
        <v>10</v>
      </c>
      <c r="L59" s="83">
        <f t="shared" si="3"/>
        <v>25.682191780821917</v>
      </c>
      <c r="M59" s="37">
        <f t="shared" si="1"/>
        <v>-15.682191780821917</v>
      </c>
      <c r="N59" s="84">
        <f t="shared" si="4"/>
        <v>0</v>
      </c>
      <c r="O59" s="37">
        <f t="shared" si="5"/>
        <v>0</v>
      </c>
    </row>
    <row r="60" spans="2:16" s="217" customFormat="1" x14ac:dyDescent="0.2">
      <c r="B60" s="260"/>
      <c r="C60" s="79" t="s">
        <v>352</v>
      </c>
      <c r="D60" s="82">
        <v>1520</v>
      </c>
      <c r="E60" s="131">
        <f t="shared" si="7"/>
        <v>34912</v>
      </c>
      <c r="F60" s="242">
        <v>76</v>
      </c>
      <c r="G60" s="242"/>
      <c r="H60" s="37">
        <f t="shared" si="2"/>
        <v>76</v>
      </c>
      <c r="I60" s="52">
        <f t="shared" si="6"/>
        <v>76</v>
      </c>
      <c r="J60" s="37">
        <f t="shared" si="0"/>
        <v>0</v>
      </c>
      <c r="K60" s="37">
        <v>10</v>
      </c>
      <c r="L60" s="83">
        <f t="shared" si="3"/>
        <v>25.682191780821917</v>
      </c>
      <c r="M60" s="37">
        <f t="shared" si="1"/>
        <v>-15.682191780821917</v>
      </c>
      <c r="N60" s="84">
        <f t="shared" si="4"/>
        <v>0</v>
      </c>
      <c r="O60" s="37">
        <f t="shared" si="5"/>
        <v>0</v>
      </c>
    </row>
    <row r="61" spans="2:16" s="217" customFormat="1" x14ac:dyDescent="0.2">
      <c r="B61" s="260"/>
      <c r="C61" s="79" t="s">
        <v>353</v>
      </c>
      <c r="D61" s="82">
        <v>3369</v>
      </c>
      <c r="E61" s="131">
        <f t="shared" si="7"/>
        <v>34912</v>
      </c>
      <c r="F61" s="242">
        <v>168</v>
      </c>
      <c r="G61" s="242"/>
      <c r="H61" s="37">
        <f t="shared" si="2"/>
        <v>168</v>
      </c>
      <c r="I61" s="52">
        <f t="shared" si="6"/>
        <v>168.45000000000002</v>
      </c>
      <c r="J61" s="37">
        <f t="shared" si="0"/>
        <v>-0.45000000000001705</v>
      </c>
      <c r="K61" s="37">
        <v>10</v>
      </c>
      <c r="L61" s="83">
        <f t="shared" si="3"/>
        <v>25.682191780821917</v>
      </c>
      <c r="M61" s="37">
        <f t="shared" si="1"/>
        <v>-15.682191780821917</v>
      </c>
      <c r="N61" s="84">
        <f t="shared" si="4"/>
        <v>0</v>
      </c>
      <c r="O61" s="37">
        <f t="shared" si="5"/>
        <v>0</v>
      </c>
    </row>
    <row r="62" spans="2:16" s="217" customFormat="1" x14ac:dyDescent="0.2">
      <c r="B62" s="260"/>
      <c r="C62" s="79" t="s">
        <v>354</v>
      </c>
      <c r="D62" s="82">
        <v>1824</v>
      </c>
      <c r="E62" s="131">
        <f t="shared" si="7"/>
        <v>34912</v>
      </c>
      <c r="F62" s="242">
        <v>91</v>
      </c>
      <c r="G62" s="242"/>
      <c r="H62" s="37">
        <f t="shared" si="2"/>
        <v>91</v>
      </c>
      <c r="I62" s="52">
        <f t="shared" si="6"/>
        <v>91.2</v>
      </c>
      <c r="J62" s="37">
        <f t="shared" si="0"/>
        <v>-0.20000000000000284</v>
      </c>
      <c r="K62" s="37">
        <v>10</v>
      </c>
      <c r="L62" s="83">
        <f t="shared" si="3"/>
        <v>25.682191780821917</v>
      </c>
      <c r="M62" s="37">
        <f t="shared" si="1"/>
        <v>-15.682191780821917</v>
      </c>
      <c r="N62" s="84">
        <f t="shared" si="4"/>
        <v>0</v>
      </c>
      <c r="O62" s="37">
        <f t="shared" si="5"/>
        <v>0</v>
      </c>
    </row>
    <row r="63" spans="2:16" s="217" customFormat="1" x14ac:dyDescent="0.2">
      <c r="B63" s="260"/>
      <c r="C63" s="79" t="s">
        <v>355</v>
      </c>
      <c r="D63" s="82">
        <v>1064</v>
      </c>
      <c r="E63" s="131">
        <f t="shared" si="7"/>
        <v>34912</v>
      </c>
      <c r="F63" s="242">
        <v>53</v>
      </c>
      <c r="G63" s="242"/>
      <c r="H63" s="37">
        <f t="shared" si="2"/>
        <v>53</v>
      </c>
      <c r="I63" s="52">
        <f t="shared" si="6"/>
        <v>53.2</v>
      </c>
      <c r="J63" s="37">
        <f t="shared" si="0"/>
        <v>-0.20000000000000284</v>
      </c>
      <c r="K63" s="37">
        <v>10</v>
      </c>
      <c r="L63" s="83">
        <f t="shared" si="3"/>
        <v>25.682191780821917</v>
      </c>
      <c r="M63" s="37">
        <f t="shared" si="1"/>
        <v>-15.682191780821917</v>
      </c>
      <c r="N63" s="84">
        <f t="shared" si="4"/>
        <v>0</v>
      </c>
      <c r="O63" s="37">
        <f t="shared" si="5"/>
        <v>0</v>
      </c>
    </row>
    <row r="64" spans="2:16" s="217" customFormat="1" x14ac:dyDescent="0.2">
      <c r="B64" s="260"/>
      <c r="C64" s="79" t="s">
        <v>356</v>
      </c>
      <c r="D64" s="82">
        <v>836</v>
      </c>
      <c r="E64" s="131">
        <f t="shared" si="7"/>
        <v>34912</v>
      </c>
      <c r="F64" s="242">
        <v>42</v>
      </c>
      <c r="G64" s="242"/>
      <c r="H64" s="37">
        <f t="shared" si="2"/>
        <v>42</v>
      </c>
      <c r="I64" s="52">
        <f t="shared" si="6"/>
        <v>41.800000000000004</v>
      </c>
      <c r="J64" s="37">
        <f t="shared" si="0"/>
        <v>0.19999999999999574</v>
      </c>
      <c r="K64" s="37">
        <v>10</v>
      </c>
      <c r="L64" s="83">
        <f t="shared" si="3"/>
        <v>25.682191780821917</v>
      </c>
      <c r="M64" s="37">
        <f t="shared" si="1"/>
        <v>-15.682191780821917</v>
      </c>
      <c r="N64" s="84">
        <f t="shared" si="4"/>
        <v>0</v>
      </c>
      <c r="O64" s="37">
        <f t="shared" si="5"/>
        <v>0</v>
      </c>
    </row>
    <row r="65" spans="2:16" s="217" customFormat="1" x14ac:dyDescent="0.2">
      <c r="B65" s="260"/>
      <c r="C65" s="79" t="s">
        <v>357</v>
      </c>
      <c r="D65" s="82">
        <v>1064</v>
      </c>
      <c r="E65" s="131">
        <f t="shared" si="7"/>
        <v>34912</v>
      </c>
      <c r="F65" s="242">
        <v>53</v>
      </c>
      <c r="G65" s="242"/>
      <c r="H65" s="37">
        <f t="shared" si="2"/>
        <v>53</v>
      </c>
      <c r="I65" s="52">
        <f t="shared" si="6"/>
        <v>53.2</v>
      </c>
      <c r="J65" s="37">
        <f t="shared" si="0"/>
        <v>-0.20000000000000284</v>
      </c>
      <c r="K65" s="37">
        <v>10</v>
      </c>
      <c r="L65" s="83">
        <f t="shared" si="3"/>
        <v>25.682191780821917</v>
      </c>
      <c r="M65" s="37">
        <f t="shared" si="1"/>
        <v>-15.682191780821917</v>
      </c>
      <c r="N65" s="84">
        <f t="shared" si="4"/>
        <v>0</v>
      </c>
      <c r="O65" s="37">
        <f t="shared" si="5"/>
        <v>0</v>
      </c>
    </row>
    <row r="66" spans="2:16" s="217" customFormat="1" x14ac:dyDescent="0.2">
      <c r="B66" s="260"/>
      <c r="C66" s="79" t="s">
        <v>358</v>
      </c>
      <c r="D66" s="82">
        <v>1824</v>
      </c>
      <c r="E66" s="131">
        <f t="shared" si="7"/>
        <v>34912</v>
      </c>
      <c r="F66" s="242">
        <v>91</v>
      </c>
      <c r="G66" s="242"/>
      <c r="H66" s="37">
        <f t="shared" si="2"/>
        <v>91</v>
      </c>
      <c r="I66" s="52">
        <f t="shared" si="6"/>
        <v>91.2</v>
      </c>
      <c r="J66" s="37">
        <f t="shared" si="0"/>
        <v>-0.20000000000000284</v>
      </c>
      <c r="K66" s="37">
        <v>10</v>
      </c>
      <c r="L66" s="83">
        <f t="shared" si="3"/>
        <v>25.682191780821917</v>
      </c>
      <c r="M66" s="37">
        <f t="shared" si="1"/>
        <v>-15.682191780821917</v>
      </c>
      <c r="N66" s="84">
        <f t="shared" si="4"/>
        <v>0</v>
      </c>
      <c r="O66" s="37">
        <f t="shared" si="5"/>
        <v>0</v>
      </c>
    </row>
    <row r="67" spans="2:16" s="217" customFormat="1" x14ac:dyDescent="0.2">
      <c r="B67" s="260"/>
      <c r="C67" s="79" t="s">
        <v>359</v>
      </c>
      <c r="D67" s="82">
        <v>456</v>
      </c>
      <c r="E67" s="131">
        <f t="shared" si="7"/>
        <v>34912</v>
      </c>
      <c r="F67" s="242">
        <v>23</v>
      </c>
      <c r="G67" s="242"/>
      <c r="H67" s="37">
        <f t="shared" si="2"/>
        <v>23</v>
      </c>
      <c r="I67" s="52">
        <f t="shared" si="6"/>
        <v>22.8</v>
      </c>
      <c r="J67" s="37">
        <f t="shared" si="0"/>
        <v>0.19999999999999929</v>
      </c>
      <c r="K67" s="37">
        <v>10</v>
      </c>
      <c r="L67" s="83">
        <f t="shared" si="3"/>
        <v>25.682191780821917</v>
      </c>
      <c r="M67" s="37">
        <f t="shared" si="1"/>
        <v>-15.682191780821917</v>
      </c>
      <c r="N67" s="84">
        <f t="shared" si="4"/>
        <v>0</v>
      </c>
      <c r="O67" s="37">
        <f t="shared" si="5"/>
        <v>0</v>
      </c>
    </row>
    <row r="68" spans="2:16" s="217" customFormat="1" x14ac:dyDescent="0.2">
      <c r="B68" s="260"/>
      <c r="C68" s="79" t="s">
        <v>360</v>
      </c>
      <c r="D68" s="82">
        <v>228</v>
      </c>
      <c r="E68" s="131">
        <f t="shared" si="7"/>
        <v>34912</v>
      </c>
      <c r="F68" s="242">
        <v>11</v>
      </c>
      <c r="G68" s="242"/>
      <c r="H68" s="37">
        <f t="shared" si="2"/>
        <v>11</v>
      </c>
      <c r="I68" s="52">
        <f t="shared" si="6"/>
        <v>11.4</v>
      </c>
      <c r="J68" s="37">
        <f t="shared" si="0"/>
        <v>-0.40000000000000036</v>
      </c>
      <c r="K68" s="37">
        <v>10</v>
      </c>
      <c r="L68" s="83">
        <f t="shared" si="3"/>
        <v>25.682191780821917</v>
      </c>
      <c r="M68" s="37">
        <f t="shared" si="1"/>
        <v>-15.682191780821917</v>
      </c>
      <c r="N68" s="84">
        <f t="shared" si="4"/>
        <v>0</v>
      </c>
      <c r="O68" s="37">
        <f t="shared" si="5"/>
        <v>0</v>
      </c>
    </row>
    <row r="69" spans="2:16" s="217" customFormat="1" x14ac:dyDescent="0.2">
      <c r="B69" s="260"/>
      <c r="C69" s="79" t="s">
        <v>361</v>
      </c>
      <c r="D69" s="82">
        <v>228</v>
      </c>
      <c r="E69" s="131">
        <f t="shared" si="7"/>
        <v>34912</v>
      </c>
      <c r="F69" s="242">
        <v>11</v>
      </c>
      <c r="G69" s="242"/>
      <c r="H69" s="37">
        <f t="shared" si="2"/>
        <v>11</v>
      </c>
      <c r="I69" s="52">
        <f t="shared" si="6"/>
        <v>11.4</v>
      </c>
      <c r="J69" s="37">
        <f t="shared" si="0"/>
        <v>-0.40000000000000036</v>
      </c>
      <c r="K69" s="37">
        <v>10</v>
      </c>
      <c r="L69" s="83">
        <f t="shared" si="3"/>
        <v>25.682191780821917</v>
      </c>
      <c r="M69" s="37">
        <f t="shared" si="1"/>
        <v>-15.682191780821917</v>
      </c>
      <c r="N69" s="84">
        <f t="shared" si="4"/>
        <v>0</v>
      </c>
      <c r="O69" s="37">
        <f t="shared" si="5"/>
        <v>0</v>
      </c>
    </row>
    <row r="70" spans="2:16" s="217" customFormat="1" x14ac:dyDescent="0.2">
      <c r="B70" s="260"/>
      <c r="C70" s="79" t="s">
        <v>362</v>
      </c>
      <c r="D70" s="82">
        <v>3040</v>
      </c>
      <c r="E70" s="131">
        <f t="shared" si="7"/>
        <v>34912</v>
      </c>
      <c r="F70" s="242">
        <v>151</v>
      </c>
      <c r="G70" s="242"/>
      <c r="H70" s="37">
        <f t="shared" si="2"/>
        <v>151</v>
      </c>
      <c r="I70" s="52">
        <f t="shared" si="6"/>
        <v>152</v>
      </c>
      <c r="J70" s="37">
        <f t="shared" si="0"/>
        <v>-1</v>
      </c>
      <c r="K70" s="37">
        <v>10</v>
      </c>
      <c r="L70" s="83">
        <f t="shared" si="3"/>
        <v>25.682191780821917</v>
      </c>
      <c r="M70" s="37">
        <f t="shared" si="1"/>
        <v>-15.682191780821917</v>
      </c>
      <c r="N70" s="84">
        <f t="shared" si="4"/>
        <v>0</v>
      </c>
      <c r="O70" s="37">
        <f t="shared" si="5"/>
        <v>0</v>
      </c>
    </row>
    <row r="71" spans="2:16" s="217" customFormat="1" x14ac:dyDescent="0.2">
      <c r="B71" s="260"/>
      <c r="C71" s="79" t="s">
        <v>363</v>
      </c>
      <c r="D71" s="82">
        <v>608</v>
      </c>
      <c r="E71" s="131">
        <f t="shared" si="7"/>
        <v>34912</v>
      </c>
      <c r="F71" s="242">
        <v>30</v>
      </c>
      <c r="G71" s="242"/>
      <c r="H71" s="37">
        <f t="shared" si="2"/>
        <v>30</v>
      </c>
      <c r="I71" s="52">
        <f t="shared" si="6"/>
        <v>30.400000000000002</v>
      </c>
      <c r="J71" s="37">
        <f t="shared" ref="J71:J121" si="8">F71-I71</f>
        <v>-0.40000000000000213</v>
      </c>
      <c r="K71" s="37">
        <v>10</v>
      </c>
      <c r="L71" s="83">
        <f t="shared" si="3"/>
        <v>25.682191780821917</v>
      </c>
      <c r="M71" s="37">
        <f t="shared" ref="M71:M121" si="9">K71-L71</f>
        <v>-15.682191780821917</v>
      </c>
      <c r="N71" s="84">
        <f t="shared" si="4"/>
        <v>0</v>
      </c>
      <c r="O71" s="37">
        <f t="shared" si="5"/>
        <v>0</v>
      </c>
    </row>
    <row r="72" spans="2:16" s="217" customFormat="1" x14ac:dyDescent="0.2">
      <c r="B72" s="260"/>
      <c r="C72" s="353" t="s">
        <v>364</v>
      </c>
      <c r="D72" s="354">
        <v>2900</v>
      </c>
      <c r="E72" s="355">
        <f t="shared" si="7"/>
        <v>34912</v>
      </c>
      <c r="F72" s="370">
        <v>145</v>
      </c>
      <c r="G72" s="370"/>
      <c r="H72" s="356">
        <f t="shared" ref="H72:H121" si="10">F72+G72-O72</f>
        <v>145</v>
      </c>
      <c r="I72" s="357">
        <f t="shared" ref="I72:I120" si="11">(D72+G72)*5%</f>
        <v>145</v>
      </c>
      <c r="J72" s="356">
        <f t="shared" si="8"/>
        <v>0</v>
      </c>
      <c r="K72" s="356">
        <v>10</v>
      </c>
      <c r="L72" s="358">
        <f t="shared" ref="L72:L121" si="12">($K$3-E72)/365</f>
        <v>25.682191780821917</v>
      </c>
      <c r="M72" s="356">
        <f t="shared" si="9"/>
        <v>-15.682191780821917</v>
      </c>
      <c r="N72" s="359">
        <f t="shared" ref="N72:N121" si="13">IF(M72&gt;0,(1-(I72/(F72+G72))^(1/K72)),0)</f>
        <v>0</v>
      </c>
      <c r="O72" s="356">
        <f t="shared" ref="O72:O105" si="14">ROUND((F72+G72)*N72,0)</f>
        <v>0</v>
      </c>
      <c r="P72" s="217" t="s">
        <v>577</v>
      </c>
    </row>
    <row r="73" spans="2:16" s="217" customFormat="1" x14ac:dyDescent="0.2">
      <c r="B73" s="260"/>
      <c r="C73" s="353" t="s">
        <v>365</v>
      </c>
      <c r="D73" s="354">
        <v>2079</v>
      </c>
      <c r="E73" s="355">
        <f t="shared" si="7"/>
        <v>34912</v>
      </c>
      <c r="F73" s="370">
        <v>104</v>
      </c>
      <c r="G73" s="370"/>
      <c r="H73" s="356">
        <f t="shared" si="10"/>
        <v>104</v>
      </c>
      <c r="I73" s="357">
        <f t="shared" si="11"/>
        <v>103.95</v>
      </c>
      <c r="J73" s="356">
        <f t="shared" si="8"/>
        <v>4.9999999999997158E-2</v>
      </c>
      <c r="K73" s="356">
        <v>10</v>
      </c>
      <c r="L73" s="358">
        <f t="shared" si="12"/>
        <v>25.682191780821917</v>
      </c>
      <c r="M73" s="356">
        <f t="shared" si="9"/>
        <v>-15.682191780821917</v>
      </c>
      <c r="N73" s="359">
        <f t="shared" si="13"/>
        <v>0</v>
      </c>
      <c r="O73" s="356">
        <f t="shared" si="14"/>
        <v>0</v>
      </c>
      <c r="P73" s="217" t="s">
        <v>577</v>
      </c>
    </row>
    <row r="74" spans="2:16" s="217" customFormat="1" x14ac:dyDescent="0.2">
      <c r="B74" s="260"/>
      <c r="C74" s="353" t="s">
        <v>366</v>
      </c>
      <c r="D74" s="354">
        <v>2510</v>
      </c>
      <c r="E74" s="355">
        <f t="shared" si="7"/>
        <v>34912</v>
      </c>
      <c r="F74" s="370">
        <v>126</v>
      </c>
      <c r="G74" s="370"/>
      <c r="H74" s="356">
        <f t="shared" si="10"/>
        <v>126</v>
      </c>
      <c r="I74" s="357">
        <f t="shared" si="11"/>
        <v>125.5</v>
      </c>
      <c r="J74" s="356">
        <f t="shared" si="8"/>
        <v>0.5</v>
      </c>
      <c r="K74" s="356">
        <v>10</v>
      </c>
      <c r="L74" s="358">
        <f t="shared" si="12"/>
        <v>25.682191780821917</v>
      </c>
      <c r="M74" s="356">
        <f t="shared" si="9"/>
        <v>-15.682191780821917</v>
      </c>
      <c r="N74" s="359">
        <f t="shared" si="13"/>
        <v>0</v>
      </c>
      <c r="O74" s="356">
        <f t="shared" si="14"/>
        <v>0</v>
      </c>
      <c r="P74" s="217" t="s">
        <v>577</v>
      </c>
    </row>
    <row r="75" spans="2:16" s="217" customFormat="1" x14ac:dyDescent="0.2">
      <c r="B75" s="260"/>
      <c r="C75" s="79" t="s">
        <v>367</v>
      </c>
      <c r="D75" s="82">
        <v>2472</v>
      </c>
      <c r="E75" s="131">
        <f t="shared" si="7"/>
        <v>34912</v>
      </c>
      <c r="F75" s="242">
        <v>124</v>
      </c>
      <c r="G75" s="242"/>
      <c r="H75" s="37">
        <f t="shared" si="10"/>
        <v>124</v>
      </c>
      <c r="I75" s="52">
        <f t="shared" si="11"/>
        <v>123.60000000000001</v>
      </c>
      <c r="J75" s="37">
        <f t="shared" si="8"/>
        <v>0.39999999999999147</v>
      </c>
      <c r="K75" s="37">
        <v>10</v>
      </c>
      <c r="L75" s="83">
        <f t="shared" si="12"/>
        <v>25.682191780821917</v>
      </c>
      <c r="M75" s="37">
        <f t="shared" si="9"/>
        <v>-15.682191780821917</v>
      </c>
      <c r="N75" s="84">
        <f t="shared" si="13"/>
        <v>0</v>
      </c>
      <c r="O75" s="37">
        <f t="shared" si="14"/>
        <v>0</v>
      </c>
    </row>
    <row r="76" spans="2:16" s="217" customFormat="1" x14ac:dyDescent="0.2">
      <c r="B76" s="260"/>
      <c r="C76" s="79" t="s">
        <v>368</v>
      </c>
      <c r="D76" s="82">
        <v>1250</v>
      </c>
      <c r="E76" s="131">
        <f t="shared" si="7"/>
        <v>34912</v>
      </c>
      <c r="F76" s="242">
        <v>62</v>
      </c>
      <c r="G76" s="242"/>
      <c r="H76" s="37">
        <f t="shared" si="10"/>
        <v>62</v>
      </c>
      <c r="I76" s="52">
        <f t="shared" si="11"/>
        <v>62.5</v>
      </c>
      <c r="J76" s="37">
        <f t="shared" si="8"/>
        <v>-0.5</v>
      </c>
      <c r="K76" s="37">
        <v>10</v>
      </c>
      <c r="L76" s="83">
        <f t="shared" si="12"/>
        <v>25.682191780821917</v>
      </c>
      <c r="M76" s="37">
        <f t="shared" si="9"/>
        <v>-15.682191780821917</v>
      </c>
      <c r="N76" s="84">
        <f t="shared" si="13"/>
        <v>0</v>
      </c>
      <c r="O76" s="37">
        <f t="shared" si="14"/>
        <v>0</v>
      </c>
    </row>
    <row r="77" spans="2:16" s="217" customFormat="1" x14ac:dyDescent="0.2">
      <c r="B77" s="260"/>
      <c r="C77" s="79" t="s">
        <v>369</v>
      </c>
      <c r="D77" s="82">
        <v>475</v>
      </c>
      <c r="E77" s="131">
        <f t="shared" si="7"/>
        <v>34912</v>
      </c>
      <c r="F77" s="242">
        <v>24</v>
      </c>
      <c r="G77" s="242"/>
      <c r="H77" s="37">
        <f t="shared" si="10"/>
        <v>24</v>
      </c>
      <c r="I77" s="52">
        <f t="shared" si="11"/>
        <v>23.75</v>
      </c>
      <c r="J77" s="37">
        <f t="shared" si="8"/>
        <v>0.25</v>
      </c>
      <c r="K77" s="37">
        <v>10</v>
      </c>
      <c r="L77" s="83">
        <f t="shared" si="12"/>
        <v>25.682191780821917</v>
      </c>
      <c r="M77" s="37">
        <f t="shared" si="9"/>
        <v>-15.682191780821917</v>
      </c>
      <c r="N77" s="84">
        <f t="shared" si="13"/>
        <v>0</v>
      </c>
      <c r="O77" s="37">
        <f t="shared" si="14"/>
        <v>0</v>
      </c>
    </row>
    <row r="78" spans="2:16" s="217" customFormat="1" x14ac:dyDescent="0.2">
      <c r="B78" s="260"/>
      <c r="C78" s="353" t="s">
        <v>370</v>
      </c>
      <c r="D78" s="354">
        <v>6787</v>
      </c>
      <c r="E78" s="355">
        <f>DATE(95,6,13)</f>
        <v>34863</v>
      </c>
      <c r="F78" s="370">
        <v>339</v>
      </c>
      <c r="G78" s="370"/>
      <c r="H78" s="356">
        <f t="shared" si="10"/>
        <v>339</v>
      </c>
      <c r="I78" s="357">
        <f t="shared" si="11"/>
        <v>339.35</v>
      </c>
      <c r="J78" s="356">
        <f t="shared" si="8"/>
        <v>-0.35000000000002274</v>
      </c>
      <c r="K78" s="356">
        <v>10</v>
      </c>
      <c r="L78" s="358">
        <f t="shared" si="12"/>
        <v>25.816438356164383</v>
      </c>
      <c r="M78" s="356">
        <f t="shared" si="9"/>
        <v>-15.816438356164383</v>
      </c>
      <c r="N78" s="359">
        <f t="shared" si="13"/>
        <v>0</v>
      </c>
      <c r="O78" s="356">
        <f t="shared" si="14"/>
        <v>0</v>
      </c>
      <c r="P78" s="217" t="s">
        <v>577</v>
      </c>
    </row>
    <row r="79" spans="2:16" s="217" customFormat="1" x14ac:dyDescent="0.2">
      <c r="B79" s="260"/>
      <c r="C79" s="353" t="s">
        <v>371</v>
      </c>
      <c r="D79" s="354">
        <v>4640</v>
      </c>
      <c r="E79" s="355">
        <f>DATE(95,6,13)</f>
        <v>34863</v>
      </c>
      <c r="F79" s="370">
        <v>232</v>
      </c>
      <c r="G79" s="370"/>
      <c r="H79" s="356">
        <f t="shared" si="10"/>
        <v>232</v>
      </c>
      <c r="I79" s="357">
        <f t="shared" si="11"/>
        <v>232</v>
      </c>
      <c r="J79" s="356">
        <f t="shared" si="8"/>
        <v>0</v>
      </c>
      <c r="K79" s="356">
        <v>10</v>
      </c>
      <c r="L79" s="358">
        <f t="shared" si="12"/>
        <v>25.816438356164383</v>
      </c>
      <c r="M79" s="356">
        <f t="shared" si="9"/>
        <v>-15.816438356164383</v>
      </c>
      <c r="N79" s="359">
        <f t="shared" si="13"/>
        <v>0</v>
      </c>
      <c r="O79" s="356">
        <f t="shared" si="14"/>
        <v>0</v>
      </c>
      <c r="P79" s="217" t="s">
        <v>577</v>
      </c>
    </row>
    <row r="80" spans="2:16" s="217" customFormat="1" x14ac:dyDescent="0.2">
      <c r="B80" s="260"/>
      <c r="C80" s="79" t="s">
        <v>335</v>
      </c>
      <c r="D80" s="82">
        <v>2340</v>
      </c>
      <c r="E80" s="131">
        <f>DATE(96,4,8)</f>
        <v>35163</v>
      </c>
      <c r="F80" s="242">
        <v>117</v>
      </c>
      <c r="G80" s="242"/>
      <c r="H80" s="37">
        <f t="shared" si="10"/>
        <v>117</v>
      </c>
      <c r="I80" s="52">
        <f t="shared" si="11"/>
        <v>117</v>
      </c>
      <c r="J80" s="37">
        <f t="shared" si="8"/>
        <v>0</v>
      </c>
      <c r="K80" s="37">
        <v>10</v>
      </c>
      <c r="L80" s="83">
        <f t="shared" si="12"/>
        <v>24.994520547945207</v>
      </c>
      <c r="M80" s="37">
        <f t="shared" si="9"/>
        <v>-14.994520547945207</v>
      </c>
      <c r="N80" s="84">
        <f t="shared" si="13"/>
        <v>0</v>
      </c>
      <c r="O80" s="37">
        <f t="shared" si="14"/>
        <v>0</v>
      </c>
    </row>
    <row r="81" spans="2:16" s="217" customFormat="1" x14ac:dyDescent="0.2">
      <c r="B81" s="260"/>
      <c r="C81" s="79" t="s">
        <v>372</v>
      </c>
      <c r="D81" s="82">
        <v>4950</v>
      </c>
      <c r="E81" s="131">
        <f>DATE(97,2,13)</f>
        <v>35474</v>
      </c>
      <c r="F81" s="242">
        <v>248</v>
      </c>
      <c r="G81" s="242"/>
      <c r="H81" s="37">
        <f t="shared" si="10"/>
        <v>248</v>
      </c>
      <c r="I81" s="52">
        <f t="shared" si="11"/>
        <v>247.5</v>
      </c>
      <c r="J81" s="37">
        <f t="shared" si="8"/>
        <v>0.5</v>
      </c>
      <c r="K81" s="37">
        <v>10</v>
      </c>
      <c r="L81" s="83">
        <f t="shared" si="12"/>
        <v>24.142465753424659</v>
      </c>
      <c r="M81" s="37">
        <f t="shared" si="9"/>
        <v>-14.142465753424659</v>
      </c>
      <c r="N81" s="84">
        <f t="shared" si="13"/>
        <v>0</v>
      </c>
      <c r="O81" s="37">
        <f t="shared" si="14"/>
        <v>0</v>
      </c>
    </row>
    <row r="82" spans="2:16" s="217" customFormat="1" x14ac:dyDescent="0.2">
      <c r="B82" s="260"/>
      <c r="C82" s="79" t="s">
        <v>373</v>
      </c>
      <c r="D82" s="82">
        <v>3190</v>
      </c>
      <c r="E82" s="131">
        <f>DATE(97,2,13)</f>
        <v>35474</v>
      </c>
      <c r="F82" s="242">
        <v>159.5</v>
      </c>
      <c r="G82" s="242"/>
      <c r="H82" s="37">
        <f t="shared" si="10"/>
        <v>159.5</v>
      </c>
      <c r="I82" s="52">
        <f t="shared" si="11"/>
        <v>159.5</v>
      </c>
      <c r="J82" s="37">
        <f t="shared" si="8"/>
        <v>0</v>
      </c>
      <c r="K82" s="37">
        <v>10</v>
      </c>
      <c r="L82" s="83">
        <f t="shared" si="12"/>
        <v>24.142465753424659</v>
      </c>
      <c r="M82" s="37">
        <f t="shared" si="9"/>
        <v>-14.142465753424659</v>
      </c>
      <c r="N82" s="84">
        <f t="shared" si="13"/>
        <v>0</v>
      </c>
      <c r="O82" s="37">
        <f t="shared" si="14"/>
        <v>0</v>
      </c>
    </row>
    <row r="83" spans="2:16" s="217" customFormat="1" x14ac:dyDescent="0.2">
      <c r="B83" s="260"/>
      <c r="C83" s="79" t="s">
        <v>374</v>
      </c>
      <c r="D83" s="82">
        <v>3839</v>
      </c>
      <c r="E83" s="131">
        <f>DATE(97,2,13)</f>
        <v>35474</v>
      </c>
      <c r="F83" s="242">
        <v>191.95000000000027</v>
      </c>
      <c r="G83" s="242"/>
      <c r="H83" s="37">
        <f t="shared" si="10"/>
        <v>191.95000000000027</v>
      </c>
      <c r="I83" s="52">
        <f t="shared" si="11"/>
        <v>191.95000000000002</v>
      </c>
      <c r="J83" s="37">
        <f t="shared" si="8"/>
        <v>2.5579538487363607E-13</v>
      </c>
      <c r="K83" s="37">
        <v>10</v>
      </c>
      <c r="L83" s="83">
        <f t="shared" si="12"/>
        <v>24.142465753424659</v>
      </c>
      <c r="M83" s="37">
        <f t="shared" si="9"/>
        <v>-14.142465753424659</v>
      </c>
      <c r="N83" s="84">
        <f t="shared" si="13"/>
        <v>0</v>
      </c>
      <c r="O83" s="37">
        <f t="shared" si="14"/>
        <v>0</v>
      </c>
    </row>
    <row r="84" spans="2:16" s="217" customFormat="1" x14ac:dyDescent="0.2">
      <c r="B84" s="260"/>
      <c r="C84" s="79" t="s">
        <v>375</v>
      </c>
      <c r="D84" s="82">
        <v>1804</v>
      </c>
      <c r="E84" s="131">
        <f>DATE(97,2,13)</f>
        <v>35474</v>
      </c>
      <c r="F84" s="242">
        <v>90.200000000000045</v>
      </c>
      <c r="G84" s="242"/>
      <c r="H84" s="37">
        <f t="shared" si="10"/>
        <v>90.200000000000045</v>
      </c>
      <c r="I84" s="52">
        <f t="shared" si="11"/>
        <v>90.2</v>
      </c>
      <c r="J84" s="37">
        <f t="shared" si="8"/>
        <v>0</v>
      </c>
      <c r="K84" s="37">
        <v>10</v>
      </c>
      <c r="L84" s="83">
        <f t="shared" si="12"/>
        <v>24.142465753424659</v>
      </c>
      <c r="M84" s="37">
        <f t="shared" si="9"/>
        <v>-14.142465753424659</v>
      </c>
      <c r="N84" s="84">
        <f t="shared" si="13"/>
        <v>0</v>
      </c>
      <c r="O84" s="37">
        <f t="shared" si="14"/>
        <v>0</v>
      </c>
    </row>
    <row r="85" spans="2:16" s="217" customFormat="1" x14ac:dyDescent="0.2">
      <c r="B85" s="260"/>
      <c r="C85" s="79" t="s">
        <v>376</v>
      </c>
      <c r="D85" s="82">
        <v>1942</v>
      </c>
      <c r="E85" s="131">
        <f>DATE(97,2,13)</f>
        <v>35474</v>
      </c>
      <c r="F85" s="242">
        <v>97.099999999999909</v>
      </c>
      <c r="G85" s="242"/>
      <c r="H85" s="37">
        <f t="shared" si="10"/>
        <v>97.099999999999909</v>
      </c>
      <c r="I85" s="52">
        <f t="shared" si="11"/>
        <v>97.100000000000009</v>
      </c>
      <c r="J85" s="37">
        <f t="shared" si="8"/>
        <v>0</v>
      </c>
      <c r="K85" s="37">
        <v>10</v>
      </c>
      <c r="L85" s="83">
        <f t="shared" si="12"/>
        <v>24.142465753424659</v>
      </c>
      <c r="M85" s="37">
        <f t="shared" si="9"/>
        <v>-14.142465753424659</v>
      </c>
      <c r="N85" s="84">
        <f t="shared" si="13"/>
        <v>0</v>
      </c>
      <c r="O85" s="37">
        <f t="shared" si="14"/>
        <v>0</v>
      </c>
    </row>
    <row r="86" spans="2:16" s="217" customFormat="1" x14ac:dyDescent="0.2">
      <c r="B86" s="260"/>
      <c r="C86" s="79" t="s">
        <v>377</v>
      </c>
      <c r="D86" s="82">
        <v>975</v>
      </c>
      <c r="E86" s="131">
        <f>DATE(97,2,6)</f>
        <v>35467</v>
      </c>
      <c r="F86" s="242">
        <v>48</v>
      </c>
      <c r="G86" s="242"/>
      <c r="H86" s="37">
        <f t="shared" si="10"/>
        <v>48</v>
      </c>
      <c r="I86" s="52">
        <f t="shared" si="11"/>
        <v>48.75</v>
      </c>
      <c r="J86" s="37">
        <f t="shared" si="8"/>
        <v>-0.75</v>
      </c>
      <c r="K86" s="37">
        <v>10</v>
      </c>
      <c r="L86" s="83">
        <f t="shared" si="12"/>
        <v>24.161643835616438</v>
      </c>
      <c r="M86" s="37">
        <f t="shared" si="9"/>
        <v>-14.161643835616438</v>
      </c>
      <c r="N86" s="84">
        <f t="shared" si="13"/>
        <v>0</v>
      </c>
      <c r="O86" s="37">
        <f t="shared" si="14"/>
        <v>0</v>
      </c>
    </row>
    <row r="87" spans="2:16" s="217" customFormat="1" x14ac:dyDescent="0.2">
      <c r="B87" s="260"/>
      <c r="C87" s="79" t="s">
        <v>378</v>
      </c>
      <c r="D87" s="82">
        <v>3200</v>
      </c>
      <c r="E87" s="131">
        <f>DATE(97,4,2)</f>
        <v>35522</v>
      </c>
      <c r="F87" s="242">
        <v>160</v>
      </c>
      <c r="G87" s="242"/>
      <c r="H87" s="37">
        <f t="shared" si="10"/>
        <v>160</v>
      </c>
      <c r="I87" s="52">
        <f t="shared" si="11"/>
        <v>160</v>
      </c>
      <c r="J87" s="37">
        <f t="shared" si="8"/>
        <v>0</v>
      </c>
      <c r="K87" s="37">
        <v>10</v>
      </c>
      <c r="L87" s="83">
        <f t="shared" si="12"/>
        <v>24.010958904109589</v>
      </c>
      <c r="M87" s="37">
        <f t="shared" si="9"/>
        <v>-14.010958904109589</v>
      </c>
      <c r="N87" s="84">
        <f t="shared" si="13"/>
        <v>0</v>
      </c>
      <c r="O87" s="37">
        <f t="shared" si="14"/>
        <v>0</v>
      </c>
    </row>
    <row r="88" spans="2:16" s="217" customFormat="1" x14ac:dyDescent="0.2">
      <c r="B88" s="260"/>
      <c r="C88" s="353" t="s">
        <v>379</v>
      </c>
      <c r="D88" s="354">
        <v>1040</v>
      </c>
      <c r="E88" s="355">
        <f>DATE(97,5,28)</f>
        <v>35578</v>
      </c>
      <c r="F88" s="370">
        <v>51</v>
      </c>
      <c r="G88" s="370"/>
      <c r="H88" s="356">
        <f t="shared" si="10"/>
        <v>51</v>
      </c>
      <c r="I88" s="357">
        <f t="shared" si="11"/>
        <v>52</v>
      </c>
      <c r="J88" s="356">
        <f t="shared" si="8"/>
        <v>-1</v>
      </c>
      <c r="K88" s="356">
        <v>10</v>
      </c>
      <c r="L88" s="358">
        <f t="shared" si="12"/>
        <v>23.857534246575341</v>
      </c>
      <c r="M88" s="356">
        <f t="shared" si="9"/>
        <v>-13.857534246575341</v>
      </c>
      <c r="N88" s="359">
        <f t="shared" si="13"/>
        <v>0</v>
      </c>
      <c r="O88" s="356">
        <f t="shared" si="14"/>
        <v>0</v>
      </c>
      <c r="P88" s="217" t="s">
        <v>577</v>
      </c>
    </row>
    <row r="89" spans="2:16" s="217" customFormat="1" x14ac:dyDescent="0.2">
      <c r="B89" s="260"/>
      <c r="C89" s="353" t="s">
        <v>380</v>
      </c>
      <c r="D89" s="354">
        <v>14175</v>
      </c>
      <c r="E89" s="355">
        <f>DATE(97,12,12)</f>
        <v>35776</v>
      </c>
      <c r="F89" s="370">
        <v>708.75</v>
      </c>
      <c r="G89" s="370"/>
      <c r="H89" s="356">
        <f t="shared" si="10"/>
        <v>708.75</v>
      </c>
      <c r="I89" s="357">
        <f t="shared" si="11"/>
        <v>708.75</v>
      </c>
      <c r="J89" s="356">
        <f t="shared" si="8"/>
        <v>0</v>
      </c>
      <c r="K89" s="356">
        <v>10</v>
      </c>
      <c r="L89" s="358">
        <f t="shared" si="12"/>
        <v>23.315068493150687</v>
      </c>
      <c r="M89" s="356">
        <f t="shared" si="9"/>
        <v>-13.315068493150687</v>
      </c>
      <c r="N89" s="359">
        <f t="shared" si="13"/>
        <v>0</v>
      </c>
      <c r="O89" s="356">
        <f t="shared" si="14"/>
        <v>0</v>
      </c>
      <c r="P89" s="217" t="s">
        <v>577</v>
      </c>
    </row>
    <row r="90" spans="2:16" s="217" customFormat="1" x14ac:dyDescent="0.2">
      <c r="B90" s="260"/>
      <c r="C90" s="353" t="s">
        <v>381</v>
      </c>
      <c r="D90" s="354">
        <v>17450</v>
      </c>
      <c r="E90" s="355">
        <f>DATE(97,12,24)</f>
        <v>35788</v>
      </c>
      <c r="F90" s="370">
        <v>872.5</v>
      </c>
      <c r="G90" s="370"/>
      <c r="H90" s="356">
        <f t="shared" si="10"/>
        <v>872.5</v>
      </c>
      <c r="I90" s="357">
        <f t="shared" si="11"/>
        <v>872.5</v>
      </c>
      <c r="J90" s="356">
        <f t="shared" si="8"/>
        <v>0</v>
      </c>
      <c r="K90" s="356">
        <v>10</v>
      </c>
      <c r="L90" s="358">
        <f t="shared" si="12"/>
        <v>23.282191780821918</v>
      </c>
      <c r="M90" s="356">
        <f t="shared" si="9"/>
        <v>-13.282191780821918</v>
      </c>
      <c r="N90" s="359">
        <f t="shared" si="13"/>
        <v>0</v>
      </c>
      <c r="O90" s="356">
        <f t="shared" si="14"/>
        <v>0</v>
      </c>
      <c r="P90" s="217" t="s">
        <v>577</v>
      </c>
    </row>
    <row r="91" spans="2:16" s="217" customFormat="1" x14ac:dyDescent="0.2">
      <c r="B91" s="260"/>
      <c r="C91" s="79" t="s">
        <v>382</v>
      </c>
      <c r="D91" s="82">
        <v>300</v>
      </c>
      <c r="E91" s="131">
        <f>DATE(97,7,21)</f>
        <v>35632</v>
      </c>
      <c r="F91" s="242">
        <v>15</v>
      </c>
      <c r="G91" s="242"/>
      <c r="H91" s="37">
        <f t="shared" si="10"/>
        <v>15</v>
      </c>
      <c r="I91" s="52">
        <f t="shared" si="11"/>
        <v>15</v>
      </c>
      <c r="J91" s="37">
        <f t="shared" si="8"/>
        <v>0</v>
      </c>
      <c r="K91" s="37">
        <v>10</v>
      </c>
      <c r="L91" s="83">
        <f t="shared" si="12"/>
        <v>23.709589041095889</v>
      </c>
      <c r="M91" s="37">
        <f t="shared" si="9"/>
        <v>-13.709589041095889</v>
      </c>
      <c r="N91" s="84">
        <f t="shared" si="13"/>
        <v>0</v>
      </c>
      <c r="O91" s="37">
        <f t="shared" si="14"/>
        <v>0</v>
      </c>
    </row>
    <row r="92" spans="2:16" s="217" customFormat="1" x14ac:dyDescent="0.2">
      <c r="B92" s="260"/>
      <c r="C92" s="79" t="s">
        <v>383</v>
      </c>
      <c r="D92" s="82">
        <v>5690</v>
      </c>
      <c r="E92" s="131">
        <f>DATE(97,12,15)</f>
        <v>35779</v>
      </c>
      <c r="F92" s="242">
        <v>284.5</v>
      </c>
      <c r="G92" s="242"/>
      <c r="H92" s="37">
        <f t="shared" si="10"/>
        <v>284.5</v>
      </c>
      <c r="I92" s="52">
        <f t="shared" si="11"/>
        <v>284.5</v>
      </c>
      <c r="J92" s="37">
        <f t="shared" si="8"/>
        <v>0</v>
      </c>
      <c r="K92" s="37">
        <v>10</v>
      </c>
      <c r="L92" s="83">
        <f t="shared" si="12"/>
        <v>23.306849315068494</v>
      </c>
      <c r="M92" s="37">
        <f t="shared" si="9"/>
        <v>-13.306849315068494</v>
      </c>
      <c r="N92" s="84">
        <f t="shared" si="13"/>
        <v>0</v>
      </c>
      <c r="O92" s="37">
        <f t="shared" si="14"/>
        <v>0</v>
      </c>
    </row>
    <row r="93" spans="2:16" s="217" customFormat="1" x14ac:dyDescent="0.2">
      <c r="B93" s="260"/>
      <c r="C93" s="79" t="s">
        <v>384</v>
      </c>
      <c r="D93" s="145">
        <v>6518</v>
      </c>
      <c r="E93" s="131">
        <v>37481</v>
      </c>
      <c r="F93" s="242">
        <v>325.89999999999964</v>
      </c>
      <c r="G93" s="242"/>
      <c r="H93" s="37">
        <f t="shared" si="10"/>
        <v>325.89999999999964</v>
      </c>
      <c r="I93" s="52">
        <f t="shared" si="11"/>
        <v>325.90000000000003</v>
      </c>
      <c r="J93" s="37">
        <f t="shared" si="8"/>
        <v>0</v>
      </c>
      <c r="K93" s="37">
        <v>10</v>
      </c>
      <c r="L93" s="83">
        <f t="shared" si="12"/>
        <v>18.643835616438356</v>
      </c>
      <c r="M93" s="37">
        <f t="shared" si="9"/>
        <v>-8.6438356164383556</v>
      </c>
      <c r="N93" s="84">
        <f t="shared" si="13"/>
        <v>0</v>
      </c>
      <c r="O93" s="37">
        <f t="shared" si="14"/>
        <v>0</v>
      </c>
    </row>
    <row r="94" spans="2:16" s="217" customFormat="1" x14ac:dyDescent="0.2">
      <c r="B94" s="260"/>
      <c r="C94" s="132" t="s">
        <v>385</v>
      </c>
      <c r="D94" s="145">
        <v>1080</v>
      </c>
      <c r="E94" s="131">
        <v>38097</v>
      </c>
      <c r="F94" s="242">
        <v>53</v>
      </c>
      <c r="G94" s="242"/>
      <c r="H94" s="37">
        <f t="shared" si="10"/>
        <v>53</v>
      </c>
      <c r="I94" s="52">
        <f t="shared" si="11"/>
        <v>54</v>
      </c>
      <c r="J94" s="37">
        <f t="shared" si="8"/>
        <v>-1</v>
      </c>
      <c r="K94" s="37">
        <v>10</v>
      </c>
      <c r="L94" s="83">
        <f t="shared" si="12"/>
        <v>16.956164383561642</v>
      </c>
      <c r="M94" s="37">
        <f t="shared" si="9"/>
        <v>-6.9561643835616422</v>
      </c>
      <c r="N94" s="84">
        <f t="shared" si="13"/>
        <v>0</v>
      </c>
      <c r="O94" s="37">
        <f t="shared" si="14"/>
        <v>0</v>
      </c>
    </row>
    <row r="95" spans="2:16" s="217" customFormat="1" x14ac:dyDescent="0.2">
      <c r="B95" s="260"/>
      <c r="C95" s="79" t="s">
        <v>386</v>
      </c>
      <c r="D95" s="145">
        <v>8880</v>
      </c>
      <c r="E95" s="131">
        <v>38852</v>
      </c>
      <c r="F95" s="242">
        <v>0</v>
      </c>
      <c r="G95" s="242"/>
      <c r="H95" s="37">
        <f t="shared" si="10"/>
        <v>0</v>
      </c>
      <c r="I95" s="52">
        <f t="shared" si="11"/>
        <v>444</v>
      </c>
      <c r="J95" s="37">
        <f>+F95</f>
        <v>0</v>
      </c>
      <c r="K95" s="37">
        <v>10</v>
      </c>
      <c r="L95" s="83">
        <f t="shared" si="12"/>
        <v>14.887671232876713</v>
      </c>
      <c r="M95" s="37">
        <f t="shared" si="9"/>
        <v>-4.8876712328767127</v>
      </c>
      <c r="N95" s="84">
        <f t="shared" si="13"/>
        <v>0</v>
      </c>
      <c r="O95" s="37">
        <f t="shared" si="14"/>
        <v>0</v>
      </c>
    </row>
    <row r="96" spans="2:16" s="217" customFormat="1" x14ac:dyDescent="0.2">
      <c r="B96" s="260"/>
      <c r="C96" s="79" t="s">
        <v>387</v>
      </c>
      <c r="D96" s="145">
        <v>93712</v>
      </c>
      <c r="E96" s="131">
        <v>39134</v>
      </c>
      <c r="F96" s="242">
        <v>0</v>
      </c>
      <c r="G96" s="242"/>
      <c r="H96" s="37">
        <f t="shared" si="10"/>
        <v>0</v>
      </c>
      <c r="I96" s="52">
        <f>+F96</f>
        <v>0</v>
      </c>
      <c r="J96" s="37">
        <f t="shared" si="8"/>
        <v>0</v>
      </c>
      <c r="K96" s="37">
        <v>10</v>
      </c>
      <c r="L96" s="83">
        <f t="shared" si="12"/>
        <v>14.115068493150686</v>
      </c>
      <c r="M96" s="37">
        <f t="shared" si="9"/>
        <v>-4.1150684931506856</v>
      </c>
      <c r="N96" s="84">
        <f t="shared" si="13"/>
        <v>0</v>
      </c>
      <c r="O96" s="37">
        <f t="shared" si="14"/>
        <v>0</v>
      </c>
    </row>
    <row r="97" spans="2:16" s="217" customFormat="1" x14ac:dyDescent="0.2">
      <c r="B97" s="260"/>
      <c r="C97" s="79" t="s">
        <v>388</v>
      </c>
      <c r="D97" s="145">
        <v>5737</v>
      </c>
      <c r="E97" s="131">
        <v>38873</v>
      </c>
      <c r="F97" s="242">
        <v>286</v>
      </c>
      <c r="G97" s="242"/>
      <c r="H97" s="37">
        <f t="shared" si="10"/>
        <v>286</v>
      </c>
      <c r="I97" s="52">
        <f t="shared" si="11"/>
        <v>286.85000000000002</v>
      </c>
      <c r="J97" s="37">
        <f t="shared" si="8"/>
        <v>-0.85000000000002274</v>
      </c>
      <c r="K97" s="37">
        <v>10</v>
      </c>
      <c r="L97" s="83">
        <f t="shared" si="12"/>
        <v>14.830136986301369</v>
      </c>
      <c r="M97" s="37">
        <f t="shared" si="9"/>
        <v>-4.830136986301369</v>
      </c>
      <c r="N97" s="84">
        <f t="shared" si="13"/>
        <v>0</v>
      </c>
      <c r="O97" s="37">
        <f t="shared" si="14"/>
        <v>0</v>
      </c>
    </row>
    <row r="98" spans="2:16" s="217" customFormat="1" x14ac:dyDescent="0.2">
      <c r="B98" s="260"/>
      <c r="C98" s="132" t="s">
        <v>389</v>
      </c>
      <c r="D98" s="145">
        <v>9779</v>
      </c>
      <c r="E98" s="131">
        <v>39815</v>
      </c>
      <c r="F98" s="242">
        <v>488.95000000000005</v>
      </c>
      <c r="G98" s="242"/>
      <c r="H98" s="37">
        <f t="shared" si="10"/>
        <v>488.95000000000005</v>
      </c>
      <c r="I98" s="52">
        <f t="shared" si="11"/>
        <v>488.95000000000005</v>
      </c>
      <c r="J98" s="37">
        <f t="shared" si="8"/>
        <v>0</v>
      </c>
      <c r="K98" s="37">
        <v>10</v>
      </c>
      <c r="L98" s="83">
        <f t="shared" si="12"/>
        <v>12.24931506849315</v>
      </c>
      <c r="M98" s="37">
        <f t="shared" si="9"/>
        <v>-2.24931506849315</v>
      </c>
      <c r="N98" s="84">
        <f t="shared" si="13"/>
        <v>0</v>
      </c>
      <c r="O98" s="37">
        <f t="shared" si="14"/>
        <v>0</v>
      </c>
    </row>
    <row r="99" spans="2:16" s="217" customFormat="1" x14ac:dyDescent="0.2">
      <c r="B99" s="260"/>
      <c r="C99" s="79" t="s">
        <v>390</v>
      </c>
      <c r="D99" s="145">
        <v>18173</v>
      </c>
      <c r="E99" s="131">
        <v>40153</v>
      </c>
      <c r="F99" s="242">
        <v>908.82500000000005</v>
      </c>
      <c r="G99" s="242"/>
      <c r="H99" s="37">
        <f t="shared" si="10"/>
        <v>908.82500000000005</v>
      </c>
      <c r="I99" s="52">
        <f t="shared" si="11"/>
        <v>908.65000000000009</v>
      </c>
      <c r="J99" s="37">
        <f t="shared" si="8"/>
        <v>0.17499999999995453</v>
      </c>
      <c r="K99" s="37">
        <v>10</v>
      </c>
      <c r="L99" s="83">
        <f t="shared" si="12"/>
        <v>11.323287671232876</v>
      </c>
      <c r="M99" s="37">
        <f t="shared" si="9"/>
        <v>-1.3232876712328761</v>
      </c>
      <c r="N99" s="84">
        <f t="shared" si="13"/>
        <v>0</v>
      </c>
      <c r="O99" s="37">
        <f t="shared" si="14"/>
        <v>0</v>
      </c>
    </row>
    <row r="100" spans="2:16" s="217" customFormat="1" x14ac:dyDescent="0.2">
      <c r="B100" s="260"/>
      <c r="C100" s="79" t="s">
        <v>391</v>
      </c>
      <c r="D100" s="145">
        <v>900</v>
      </c>
      <c r="E100" s="131">
        <v>40153</v>
      </c>
      <c r="F100" s="242">
        <v>45</v>
      </c>
      <c r="G100" s="242"/>
      <c r="H100" s="37">
        <f t="shared" si="10"/>
        <v>45</v>
      </c>
      <c r="I100" s="52">
        <f t="shared" si="11"/>
        <v>45</v>
      </c>
      <c r="J100" s="37">
        <f t="shared" si="8"/>
        <v>0</v>
      </c>
      <c r="K100" s="37">
        <v>10</v>
      </c>
      <c r="L100" s="83">
        <f t="shared" si="12"/>
        <v>11.323287671232876</v>
      </c>
      <c r="M100" s="37">
        <f t="shared" si="9"/>
        <v>-1.3232876712328761</v>
      </c>
      <c r="N100" s="84">
        <f t="shared" si="13"/>
        <v>0</v>
      </c>
      <c r="O100" s="37">
        <f t="shared" si="14"/>
        <v>0</v>
      </c>
    </row>
    <row r="101" spans="2:16" s="217" customFormat="1" x14ac:dyDescent="0.2">
      <c r="B101" s="260"/>
      <c r="C101" s="79" t="s">
        <v>392</v>
      </c>
      <c r="D101" s="145">
        <v>5372</v>
      </c>
      <c r="E101" s="131">
        <v>40376</v>
      </c>
      <c r="F101" s="242">
        <v>198.8</v>
      </c>
      <c r="G101" s="242"/>
      <c r="H101" s="37">
        <f t="shared" si="10"/>
        <v>198.8</v>
      </c>
      <c r="I101" s="52">
        <f>+F101</f>
        <v>198.8</v>
      </c>
      <c r="J101" s="37">
        <f t="shared" si="8"/>
        <v>0</v>
      </c>
      <c r="K101" s="37">
        <v>10</v>
      </c>
      <c r="L101" s="83">
        <f t="shared" si="12"/>
        <v>10.712328767123287</v>
      </c>
      <c r="M101" s="37">
        <f t="shared" si="9"/>
        <v>-0.71232876712328697</v>
      </c>
      <c r="N101" s="84">
        <f t="shared" si="13"/>
        <v>0</v>
      </c>
      <c r="O101" s="37">
        <f t="shared" si="14"/>
        <v>0</v>
      </c>
    </row>
    <row r="102" spans="2:16" s="217" customFormat="1" x14ac:dyDescent="0.2">
      <c r="B102" s="260"/>
      <c r="C102" s="79" t="s">
        <v>393</v>
      </c>
      <c r="D102" s="145">
        <v>10028</v>
      </c>
      <c r="E102" s="131">
        <v>40597</v>
      </c>
      <c r="F102" s="242">
        <v>371</v>
      </c>
      <c r="G102" s="242"/>
      <c r="H102" s="37">
        <f t="shared" si="10"/>
        <v>371</v>
      </c>
      <c r="I102" s="52">
        <f>+F102</f>
        <v>371</v>
      </c>
      <c r="J102" s="37">
        <f t="shared" si="8"/>
        <v>0</v>
      </c>
      <c r="K102" s="37">
        <v>10</v>
      </c>
      <c r="L102" s="83">
        <f t="shared" si="12"/>
        <v>10.106849315068493</v>
      </c>
      <c r="M102" s="37">
        <f t="shared" si="9"/>
        <v>-0.1068493150684926</v>
      </c>
      <c r="N102" s="84">
        <f t="shared" si="13"/>
        <v>0</v>
      </c>
      <c r="O102" s="37">
        <f t="shared" si="14"/>
        <v>0</v>
      </c>
    </row>
    <row r="103" spans="2:16" s="217" customFormat="1" x14ac:dyDescent="0.2">
      <c r="B103" s="260"/>
      <c r="C103" s="79" t="s">
        <v>394</v>
      </c>
      <c r="D103" s="145">
        <v>11860</v>
      </c>
      <c r="E103" s="131">
        <v>40628</v>
      </c>
      <c r="F103" s="242">
        <v>439</v>
      </c>
      <c r="G103" s="242"/>
      <c r="H103" s="37">
        <f t="shared" si="10"/>
        <v>439</v>
      </c>
      <c r="I103" s="52">
        <f>+F103</f>
        <v>439</v>
      </c>
      <c r="J103" s="37">
        <f t="shared" si="8"/>
        <v>0</v>
      </c>
      <c r="K103" s="37">
        <v>10</v>
      </c>
      <c r="L103" s="83">
        <f t="shared" si="12"/>
        <v>10.021917808219179</v>
      </c>
      <c r="M103" s="37">
        <f t="shared" si="9"/>
        <v>-2.191780821917888E-2</v>
      </c>
      <c r="N103" s="84">
        <f t="shared" si="13"/>
        <v>0</v>
      </c>
      <c r="O103" s="37">
        <f t="shared" si="14"/>
        <v>0</v>
      </c>
    </row>
    <row r="104" spans="2:16" s="217" customFormat="1" x14ac:dyDescent="0.2">
      <c r="B104" s="260"/>
      <c r="C104" s="353" t="s">
        <v>395</v>
      </c>
      <c r="D104" s="360">
        <v>9150</v>
      </c>
      <c r="E104" s="355">
        <v>40621</v>
      </c>
      <c r="F104" s="370">
        <v>339</v>
      </c>
      <c r="G104" s="370"/>
      <c r="H104" s="356">
        <f t="shared" si="10"/>
        <v>339</v>
      </c>
      <c r="I104" s="357">
        <f>+F104</f>
        <v>339</v>
      </c>
      <c r="J104" s="356">
        <f t="shared" si="8"/>
        <v>0</v>
      </c>
      <c r="K104" s="356">
        <v>10</v>
      </c>
      <c r="L104" s="358">
        <f t="shared" si="12"/>
        <v>10.04109589041096</v>
      </c>
      <c r="M104" s="356">
        <f t="shared" si="9"/>
        <v>-4.1095890410959512E-2</v>
      </c>
      <c r="N104" s="359">
        <f t="shared" si="13"/>
        <v>0</v>
      </c>
      <c r="O104" s="356">
        <f t="shared" si="14"/>
        <v>0</v>
      </c>
      <c r="P104" s="217" t="s">
        <v>577</v>
      </c>
    </row>
    <row r="105" spans="2:16" s="217" customFormat="1" x14ac:dyDescent="0.2">
      <c r="B105" s="260"/>
      <c r="C105" s="181" t="s">
        <v>394</v>
      </c>
      <c r="D105" s="145">
        <v>11800</v>
      </c>
      <c r="E105" s="131">
        <v>41778</v>
      </c>
      <c r="F105" s="242">
        <v>3693</v>
      </c>
      <c r="G105" s="263"/>
      <c r="H105" s="37">
        <f t="shared" si="10"/>
        <v>3074</v>
      </c>
      <c r="I105" s="52">
        <f t="shared" si="11"/>
        <v>590</v>
      </c>
      <c r="J105" s="37">
        <f t="shared" si="8"/>
        <v>3103</v>
      </c>
      <c r="K105" s="37">
        <v>10</v>
      </c>
      <c r="L105" s="83">
        <f t="shared" si="12"/>
        <v>6.8712328767123285</v>
      </c>
      <c r="M105" s="37">
        <f t="shared" si="9"/>
        <v>3.1287671232876715</v>
      </c>
      <c r="N105" s="84">
        <f t="shared" si="13"/>
        <v>0.16757086826432077</v>
      </c>
      <c r="O105" s="37">
        <f t="shared" si="14"/>
        <v>619</v>
      </c>
    </row>
    <row r="106" spans="2:16" s="217" customFormat="1" x14ac:dyDescent="0.2">
      <c r="B106" s="260" t="s">
        <v>48</v>
      </c>
      <c r="C106" s="177" t="s">
        <v>396</v>
      </c>
      <c r="D106" s="240"/>
      <c r="E106" s="264"/>
      <c r="H106" s="37"/>
      <c r="I106" s="52">
        <f t="shared" si="11"/>
        <v>0</v>
      </c>
      <c r="J106" s="37"/>
      <c r="K106" s="37"/>
      <c r="L106" s="83"/>
      <c r="M106" s="37"/>
      <c r="N106" s="84"/>
      <c r="O106" s="37"/>
    </row>
    <row r="107" spans="2:16" s="217" customFormat="1" x14ac:dyDescent="0.2">
      <c r="B107" s="260"/>
      <c r="C107" s="79" t="s">
        <v>397</v>
      </c>
      <c r="D107" s="82">
        <v>3859</v>
      </c>
      <c r="E107" s="131">
        <f>DATE(96,4,3)</f>
        <v>35158</v>
      </c>
      <c r="F107" s="242">
        <v>192.95000000000027</v>
      </c>
      <c r="G107" s="242"/>
      <c r="H107" s="37">
        <f t="shared" si="10"/>
        <v>192.95000000000027</v>
      </c>
      <c r="I107" s="52">
        <f t="shared" si="11"/>
        <v>192.95000000000002</v>
      </c>
      <c r="J107" s="37">
        <f t="shared" si="8"/>
        <v>2.5579538487363607E-13</v>
      </c>
      <c r="K107" s="37">
        <v>10</v>
      </c>
      <c r="L107" s="83">
        <f t="shared" si="12"/>
        <v>25.008219178082193</v>
      </c>
      <c r="M107" s="37">
        <f t="shared" si="9"/>
        <v>-15.008219178082193</v>
      </c>
      <c r="N107" s="84">
        <f t="shared" si="13"/>
        <v>0</v>
      </c>
      <c r="O107" s="37">
        <f t="shared" ref="O107:O121" si="15">(F107+G107)*N107</f>
        <v>0</v>
      </c>
    </row>
    <row r="108" spans="2:16" s="217" customFormat="1" x14ac:dyDescent="0.2">
      <c r="B108" s="260"/>
      <c r="C108" s="79" t="s">
        <v>397</v>
      </c>
      <c r="D108" s="82">
        <v>2951</v>
      </c>
      <c r="E108" s="131">
        <f>DATE(96,4,6)</f>
        <v>35161</v>
      </c>
      <c r="F108" s="242">
        <v>147.55000000000018</v>
      </c>
      <c r="G108" s="242"/>
      <c r="H108" s="37">
        <f t="shared" si="10"/>
        <v>147.55000000000018</v>
      </c>
      <c r="I108" s="52">
        <f t="shared" si="11"/>
        <v>147.55000000000001</v>
      </c>
      <c r="J108" s="37">
        <f t="shared" si="8"/>
        <v>0</v>
      </c>
      <c r="K108" s="37">
        <v>10</v>
      </c>
      <c r="L108" s="83">
        <f t="shared" si="12"/>
        <v>25</v>
      </c>
      <c r="M108" s="37">
        <f t="shared" si="9"/>
        <v>-15</v>
      </c>
      <c r="N108" s="84">
        <f t="shared" si="13"/>
        <v>0</v>
      </c>
      <c r="O108" s="37">
        <f t="shared" si="15"/>
        <v>0</v>
      </c>
    </row>
    <row r="109" spans="2:16" s="217" customFormat="1" x14ac:dyDescent="0.2">
      <c r="B109" s="260"/>
      <c r="C109" s="79" t="s">
        <v>398</v>
      </c>
      <c r="D109" s="82">
        <v>12732</v>
      </c>
      <c r="E109" s="131">
        <f>DATE(96,7,24)</f>
        <v>35270</v>
      </c>
      <c r="F109" s="242">
        <v>636.60000000000036</v>
      </c>
      <c r="G109" s="242"/>
      <c r="H109" s="37">
        <f t="shared" si="10"/>
        <v>636.60000000000036</v>
      </c>
      <c r="I109" s="52">
        <f t="shared" si="11"/>
        <v>636.6</v>
      </c>
      <c r="J109" s="37">
        <f t="shared" si="8"/>
        <v>0</v>
      </c>
      <c r="K109" s="37">
        <v>10</v>
      </c>
      <c r="L109" s="83">
        <f t="shared" si="12"/>
        <v>24.701369863013699</v>
      </c>
      <c r="M109" s="37">
        <f t="shared" si="9"/>
        <v>-14.701369863013699</v>
      </c>
      <c r="N109" s="84">
        <f t="shared" si="13"/>
        <v>0</v>
      </c>
      <c r="O109" s="37">
        <f t="shared" si="15"/>
        <v>0</v>
      </c>
    </row>
    <row r="110" spans="2:16" s="217" customFormat="1" x14ac:dyDescent="0.2">
      <c r="B110" s="260"/>
      <c r="C110" s="353" t="s">
        <v>399</v>
      </c>
      <c r="D110" s="354">
        <v>3330</v>
      </c>
      <c r="E110" s="355">
        <f>DATE(96,7,24)</f>
        <v>35270</v>
      </c>
      <c r="F110" s="370">
        <v>166.5</v>
      </c>
      <c r="G110" s="370"/>
      <c r="H110" s="356">
        <f t="shared" si="10"/>
        <v>166.5</v>
      </c>
      <c r="I110" s="357">
        <f t="shared" si="11"/>
        <v>166.5</v>
      </c>
      <c r="J110" s="356">
        <f t="shared" si="8"/>
        <v>0</v>
      </c>
      <c r="K110" s="356">
        <v>10</v>
      </c>
      <c r="L110" s="358">
        <f t="shared" si="12"/>
        <v>24.701369863013699</v>
      </c>
      <c r="M110" s="356">
        <f t="shared" si="9"/>
        <v>-14.701369863013699</v>
      </c>
      <c r="N110" s="359">
        <f t="shared" si="13"/>
        <v>0</v>
      </c>
      <c r="O110" s="356">
        <f t="shared" si="15"/>
        <v>0</v>
      </c>
      <c r="P110" s="217" t="s">
        <v>577</v>
      </c>
    </row>
    <row r="111" spans="2:16" s="217" customFormat="1" x14ac:dyDescent="0.2">
      <c r="B111" s="260"/>
      <c r="C111" s="79" t="s">
        <v>400</v>
      </c>
      <c r="D111" s="82">
        <v>1440</v>
      </c>
      <c r="E111" s="131">
        <f>DATE(96,3,4)</f>
        <v>35128</v>
      </c>
      <c r="F111" s="242">
        <v>72</v>
      </c>
      <c r="G111" s="242"/>
      <c r="H111" s="37">
        <f t="shared" si="10"/>
        <v>72</v>
      </c>
      <c r="I111" s="52">
        <f t="shared" si="11"/>
        <v>72</v>
      </c>
      <c r="J111" s="37">
        <f t="shared" si="8"/>
        <v>0</v>
      </c>
      <c r="K111" s="37">
        <v>10</v>
      </c>
      <c r="L111" s="83">
        <f t="shared" si="12"/>
        <v>25.090410958904108</v>
      </c>
      <c r="M111" s="37">
        <f t="shared" si="9"/>
        <v>-15.090410958904108</v>
      </c>
      <c r="N111" s="84">
        <f t="shared" si="13"/>
        <v>0</v>
      </c>
      <c r="O111" s="37">
        <f t="shared" si="15"/>
        <v>0</v>
      </c>
    </row>
    <row r="112" spans="2:16" s="217" customFormat="1" x14ac:dyDescent="0.2">
      <c r="B112" s="260"/>
      <c r="C112" s="79" t="s">
        <v>401</v>
      </c>
      <c r="D112" s="82">
        <v>2800</v>
      </c>
      <c r="E112" s="131">
        <f>DATE(96,3,4)</f>
        <v>35128</v>
      </c>
      <c r="F112" s="242">
        <v>140</v>
      </c>
      <c r="G112" s="242"/>
      <c r="H112" s="37">
        <f t="shared" si="10"/>
        <v>140</v>
      </c>
      <c r="I112" s="52">
        <f t="shared" si="11"/>
        <v>140</v>
      </c>
      <c r="J112" s="37">
        <f t="shared" si="8"/>
        <v>0</v>
      </c>
      <c r="K112" s="37">
        <v>10</v>
      </c>
      <c r="L112" s="83">
        <f t="shared" si="12"/>
        <v>25.090410958904108</v>
      </c>
      <c r="M112" s="37">
        <f t="shared" si="9"/>
        <v>-15.090410958904108</v>
      </c>
      <c r="N112" s="84">
        <f t="shared" si="13"/>
        <v>0</v>
      </c>
      <c r="O112" s="37">
        <f t="shared" si="15"/>
        <v>0</v>
      </c>
    </row>
    <row r="113" spans="2:16" s="217" customFormat="1" x14ac:dyDescent="0.2">
      <c r="B113" s="260"/>
      <c r="C113" s="79" t="s">
        <v>402</v>
      </c>
      <c r="D113" s="82">
        <v>800</v>
      </c>
      <c r="E113" s="131">
        <f>DATE(97,8,25)</f>
        <v>35667</v>
      </c>
      <c r="F113" s="242">
        <v>40</v>
      </c>
      <c r="G113" s="242"/>
      <c r="H113" s="37">
        <f t="shared" si="10"/>
        <v>40</v>
      </c>
      <c r="I113" s="52">
        <f t="shared" si="11"/>
        <v>40</v>
      </c>
      <c r="J113" s="37">
        <f t="shared" si="8"/>
        <v>0</v>
      </c>
      <c r="K113" s="37">
        <v>10</v>
      </c>
      <c r="L113" s="83">
        <f t="shared" si="12"/>
        <v>23.613698630136987</v>
      </c>
      <c r="M113" s="37">
        <f t="shared" si="9"/>
        <v>-13.613698630136987</v>
      </c>
      <c r="N113" s="84">
        <f t="shared" si="13"/>
        <v>0</v>
      </c>
      <c r="O113" s="37">
        <f t="shared" si="15"/>
        <v>0</v>
      </c>
    </row>
    <row r="114" spans="2:16" s="217" customFormat="1" x14ac:dyDescent="0.2">
      <c r="B114" s="260"/>
      <c r="C114" s="79" t="s">
        <v>403</v>
      </c>
      <c r="D114" s="82">
        <v>1555</v>
      </c>
      <c r="E114" s="131">
        <f>DATE(97,6,4)</f>
        <v>35585</v>
      </c>
      <c r="F114" s="242">
        <v>77.75</v>
      </c>
      <c r="G114" s="242"/>
      <c r="H114" s="37">
        <f t="shared" si="10"/>
        <v>77.75</v>
      </c>
      <c r="I114" s="52">
        <f t="shared" si="11"/>
        <v>77.75</v>
      </c>
      <c r="J114" s="37">
        <f t="shared" si="8"/>
        <v>0</v>
      </c>
      <c r="K114" s="37">
        <v>10</v>
      </c>
      <c r="L114" s="83">
        <f t="shared" si="12"/>
        <v>23.838356164383562</v>
      </c>
      <c r="M114" s="37">
        <f t="shared" si="9"/>
        <v>-13.838356164383562</v>
      </c>
      <c r="N114" s="84">
        <f t="shared" si="13"/>
        <v>0</v>
      </c>
      <c r="O114" s="37">
        <f t="shared" si="15"/>
        <v>0</v>
      </c>
    </row>
    <row r="115" spans="2:16" s="217" customFormat="1" x14ac:dyDescent="0.2">
      <c r="B115" s="260" t="s">
        <v>89</v>
      </c>
      <c r="C115" s="177" t="s">
        <v>404</v>
      </c>
      <c r="D115" s="82"/>
      <c r="E115" s="82"/>
      <c r="F115" s="263"/>
      <c r="G115" s="263"/>
      <c r="H115" s="37"/>
      <c r="I115" s="52">
        <f t="shared" si="11"/>
        <v>0</v>
      </c>
      <c r="J115" s="37"/>
      <c r="K115" s="37"/>
      <c r="L115" s="83"/>
      <c r="M115" s="37"/>
      <c r="N115" s="84"/>
      <c r="O115" s="37"/>
      <c r="P115" s="217" t="s">
        <v>577</v>
      </c>
    </row>
    <row r="116" spans="2:16" s="217" customFormat="1" x14ac:dyDescent="0.2">
      <c r="B116" s="260"/>
      <c r="C116" s="79" t="s">
        <v>405</v>
      </c>
      <c r="D116" s="145">
        <v>0</v>
      </c>
      <c r="E116" s="131">
        <v>38938</v>
      </c>
      <c r="F116" s="242">
        <v>0</v>
      </c>
      <c r="G116" s="242"/>
      <c r="H116" s="37">
        <f t="shared" si="10"/>
        <v>0</v>
      </c>
      <c r="I116" s="52">
        <f t="shared" si="11"/>
        <v>0</v>
      </c>
      <c r="J116" s="37">
        <f t="shared" si="8"/>
        <v>0</v>
      </c>
      <c r="K116" s="37">
        <v>10</v>
      </c>
      <c r="L116" s="83">
        <f t="shared" si="12"/>
        <v>14.652054794520549</v>
      </c>
      <c r="M116" s="37">
        <f t="shared" si="9"/>
        <v>-4.6520547945205486</v>
      </c>
      <c r="N116" s="84">
        <f t="shared" si="13"/>
        <v>0</v>
      </c>
      <c r="O116" s="37">
        <f t="shared" si="15"/>
        <v>0</v>
      </c>
    </row>
    <row r="117" spans="2:16" s="217" customFormat="1" x14ac:dyDescent="0.2">
      <c r="B117" s="260"/>
      <c r="C117" s="79" t="s">
        <v>406</v>
      </c>
      <c r="D117" s="145">
        <v>0</v>
      </c>
      <c r="E117" s="131">
        <v>38946</v>
      </c>
      <c r="F117" s="242">
        <v>0</v>
      </c>
      <c r="G117" s="242"/>
      <c r="H117" s="37">
        <f t="shared" si="10"/>
        <v>0</v>
      </c>
      <c r="I117" s="52">
        <f t="shared" si="11"/>
        <v>0</v>
      </c>
      <c r="J117" s="37">
        <f t="shared" si="8"/>
        <v>0</v>
      </c>
      <c r="K117" s="37">
        <v>10</v>
      </c>
      <c r="L117" s="83">
        <f t="shared" si="12"/>
        <v>14.63013698630137</v>
      </c>
      <c r="M117" s="37">
        <f t="shared" si="9"/>
        <v>-4.6301369863013697</v>
      </c>
      <c r="N117" s="84">
        <f t="shared" si="13"/>
        <v>0</v>
      </c>
      <c r="O117" s="37">
        <f t="shared" si="15"/>
        <v>0</v>
      </c>
    </row>
    <row r="118" spans="2:16" s="217" customFormat="1" x14ac:dyDescent="0.2">
      <c r="B118" s="260"/>
      <c r="C118" s="353" t="s">
        <v>407</v>
      </c>
      <c r="D118" s="360">
        <v>0</v>
      </c>
      <c r="E118" s="355">
        <v>38946</v>
      </c>
      <c r="F118" s="370">
        <v>0</v>
      </c>
      <c r="G118" s="370"/>
      <c r="H118" s="356">
        <f t="shared" si="10"/>
        <v>0</v>
      </c>
      <c r="I118" s="357">
        <f t="shared" si="11"/>
        <v>0</v>
      </c>
      <c r="J118" s="356">
        <f t="shared" si="8"/>
        <v>0</v>
      </c>
      <c r="K118" s="356">
        <v>10</v>
      </c>
      <c r="L118" s="358">
        <f t="shared" si="12"/>
        <v>14.63013698630137</v>
      </c>
      <c r="M118" s="356">
        <f t="shared" si="9"/>
        <v>-4.6301369863013697</v>
      </c>
      <c r="N118" s="359">
        <f t="shared" si="13"/>
        <v>0</v>
      </c>
      <c r="O118" s="356">
        <f t="shared" si="15"/>
        <v>0</v>
      </c>
      <c r="P118" s="217" t="s">
        <v>577</v>
      </c>
    </row>
    <row r="119" spans="2:16" s="217" customFormat="1" x14ac:dyDescent="0.2">
      <c r="B119" s="260"/>
      <c r="C119" s="79" t="s">
        <v>408</v>
      </c>
      <c r="D119" s="145">
        <v>13950</v>
      </c>
      <c r="E119" s="131">
        <v>38973</v>
      </c>
      <c r="F119" s="242">
        <v>0</v>
      </c>
      <c r="G119" s="242"/>
      <c r="H119" s="37">
        <f t="shared" si="10"/>
        <v>0</v>
      </c>
      <c r="I119" s="52">
        <v>0</v>
      </c>
      <c r="J119" s="37">
        <f t="shared" si="8"/>
        <v>0</v>
      </c>
      <c r="K119" s="37">
        <v>10</v>
      </c>
      <c r="L119" s="83">
        <f t="shared" si="12"/>
        <v>14.556164383561644</v>
      </c>
      <c r="M119" s="37">
        <f t="shared" si="9"/>
        <v>-4.5561643835616437</v>
      </c>
      <c r="N119" s="84">
        <f t="shared" si="13"/>
        <v>0</v>
      </c>
      <c r="O119" s="37">
        <f t="shared" si="15"/>
        <v>0</v>
      </c>
    </row>
    <row r="120" spans="2:16" s="217" customFormat="1" x14ac:dyDescent="0.2">
      <c r="B120" s="260" t="s">
        <v>272</v>
      </c>
      <c r="C120" s="177" t="s">
        <v>409</v>
      </c>
      <c r="D120" s="145"/>
      <c r="E120" s="131"/>
      <c r="F120" s="263"/>
      <c r="G120" s="263"/>
      <c r="H120" s="37"/>
      <c r="I120" s="52">
        <f t="shared" si="11"/>
        <v>0</v>
      </c>
      <c r="J120" s="37"/>
      <c r="K120" s="37"/>
      <c r="L120" s="83"/>
      <c r="M120" s="37"/>
      <c r="N120" s="84"/>
      <c r="O120" s="37"/>
    </row>
    <row r="121" spans="2:16" s="217" customFormat="1" x14ac:dyDescent="0.2">
      <c r="B121" s="260"/>
      <c r="C121" s="265" t="s">
        <v>410</v>
      </c>
      <c r="D121" s="145">
        <v>550</v>
      </c>
      <c r="E121" s="131">
        <v>39365</v>
      </c>
      <c r="F121" s="242">
        <v>0</v>
      </c>
      <c r="G121" s="263"/>
      <c r="H121" s="37">
        <f t="shared" si="10"/>
        <v>0</v>
      </c>
      <c r="I121" s="52">
        <f>+F121</f>
        <v>0</v>
      </c>
      <c r="J121" s="37">
        <f t="shared" si="8"/>
        <v>0</v>
      </c>
      <c r="K121" s="37">
        <v>10</v>
      </c>
      <c r="L121" s="83">
        <f t="shared" si="12"/>
        <v>13.482191780821918</v>
      </c>
      <c r="M121" s="37">
        <f t="shared" si="9"/>
        <v>-3.4821917808219176</v>
      </c>
      <c r="N121" s="84">
        <f t="shared" si="13"/>
        <v>0</v>
      </c>
      <c r="O121" s="37">
        <f t="shared" si="15"/>
        <v>0</v>
      </c>
    </row>
    <row r="122" spans="2:16" s="217" customFormat="1" x14ac:dyDescent="0.2">
      <c r="C122" s="223"/>
      <c r="D122" s="266"/>
      <c r="E122" s="266"/>
      <c r="F122" s="267"/>
      <c r="G122" s="267"/>
      <c r="H122" s="267"/>
      <c r="I122" s="266"/>
      <c r="J122" s="266"/>
      <c r="K122" s="37"/>
      <c r="L122" s="37"/>
      <c r="M122" s="37"/>
      <c r="N122" s="84"/>
      <c r="O122" s="37"/>
    </row>
    <row r="123" spans="2:16" s="217" customFormat="1" x14ac:dyDescent="0.2">
      <c r="C123" s="268" t="s">
        <v>32</v>
      </c>
      <c r="D123" s="245">
        <f>ROUND(SUM(D7:D122),0)</f>
        <v>1114208</v>
      </c>
      <c r="E123" s="245"/>
      <c r="F123" s="245">
        <f>SUM(F7:F122)</f>
        <v>34427.325000000004</v>
      </c>
      <c r="G123" s="245">
        <f>SUM(G7:G122)</f>
        <v>0</v>
      </c>
      <c r="H123" s="245">
        <f>SUM(H7:H122)</f>
        <v>33808.325000000004</v>
      </c>
      <c r="I123" s="245">
        <f>SUM(I7:I122)</f>
        <v>31769.5</v>
      </c>
      <c r="J123" s="245">
        <f>SUM(J7:J122)</f>
        <v>3101.8250000000003</v>
      </c>
      <c r="K123" s="245"/>
      <c r="L123" s="245"/>
      <c r="M123" s="245"/>
      <c r="N123" s="269"/>
      <c r="O123" s="245">
        <f>SUM(O5:O122)</f>
        <v>619</v>
      </c>
    </row>
    <row r="124" spans="2:16" s="217" customFormat="1" x14ac:dyDescent="0.2">
      <c r="C124" s="261"/>
      <c r="D124" s="371">
        <f>SUBTOTAL(9,D16:D118)</f>
        <v>1086523</v>
      </c>
      <c r="E124" s="270"/>
      <c r="F124" s="371">
        <f>SUBTOTAL(9,F16:F118)</f>
        <v>33771.325000000004</v>
      </c>
      <c r="G124" s="270"/>
      <c r="H124" s="371">
        <f>SUBTOTAL(9,H16:H118)</f>
        <v>33152.325000000004</v>
      </c>
      <c r="I124" s="270"/>
      <c r="J124" s="270"/>
      <c r="K124" s="270"/>
      <c r="L124" s="270"/>
      <c r="M124" s="270"/>
      <c r="N124" s="271"/>
      <c r="O124" s="270"/>
    </row>
    <row r="125" spans="2:16" s="261" customFormat="1" x14ac:dyDescent="0.2">
      <c r="D125" s="272"/>
      <c r="E125" s="272"/>
      <c r="F125" s="272"/>
      <c r="G125" s="272"/>
      <c r="H125" s="272"/>
      <c r="I125" s="272"/>
      <c r="J125" s="272"/>
      <c r="K125" s="272"/>
      <c r="L125" s="272"/>
      <c r="M125" s="272"/>
      <c r="N125" s="273"/>
      <c r="O125" s="272"/>
    </row>
  </sheetData>
  <autoFilter ref="C4:P123"/>
  <mergeCells count="1">
    <mergeCell ref="C1:F1"/>
  </mergeCells>
  <printOptions horizontalCentered="1" gridLines="1"/>
  <pageMargins left="0.23622047244094491" right="0.23622047244094491" top="0.23622047244094491" bottom="0.19685039370078741" header="0.23622047244094491" footer="0.15748031496062992"/>
  <pageSetup paperSize="9" scale="65" orientation="landscape" r:id="rId1"/>
  <headerFooter alignWithMargins="0">
    <oddHeader>&amp;LDepreciation on Furniture &amp; Fixture&amp;CCentury Aluminium Mfg Co Ltd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Schedule VI</vt:lpstr>
      <vt:lpstr>Addition during the year</vt:lpstr>
      <vt:lpstr>D-LAND</vt:lpstr>
      <vt:lpstr>D-LEASE HOLD RIGHT</vt:lpstr>
      <vt:lpstr>D-BUILDING</vt:lpstr>
      <vt:lpstr>D-MACHINERY</vt:lpstr>
      <vt:lpstr>D-ELECTRI.</vt:lpstr>
      <vt:lpstr>D-VEHICLE</vt:lpstr>
      <vt:lpstr>D-FURNITURE</vt:lpstr>
      <vt:lpstr>D-EQUIP.</vt:lpstr>
      <vt:lpstr>Adjustment</vt:lpstr>
      <vt:lpstr>Sale of FA_22-23</vt:lpstr>
      <vt:lpstr>'Addition during the year'!Print_Area</vt:lpstr>
      <vt:lpstr>Adjustment!Print_Area</vt:lpstr>
      <vt:lpstr>'D-BUILDING'!Print_Area</vt:lpstr>
      <vt:lpstr>'D-ELECTRI.'!Print_Area</vt:lpstr>
      <vt:lpstr>'D-EQUIP.'!Print_Area</vt:lpstr>
      <vt:lpstr>'D-FURNITURE'!Print_Area</vt:lpstr>
      <vt:lpstr>'D-MACHINERY'!Print_Area</vt:lpstr>
      <vt:lpstr>'Sale of FA_22-23'!Print_Area</vt:lpstr>
      <vt:lpstr>'Schedule VI'!Print_Area</vt:lpstr>
      <vt:lpstr>'D-EQUIP.'!Print_Titles</vt:lpstr>
      <vt:lpstr>'D-FURNITURE'!Print_Titles</vt:lpstr>
      <vt:lpstr>'D-MACHINERY'!Print_Titles</vt:lpstr>
    </vt:vector>
  </TitlesOfParts>
  <Company>CENTURY ALUMINIUM MFG CO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WAJID ALI</dc:creator>
  <cp:lastModifiedBy>User</cp:lastModifiedBy>
  <cp:lastPrinted>2022-09-15T07:42:14Z</cp:lastPrinted>
  <dcterms:created xsi:type="dcterms:W3CDTF">1999-10-14T11:17:32Z</dcterms:created>
  <dcterms:modified xsi:type="dcterms:W3CDTF">2022-09-15T07:48:36Z</dcterms:modified>
</cp:coreProperties>
</file>