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In Progress Files\Adil Afaque\aqualite\Report\"/>
    </mc:Choice>
  </mc:AlternateContent>
  <bookViews>
    <workbookView xWindow="0" yWindow="0" windowWidth="24000" windowHeight="9615" activeTab="1"/>
  </bookViews>
  <sheets>
    <sheet name="Aqualite" sheetId="3" r:id="rId1"/>
    <sheet name="Building_Calculation" sheetId="4" r:id="rId2"/>
  </sheets>
  <definedNames>
    <definedName name="_xlnm._FilterDatabase" localSheetId="1" hidden="1">Building_Calculation!$C$4:$W$42</definedName>
  </definedNames>
  <calcPr calcId="152511"/>
</workbook>
</file>

<file path=xl/calcChain.xml><?xml version="1.0" encoding="utf-8"?>
<calcChain xmlns="http://schemas.openxmlformats.org/spreadsheetml/2006/main">
  <c r="Y50" i="4" l="1"/>
  <c r="X54" i="4"/>
  <c r="X53" i="4"/>
  <c r="X51" i="4"/>
  <c r="X49" i="4"/>
  <c r="T49" i="4"/>
  <c r="Q29" i="4"/>
  <c r="Q6" i="4"/>
  <c r="Q7" i="4" s="1"/>
  <c r="N43" i="4" l="1"/>
  <c r="N42" i="4"/>
  <c r="N41" i="4"/>
  <c r="J43" i="4"/>
  <c r="G43" i="4"/>
  <c r="I43" i="4"/>
  <c r="I42" i="4"/>
  <c r="I41" i="4"/>
  <c r="G41" i="4"/>
  <c r="Z18" i="4" l="1"/>
  <c r="Z20" i="4"/>
  <c r="P8" i="4"/>
  <c r="P9" i="4"/>
  <c r="P10" i="4"/>
  <c r="P11" i="4"/>
  <c r="P12" i="4"/>
  <c r="P13" i="4"/>
  <c r="P14" i="4"/>
  <c r="P15" i="4"/>
  <c r="P16" i="4"/>
  <c r="P17" i="4"/>
  <c r="P18" i="4"/>
  <c r="P19" i="4"/>
  <c r="P20" i="4"/>
  <c r="P21" i="4"/>
  <c r="P22" i="4"/>
  <c r="P23" i="4"/>
  <c r="P24" i="4"/>
  <c r="P25" i="4"/>
  <c r="P26" i="4"/>
  <c r="P27" i="4"/>
  <c r="P28" i="4"/>
  <c r="P29" i="4"/>
  <c r="P30" i="4"/>
  <c r="P31" i="4"/>
  <c r="P32" i="4"/>
  <c r="M8" i="4"/>
  <c r="M9" i="4"/>
  <c r="M10" i="4"/>
  <c r="M11" i="4"/>
  <c r="M12" i="4"/>
  <c r="M13" i="4"/>
  <c r="M14" i="4"/>
  <c r="M15" i="4"/>
  <c r="M16" i="4"/>
  <c r="M17" i="4"/>
  <c r="M18" i="4"/>
  <c r="M19" i="4"/>
  <c r="M20" i="4"/>
  <c r="M21" i="4"/>
  <c r="M22" i="4"/>
  <c r="M23" i="4"/>
  <c r="M24" i="4"/>
  <c r="M25" i="4"/>
  <c r="M26" i="4"/>
  <c r="M27" i="4"/>
  <c r="M28" i="4"/>
  <c r="M29" i="4"/>
  <c r="M30" i="4"/>
  <c r="M31" i="4"/>
  <c r="M32" i="4"/>
  <c r="H32" i="4"/>
  <c r="I32" i="4" s="1"/>
  <c r="R32" i="4" s="1"/>
  <c r="H31" i="4"/>
  <c r="I31" i="4" s="1"/>
  <c r="R31" i="4" s="1"/>
  <c r="H30" i="4"/>
  <c r="I30" i="4" s="1"/>
  <c r="R30" i="4" s="1"/>
  <c r="H29" i="4"/>
  <c r="I29" i="4" s="1"/>
  <c r="R29" i="4" s="1"/>
  <c r="H28" i="4"/>
  <c r="I28" i="4" s="1"/>
  <c r="R28" i="4" s="1"/>
  <c r="H27" i="4"/>
  <c r="I27" i="4" s="1"/>
  <c r="R27" i="4" s="1"/>
  <c r="I25" i="4"/>
  <c r="R25" i="4" s="1"/>
  <c r="H26" i="4"/>
  <c r="I26" i="4" s="1"/>
  <c r="R26" i="4" s="1"/>
  <c r="H25" i="4"/>
  <c r="H24" i="4"/>
  <c r="I24" i="4" s="1"/>
  <c r="R24" i="4" s="1"/>
  <c r="H23" i="4"/>
  <c r="I23" i="4" s="1"/>
  <c r="R23" i="4" s="1"/>
  <c r="H22" i="4"/>
  <c r="I22" i="4" s="1"/>
  <c r="R22" i="4" s="1"/>
  <c r="H21" i="4"/>
  <c r="I21" i="4" s="1"/>
  <c r="R21" i="4" s="1"/>
  <c r="I20" i="4"/>
  <c r="R20" i="4" s="1"/>
  <c r="H20" i="4"/>
  <c r="H19" i="4"/>
  <c r="I19" i="4" s="1"/>
  <c r="R19" i="4" s="1"/>
  <c r="H18" i="4"/>
  <c r="I18" i="4" s="1"/>
  <c r="R18" i="4" s="1"/>
  <c r="H17" i="4"/>
  <c r="I17" i="4" s="1"/>
  <c r="R17" i="4" s="1"/>
  <c r="H16" i="4"/>
  <c r="I16" i="4" s="1"/>
  <c r="R16" i="4" s="1"/>
  <c r="I14" i="4"/>
  <c r="R14" i="4" s="1"/>
  <c r="H15" i="4"/>
  <c r="I15" i="4" s="1"/>
  <c r="R15" i="4" s="1"/>
  <c r="H14" i="4"/>
  <c r="I12" i="4"/>
  <c r="R12" i="4" s="1"/>
  <c r="H13" i="4"/>
  <c r="I13" i="4" s="1"/>
  <c r="R13" i="4" s="1"/>
  <c r="H12" i="4"/>
  <c r="I10" i="4"/>
  <c r="R10" i="4" s="1"/>
  <c r="H11" i="4"/>
  <c r="I11" i="4" s="1"/>
  <c r="R11" i="4" s="1"/>
  <c r="H10" i="4"/>
  <c r="H9" i="4"/>
  <c r="I9" i="4" s="1"/>
  <c r="R9" i="4" s="1"/>
  <c r="H8" i="4"/>
  <c r="I8" i="4" s="1"/>
  <c r="H6" i="4"/>
  <c r="I6" i="4" s="1"/>
  <c r="R6" i="4" s="1"/>
  <c r="H7" i="4"/>
  <c r="I7" i="4" s="1"/>
  <c r="R7" i="4" s="1"/>
  <c r="H5" i="4"/>
  <c r="I5" i="4" s="1"/>
  <c r="R5" i="4" s="1"/>
  <c r="P7" i="4"/>
  <c r="M7" i="4"/>
  <c r="P6" i="4"/>
  <c r="M6" i="4"/>
  <c r="P5" i="4"/>
  <c r="M5" i="4"/>
  <c r="H44" i="3"/>
  <c r="G44" i="3"/>
  <c r="F44" i="3"/>
  <c r="H43" i="3"/>
  <c r="G43" i="3"/>
  <c r="F43" i="3"/>
  <c r="H42" i="3"/>
  <c r="G42" i="3"/>
  <c r="F42" i="3"/>
  <c r="A11" i="3"/>
  <c r="H41" i="3"/>
  <c r="G41" i="3"/>
  <c r="F41" i="3"/>
  <c r="F40" i="3"/>
  <c r="A9" i="3"/>
  <c r="U24" i="3"/>
  <c r="U25" i="3"/>
  <c r="U26" i="3"/>
  <c r="U27" i="3"/>
  <c r="U28" i="3"/>
  <c r="U29" i="3"/>
  <c r="U30" i="3"/>
  <c r="U31" i="3"/>
  <c r="U32" i="3"/>
  <c r="S23" i="3"/>
  <c r="S24" i="3"/>
  <c r="S25" i="3"/>
  <c r="S26" i="3"/>
  <c r="S27" i="3"/>
  <c r="S28" i="3"/>
  <c r="S29" i="3"/>
  <c r="S30" i="3"/>
  <c r="S31" i="3"/>
  <c r="S32" i="3"/>
  <c r="R23" i="3"/>
  <c r="R24" i="3"/>
  <c r="R25" i="3"/>
  <c r="R26" i="3"/>
  <c r="R27" i="3"/>
  <c r="R28" i="3"/>
  <c r="R29" i="3"/>
  <c r="R30" i="3"/>
  <c r="R31" i="3"/>
  <c r="R32" i="3"/>
  <c r="Q23" i="3"/>
  <c r="Q24" i="3"/>
  <c r="Q25" i="3"/>
  <c r="Q26" i="3"/>
  <c r="Q27" i="3"/>
  <c r="Q28" i="3"/>
  <c r="Q29" i="3"/>
  <c r="Q30" i="3"/>
  <c r="Q31" i="3"/>
  <c r="Q32" i="3"/>
  <c r="L23" i="3"/>
  <c r="L24" i="3"/>
  <c r="L25" i="3"/>
  <c r="L26" i="3"/>
  <c r="L27" i="3"/>
  <c r="L28" i="3"/>
  <c r="L29" i="3"/>
  <c r="L30" i="3"/>
  <c r="L31" i="3"/>
  <c r="L32" i="3"/>
  <c r="O23" i="3"/>
  <c r="O24" i="3"/>
  <c r="O25" i="3"/>
  <c r="O26" i="3"/>
  <c r="O27" i="3"/>
  <c r="O28" i="3"/>
  <c r="O29" i="3"/>
  <c r="O30" i="3"/>
  <c r="O31" i="3"/>
  <c r="O32" i="3"/>
  <c r="H32" i="3"/>
  <c r="H31" i="3"/>
  <c r="H30" i="3"/>
  <c r="H29" i="3"/>
  <c r="H28" i="3"/>
  <c r="H27" i="3"/>
  <c r="H26" i="3"/>
  <c r="A29" i="3"/>
  <c r="H25" i="3"/>
  <c r="H24" i="3"/>
  <c r="H23" i="3"/>
  <c r="H22" i="3"/>
  <c r="Q22" i="3" s="1"/>
  <c r="L9" i="3"/>
  <c r="L10" i="3"/>
  <c r="L11" i="3"/>
  <c r="L12" i="3"/>
  <c r="L13" i="3"/>
  <c r="L14" i="3"/>
  <c r="L15" i="3"/>
  <c r="L16" i="3"/>
  <c r="L17" i="3"/>
  <c r="L18" i="3"/>
  <c r="L19" i="3"/>
  <c r="L20" i="3"/>
  <c r="L21" i="3"/>
  <c r="L22" i="3"/>
  <c r="O8" i="3"/>
  <c r="O9" i="3"/>
  <c r="O10" i="3"/>
  <c r="O11" i="3"/>
  <c r="O12" i="3"/>
  <c r="O13" i="3"/>
  <c r="O14" i="3"/>
  <c r="O15" i="3"/>
  <c r="O16" i="3"/>
  <c r="O17" i="3"/>
  <c r="O18" i="3"/>
  <c r="O19" i="3"/>
  <c r="O20" i="3"/>
  <c r="O21" i="3"/>
  <c r="O22" i="3"/>
  <c r="Q10" i="3"/>
  <c r="U23" i="3"/>
  <c r="H14" i="3"/>
  <c r="Q14" i="3" s="1"/>
  <c r="H15" i="3"/>
  <c r="Q15" i="3" s="1"/>
  <c r="H16" i="3"/>
  <c r="Q16" i="3" s="1"/>
  <c r="H17" i="3"/>
  <c r="Q17" i="3" s="1"/>
  <c r="H18" i="3"/>
  <c r="Q18" i="3" s="1"/>
  <c r="H19" i="3"/>
  <c r="Q19" i="3" s="1"/>
  <c r="H20" i="3"/>
  <c r="Q20" i="3" s="1"/>
  <c r="H21" i="3"/>
  <c r="Q21" i="3" s="1"/>
  <c r="H13" i="3"/>
  <c r="Q13" i="3" s="1"/>
  <c r="H12" i="3"/>
  <c r="Q12" i="3" s="1"/>
  <c r="H11" i="3"/>
  <c r="Q11" i="3" s="1"/>
  <c r="H10" i="3"/>
  <c r="H9" i="3"/>
  <c r="Q9" i="3" s="1"/>
  <c r="L8" i="3"/>
  <c r="H8" i="3"/>
  <c r="Q8" i="3" s="1"/>
  <c r="O7" i="3"/>
  <c r="L7" i="3"/>
  <c r="H7" i="3"/>
  <c r="Q7" i="3" s="1"/>
  <c r="O6" i="3"/>
  <c r="L6" i="3"/>
  <c r="H6" i="3"/>
  <c r="Q6" i="3" s="1"/>
  <c r="O5" i="3"/>
  <c r="L5" i="3"/>
  <c r="H5" i="3"/>
  <c r="Q5" i="3" s="1"/>
  <c r="R8" i="4" l="1"/>
  <c r="R33" i="4" s="1"/>
  <c r="I2" i="4"/>
  <c r="H33" i="4"/>
  <c r="S13" i="4"/>
  <c r="T13" i="4" s="1"/>
  <c r="V13" i="4" s="1"/>
  <c r="W13" i="4" s="1"/>
  <c r="S25" i="4"/>
  <c r="T25" i="4" s="1"/>
  <c r="V25" i="4" s="1"/>
  <c r="W25" i="4" s="1"/>
  <c r="S23" i="4"/>
  <c r="T23" i="4" s="1"/>
  <c r="V23" i="4" s="1"/>
  <c r="W23" i="4" s="1"/>
  <c r="S11" i="4"/>
  <c r="T11" i="4" s="1"/>
  <c r="V11" i="4" s="1"/>
  <c r="W11" i="4" s="1"/>
  <c r="S9" i="4"/>
  <c r="T9" i="4" s="1"/>
  <c r="V9" i="4" s="1"/>
  <c r="W9" i="4" s="1"/>
  <c r="S17" i="4"/>
  <c r="T17" i="4" s="1"/>
  <c r="V17" i="4" s="1"/>
  <c r="W17" i="4" s="1"/>
  <c r="S19" i="4"/>
  <c r="T19" i="4" s="1"/>
  <c r="V19" i="4" s="1"/>
  <c r="W19" i="4" s="1"/>
  <c r="S22" i="4"/>
  <c r="T22" i="4" s="1"/>
  <c r="V22" i="4" s="1"/>
  <c r="W22" i="4" s="1"/>
  <c r="S27" i="4"/>
  <c r="T27" i="4" s="1"/>
  <c r="V27" i="4" s="1"/>
  <c r="W27" i="4" s="1"/>
  <c r="S31" i="4"/>
  <c r="T31" i="4" s="1"/>
  <c r="V31" i="4" s="1"/>
  <c r="W31" i="4" s="1"/>
  <c r="S20" i="4"/>
  <c r="T20" i="4" s="1"/>
  <c r="V20" i="4" s="1"/>
  <c r="W20" i="4" s="1"/>
  <c r="S12" i="4"/>
  <c r="T12" i="4" s="1"/>
  <c r="V12" i="4" s="1"/>
  <c r="W12" i="4" s="1"/>
  <c r="S24" i="4"/>
  <c r="T24" i="4" s="1"/>
  <c r="V24" i="4" s="1"/>
  <c r="W24" i="4" s="1"/>
  <c r="S32" i="4"/>
  <c r="T32" i="4" s="1"/>
  <c r="V32" i="4" s="1"/>
  <c r="W32" i="4" s="1"/>
  <c r="S15" i="4"/>
  <c r="T15" i="4" s="1"/>
  <c r="V15" i="4" s="1"/>
  <c r="W15" i="4" s="1"/>
  <c r="S16" i="4"/>
  <c r="T16" i="4" s="1"/>
  <c r="V16" i="4" s="1"/>
  <c r="W16" i="4" s="1"/>
  <c r="S21" i="4"/>
  <c r="T21" i="4" s="1"/>
  <c r="V21" i="4" s="1"/>
  <c r="W21" i="4" s="1"/>
  <c r="S28" i="4"/>
  <c r="T28" i="4" s="1"/>
  <c r="V28" i="4" s="1"/>
  <c r="W28" i="4" s="1"/>
  <c r="S14" i="4"/>
  <c r="T14" i="4" s="1"/>
  <c r="V14" i="4" s="1"/>
  <c r="W14" i="4" s="1"/>
  <c r="S10" i="4"/>
  <c r="T10" i="4" s="1"/>
  <c r="V10" i="4" s="1"/>
  <c r="W10" i="4" s="1"/>
  <c r="S30" i="4"/>
  <c r="T30" i="4" s="1"/>
  <c r="V30" i="4" s="1"/>
  <c r="W30" i="4" s="1"/>
  <c r="S26" i="4"/>
  <c r="T26" i="4" s="1"/>
  <c r="V26" i="4" s="1"/>
  <c r="W26" i="4" s="1"/>
  <c r="S18" i="4"/>
  <c r="T18" i="4" s="1"/>
  <c r="V18" i="4" s="1"/>
  <c r="W18" i="4" s="1"/>
  <c r="I33" i="4"/>
  <c r="S29" i="4"/>
  <c r="T29" i="4" s="1"/>
  <c r="S5" i="4"/>
  <c r="T5" i="4" s="1"/>
  <c r="V5" i="4" s="1"/>
  <c r="W5" i="4" s="1"/>
  <c r="S7" i="4"/>
  <c r="T7" i="4" s="1"/>
  <c r="V7" i="4" s="1"/>
  <c r="W7" i="4" s="1"/>
  <c r="S6" i="4"/>
  <c r="T6" i="4" s="1"/>
  <c r="V6" i="4" s="1"/>
  <c r="W6" i="4" s="1"/>
  <c r="R9" i="3"/>
  <c r="S9" i="3" s="1"/>
  <c r="U9" i="3" s="1"/>
  <c r="R11" i="3"/>
  <c r="R13" i="3"/>
  <c r="S13" i="3" s="1"/>
  <c r="U13" i="3" s="1"/>
  <c r="R12" i="3"/>
  <c r="S12" i="3" s="1"/>
  <c r="U12" i="3" s="1"/>
  <c r="R17" i="3"/>
  <c r="S17" i="3" s="1"/>
  <c r="U17" i="3" s="1"/>
  <c r="R10" i="3"/>
  <c r="R19" i="3"/>
  <c r="S19" i="3" s="1"/>
  <c r="U19" i="3" s="1"/>
  <c r="R22" i="3"/>
  <c r="S22" i="3" s="1"/>
  <c r="U22" i="3" s="1"/>
  <c r="R21" i="3"/>
  <c r="R20" i="3"/>
  <c r="S20" i="3" s="1"/>
  <c r="U20" i="3" s="1"/>
  <c r="R18" i="3"/>
  <c r="S18" i="3" s="1"/>
  <c r="U18" i="3" s="1"/>
  <c r="R16" i="3"/>
  <c r="S16" i="3" s="1"/>
  <c r="U16" i="3" s="1"/>
  <c r="R15" i="3"/>
  <c r="S15" i="3" s="1"/>
  <c r="U15" i="3" s="1"/>
  <c r="R14" i="3"/>
  <c r="S21" i="3"/>
  <c r="U21" i="3" s="1"/>
  <c r="S10" i="3"/>
  <c r="U10" i="3" s="1"/>
  <c r="S14" i="3"/>
  <c r="U14" i="3" s="1"/>
  <c r="S11" i="3"/>
  <c r="U11" i="3" s="1"/>
  <c r="R8" i="3"/>
  <c r="S8" i="3" s="1"/>
  <c r="U8" i="3" s="1"/>
  <c r="R7" i="3"/>
  <c r="S7" i="3" s="1"/>
  <c r="U7" i="3" s="1"/>
  <c r="R6" i="3"/>
  <c r="S6" i="3" s="1"/>
  <c r="U6" i="3" s="1"/>
  <c r="R5" i="3"/>
  <c r="S8" i="4" l="1"/>
  <c r="T8" i="4" s="1"/>
  <c r="V8" i="4" s="1"/>
  <c r="W8" i="4" s="1"/>
  <c r="V29" i="4"/>
  <c r="S5" i="3"/>
  <c r="T33" i="4" l="1"/>
  <c r="V33" i="4"/>
  <c r="W29" i="4"/>
  <c r="U5" i="3"/>
</calcChain>
</file>

<file path=xl/sharedStrings.xml><?xml version="1.0" encoding="utf-8"?>
<sst xmlns="http://schemas.openxmlformats.org/spreadsheetml/2006/main" count="277" uniqueCount="81">
  <si>
    <t>TOTAL</t>
  </si>
  <si>
    <t>RCC FRAMED STRUCTURE</t>
  </si>
  <si>
    <t>GROUND FLOOR</t>
  </si>
  <si>
    <t>SECOND FLOOR</t>
  </si>
  <si>
    <t>VALUATION OF BUILDING /CIVIL STRUCTURE OF M/S. FUSION INDUSTRIES LIMITED.</t>
  </si>
  <si>
    <t>PRODUCTION SHED</t>
  </si>
  <si>
    <t>SR. No.</t>
  </si>
  <si>
    <t>Floor</t>
  </si>
  <si>
    <t>Type of Structure</t>
  </si>
  <si>
    <r>
      <t xml:space="preserve">Area 
</t>
    </r>
    <r>
      <rPr>
        <b/>
        <i/>
        <sz val="10"/>
        <rFont val="Calibri"/>
        <family val="2"/>
        <scheme val="minor"/>
      </rPr>
      <t>(in sq.mtr)</t>
    </r>
  </si>
  <si>
    <r>
      <t xml:space="preserve">Area
</t>
    </r>
    <r>
      <rPr>
        <b/>
        <i/>
        <sz val="11"/>
        <rFont val="Calibri"/>
        <family val="2"/>
        <scheme val="minor"/>
      </rPr>
      <t>(in sq.ft)</t>
    </r>
  </si>
  <si>
    <r>
      <t xml:space="preserve">Height </t>
    </r>
    <r>
      <rPr>
        <b/>
        <i/>
        <sz val="10"/>
        <rFont val="Calibri"/>
        <family val="2"/>
        <scheme val="minor"/>
      </rPr>
      <t>(in ft.)</t>
    </r>
  </si>
  <si>
    <t>Year of Construction</t>
  </si>
  <si>
    <t xml:space="preserve">Year of Valuation </t>
  </si>
  <si>
    <r>
      <t xml:space="preserve">Total Life Consumed 
</t>
    </r>
    <r>
      <rPr>
        <b/>
        <i/>
        <sz val="10"/>
        <rFont val="Calibri"/>
        <family val="2"/>
        <scheme val="minor"/>
      </rPr>
      <t>(in years)</t>
    </r>
  </si>
  <si>
    <r>
      <t xml:space="preserve">Total Economical Life
</t>
    </r>
    <r>
      <rPr>
        <b/>
        <i/>
        <sz val="10"/>
        <rFont val="Calibri"/>
        <family val="2"/>
        <scheme val="minor"/>
      </rPr>
      <t>(in years)</t>
    </r>
  </si>
  <si>
    <t>Salvage value</t>
  </si>
  <si>
    <t>Depreciation Rate</t>
  </si>
  <si>
    <r>
      <t xml:space="preserve">Plinth Area  Rate 
</t>
    </r>
    <r>
      <rPr>
        <b/>
        <i/>
        <sz val="10"/>
        <rFont val="Calibri"/>
        <family val="2"/>
        <scheme val="minor"/>
      </rPr>
      <t>(in per sq.ft)</t>
    </r>
  </si>
  <si>
    <t>Gross Replacement Value
(INR)</t>
  </si>
  <si>
    <t xml:space="preserve">Depreciation
(INR) </t>
  </si>
  <si>
    <t>Depreciated Value
(INR)</t>
  </si>
  <si>
    <t>Discounting Factor</t>
  </si>
  <si>
    <t>Depreciated Replacement Market Value
(INR)</t>
  </si>
  <si>
    <t>Block</t>
  </si>
  <si>
    <t>Block A</t>
  </si>
  <si>
    <t>FIRST FLOOR</t>
  </si>
  <si>
    <t>Block B</t>
  </si>
  <si>
    <t>Block C</t>
  </si>
  <si>
    <t>Block D</t>
  </si>
  <si>
    <t>Block E</t>
  </si>
  <si>
    <t>Block F</t>
  </si>
  <si>
    <t>First Floor</t>
  </si>
  <si>
    <t>Ground Floor</t>
  </si>
  <si>
    <t>Block G</t>
  </si>
  <si>
    <t>Block H</t>
  </si>
  <si>
    <t>Block I</t>
  </si>
  <si>
    <t>Block
-Canteen</t>
  </si>
  <si>
    <t>Block Toilet</t>
  </si>
  <si>
    <t>Block- VCB Room</t>
  </si>
  <si>
    <t>Block Toilet-2</t>
  </si>
  <si>
    <t>Pannel Room</t>
  </si>
  <si>
    <t>ADMIN BUILDING</t>
  </si>
  <si>
    <t>Particular</t>
  </si>
  <si>
    <t>RCC Wall with GI Shed</t>
  </si>
  <si>
    <t>MS Structure with RCC Roof</t>
  </si>
  <si>
    <t>Canteen</t>
  </si>
  <si>
    <t>Compressor Room</t>
  </si>
  <si>
    <t>Mezannine</t>
  </si>
  <si>
    <t>Production Shed</t>
  </si>
  <si>
    <t xml:space="preserve">Canteen </t>
  </si>
  <si>
    <t>Ground FLoor</t>
  </si>
  <si>
    <t>Compress Room</t>
  </si>
  <si>
    <t>Shed</t>
  </si>
  <si>
    <t>Block K</t>
  </si>
  <si>
    <t>GI Shed</t>
  </si>
  <si>
    <t>VALUATION OF BUILDING /CIVIL STRUCTURE OF M/S. AQUALITE INDUSTRIES PVT. LTD.</t>
  </si>
  <si>
    <t>Block L</t>
  </si>
  <si>
    <t>Ground Floor without Roof</t>
  </si>
  <si>
    <t>Scrap Yard 1</t>
  </si>
  <si>
    <t>Scrap Yard 2</t>
  </si>
  <si>
    <t>Store</t>
  </si>
  <si>
    <t>Toilet Block</t>
  </si>
  <si>
    <t>Toilet</t>
  </si>
  <si>
    <t>Tin Shed</t>
  </si>
  <si>
    <t>Transformer Yard</t>
  </si>
  <si>
    <t>RCC Without Roof</t>
  </si>
  <si>
    <t>GI shed</t>
  </si>
  <si>
    <t>Notes:</t>
  </si>
  <si>
    <t>1) All the Structure listed above belong to M/s Aqualite Industries Pvt. Ltd.</t>
  </si>
  <si>
    <t xml:space="preserve">2) All the area adopted for the valuation for different structures are considered as per the site survey measurement Since, Approved Map was not Provided to us </t>
  </si>
  <si>
    <t>3)The valuation method adopted for the building valuation is "Depreciated replacement Cost"</t>
  </si>
  <si>
    <t>R.C.C</t>
  </si>
  <si>
    <t>S.No.</t>
  </si>
  <si>
    <t>Area (in sq.ft.)</t>
  </si>
  <si>
    <t>Area (in sq.mtr.)</t>
  </si>
  <si>
    <t xml:space="preserve">Total </t>
  </si>
  <si>
    <t xml:space="preserve">Rate </t>
  </si>
  <si>
    <t>Amount</t>
  </si>
  <si>
    <t xml:space="preserve">GUIDELINE VALUE </t>
  </si>
  <si>
    <t>GUIDELINE 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</si>
</sst>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 &quot;₹&quot;\ * #,##0.00_ ;_ &quot;₹&quot;\ * \-#,##0.00_ ;_ &quot;₹&quot;\ * &quot;-&quot;??_ ;_ @_ "/>
    <numFmt numFmtId="43" formatCode="_ * #,##0.00_ ;_ * \-#,##0.00_ ;_ * &quot;-&quot;??_ ;_ @_ "/>
    <numFmt numFmtId="164" formatCode="_ [$₹-4009]\ * #,##0.00_ ;_ [$₹-4009]\ * \-#,##0.00_ ;_ [$₹-4009]\ * &quot;-&quot;??_ ;_ @_ "/>
    <numFmt numFmtId="165" formatCode="_ &quot;₹&quot;\ * #,##0_ ;_ &quot;₹&quot;\ * \-#,##0_ ;_ &quot;₹&quot;\ * &quot;-&quot;??_ ;_ @_ "/>
    <numFmt numFmtId="166" formatCode="0.0000"/>
    <numFmt numFmtId="167" formatCode="_ * #,##0_ ;_ * \-#,##0_ ;_ * &quot;-&quot;??_ ;_ @_ "/>
    <numFmt numFmtId="168" formatCode="_ [$₹-4009]\ * #,##0_ ;_ [$₹-4009]\ * \-#,##0_ ;_ [$₹-4009]\ * &quot;-&quot;??_ ;_ @_ 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1E366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3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theme="3" tint="-0.24994659260841701"/>
      </left>
      <right style="medium">
        <color theme="3" tint="-0.24994659260841701"/>
      </right>
      <top style="medium">
        <color theme="3" tint="-0.24994659260841701"/>
      </top>
      <bottom style="medium">
        <color theme="3" tint="-0.24994659260841701"/>
      </bottom>
      <diagonal/>
    </border>
    <border>
      <left style="medium">
        <color theme="3" tint="-0.24994659260841701"/>
      </left>
      <right/>
      <top style="medium">
        <color theme="3" tint="-0.24994659260841701"/>
      </top>
      <bottom style="medium">
        <color theme="3" tint="-0.24994659260841701"/>
      </bottom>
      <diagonal/>
    </border>
    <border>
      <left/>
      <right/>
      <top style="medium">
        <color theme="3" tint="-0.24994659260841701"/>
      </top>
      <bottom style="medium">
        <color theme="3" tint="-0.24994659260841701"/>
      </bottom>
      <diagonal/>
    </border>
    <border>
      <left/>
      <right style="medium">
        <color theme="3" tint="-0.24994659260841701"/>
      </right>
      <top style="medium">
        <color theme="3" tint="-0.24994659260841701"/>
      </top>
      <bottom style="medium">
        <color theme="3" tint="-0.24994659260841701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99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1" fontId="0" fillId="2" borderId="1" xfId="0" applyNumberFormat="1" applyFill="1" applyBorder="1" applyAlignment="1">
      <alignment horizontal="center" vertical="center"/>
    </xf>
    <xf numFmtId="9" fontId="0" fillId="2" borderId="1" xfId="0" applyNumberFormat="1" applyFill="1" applyBorder="1" applyAlignment="1">
      <alignment horizontal="center" vertical="center"/>
    </xf>
    <xf numFmtId="166" fontId="0" fillId="2" borderId="1" xfId="0" applyNumberFormat="1" applyFill="1" applyBorder="1" applyAlignment="1">
      <alignment horizontal="center" vertical="center"/>
    </xf>
    <xf numFmtId="165" fontId="0" fillId="2" borderId="1" xfId="3" applyNumberFormat="1" applyFont="1" applyFill="1" applyBorder="1" applyAlignment="1">
      <alignment horizontal="center" vertical="center"/>
    </xf>
    <xf numFmtId="9" fontId="0" fillId="2" borderId="1" xfId="4" applyFont="1" applyFill="1" applyBorder="1" applyAlignment="1">
      <alignment horizontal="center" vertical="center"/>
    </xf>
    <xf numFmtId="1" fontId="6" fillId="0" borderId="2" xfId="0" applyNumberFormat="1" applyFont="1" applyBorder="1" applyAlignment="1">
      <alignment horizontal="center" vertical="center"/>
    </xf>
    <xf numFmtId="1" fontId="6" fillId="0" borderId="1" xfId="0" applyNumberFormat="1" applyFont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5" borderId="0" xfId="0" applyFill="1"/>
    <xf numFmtId="1" fontId="0" fillId="6" borderId="1" xfId="0" applyNumberForma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1" fontId="6" fillId="0" borderId="7" xfId="0" applyNumberFormat="1" applyFont="1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1" fontId="0" fillId="6" borderId="4" xfId="0" applyNumberFormat="1" applyFill="1" applyBorder="1" applyAlignment="1">
      <alignment horizontal="center" vertical="center"/>
    </xf>
    <xf numFmtId="0" fontId="0" fillId="0" borderId="0" xfId="0" applyFill="1"/>
    <xf numFmtId="0" fontId="0" fillId="6" borderId="0" xfId="0" applyFill="1" applyAlignment="1">
      <alignment horizontal="center" vertical="center"/>
    </xf>
    <xf numFmtId="0" fontId="0" fillId="6" borderId="1" xfId="0" applyFill="1" applyBorder="1" applyAlignment="1">
      <alignment horizontal="center" vertical="center" wrapText="1"/>
    </xf>
    <xf numFmtId="0" fontId="0" fillId="6" borderId="4" xfId="0" applyFill="1" applyBorder="1" applyAlignment="1">
      <alignment horizontal="center" vertical="center"/>
    </xf>
    <xf numFmtId="9" fontId="0" fillId="6" borderId="4" xfId="0" applyNumberFormat="1" applyFill="1" applyBorder="1" applyAlignment="1">
      <alignment horizontal="center" vertical="center"/>
    </xf>
    <xf numFmtId="166" fontId="0" fillId="6" borderId="4" xfId="0" applyNumberFormat="1" applyFill="1" applyBorder="1" applyAlignment="1">
      <alignment horizontal="center" vertical="center"/>
    </xf>
    <xf numFmtId="165" fontId="0" fillId="6" borderId="1" xfId="3" applyNumberFormat="1" applyFont="1" applyFill="1" applyBorder="1" applyAlignment="1">
      <alignment horizontal="center" vertical="center"/>
    </xf>
    <xf numFmtId="165" fontId="0" fillId="6" borderId="4" xfId="3" applyNumberFormat="1" applyFont="1" applyFill="1" applyBorder="1" applyAlignment="1">
      <alignment horizontal="center" vertical="center"/>
    </xf>
    <xf numFmtId="9" fontId="0" fillId="6" borderId="1" xfId="4" applyFont="1" applyFill="1" applyBorder="1" applyAlignment="1">
      <alignment horizontal="center" vertical="center"/>
    </xf>
    <xf numFmtId="0" fontId="0" fillId="6" borderId="0" xfId="0" applyFill="1"/>
    <xf numFmtId="1" fontId="6" fillId="6" borderId="1" xfId="0" applyNumberFormat="1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/>
    <xf numFmtId="1" fontId="0" fillId="0" borderId="0" xfId="0" applyNumberFormat="1"/>
    <xf numFmtId="0" fontId="0" fillId="0" borderId="6" xfId="0" applyBorder="1"/>
    <xf numFmtId="165" fontId="0" fillId="0" borderId="6" xfId="0" applyNumberFormat="1" applyBorder="1"/>
    <xf numFmtId="0" fontId="7" fillId="4" borderId="9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 wrapText="1"/>
    </xf>
    <xf numFmtId="1" fontId="0" fillId="0" borderId="9" xfId="0" applyNumberFormat="1" applyFill="1" applyBorder="1" applyAlignment="1">
      <alignment horizontal="center" vertical="center"/>
    </xf>
    <xf numFmtId="9" fontId="0" fillId="2" borderId="9" xfId="0" applyNumberFormat="1" applyFill="1" applyBorder="1" applyAlignment="1">
      <alignment horizontal="center" vertical="center"/>
    </xf>
    <xf numFmtId="166" fontId="0" fillId="2" borderId="9" xfId="0" applyNumberFormat="1" applyFill="1" applyBorder="1" applyAlignment="1">
      <alignment horizontal="center" vertical="center"/>
    </xf>
    <xf numFmtId="165" fontId="0" fillId="2" borderId="9" xfId="3" applyNumberFormat="1" applyFont="1" applyFill="1" applyBorder="1" applyAlignment="1">
      <alignment horizontal="center" vertical="center"/>
    </xf>
    <xf numFmtId="9" fontId="0" fillId="2" borderId="9" xfId="4" applyFont="1" applyFill="1" applyBorder="1" applyAlignment="1">
      <alignment horizontal="center" vertical="center"/>
    </xf>
    <xf numFmtId="0" fontId="0" fillId="0" borderId="9" xfId="0" applyBorder="1" applyAlignment="1">
      <alignment horizontal="center"/>
    </xf>
    <xf numFmtId="165" fontId="0" fillId="0" borderId="9" xfId="3" applyNumberFormat="1" applyFont="1" applyBorder="1"/>
    <xf numFmtId="0" fontId="0" fillId="0" borderId="9" xfId="0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165" fontId="1" fillId="8" borderId="9" xfId="0" applyNumberFormat="1" applyFont="1" applyFill="1" applyBorder="1"/>
    <xf numFmtId="0" fontId="0" fillId="8" borderId="9" xfId="0" applyFill="1" applyBorder="1"/>
    <xf numFmtId="43" fontId="6" fillId="0" borderId="9" xfId="5" applyFont="1" applyBorder="1" applyAlignment="1">
      <alignment horizontal="center" vertical="center"/>
    </xf>
    <xf numFmtId="43" fontId="0" fillId="0" borderId="9" xfId="5" applyFont="1" applyBorder="1" applyAlignment="1">
      <alignment horizontal="center"/>
    </xf>
    <xf numFmtId="43" fontId="0" fillId="0" borderId="9" xfId="5" applyFont="1" applyFill="1" applyBorder="1" applyAlignment="1">
      <alignment horizontal="center" vertical="center" wrapText="1"/>
    </xf>
    <xf numFmtId="43" fontId="0" fillId="0" borderId="9" xfId="5" applyFont="1" applyBorder="1" applyAlignment="1">
      <alignment horizontal="center" vertical="center"/>
    </xf>
    <xf numFmtId="43" fontId="1" fillId="8" borderId="9" xfId="5" applyFont="1" applyFill="1" applyBorder="1" applyAlignment="1">
      <alignment horizontal="center"/>
    </xf>
    <xf numFmtId="167" fontId="0" fillId="2" borderId="9" xfId="5" applyNumberFormat="1" applyFont="1" applyFill="1" applyBorder="1" applyAlignment="1">
      <alignment horizontal="center" vertical="center"/>
    </xf>
    <xf numFmtId="167" fontId="1" fillId="8" borderId="9" xfId="5" applyNumberFormat="1" applyFont="1" applyFill="1" applyBorder="1" applyAlignment="1">
      <alignment horizontal="center" vertical="center"/>
    </xf>
    <xf numFmtId="0" fontId="0" fillId="0" borderId="1" xfId="0" applyBorder="1"/>
    <xf numFmtId="0" fontId="4" fillId="2" borderId="0" xfId="0" applyFont="1" applyFill="1" applyBorder="1" applyAlignment="1">
      <alignment horizontal="left" vertical="center"/>
    </xf>
    <xf numFmtId="0" fontId="1" fillId="10" borderId="1" xfId="0" applyFont="1" applyFill="1" applyBorder="1" applyAlignment="1">
      <alignment horizontal="center"/>
    </xf>
    <xf numFmtId="0" fontId="1" fillId="0" borderId="0" xfId="0" applyFont="1"/>
    <xf numFmtId="164" fontId="0" fillId="0" borderId="1" xfId="0" applyNumberFormat="1" applyBorder="1"/>
    <xf numFmtId="43" fontId="0" fillId="0" borderId="1" xfId="5" applyNumberFormat="1" applyFont="1" applyBorder="1"/>
    <xf numFmtId="43" fontId="0" fillId="0" borderId="1" xfId="0" applyNumberFormat="1" applyBorder="1"/>
    <xf numFmtId="168" fontId="0" fillId="0" borderId="1" xfId="5" applyNumberFormat="1" applyFont="1" applyBorder="1" applyAlignment="1"/>
    <xf numFmtId="43" fontId="1" fillId="7" borderId="1" xfId="5" applyNumberFormat="1" applyFont="1" applyFill="1" applyBorder="1"/>
    <xf numFmtId="43" fontId="1" fillId="7" borderId="1" xfId="0" applyNumberFormat="1" applyFont="1" applyFill="1" applyBorder="1"/>
    <xf numFmtId="164" fontId="1" fillId="7" borderId="1" xfId="0" applyNumberFormat="1" applyFont="1" applyFill="1" applyBorder="1"/>
    <xf numFmtId="168" fontId="1" fillId="7" borderId="1" xfId="5" applyNumberFormat="1" applyFont="1" applyFill="1" applyBorder="1" applyAlignment="1"/>
    <xf numFmtId="0" fontId="3" fillId="3" borderId="3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1" fillId="8" borderId="9" xfId="0" applyFont="1" applyFill="1" applyBorder="1" applyAlignment="1">
      <alignment horizontal="center"/>
    </xf>
    <xf numFmtId="0" fontId="0" fillId="8" borderId="9" xfId="0" applyFill="1" applyBorder="1" applyAlignment="1">
      <alignment horizontal="center"/>
    </xf>
    <xf numFmtId="0" fontId="4" fillId="2" borderId="10" xfId="0" applyFont="1" applyFill="1" applyBorder="1" applyAlignment="1">
      <alignment horizontal="left" vertical="center"/>
    </xf>
    <xf numFmtId="0" fontId="4" fillId="2" borderId="11" xfId="0" applyFont="1" applyFill="1" applyBorder="1" applyAlignment="1">
      <alignment horizontal="left" vertical="center"/>
    </xf>
    <xf numFmtId="0" fontId="4" fillId="2" borderId="12" xfId="0" applyFont="1" applyFill="1" applyBorder="1" applyAlignment="1">
      <alignment horizontal="left" vertical="center"/>
    </xf>
    <xf numFmtId="0" fontId="1" fillId="7" borderId="3" xfId="0" applyFont="1" applyFill="1" applyBorder="1" applyAlignment="1">
      <alignment horizontal="center" vertical="center"/>
    </xf>
    <xf numFmtId="0" fontId="1" fillId="7" borderId="6" xfId="0" applyFont="1" applyFill="1" applyBorder="1" applyAlignment="1">
      <alignment horizontal="center" vertical="center"/>
    </xf>
    <xf numFmtId="0" fontId="10" fillId="9" borderId="13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left" vertical="center" wrapText="1"/>
    </xf>
    <xf numFmtId="0" fontId="4" fillId="2" borderId="11" xfId="0" applyFont="1" applyFill="1" applyBorder="1" applyAlignment="1">
      <alignment horizontal="left" vertical="center" wrapText="1"/>
    </xf>
    <xf numFmtId="0" fontId="4" fillId="2" borderId="12" xfId="0" applyFont="1" applyFill="1" applyBorder="1" applyAlignment="1">
      <alignment horizontal="left" vertical="center" wrapText="1"/>
    </xf>
    <xf numFmtId="0" fontId="10" fillId="9" borderId="1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167" fontId="0" fillId="0" borderId="1" xfId="5" applyNumberFormat="1" applyFont="1" applyBorder="1"/>
    <xf numFmtId="167" fontId="1" fillId="7" borderId="1" xfId="5" applyNumberFormat="1" applyFont="1" applyFill="1" applyBorder="1"/>
    <xf numFmtId="165" fontId="0" fillId="0" borderId="9" xfId="3" applyNumberFormat="1" applyFont="1" applyBorder="1" applyAlignment="1">
      <alignment vertical="center"/>
    </xf>
    <xf numFmtId="43" fontId="0" fillId="0" borderId="0" xfId="5" applyFont="1"/>
    <xf numFmtId="167" fontId="0" fillId="0" borderId="0" xfId="5" applyNumberFormat="1" applyFont="1"/>
    <xf numFmtId="167" fontId="0" fillId="0" borderId="0" xfId="0" applyNumberFormat="1"/>
    <xf numFmtId="167" fontId="1" fillId="0" borderId="0" xfId="0" applyNumberFormat="1" applyFont="1"/>
  </cellXfs>
  <cellStyles count="6">
    <cellStyle name="Comma" xfId="5" builtinId="3"/>
    <cellStyle name="Currency" xfId="3" builtinId="4"/>
    <cellStyle name="Currency 2" xfId="2"/>
    <cellStyle name="Normal" xfId="0" builtinId="0"/>
    <cellStyle name="Normal 2" xfId="1"/>
    <cellStyle name="Percent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443"/>
  <sheetViews>
    <sheetView topLeftCell="A34" workbookViewId="0">
      <selection activeCell="A3" sqref="A3"/>
    </sheetView>
  </sheetViews>
  <sheetFormatPr defaultRowHeight="15" x14ac:dyDescent="0.25"/>
  <cols>
    <col min="2" max="2" width="7.28515625" bestFit="1" customWidth="1"/>
    <col min="3" max="3" width="16.140625" bestFit="1" customWidth="1"/>
    <col min="4" max="4" width="15.5703125" customWidth="1"/>
    <col min="5" max="5" width="17.7109375" style="16" customWidth="1"/>
    <col min="6" max="6" width="25.7109375" style="16" bestFit="1" customWidth="1"/>
    <col min="8" max="8" width="11.5703125" customWidth="1"/>
    <col min="9" max="9" width="7" bestFit="1" customWidth="1"/>
    <col min="10" max="10" width="11.42578125" bestFit="1" customWidth="1"/>
    <col min="11" max="11" width="9.7109375" customWidth="1"/>
    <col min="12" max="12" width="10.7109375" customWidth="1"/>
    <col min="16" max="16" width="10.85546875" bestFit="1" customWidth="1"/>
    <col min="17" max="17" width="15.140625" customWidth="1"/>
    <col min="18" max="18" width="11.5703125" bestFit="1" customWidth="1"/>
    <col min="19" max="19" width="13.28515625" bestFit="1" customWidth="1"/>
    <col min="20" max="20" width="9.140625" customWidth="1"/>
    <col min="21" max="21" width="13.42578125" customWidth="1"/>
    <col min="22" max="22" width="9.140625" customWidth="1"/>
  </cols>
  <sheetData>
    <row r="1" spans="1:53" x14ac:dyDescent="0.25">
      <c r="E1"/>
      <c r="F1"/>
    </row>
    <row r="2" spans="1:53" x14ac:dyDescent="0.25">
      <c r="E2"/>
      <c r="F2"/>
    </row>
    <row r="3" spans="1:53" ht="15.75" x14ac:dyDescent="0.25">
      <c r="B3" s="75" t="s">
        <v>4</v>
      </c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7"/>
    </row>
    <row r="4" spans="1:53" ht="60" x14ac:dyDescent="0.25">
      <c r="B4" s="5" t="s">
        <v>6</v>
      </c>
      <c r="C4" s="5" t="s">
        <v>24</v>
      </c>
      <c r="D4" s="5" t="s">
        <v>7</v>
      </c>
      <c r="E4" s="5" t="s">
        <v>43</v>
      </c>
      <c r="F4" s="5" t="s">
        <v>8</v>
      </c>
      <c r="G4" s="6" t="s">
        <v>9</v>
      </c>
      <c r="H4" s="6" t="s">
        <v>10</v>
      </c>
      <c r="I4" s="6" t="s">
        <v>11</v>
      </c>
      <c r="J4" s="6" t="s">
        <v>12</v>
      </c>
      <c r="K4" s="6" t="s">
        <v>13</v>
      </c>
      <c r="L4" s="6" t="s">
        <v>14</v>
      </c>
      <c r="M4" s="6" t="s">
        <v>15</v>
      </c>
      <c r="N4" s="6" t="s">
        <v>16</v>
      </c>
      <c r="O4" s="6" t="s">
        <v>17</v>
      </c>
      <c r="P4" s="6" t="s">
        <v>18</v>
      </c>
      <c r="Q4" s="6" t="s">
        <v>19</v>
      </c>
      <c r="R4" s="6" t="s">
        <v>20</v>
      </c>
      <c r="S4" s="6" t="s">
        <v>21</v>
      </c>
      <c r="T4" s="6" t="s">
        <v>22</v>
      </c>
      <c r="U4" s="6" t="s">
        <v>23</v>
      </c>
    </row>
    <row r="5" spans="1:53" x14ac:dyDescent="0.25">
      <c r="B5" s="7">
        <v>1</v>
      </c>
      <c r="C5" s="15" t="s">
        <v>25</v>
      </c>
      <c r="D5" s="3" t="s">
        <v>2</v>
      </c>
      <c r="E5" s="33" t="s">
        <v>42</v>
      </c>
      <c r="F5" s="33" t="s">
        <v>1</v>
      </c>
      <c r="G5" s="13">
        <v>350</v>
      </c>
      <c r="H5" s="8">
        <f>G5*10.764</f>
        <v>3767.3999999999996</v>
      </c>
      <c r="I5" s="17">
        <v>12</v>
      </c>
      <c r="J5" s="7">
        <v>2019</v>
      </c>
      <c r="K5" s="7">
        <v>2022</v>
      </c>
      <c r="L5" s="7">
        <f>K5-J5</f>
        <v>3</v>
      </c>
      <c r="M5" s="7">
        <v>60</v>
      </c>
      <c r="N5" s="9">
        <v>0.1</v>
      </c>
      <c r="O5" s="10">
        <f>(1-N5)/M5</f>
        <v>1.5000000000000001E-2</v>
      </c>
      <c r="P5" s="11">
        <v>1400</v>
      </c>
      <c r="Q5" s="11">
        <f>P5*H5</f>
        <v>5274359.9999999991</v>
      </c>
      <c r="R5" s="11">
        <f t="shared" ref="R5:R32" si="0">Q5*O5*L5</f>
        <v>237346.19999999998</v>
      </c>
      <c r="S5" s="11">
        <f t="shared" ref="S5:S32" si="1">MAX(Q5-R5,0)</f>
        <v>5037013.7999999989</v>
      </c>
      <c r="T5" s="12">
        <v>0</v>
      </c>
      <c r="U5" s="11">
        <f t="shared" ref="U5:U32" si="2">IF(S5&gt;N5*Q5,S5*(1-T5),Q5*N5)</f>
        <v>5037013.7999999989</v>
      </c>
    </row>
    <row r="6" spans="1:53" x14ac:dyDescent="0.25">
      <c r="B6" s="7">
        <v>2</v>
      </c>
      <c r="C6" s="15" t="s">
        <v>25</v>
      </c>
      <c r="D6" s="3" t="s">
        <v>26</v>
      </c>
      <c r="E6" s="33" t="s">
        <v>42</v>
      </c>
      <c r="F6" s="34" t="s">
        <v>1</v>
      </c>
      <c r="G6" s="14">
        <v>350</v>
      </c>
      <c r="H6" s="8">
        <f t="shared" ref="H6:H32" si="3">G6*10.764</f>
        <v>3767.3999999999996</v>
      </c>
      <c r="I6" s="17">
        <v>12</v>
      </c>
      <c r="J6" s="7">
        <v>2019</v>
      </c>
      <c r="K6" s="7">
        <v>2022</v>
      </c>
      <c r="L6" s="7">
        <f t="shared" ref="L6:L32" si="4">K6-J6</f>
        <v>3</v>
      </c>
      <c r="M6" s="7">
        <v>60</v>
      </c>
      <c r="N6" s="9">
        <v>0.1</v>
      </c>
      <c r="O6" s="10">
        <f t="shared" ref="O6:O32" si="5">(1-N6)/M6</f>
        <v>1.5000000000000001E-2</v>
      </c>
      <c r="P6" s="11">
        <v>1400</v>
      </c>
      <c r="Q6" s="11">
        <f t="shared" ref="Q6:Q32" si="6">P6*H6</f>
        <v>5274359.9999999991</v>
      </c>
      <c r="R6" s="11">
        <f t="shared" si="0"/>
        <v>237346.19999999998</v>
      </c>
      <c r="S6" s="11">
        <f t="shared" si="1"/>
        <v>5037013.7999999989</v>
      </c>
      <c r="T6" s="12">
        <v>0</v>
      </c>
      <c r="U6" s="11">
        <f t="shared" si="2"/>
        <v>5037013.7999999989</v>
      </c>
    </row>
    <row r="7" spans="1:53" x14ac:dyDescent="0.25">
      <c r="B7" s="7">
        <v>3</v>
      </c>
      <c r="C7" s="15" t="s">
        <v>25</v>
      </c>
      <c r="D7" s="3" t="s">
        <v>3</v>
      </c>
      <c r="E7" s="33" t="s">
        <v>42</v>
      </c>
      <c r="F7" s="34" t="s">
        <v>1</v>
      </c>
      <c r="G7" s="14">
        <v>350</v>
      </c>
      <c r="H7" s="8">
        <f t="shared" si="3"/>
        <v>3767.3999999999996</v>
      </c>
      <c r="I7" s="17">
        <v>12</v>
      </c>
      <c r="J7" s="7">
        <v>2019</v>
      </c>
      <c r="K7" s="7">
        <v>2022</v>
      </c>
      <c r="L7" s="7">
        <f t="shared" si="4"/>
        <v>3</v>
      </c>
      <c r="M7" s="7">
        <v>60</v>
      </c>
      <c r="N7" s="9">
        <v>0.1</v>
      </c>
      <c r="O7" s="10">
        <f t="shared" si="5"/>
        <v>1.5000000000000001E-2</v>
      </c>
      <c r="P7" s="11">
        <v>1400</v>
      </c>
      <c r="Q7" s="11">
        <f t="shared" si="6"/>
        <v>5274359.9999999991</v>
      </c>
      <c r="R7" s="11">
        <f t="shared" si="0"/>
        <v>237346.19999999998</v>
      </c>
      <c r="S7" s="11">
        <f t="shared" si="1"/>
        <v>5037013.7999999989</v>
      </c>
      <c r="T7" s="12">
        <v>0</v>
      </c>
      <c r="U7" s="11">
        <f t="shared" si="2"/>
        <v>5037013.7999999989</v>
      </c>
    </row>
    <row r="8" spans="1:53" ht="30" x14ac:dyDescent="0.25">
      <c r="B8" s="7">
        <v>4</v>
      </c>
      <c r="C8" s="7" t="s">
        <v>27</v>
      </c>
      <c r="D8" s="3" t="s">
        <v>2</v>
      </c>
      <c r="E8" s="34" t="s">
        <v>5</v>
      </c>
      <c r="F8" s="34" t="s">
        <v>44</v>
      </c>
      <c r="G8" s="14">
        <v>3927</v>
      </c>
      <c r="H8" s="8">
        <f t="shared" si="3"/>
        <v>42270.227999999996</v>
      </c>
      <c r="I8" s="17">
        <v>20</v>
      </c>
      <c r="J8" s="7">
        <v>2019</v>
      </c>
      <c r="K8" s="7">
        <v>2022</v>
      </c>
      <c r="L8" s="7">
        <f t="shared" si="4"/>
        <v>3</v>
      </c>
      <c r="M8" s="7">
        <v>60</v>
      </c>
      <c r="N8" s="9">
        <v>0.1</v>
      </c>
      <c r="O8" s="10">
        <f t="shared" si="5"/>
        <v>1.5000000000000001E-2</v>
      </c>
      <c r="P8" s="11">
        <v>1400</v>
      </c>
      <c r="Q8" s="11">
        <f t="shared" si="6"/>
        <v>59178319.199999996</v>
      </c>
      <c r="R8" s="11">
        <f t="shared" si="0"/>
        <v>2663024.3640000001</v>
      </c>
      <c r="S8" s="11">
        <f t="shared" si="1"/>
        <v>56515294.835999995</v>
      </c>
      <c r="T8" s="12">
        <v>0</v>
      </c>
      <c r="U8" s="11">
        <f t="shared" si="2"/>
        <v>56515294.835999995</v>
      </c>
    </row>
    <row r="9" spans="1:53" ht="30" x14ac:dyDescent="0.25">
      <c r="A9">
        <f>17*15</f>
        <v>255</v>
      </c>
      <c r="B9" s="7">
        <v>5</v>
      </c>
      <c r="C9" s="7" t="s">
        <v>28</v>
      </c>
      <c r="D9" s="20" t="s">
        <v>2</v>
      </c>
      <c r="E9" s="34" t="s">
        <v>5</v>
      </c>
      <c r="F9" s="34" t="s">
        <v>44</v>
      </c>
      <c r="G9" s="19">
        <v>2614.5</v>
      </c>
      <c r="H9" s="8">
        <f t="shared" si="3"/>
        <v>28142.477999999999</v>
      </c>
      <c r="I9" s="17">
        <v>20</v>
      </c>
      <c r="J9" s="7">
        <v>2019</v>
      </c>
      <c r="K9" s="7">
        <v>2022</v>
      </c>
      <c r="L9" s="7">
        <f t="shared" si="4"/>
        <v>3</v>
      </c>
      <c r="M9" s="7">
        <v>60</v>
      </c>
      <c r="N9" s="9">
        <v>0.1</v>
      </c>
      <c r="O9" s="10">
        <f t="shared" si="5"/>
        <v>1.5000000000000001E-2</v>
      </c>
      <c r="P9" s="11">
        <v>1400</v>
      </c>
      <c r="Q9" s="11">
        <f t="shared" si="6"/>
        <v>39399469.199999996</v>
      </c>
      <c r="R9" s="11">
        <f t="shared" si="0"/>
        <v>1772976.1139999998</v>
      </c>
      <c r="S9" s="11">
        <f t="shared" si="1"/>
        <v>37626493.085999995</v>
      </c>
      <c r="T9" s="12">
        <v>0</v>
      </c>
      <c r="U9" s="11">
        <f t="shared" si="2"/>
        <v>37626493.085999995</v>
      </c>
    </row>
    <row r="10" spans="1:53" ht="30" x14ac:dyDescent="0.25">
      <c r="B10" s="7">
        <v>6</v>
      </c>
      <c r="C10" s="7" t="s">
        <v>29</v>
      </c>
      <c r="D10" s="20" t="s">
        <v>2</v>
      </c>
      <c r="E10" s="34" t="s">
        <v>5</v>
      </c>
      <c r="F10" s="34" t="s">
        <v>44</v>
      </c>
      <c r="G10" s="19">
        <v>4290.83</v>
      </c>
      <c r="H10" s="8">
        <f t="shared" si="3"/>
        <v>46186.494119999996</v>
      </c>
      <c r="I10" s="17">
        <v>20</v>
      </c>
      <c r="J10" s="7">
        <v>2019</v>
      </c>
      <c r="K10" s="7">
        <v>2022</v>
      </c>
      <c r="L10" s="7">
        <f t="shared" si="4"/>
        <v>3</v>
      </c>
      <c r="M10" s="7">
        <v>60</v>
      </c>
      <c r="N10" s="9">
        <v>0.1</v>
      </c>
      <c r="O10" s="10">
        <f t="shared" si="5"/>
        <v>1.5000000000000001E-2</v>
      </c>
      <c r="P10" s="11">
        <v>1400</v>
      </c>
      <c r="Q10" s="11">
        <f t="shared" si="6"/>
        <v>64661091.767999992</v>
      </c>
      <c r="R10" s="11">
        <f t="shared" si="0"/>
        <v>2909749.1295599998</v>
      </c>
      <c r="S10" s="11">
        <f t="shared" si="1"/>
        <v>61751342.638439991</v>
      </c>
      <c r="T10" s="12">
        <v>0</v>
      </c>
      <c r="U10" s="11">
        <f t="shared" si="2"/>
        <v>61751342.638439991</v>
      </c>
    </row>
    <row r="11" spans="1:53" ht="30" x14ac:dyDescent="0.25">
      <c r="A11" s="37">
        <f>G8+G14</f>
        <v>5503.66</v>
      </c>
      <c r="B11" s="7">
        <v>7</v>
      </c>
      <c r="C11" s="7" t="s">
        <v>29</v>
      </c>
      <c r="D11" s="20" t="s">
        <v>2</v>
      </c>
      <c r="E11" s="34" t="s">
        <v>5</v>
      </c>
      <c r="F11" s="34" t="s">
        <v>44</v>
      </c>
      <c r="G11" s="19">
        <v>1287.4000000000001</v>
      </c>
      <c r="H11" s="8">
        <f t="shared" si="3"/>
        <v>13857.5736</v>
      </c>
      <c r="I11" s="17">
        <v>20</v>
      </c>
      <c r="J11" s="7">
        <v>2019</v>
      </c>
      <c r="K11" s="7">
        <v>2022</v>
      </c>
      <c r="L11" s="7">
        <f t="shared" si="4"/>
        <v>3</v>
      </c>
      <c r="M11" s="7">
        <v>60</v>
      </c>
      <c r="N11" s="9">
        <v>0.1</v>
      </c>
      <c r="O11" s="10">
        <f t="shared" si="5"/>
        <v>1.5000000000000001E-2</v>
      </c>
      <c r="P11" s="11">
        <v>1400</v>
      </c>
      <c r="Q11" s="11">
        <f t="shared" si="6"/>
        <v>19400603.039999999</v>
      </c>
      <c r="R11" s="11">
        <f t="shared" si="0"/>
        <v>873027.13679999998</v>
      </c>
      <c r="S11" s="11">
        <f t="shared" si="1"/>
        <v>18527575.903200001</v>
      </c>
      <c r="T11" s="12">
        <v>0</v>
      </c>
      <c r="U11" s="11">
        <f t="shared" si="2"/>
        <v>18527575.903200001</v>
      </c>
    </row>
    <row r="12" spans="1:53" ht="30" x14ac:dyDescent="0.25">
      <c r="B12" s="7">
        <v>8</v>
      </c>
      <c r="C12" s="7" t="s">
        <v>30</v>
      </c>
      <c r="D12" s="20" t="s">
        <v>2</v>
      </c>
      <c r="E12" s="34" t="s">
        <v>5</v>
      </c>
      <c r="F12" s="34" t="s">
        <v>44</v>
      </c>
      <c r="G12" s="19">
        <v>1142.4000000000001</v>
      </c>
      <c r="H12" s="8">
        <f t="shared" si="3"/>
        <v>12296.793600000001</v>
      </c>
      <c r="I12" s="17">
        <v>20</v>
      </c>
      <c r="J12" s="7">
        <v>2019</v>
      </c>
      <c r="K12" s="7">
        <v>2022</v>
      </c>
      <c r="L12" s="7">
        <f t="shared" si="4"/>
        <v>3</v>
      </c>
      <c r="M12" s="7">
        <v>60</v>
      </c>
      <c r="N12" s="9">
        <v>0.1</v>
      </c>
      <c r="O12" s="10">
        <f t="shared" si="5"/>
        <v>1.5000000000000001E-2</v>
      </c>
      <c r="P12" s="11">
        <v>1400</v>
      </c>
      <c r="Q12" s="11">
        <f t="shared" si="6"/>
        <v>17215511.040000003</v>
      </c>
      <c r="R12" s="11">
        <f t="shared" si="0"/>
        <v>774697.9968000002</v>
      </c>
      <c r="S12" s="11">
        <f t="shared" si="1"/>
        <v>16440813.043200003</v>
      </c>
      <c r="T12" s="12">
        <v>0</v>
      </c>
      <c r="U12" s="11">
        <f t="shared" si="2"/>
        <v>16440813.043200003</v>
      </c>
    </row>
    <row r="13" spans="1:53" x14ac:dyDescent="0.25">
      <c r="B13" s="7">
        <v>9</v>
      </c>
      <c r="C13" s="7" t="s">
        <v>31</v>
      </c>
      <c r="D13" s="20" t="s">
        <v>2</v>
      </c>
      <c r="E13" s="34" t="s">
        <v>47</v>
      </c>
      <c r="F13" s="34" t="s">
        <v>44</v>
      </c>
      <c r="G13" s="19">
        <v>1038.46</v>
      </c>
      <c r="H13" s="8">
        <f t="shared" si="3"/>
        <v>11177.98344</v>
      </c>
      <c r="I13" s="17">
        <v>20</v>
      </c>
      <c r="J13" s="7">
        <v>2019</v>
      </c>
      <c r="K13" s="7">
        <v>2022</v>
      </c>
      <c r="L13" s="7">
        <f t="shared" si="4"/>
        <v>3</v>
      </c>
      <c r="M13" s="7">
        <v>60</v>
      </c>
      <c r="N13" s="9">
        <v>0.1</v>
      </c>
      <c r="O13" s="10">
        <f t="shared" si="5"/>
        <v>1.5000000000000001E-2</v>
      </c>
      <c r="P13" s="11">
        <v>1400</v>
      </c>
      <c r="Q13" s="11">
        <f t="shared" si="6"/>
        <v>15649176.816</v>
      </c>
      <c r="R13" s="11">
        <f t="shared" si="0"/>
        <v>704212.95672000013</v>
      </c>
      <c r="S13" s="11">
        <f t="shared" si="1"/>
        <v>14944963.85928</v>
      </c>
      <c r="T13" s="12">
        <v>0</v>
      </c>
      <c r="U13" s="11">
        <f t="shared" si="2"/>
        <v>14944963.85928</v>
      </c>
    </row>
    <row r="14" spans="1:53" s="31" customFormat="1" ht="30" x14ac:dyDescent="0.25">
      <c r="A14" s="22"/>
      <c r="B14" s="18">
        <v>10</v>
      </c>
      <c r="C14" s="23" t="s">
        <v>27</v>
      </c>
      <c r="D14" s="24" t="s">
        <v>32</v>
      </c>
      <c r="E14" s="24" t="s">
        <v>5</v>
      </c>
      <c r="F14" s="18" t="s">
        <v>45</v>
      </c>
      <c r="G14" s="32">
        <v>1576.66</v>
      </c>
      <c r="H14" s="17">
        <f t="shared" si="3"/>
        <v>16971.168239999999</v>
      </c>
      <c r="I14" s="21">
        <v>20</v>
      </c>
      <c r="J14" s="25">
        <v>2019</v>
      </c>
      <c r="K14" s="25">
        <v>2022</v>
      </c>
      <c r="L14" s="25">
        <f t="shared" si="4"/>
        <v>3</v>
      </c>
      <c r="M14" s="25">
        <v>60</v>
      </c>
      <c r="N14" s="26">
        <v>0.1</v>
      </c>
      <c r="O14" s="27">
        <f t="shared" si="5"/>
        <v>1.5000000000000001E-2</v>
      </c>
      <c r="P14" s="28">
        <v>1400</v>
      </c>
      <c r="Q14" s="29">
        <f t="shared" si="6"/>
        <v>23759635.535999998</v>
      </c>
      <c r="R14" s="29">
        <f t="shared" si="0"/>
        <v>1069183.5991199999</v>
      </c>
      <c r="S14" s="29">
        <f t="shared" si="1"/>
        <v>22690451.93688</v>
      </c>
      <c r="T14" s="30">
        <v>0</v>
      </c>
      <c r="U14" s="29">
        <f t="shared" si="2"/>
        <v>22690451.93688</v>
      </c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2"/>
      <c r="AM14" s="22"/>
      <c r="AN14" s="22"/>
      <c r="AO14" s="22"/>
      <c r="AP14" s="22"/>
      <c r="AQ14" s="22"/>
      <c r="AR14" s="22"/>
      <c r="AS14" s="22"/>
      <c r="AT14" s="22"/>
      <c r="AU14" s="22"/>
      <c r="AV14" s="22"/>
      <c r="AW14" s="22"/>
      <c r="AX14" s="22"/>
      <c r="AY14" s="22"/>
      <c r="AZ14" s="22"/>
      <c r="BA14" s="22"/>
    </row>
    <row r="15" spans="1:53" ht="30" x14ac:dyDescent="0.25">
      <c r="B15" s="7">
        <v>11</v>
      </c>
      <c r="C15" s="7" t="s">
        <v>28</v>
      </c>
      <c r="D15" s="4" t="s">
        <v>32</v>
      </c>
      <c r="E15" s="34" t="s">
        <v>5</v>
      </c>
      <c r="F15" s="35" t="s">
        <v>45</v>
      </c>
      <c r="G15" s="14">
        <v>985.12</v>
      </c>
      <c r="H15" s="8">
        <f t="shared" si="3"/>
        <v>10603.831679999999</v>
      </c>
      <c r="I15" s="17">
        <v>20</v>
      </c>
      <c r="J15" s="7">
        <v>2019</v>
      </c>
      <c r="K15" s="7">
        <v>2022</v>
      </c>
      <c r="L15" s="7">
        <f t="shared" si="4"/>
        <v>3</v>
      </c>
      <c r="M15" s="7">
        <v>60</v>
      </c>
      <c r="N15" s="9">
        <v>0.1</v>
      </c>
      <c r="O15" s="10">
        <f t="shared" si="5"/>
        <v>1.5000000000000001E-2</v>
      </c>
      <c r="P15" s="11">
        <v>1400</v>
      </c>
      <c r="Q15" s="11">
        <f t="shared" si="6"/>
        <v>14845364.352</v>
      </c>
      <c r="R15" s="11">
        <f t="shared" si="0"/>
        <v>668041.39584000001</v>
      </c>
      <c r="S15" s="11">
        <f t="shared" si="1"/>
        <v>14177322.95616</v>
      </c>
      <c r="T15" s="12">
        <v>0</v>
      </c>
      <c r="U15" s="11">
        <f t="shared" si="2"/>
        <v>14177322.95616</v>
      </c>
    </row>
    <row r="16" spans="1:53" ht="30" x14ac:dyDescent="0.25">
      <c r="B16" s="7">
        <v>12</v>
      </c>
      <c r="C16" s="7" t="s">
        <v>29</v>
      </c>
      <c r="D16" s="4" t="s">
        <v>33</v>
      </c>
      <c r="E16" s="34" t="s">
        <v>5</v>
      </c>
      <c r="F16" s="35" t="s">
        <v>45</v>
      </c>
      <c r="G16" s="14">
        <v>797.39</v>
      </c>
      <c r="H16" s="8">
        <f t="shared" si="3"/>
        <v>8583.105959999999</v>
      </c>
      <c r="I16" s="17">
        <v>20</v>
      </c>
      <c r="J16" s="7">
        <v>2019</v>
      </c>
      <c r="K16" s="7">
        <v>2022</v>
      </c>
      <c r="L16" s="7">
        <f t="shared" si="4"/>
        <v>3</v>
      </c>
      <c r="M16" s="7">
        <v>60</v>
      </c>
      <c r="N16" s="9">
        <v>0.1</v>
      </c>
      <c r="O16" s="10">
        <f t="shared" si="5"/>
        <v>1.5000000000000001E-2</v>
      </c>
      <c r="P16" s="11">
        <v>1400</v>
      </c>
      <c r="Q16" s="11">
        <f t="shared" si="6"/>
        <v>12016348.343999999</v>
      </c>
      <c r="R16" s="11">
        <f t="shared" si="0"/>
        <v>540735.67547999998</v>
      </c>
      <c r="S16" s="11">
        <f t="shared" si="1"/>
        <v>11475612.668519998</v>
      </c>
      <c r="T16" s="12">
        <v>0</v>
      </c>
      <c r="U16" s="11">
        <f t="shared" si="2"/>
        <v>11475612.668519998</v>
      </c>
    </row>
    <row r="17" spans="1:21" ht="30" x14ac:dyDescent="0.25">
      <c r="B17" s="2">
        <v>13</v>
      </c>
      <c r="C17" s="7" t="s">
        <v>29</v>
      </c>
      <c r="D17" s="4" t="s">
        <v>32</v>
      </c>
      <c r="E17" s="34" t="s">
        <v>5</v>
      </c>
      <c r="F17" s="35" t="s">
        <v>45</v>
      </c>
      <c r="G17" s="14">
        <v>6375.62</v>
      </c>
      <c r="H17" s="8">
        <f t="shared" si="3"/>
        <v>68627.173679999993</v>
      </c>
      <c r="I17" s="17">
        <v>20</v>
      </c>
      <c r="J17" s="7">
        <v>2019</v>
      </c>
      <c r="K17" s="7">
        <v>2022</v>
      </c>
      <c r="L17" s="7">
        <f t="shared" si="4"/>
        <v>3</v>
      </c>
      <c r="M17" s="7">
        <v>60</v>
      </c>
      <c r="N17" s="9">
        <v>0.1</v>
      </c>
      <c r="O17" s="10">
        <f t="shared" si="5"/>
        <v>1.5000000000000001E-2</v>
      </c>
      <c r="P17" s="11">
        <v>1400</v>
      </c>
      <c r="Q17" s="11">
        <f t="shared" si="6"/>
        <v>96078043.151999995</v>
      </c>
      <c r="R17" s="11">
        <f t="shared" si="0"/>
        <v>4323511.9418400005</v>
      </c>
      <c r="S17" s="11">
        <f t="shared" si="1"/>
        <v>91754531.210159987</v>
      </c>
      <c r="T17" s="12">
        <v>0</v>
      </c>
      <c r="U17" s="11">
        <f t="shared" si="2"/>
        <v>91754531.210159987</v>
      </c>
    </row>
    <row r="18" spans="1:21" ht="30" x14ac:dyDescent="0.25">
      <c r="B18" s="7">
        <v>14</v>
      </c>
      <c r="C18" s="7" t="s">
        <v>30</v>
      </c>
      <c r="D18" s="4" t="s">
        <v>32</v>
      </c>
      <c r="E18" s="34" t="s">
        <v>5</v>
      </c>
      <c r="F18" s="35" t="s">
        <v>45</v>
      </c>
      <c r="G18" s="14">
        <v>766.75</v>
      </c>
      <c r="H18" s="8">
        <f t="shared" si="3"/>
        <v>8253.2969999999987</v>
      </c>
      <c r="I18" s="17">
        <v>20</v>
      </c>
      <c r="J18" s="7">
        <v>2019</v>
      </c>
      <c r="K18" s="7">
        <v>2022</v>
      </c>
      <c r="L18" s="7">
        <f t="shared" si="4"/>
        <v>3</v>
      </c>
      <c r="M18" s="7">
        <v>60</v>
      </c>
      <c r="N18" s="9">
        <v>0.1</v>
      </c>
      <c r="O18" s="10">
        <f t="shared" si="5"/>
        <v>1.5000000000000001E-2</v>
      </c>
      <c r="P18" s="11">
        <v>1400</v>
      </c>
      <c r="Q18" s="11">
        <f t="shared" si="6"/>
        <v>11554615.799999999</v>
      </c>
      <c r="R18" s="11">
        <f t="shared" si="0"/>
        <v>519957.71100000001</v>
      </c>
      <c r="S18" s="11">
        <f t="shared" si="1"/>
        <v>11034658.089</v>
      </c>
      <c r="T18" s="12">
        <v>0</v>
      </c>
      <c r="U18" s="11">
        <f t="shared" si="2"/>
        <v>11034658.089</v>
      </c>
    </row>
    <row r="19" spans="1:21" ht="30" x14ac:dyDescent="0.25">
      <c r="B19" s="7">
        <v>15</v>
      </c>
      <c r="C19" s="7" t="s">
        <v>31</v>
      </c>
      <c r="D19" s="4" t="s">
        <v>32</v>
      </c>
      <c r="E19" s="34" t="s">
        <v>5</v>
      </c>
      <c r="F19" s="35" t="s">
        <v>45</v>
      </c>
      <c r="G19" s="14">
        <v>1038.46</v>
      </c>
      <c r="H19" s="8">
        <f t="shared" si="3"/>
        <v>11177.98344</v>
      </c>
      <c r="I19" s="17">
        <v>20</v>
      </c>
      <c r="J19" s="7">
        <v>2019</v>
      </c>
      <c r="K19" s="7">
        <v>2022</v>
      </c>
      <c r="L19" s="7">
        <f t="shared" si="4"/>
        <v>3</v>
      </c>
      <c r="M19" s="7">
        <v>60</v>
      </c>
      <c r="N19" s="9">
        <v>0.1</v>
      </c>
      <c r="O19" s="10">
        <f t="shared" si="5"/>
        <v>1.5000000000000001E-2</v>
      </c>
      <c r="P19" s="11">
        <v>1400</v>
      </c>
      <c r="Q19" s="11">
        <f t="shared" si="6"/>
        <v>15649176.816</v>
      </c>
      <c r="R19" s="11">
        <f t="shared" si="0"/>
        <v>704212.95672000013</v>
      </c>
      <c r="S19" s="11">
        <f t="shared" si="1"/>
        <v>14944963.85928</v>
      </c>
      <c r="T19" s="12">
        <v>0</v>
      </c>
      <c r="U19" s="11">
        <f t="shared" si="2"/>
        <v>14944963.85928</v>
      </c>
    </row>
    <row r="20" spans="1:21" ht="30" x14ac:dyDescent="0.25">
      <c r="B20" s="2">
        <v>16</v>
      </c>
      <c r="C20" s="7" t="s">
        <v>34</v>
      </c>
      <c r="D20" s="4" t="s">
        <v>33</v>
      </c>
      <c r="E20" s="34" t="s">
        <v>5</v>
      </c>
      <c r="F20" s="34" t="s">
        <v>44</v>
      </c>
      <c r="G20" s="14">
        <v>4294.2</v>
      </c>
      <c r="H20" s="8">
        <f t="shared" si="3"/>
        <v>46222.768799999998</v>
      </c>
      <c r="I20" s="17">
        <v>20</v>
      </c>
      <c r="J20" s="7">
        <v>2019</v>
      </c>
      <c r="K20" s="7">
        <v>2022</v>
      </c>
      <c r="L20" s="7">
        <f t="shared" si="4"/>
        <v>3</v>
      </c>
      <c r="M20" s="7">
        <v>60</v>
      </c>
      <c r="N20" s="9">
        <v>0.1</v>
      </c>
      <c r="O20" s="10">
        <f t="shared" si="5"/>
        <v>1.5000000000000001E-2</v>
      </c>
      <c r="P20" s="11">
        <v>1400</v>
      </c>
      <c r="Q20" s="11">
        <f t="shared" si="6"/>
        <v>64711876.32</v>
      </c>
      <c r="R20" s="11">
        <f t="shared" si="0"/>
        <v>2912034.4344000006</v>
      </c>
      <c r="S20" s="11">
        <f t="shared" si="1"/>
        <v>61799841.885600001</v>
      </c>
      <c r="T20" s="12">
        <v>0</v>
      </c>
      <c r="U20" s="11">
        <f t="shared" si="2"/>
        <v>61799841.885600001</v>
      </c>
    </row>
    <row r="21" spans="1:21" ht="30" x14ac:dyDescent="0.25">
      <c r="B21" s="7">
        <v>17</v>
      </c>
      <c r="C21" s="7" t="s">
        <v>34</v>
      </c>
      <c r="D21" s="4" t="s">
        <v>32</v>
      </c>
      <c r="E21" s="34" t="s">
        <v>5</v>
      </c>
      <c r="F21" s="35" t="s">
        <v>45</v>
      </c>
      <c r="G21" s="14">
        <v>1717.68</v>
      </c>
      <c r="H21" s="8">
        <f t="shared" si="3"/>
        <v>18489.107519999998</v>
      </c>
      <c r="I21" s="17">
        <v>20</v>
      </c>
      <c r="J21" s="7">
        <v>2019</v>
      </c>
      <c r="K21" s="7">
        <v>2022</v>
      </c>
      <c r="L21" s="7">
        <f t="shared" si="4"/>
        <v>3</v>
      </c>
      <c r="M21" s="7">
        <v>60</v>
      </c>
      <c r="N21" s="9">
        <v>0.1</v>
      </c>
      <c r="O21" s="10">
        <f t="shared" si="5"/>
        <v>1.5000000000000001E-2</v>
      </c>
      <c r="P21" s="11">
        <v>1400</v>
      </c>
      <c r="Q21" s="11">
        <f t="shared" si="6"/>
        <v>25884750.527999997</v>
      </c>
      <c r="R21" s="11">
        <f t="shared" si="0"/>
        <v>1164813.77376</v>
      </c>
      <c r="S21" s="11">
        <f t="shared" si="1"/>
        <v>24719936.754239999</v>
      </c>
      <c r="T21" s="12">
        <v>0</v>
      </c>
      <c r="U21" s="11">
        <f t="shared" si="2"/>
        <v>24719936.754239999</v>
      </c>
    </row>
    <row r="22" spans="1:21" ht="30" x14ac:dyDescent="0.25">
      <c r="B22" s="7">
        <v>18</v>
      </c>
      <c r="C22" s="7" t="s">
        <v>35</v>
      </c>
      <c r="D22" s="4" t="s">
        <v>33</v>
      </c>
      <c r="E22" s="34" t="s">
        <v>5</v>
      </c>
      <c r="F22" s="34" t="s">
        <v>1</v>
      </c>
      <c r="G22" s="14">
        <v>1254.4000000000001</v>
      </c>
      <c r="H22" s="8">
        <f t="shared" si="3"/>
        <v>13502.3616</v>
      </c>
      <c r="I22" s="17">
        <v>20</v>
      </c>
      <c r="J22" s="7">
        <v>2019</v>
      </c>
      <c r="K22" s="7">
        <v>2022</v>
      </c>
      <c r="L22" s="7">
        <f t="shared" si="4"/>
        <v>3</v>
      </c>
      <c r="M22" s="7">
        <v>60</v>
      </c>
      <c r="N22" s="9">
        <v>0.1</v>
      </c>
      <c r="O22" s="10">
        <f t="shared" si="5"/>
        <v>1.5000000000000001E-2</v>
      </c>
      <c r="P22" s="11">
        <v>1400</v>
      </c>
      <c r="Q22" s="11">
        <f t="shared" si="6"/>
        <v>18903306.240000002</v>
      </c>
      <c r="R22" s="11">
        <f t="shared" si="0"/>
        <v>850648.7808000003</v>
      </c>
      <c r="S22" s="11">
        <f t="shared" si="1"/>
        <v>18052657.459200002</v>
      </c>
      <c r="T22" s="12">
        <v>0</v>
      </c>
      <c r="U22" s="11">
        <f t="shared" si="2"/>
        <v>18052657.459200002</v>
      </c>
    </row>
    <row r="23" spans="1:21" ht="30" x14ac:dyDescent="0.25">
      <c r="B23" s="2">
        <v>19</v>
      </c>
      <c r="C23" s="7" t="s">
        <v>35</v>
      </c>
      <c r="D23" s="4" t="s">
        <v>32</v>
      </c>
      <c r="E23" s="34" t="s">
        <v>5</v>
      </c>
      <c r="F23" s="34" t="s">
        <v>1</v>
      </c>
      <c r="G23" s="14">
        <v>1254.4000000000001</v>
      </c>
      <c r="H23" s="8">
        <f t="shared" si="3"/>
        <v>13502.3616</v>
      </c>
      <c r="I23" s="17">
        <v>20</v>
      </c>
      <c r="J23" s="7">
        <v>2019</v>
      </c>
      <c r="K23" s="7">
        <v>2022</v>
      </c>
      <c r="L23" s="7">
        <f t="shared" si="4"/>
        <v>3</v>
      </c>
      <c r="M23" s="7">
        <v>60</v>
      </c>
      <c r="N23" s="9">
        <v>0.1</v>
      </c>
      <c r="O23" s="10">
        <f t="shared" si="5"/>
        <v>1.5000000000000001E-2</v>
      </c>
      <c r="P23" s="11">
        <v>1400</v>
      </c>
      <c r="Q23" s="11">
        <f t="shared" si="6"/>
        <v>18903306.240000002</v>
      </c>
      <c r="R23" s="11">
        <f t="shared" si="0"/>
        <v>850648.7808000003</v>
      </c>
      <c r="S23" s="11">
        <f t="shared" si="1"/>
        <v>18052657.459200002</v>
      </c>
      <c r="T23" s="12">
        <v>0</v>
      </c>
      <c r="U23" s="11">
        <f t="shared" si="2"/>
        <v>18052657.459200002</v>
      </c>
    </row>
    <row r="24" spans="1:21" x14ac:dyDescent="0.25">
      <c r="B24" s="2">
        <v>20</v>
      </c>
      <c r="C24" s="7" t="s">
        <v>36</v>
      </c>
      <c r="D24" s="4" t="s">
        <v>33</v>
      </c>
      <c r="E24" s="36"/>
      <c r="F24" s="36"/>
      <c r="G24" s="14">
        <v>1637.5</v>
      </c>
      <c r="H24" s="8">
        <f t="shared" si="3"/>
        <v>17626.05</v>
      </c>
      <c r="I24" s="17">
        <v>20</v>
      </c>
      <c r="J24" s="7">
        <v>2019</v>
      </c>
      <c r="K24" s="7">
        <v>2022</v>
      </c>
      <c r="L24" s="7">
        <f t="shared" si="4"/>
        <v>3</v>
      </c>
      <c r="M24" s="7">
        <v>60</v>
      </c>
      <c r="N24" s="9">
        <v>0.1</v>
      </c>
      <c r="O24" s="10">
        <f t="shared" si="5"/>
        <v>1.5000000000000001E-2</v>
      </c>
      <c r="P24" s="11">
        <v>1400</v>
      </c>
      <c r="Q24" s="11">
        <f t="shared" si="6"/>
        <v>24676470</v>
      </c>
      <c r="R24" s="11">
        <f t="shared" si="0"/>
        <v>1110441.1500000001</v>
      </c>
      <c r="S24" s="11">
        <f t="shared" si="1"/>
        <v>23566028.850000001</v>
      </c>
      <c r="T24" s="12">
        <v>0</v>
      </c>
      <c r="U24" s="11">
        <f t="shared" si="2"/>
        <v>23566028.850000001</v>
      </c>
    </row>
    <row r="25" spans="1:21" x14ac:dyDescent="0.25">
      <c r="B25" s="7">
        <v>21</v>
      </c>
      <c r="C25" s="7" t="s">
        <v>36</v>
      </c>
      <c r="D25" s="4" t="s">
        <v>32</v>
      </c>
      <c r="E25" s="36"/>
      <c r="F25" s="36"/>
      <c r="G25" s="14">
        <v>1637.5</v>
      </c>
      <c r="H25" s="8">
        <f t="shared" si="3"/>
        <v>17626.05</v>
      </c>
      <c r="I25" s="17">
        <v>20</v>
      </c>
      <c r="J25" s="7">
        <v>2019</v>
      </c>
      <c r="K25" s="7">
        <v>2022</v>
      </c>
      <c r="L25" s="7">
        <f t="shared" si="4"/>
        <v>3</v>
      </c>
      <c r="M25" s="7">
        <v>60</v>
      </c>
      <c r="N25" s="9">
        <v>0.1</v>
      </c>
      <c r="O25" s="10">
        <f t="shared" si="5"/>
        <v>1.5000000000000001E-2</v>
      </c>
      <c r="P25" s="11">
        <v>1400</v>
      </c>
      <c r="Q25" s="11">
        <f t="shared" si="6"/>
        <v>24676470</v>
      </c>
      <c r="R25" s="11">
        <f t="shared" si="0"/>
        <v>1110441.1500000001</v>
      </c>
      <c r="S25" s="11">
        <f t="shared" si="1"/>
        <v>23566028.850000001</v>
      </c>
      <c r="T25" s="12">
        <v>0</v>
      </c>
      <c r="U25" s="11">
        <f t="shared" si="2"/>
        <v>23566028.850000001</v>
      </c>
    </row>
    <row r="26" spans="1:21" ht="30" x14ac:dyDescent="0.25">
      <c r="B26" s="7">
        <v>22</v>
      </c>
      <c r="C26" s="4" t="s">
        <v>37</v>
      </c>
      <c r="D26" s="4" t="s">
        <v>33</v>
      </c>
      <c r="E26" s="35" t="s">
        <v>46</v>
      </c>
      <c r="F26" s="34" t="s">
        <v>1</v>
      </c>
      <c r="G26" s="14">
        <v>310.8</v>
      </c>
      <c r="H26" s="8">
        <f t="shared" si="3"/>
        <v>3345.4512</v>
      </c>
      <c r="I26" s="17">
        <v>20</v>
      </c>
      <c r="J26" s="7">
        <v>2019</v>
      </c>
      <c r="K26" s="7">
        <v>2022</v>
      </c>
      <c r="L26" s="7">
        <f t="shared" si="4"/>
        <v>3</v>
      </c>
      <c r="M26" s="7">
        <v>60</v>
      </c>
      <c r="N26" s="9">
        <v>0.1</v>
      </c>
      <c r="O26" s="10">
        <f t="shared" si="5"/>
        <v>1.5000000000000001E-2</v>
      </c>
      <c r="P26" s="11">
        <v>1400</v>
      </c>
      <c r="Q26" s="11">
        <f t="shared" si="6"/>
        <v>4683631.68</v>
      </c>
      <c r="R26" s="11">
        <f t="shared" si="0"/>
        <v>210763.42560000002</v>
      </c>
      <c r="S26" s="11">
        <f t="shared" si="1"/>
        <v>4472868.2544</v>
      </c>
      <c r="T26" s="12">
        <v>0</v>
      </c>
      <c r="U26" s="11">
        <f t="shared" si="2"/>
        <v>4472868.2544</v>
      </c>
    </row>
    <row r="27" spans="1:21" ht="30" x14ac:dyDescent="0.25">
      <c r="B27" s="2">
        <v>23</v>
      </c>
      <c r="C27" s="4" t="s">
        <v>37</v>
      </c>
      <c r="D27" s="4" t="s">
        <v>32</v>
      </c>
      <c r="E27" s="35" t="s">
        <v>46</v>
      </c>
      <c r="F27" s="34" t="s">
        <v>1</v>
      </c>
      <c r="G27" s="14">
        <v>288</v>
      </c>
      <c r="H27" s="8">
        <f t="shared" si="3"/>
        <v>3100.0319999999997</v>
      </c>
      <c r="I27" s="17">
        <v>20</v>
      </c>
      <c r="J27" s="7">
        <v>2019</v>
      </c>
      <c r="K27" s="7">
        <v>2022</v>
      </c>
      <c r="L27" s="7">
        <f t="shared" si="4"/>
        <v>3</v>
      </c>
      <c r="M27" s="7">
        <v>60</v>
      </c>
      <c r="N27" s="9">
        <v>0.1</v>
      </c>
      <c r="O27" s="10">
        <f t="shared" si="5"/>
        <v>1.5000000000000001E-2</v>
      </c>
      <c r="P27" s="11">
        <v>1400</v>
      </c>
      <c r="Q27" s="11">
        <f t="shared" si="6"/>
        <v>4340044.8</v>
      </c>
      <c r="R27" s="11">
        <f t="shared" si="0"/>
        <v>195302.016</v>
      </c>
      <c r="S27" s="11">
        <f t="shared" si="1"/>
        <v>4144742.784</v>
      </c>
      <c r="T27" s="12">
        <v>0</v>
      </c>
      <c r="U27" s="11">
        <f t="shared" si="2"/>
        <v>4144742.784</v>
      </c>
    </row>
    <row r="28" spans="1:21" x14ac:dyDescent="0.25">
      <c r="B28" s="2">
        <v>24</v>
      </c>
      <c r="C28" s="7" t="s">
        <v>38</v>
      </c>
      <c r="D28" s="4" t="s">
        <v>33</v>
      </c>
      <c r="E28" s="36"/>
      <c r="F28" s="36"/>
      <c r="G28" s="14">
        <v>95.87</v>
      </c>
      <c r="H28" s="8">
        <f t="shared" si="3"/>
        <v>1031.9446800000001</v>
      </c>
      <c r="I28" s="17">
        <v>20</v>
      </c>
      <c r="J28" s="7">
        <v>2019</v>
      </c>
      <c r="K28" s="7">
        <v>2022</v>
      </c>
      <c r="L28" s="7">
        <f t="shared" si="4"/>
        <v>3</v>
      </c>
      <c r="M28" s="7">
        <v>60</v>
      </c>
      <c r="N28" s="9">
        <v>0.1</v>
      </c>
      <c r="O28" s="10">
        <f t="shared" si="5"/>
        <v>1.5000000000000001E-2</v>
      </c>
      <c r="P28" s="11">
        <v>1400</v>
      </c>
      <c r="Q28" s="11">
        <f t="shared" si="6"/>
        <v>1444722.5520000001</v>
      </c>
      <c r="R28" s="11">
        <f t="shared" si="0"/>
        <v>65012.514840000011</v>
      </c>
      <c r="S28" s="11">
        <f t="shared" si="1"/>
        <v>1379710.0371600001</v>
      </c>
      <c r="T28" s="12">
        <v>0</v>
      </c>
      <c r="U28" s="11">
        <f t="shared" si="2"/>
        <v>1379710.0371600001</v>
      </c>
    </row>
    <row r="29" spans="1:21" x14ac:dyDescent="0.25">
      <c r="A29">
        <f>288+22.8</f>
        <v>310.8</v>
      </c>
      <c r="B29" s="7">
        <v>25</v>
      </c>
      <c r="C29" s="7" t="s">
        <v>38</v>
      </c>
      <c r="D29" s="4" t="s">
        <v>32</v>
      </c>
      <c r="E29" s="36"/>
      <c r="F29" s="36"/>
      <c r="G29" s="14">
        <v>95.87</v>
      </c>
      <c r="H29" s="8">
        <f t="shared" si="3"/>
        <v>1031.9446800000001</v>
      </c>
      <c r="I29" s="17">
        <v>20</v>
      </c>
      <c r="J29" s="7">
        <v>2019</v>
      </c>
      <c r="K29" s="7">
        <v>2022</v>
      </c>
      <c r="L29" s="7">
        <f t="shared" si="4"/>
        <v>3</v>
      </c>
      <c r="M29" s="7">
        <v>60</v>
      </c>
      <c r="N29" s="9">
        <v>0.1</v>
      </c>
      <c r="O29" s="10">
        <f t="shared" si="5"/>
        <v>1.5000000000000001E-2</v>
      </c>
      <c r="P29" s="11">
        <v>1400</v>
      </c>
      <c r="Q29" s="11">
        <f t="shared" si="6"/>
        <v>1444722.5520000001</v>
      </c>
      <c r="R29" s="11">
        <f t="shared" si="0"/>
        <v>65012.514840000011</v>
      </c>
      <c r="S29" s="11">
        <f t="shared" si="1"/>
        <v>1379710.0371600001</v>
      </c>
      <c r="T29" s="12">
        <v>0</v>
      </c>
      <c r="U29" s="11">
        <f t="shared" si="2"/>
        <v>1379710.0371600001</v>
      </c>
    </row>
    <row r="30" spans="1:21" x14ac:dyDescent="0.25">
      <c r="A30">
        <v>22.8</v>
      </c>
      <c r="B30" s="7">
        <v>26</v>
      </c>
      <c r="C30" s="7" t="s">
        <v>39</v>
      </c>
      <c r="D30" s="4" t="s">
        <v>33</v>
      </c>
      <c r="E30" s="36"/>
      <c r="F30" s="36"/>
      <c r="G30" s="14">
        <v>119.6</v>
      </c>
      <c r="H30" s="8">
        <f t="shared" si="3"/>
        <v>1287.3743999999999</v>
      </c>
      <c r="I30" s="17">
        <v>20</v>
      </c>
      <c r="J30" s="7">
        <v>2019</v>
      </c>
      <c r="K30" s="7">
        <v>2022</v>
      </c>
      <c r="L30" s="7">
        <f t="shared" si="4"/>
        <v>3</v>
      </c>
      <c r="M30" s="7">
        <v>60</v>
      </c>
      <c r="N30" s="9">
        <v>0.1</v>
      </c>
      <c r="O30" s="10">
        <f t="shared" si="5"/>
        <v>1.5000000000000001E-2</v>
      </c>
      <c r="P30" s="11">
        <v>1400</v>
      </c>
      <c r="Q30" s="11">
        <f t="shared" si="6"/>
        <v>1802324.16</v>
      </c>
      <c r="R30" s="11">
        <f t="shared" si="0"/>
        <v>81104.587200000009</v>
      </c>
      <c r="S30" s="11">
        <f t="shared" si="1"/>
        <v>1721219.5728</v>
      </c>
      <c r="T30" s="12">
        <v>0</v>
      </c>
      <c r="U30" s="11">
        <f t="shared" si="2"/>
        <v>1721219.5728</v>
      </c>
    </row>
    <row r="31" spans="1:21" x14ac:dyDescent="0.25">
      <c r="B31" s="2">
        <v>27</v>
      </c>
      <c r="C31" s="7" t="s">
        <v>40</v>
      </c>
      <c r="D31" s="4" t="s">
        <v>33</v>
      </c>
      <c r="E31" s="36"/>
      <c r="F31" s="36"/>
      <c r="G31" s="14">
        <v>26.5</v>
      </c>
      <c r="H31" s="8">
        <f t="shared" si="3"/>
        <v>285.24599999999998</v>
      </c>
      <c r="I31" s="17">
        <v>20</v>
      </c>
      <c r="J31" s="7">
        <v>2019</v>
      </c>
      <c r="K31" s="7">
        <v>2022</v>
      </c>
      <c r="L31" s="7">
        <f t="shared" si="4"/>
        <v>3</v>
      </c>
      <c r="M31" s="7">
        <v>60</v>
      </c>
      <c r="N31" s="9">
        <v>0.1</v>
      </c>
      <c r="O31" s="10">
        <f t="shared" si="5"/>
        <v>1.5000000000000001E-2</v>
      </c>
      <c r="P31" s="11">
        <v>1400</v>
      </c>
      <c r="Q31" s="11">
        <f t="shared" si="6"/>
        <v>399344.39999999997</v>
      </c>
      <c r="R31" s="11">
        <f t="shared" si="0"/>
        <v>17970.498</v>
      </c>
      <c r="S31" s="11">
        <f t="shared" si="1"/>
        <v>381373.90199999994</v>
      </c>
      <c r="T31" s="12">
        <v>0</v>
      </c>
      <c r="U31" s="11">
        <f t="shared" si="2"/>
        <v>381373.90199999994</v>
      </c>
    </row>
    <row r="32" spans="1:21" x14ac:dyDescent="0.25">
      <c r="B32" s="2">
        <v>28</v>
      </c>
      <c r="C32" s="7" t="s">
        <v>41</v>
      </c>
      <c r="D32" s="4" t="s">
        <v>33</v>
      </c>
      <c r="E32" s="36"/>
      <c r="F32" s="36"/>
      <c r="G32" s="14">
        <v>15</v>
      </c>
      <c r="H32" s="8">
        <f t="shared" si="3"/>
        <v>161.45999999999998</v>
      </c>
      <c r="I32" s="17">
        <v>20</v>
      </c>
      <c r="J32" s="7">
        <v>2019</v>
      </c>
      <c r="K32" s="7">
        <v>2022</v>
      </c>
      <c r="L32" s="7">
        <f t="shared" si="4"/>
        <v>3</v>
      </c>
      <c r="M32" s="7">
        <v>60</v>
      </c>
      <c r="N32" s="9">
        <v>0.1</v>
      </c>
      <c r="O32" s="10">
        <f t="shared" si="5"/>
        <v>1.5000000000000001E-2</v>
      </c>
      <c r="P32" s="11">
        <v>1400</v>
      </c>
      <c r="Q32" s="11">
        <f t="shared" si="6"/>
        <v>226043.99999999997</v>
      </c>
      <c r="R32" s="11">
        <f t="shared" si="0"/>
        <v>10171.98</v>
      </c>
      <c r="S32" s="11">
        <f t="shared" si="1"/>
        <v>215872.01999999996</v>
      </c>
      <c r="T32" s="12">
        <v>0</v>
      </c>
      <c r="U32" s="11">
        <f t="shared" si="2"/>
        <v>215872.01999999996</v>
      </c>
    </row>
    <row r="33" spans="4:8" x14ac:dyDescent="0.25">
      <c r="D33" s="1"/>
      <c r="E33" s="22"/>
      <c r="F33" s="22"/>
    </row>
    <row r="34" spans="4:8" x14ac:dyDescent="0.25">
      <c r="E34" s="22"/>
      <c r="F34" s="22"/>
    </row>
    <row r="35" spans="4:8" x14ac:dyDescent="0.25">
      <c r="E35" s="22"/>
      <c r="F35" s="22"/>
    </row>
    <row r="36" spans="4:8" x14ac:dyDescent="0.25">
      <c r="E36" s="22"/>
      <c r="F36" s="22"/>
    </row>
    <row r="37" spans="4:8" x14ac:dyDescent="0.25">
      <c r="E37" s="22"/>
      <c r="F37" s="22"/>
    </row>
    <row r="38" spans="4:8" x14ac:dyDescent="0.25">
      <c r="E38" s="22"/>
      <c r="F38" s="22"/>
    </row>
    <row r="39" spans="4:8" x14ac:dyDescent="0.25">
      <c r="E39" s="22"/>
      <c r="F39" s="22"/>
    </row>
    <row r="40" spans="4:8" x14ac:dyDescent="0.25">
      <c r="E40" s="22"/>
      <c r="F40" s="22">
        <f>10*33*3</f>
        <v>990</v>
      </c>
    </row>
    <row r="41" spans="4:8" x14ac:dyDescent="0.25">
      <c r="E41" s="22"/>
      <c r="F41" s="22">
        <f>75*50</f>
        <v>3750</v>
      </c>
      <c r="G41">
        <f>50*30</f>
        <v>1500</v>
      </c>
      <c r="H41">
        <f>G41+F41</f>
        <v>5250</v>
      </c>
    </row>
    <row r="42" spans="4:8" x14ac:dyDescent="0.25">
      <c r="E42" s="22"/>
      <c r="F42" s="22">
        <f>80*50</f>
        <v>4000</v>
      </c>
      <c r="G42">
        <f>50*31</f>
        <v>1550</v>
      </c>
      <c r="H42">
        <f>G42+F42</f>
        <v>5550</v>
      </c>
    </row>
    <row r="43" spans="4:8" x14ac:dyDescent="0.25">
      <c r="E43" s="22"/>
      <c r="F43" s="22">
        <f>63*41</f>
        <v>2583</v>
      </c>
      <c r="G43">
        <f>25*41</f>
        <v>1025</v>
      </c>
      <c r="H43">
        <f>G43+F43</f>
        <v>3608</v>
      </c>
    </row>
    <row r="44" spans="4:8" x14ac:dyDescent="0.25">
      <c r="E44" s="22"/>
      <c r="F44" s="22">
        <f>85*76</f>
        <v>6460</v>
      </c>
      <c r="G44">
        <f>85*76</f>
        <v>6460</v>
      </c>
      <c r="H44">
        <f>G44+F44</f>
        <v>12920</v>
      </c>
    </row>
    <row r="45" spans="4:8" x14ac:dyDescent="0.25">
      <c r="E45" s="22"/>
      <c r="F45" s="22"/>
    </row>
    <row r="46" spans="4:8" x14ac:dyDescent="0.25">
      <c r="E46" s="22"/>
      <c r="F46" s="22"/>
    </row>
    <row r="47" spans="4:8" x14ac:dyDescent="0.25">
      <c r="E47" s="22"/>
      <c r="F47" s="22"/>
    </row>
    <row r="48" spans="4:8" x14ac:dyDescent="0.25">
      <c r="E48" s="22"/>
      <c r="F48" s="22"/>
    </row>
    <row r="49" spans="5:6" x14ac:dyDescent="0.25">
      <c r="E49" s="22"/>
      <c r="F49" s="22"/>
    </row>
    <row r="50" spans="5:6" x14ac:dyDescent="0.25">
      <c r="E50" s="22"/>
      <c r="F50" s="22"/>
    </row>
    <row r="51" spans="5:6" x14ac:dyDescent="0.25">
      <c r="E51" s="22"/>
      <c r="F51" s="22"/>
    </row>
    <row r="52" spans="5:6" x14ac:dyDescent="0.25">
      <c r="E52" s="22"/>
      <c r="F52" s="22"/>
    </row>
    <row r="53" spans="5:6" x14ac:dyDescent="0.25">
      <c r="E53" s="22"/>
      <c r="F53" s="22"/>
    </row>
    <row r="54" spans="5:6" x14ac:dyDescent="0.25">
      <c r="E54" s="22"/>
      <c r="F54" s="22"/>
    </row>
    <row r="55" spans="5:6" x14ac:dyDescent="0.25">
      <c r="E55" s="22"/>
      <c r="F55" s="22"/>
    </row>
    <row r="56" spans="5:6" x14ac:dyDescent="0.25">
      <c r="E56" s="22"/>
      <c r="F56" s="22"/>
    </row>
    <row r="57" spans="5:6" x14ac:dyDescent="0.25">
      <c r="E57" s="22"/>
      <c r="F57" s="22"/>
    </row>
    <row r="58" spans="5:6" x14ac:dyDescent="0.25">
      <c r="E58" s="22"/>
      <c r="F58" s="22"/>
    </row>
    <row r="59" spans="5:6" x14ac:dyDescent="0.25">
      <c r="E59" s="22"/>
      <c r="F59" s="22"/>
    </row>
    <row r="60" spans="5:6" x14ac:dyDescent="0.25">
      <c r="E60" s="22"/>
      <c r="F60" s="22"/>
    </row>
    <row r="61" spans="5:6" x14ac:dyDescent="0.25">
      <c r="E61" s="22"/>
      <c r="F61" s="22"/>
    </row>
    <row r="62" spans="5:6" x14ac:dyDescent="0.25">
      <c r="E62" s="22"/>
      <c r="F62" s="22"/>
    </row>
    <row r="63" spans="5:6" x14ac:dyDescent="0.25">
      <c r="E63" s="22"/>
      <c r="F63" s="22"/>
    </row>
    <row r="64" spans="5:6" x14ac:dyDescent="0.25">
      <c r="E64" s="22"/>
      <c r="F64" s="22"/>
    </row>
    <row r="65" spans="5:6" x14ac:dyDescent="0.25">
      <c r="E65" s="22"/>
      <c r="F65" s="22"/>
    </row>
    <row r="66" spans="5:6" x14ac:dyDescent="0.25">
      <c r="E66" s="22"/>
      <c r="F66" s="22"/>
    </row>
    <row r="67" spans="5:6" x14ac:dyDescent="0.25">
      <c r="E67" s="22"/>
      <c r="F67" s="22"/>
    </row>
    <row r="68" spans="5:6" x14ac:dyDescent="0.25">
      <c r="E68" s="22"/>
      <c r="F68" s="22"/>
    </row>
    <row r="69" spans="5:6" x14ac:dyDescent="0.25">
      <c r="E69" s="22"/>
      <c r="F69" s="22"/>
    </row>
    <row r="70" spans="5:6" x14ac:dyDescent="0.25">
      <c r="E70" s="22"/>
      <c r="F70" s="22"/>
    </row>
    <row r="71" spans="5:6" x14ac:dyDescent="0.25">
      <c r="E71" s="22"/>
      <c r="F71" s="22"/>
    </row>
    <row r="72" spans="5:6" x14ac:dyDescent="0.25">
      <c r="E72" s="22"/>
      <c r="F72" s="22"/>
    </row>
    <row r="73" spans="5:6" x14ac:dyDescent="0.25">
      <c r="E73" s="22"/>
      <c r="F73" s="22"/>
    </row>
    <row r="74" spans="5:6" x14ac:dyDescent="0.25">
      <c r="E74" s="22"/>
      <c r="F74" s="22"/>
    </row>
    <row r="75" spans="5:6" x14ac:dyDescent="0.25">
      <c r="E75" s="22"/>
      <c r="F75" s="22"/>
    </row>
    <row r="76" spans="5:6" x14ac:dyDescent="0.25">
      <c r="E76" s="22"/>
      <c r="F76" s="22"/>
    </row>
    <row r="77" spans="5:6" x14ac:dyDescent="0.25">
      <c r="E77" s="22"/>
      <c r="F77" s="22"/>
    </row>
    <row r="78" spans="5:6" x14ac:dyDescent="0.25">
      <c r="E78" s="22"/>
      <c r="F78" s="22"/>
    </row>
    <row r="79" spans="5:6" x14ac:dyDescent="0.25">
      <c r="E79" s="22"/>
      <c r="F79" s="22"/>
    </row>
    <row r="80" spans="5:6" x14ac:dyDescent="0.25">
      <c r="E80" s="22"/>
      <c r="F80" s="22"/>
    </row>
    <row r="81" spans="5:6" x14ac:dyDescent="0.25">
      <c r="E81" s="22"/>
      <c r="F81" s="22"/>
    </row>
    <row r="82" spans="5:6" x14ac:dyDescent="0.25">
      <c r="E82" s="22"/>
      <c r="F82" s="22"/>
    </row>
    <row r="83" spans="5:6" x14ac:dyDescent="0.25">
      <c r="E83" s="22"/>
      <c r="F83" s="22"/>
    </row>
    <row r="84" spans="5:6" x14ac:dyDescent="0.25">
      <c r="E84" s="22"/>
      <c r="F84" s="22"/>
    </row>
    <row r="85" spans="5:6" x14ac:dyDescent="0.25">
      <c r="E85" s="22"/>
      <c r="F85" s="22"/>
    </row>
    <row r="86" spans="5:6" x14ac:dyDescent="0.25">
      <c r="E86" s="22"/>
      <c r="F86" s="22"/>
    </row>
    <row r="87" spans="5:6" x14ac:dyDescent="0.25">
      <c r="E87" s="22"/>
      <c r="F87" s="22"/>
    </row>
    <row r="88" spans="5:6" x14ac:dyDescent="0.25">
      <c r="E88" s="22"/>
      <c r="F88" s="22"/>
    </row>
    <row r="89" spans="5:6" x14ac:dyDescent="0.25">
      <c r="E89" s="22"/>
      <c r="F89" s="22"/>
    </row>
    <row r="90" spans="5:6" x14ac:dyDescent="0.25">
      <c r="E90" s="22"/>
      <c r="F90" s="22"/>
    </row>
    <row r="91" spans="5:6" x14ac:dyDescent="0.25">
      <c r="E91" s="22"/>
      <c r="F91" s="22"/>
    </row>
    <row r="92" spans="5:6" x14ac:dyDescent="0.25">
      <c r="E92" s="22"/>
      <c r="F92" s="22"/>
    </row>
    <row r="93" spans="5:6" x14ac:dyDescent="0.25">
      <c r="E93" s="22"/>
      <c r="F93" s="22"/>
    </row>
    <row r="94" spans="5:6" x14ac:dyDescent="0.25">
      <c r="E94" s="22"/>
      <c r="F94" s="22"/>
    </row>
    <row r="95" spans="5:6" x14ac:dyDescent="0.25">
      <c r="E95" s="22"/>
      <c r="F95" s="22"/>
    </row>
    <row r="96" spans="5:6" x14ac:dyDescent="0.25">
      <c r="E96" s="22"/>
      <c r="F96" s="22"/>
    </row>
    <row r="97" spans="5:6" x14ac:dyDescent="0.25">
      <c r="E97" s="22"/>
      <c r="F97" s="22"/>
    </row>
    <row r="98" spans="5:6" x14ac:dyDescent="0.25">
      <c r="E98" s="22"/>
      <c r="F98" s="22"/>
    </row>
    <row r="99" spans="5:6" x14ac:dyDescent="0.25">
      <c r="E99" s="22"/>
      <c r="F99" s="22"/>
    </row>
    <row r="100" spans="5:6" x14ac:dyDescent="0.25">
      <c r="E100" s="22"/>
      <c r="F100" s="22"/>
    </row>
    <row r="101" spans="5:6" x14ac:dyDescent="0.25">
      <c r="E101" s="22"/>
      <c r="F101" s="22"/>
    </row>
    <row r="102" spans="5:6" x14ac:dyDescent="0.25">
      <c r="E102" s="22"/>
      <c r="F102" s="22"/>
    </row>
    <row r="103" spans="5:6" x14ac:dyDescent="0.25">
      <c r="E103" s="22"/>
      <c r="F103" s="22"/>
    </row>
    <row r="104" spans="5:6" x14ac:dyDescent="0.25">
      <c r="E104" s="22"/>
      <c r="F104" s="22"/>
    </row>
    <row r="105" spans="5:6" x14ac:dyDescent="0.25">
      <c r="E105" s="22"/>
      <c r="F105" s="22"/>
    </row>
    <row r="106" spans="5:6" x14ac:dyDescent="0.25">
      <c r="E106" s="22"/>
      <c r="F106" s="22"/>
    </row>
    <row r="107" spans="5:6" x14ac:dyDescent="0.25">
      <c r="E107" s="22"/>
      <c r="F107" s="22"/>
    </row>
    <row r="108" spans="5:6" x14ac:dyDescent="0.25">
      <c r="E108" s="22"/>
      <c r="F108" s="22"/>
    </row>
    <row r="109" spans="5:6" x14ac:dyDescent="0.25">
      <c r="E109" s="22"/>
      <c r="F109" s="22"/>
    </row>
    <row r="110" spans="5:6" x14ac:dyDescent="0.25">
      <c r="E110" s="22"/>
      <c r="F110" s="22"/>
    </row>
    <row r="111" spans="5:6" x14ac:dyDescent="0.25">
      <c r="E111" s="22"/>
      <c r="F111" s="22"/>
    </row>
    <row r="112" spans="5:6" x14ac:dyDescent="0.25">
      <c r="E112" s="22"/>
      <c r="F112" s="22"/>
    </row>
    <row r="113" spans="5:6" x14ac:dyDescent="0.25">
      <c r="E113" s="22"/>
      <c r="F113" s="22"/>
    </row>
    <row r="114" spans="5:6" x14ac:dyDescent="0.25">
      <c r="E114" s="22"/>
      <c r="F114" s="22"/>
    </row>
    <row r="115" spans="5:6" x14ac:dyDescent="0.25">
      <c r="E115" s="22"/>
      <c r="F115" s="22"/>
    </row>
    <row r="116" spans="5:6" x14ac:dyDescent="0.25">
      <c r="E116" s="22"/>
      <c r="F116" s="22"/>
    </row>
    <row r="117" spans="5:6" x14ac:dyDescent="0.25">
      <c r="E117" s="22"/>
      <c r="F117" s="22"/>
    </row>
    <row r="118" spans="5:6" x14ac:dyDescent="0.25">
      <c r="E118" s="22"/>
      <c r="F118" s="22"/>
    </row>
    <row r="119" spans="5:6" x14ac:dyDescent="0.25">
      <c r="E119" s="22"/>
      <c r="F119" s="22"/>
    </row>
    <row r="120" spans="5:6" x14ac:dyDescent="0.25">
      <c r="E120" s="22"/>
      <c r="F120" s="22"/>
    </row>
    <row r="121" spans="5:6" x14ac:dyDescent="0.25">
      <c r="E121" s="22"/>
      <c r="F121" s="22"/>
    </row>
    <row r="122" spans="5:6" x14ac:dyDescent="0.25">
      <c r="E122" s="22"/>
      <c r="F122" s="22"/>
    </row>
    <row r="123" spans="5:6" x14ac:dyDescent="0.25">
      <c r="E123" s="22"/>
      <c r="F123" s="22"/>
    </row>
    <row r="124" spans="5:6" x14ac:dyDescent="0.25">
      <c r="E124" s="22"/>
      <c r="F124" s="22"/>
    </row>
    <row r="125" spans="5:6" x14ac:dyDescent="0.25">
      <c r="E125" s="22"/>
      <c r="F125" s="22"/>
    </row>
    <row r="126" spans="5:6" x14ac:dyDescent="0.25">
      <c r="E126" s="22"/>
      <c r="F126" s="22"/>
    </row>
    <row r="127" spans="5:6" x14ac:dyDescent="0.25">
      <c r="E127" s="22"/>
      <c r="F127" s="22"/>
    </row>
    <row r="128" spans="5:6" x14ac:dyDescent="0.25">
      <c r="E128" s="22"/>
      <c r="F128" s="22"/>
    </row>
    <row r="129" spans="5:6" x14ac:dyDescent="0.25">
      <c r="E129" s="22"/>
      <c r="F129" s="22"/>
    </row>
    <row r="130" spans="5:6" x14ac:dyDescent="0.25">
      <c r="E130" s="22"/>
      <c r="F130" s="22"/>
    </row>
    <row r="131" spans="5:6" x14ac:dyDescent="0.25">
      <c r="E131" s="22"/>
      <c r="F131" s="22"/>
    </row>
    <row r="132" spans="5:6" x14ac:dyDescent="0.25">
      <c r="E132" s="22"/>
      <c r="F132" s="22"/>
    </row>
    <row r="133" spans="5:6" x14ac:dyDescent="0.25">
      <c r="E133" s="22"/>
      <c r="F133" s="22"/>
    </row>
    <row r="134" spans="5:6" x14ac:dyDescent="0.25">
      <c r="E134" s="22"/>
      <c r="F134" s="22"/>
    </row>
    <row r="135" spans="5:6" x14ac:dyDescent="0.25">
      <c r="E135" s="22"/>
      <c r="F135" s="22"/>
    </row>
    <row r="136" spans="5:6" x14ac:dyDescent="0.25">
      <c r="E136" s="22"/>
      <c r="F136" s="22"/>
    </row>
    <row r="137" spans="5:6" x14ac:dyDescent="0.25">
      <c r="E137" s="22"/>
      <c r="F137" s="22"/>
    </row>
    <row r="138" spans="5:6" x14ac:dyDescent="0.25">
      <c r="E138" s="22"/>
      <c r="F138" s="22"/>
    </row>
    <row r="139" spans="5:6" x14ac:dyDescent="0.25">
      <c r="E139" s="22"/>
      <c r="F139" s="22"/>
    </row>
    <row r="140" spans="5:6" x14ac:dyDescent="0.25">
      <c r="E140" s="22"/>
      <c r="F140" s="22"/>
    </row>
    <row r="141" spans="5:6" x14ac:dyDescent="0.25">
      <c r="E141" s="22"/>
      <c r="F141" s="22"/>
    </row>
    <row r="142" spans="5:6" x14ac:dyDescent="0.25">
      <c r="E142" s="22"/>
      <c r="F142" s="22"/>
    </row>
    <row r="143" spans="5:6" x14ac:dyDescent="0.25">
      <c r="E143" s="22"/>
      <c r="F143" s="22"/>
    </row>
    <row r="144" spans="5:6" x14ac:dyDescent="0.25">
      <c r="E144" s="22"/>
      <c r="F144" s="22"/>
    </row>
    <row r="145" spans="5:6" x14ac:dyDescent="0.25">
      <c r="E145" s="22"/>
      <c r="F145" s="22"/>
    </row>
    <row r="146" spans="5:6" x14ac:dyDescent="0.25">
      <c r="E146" s="22"/>
      <c r="F146" s="22"/>
    </row>
    <row r="147" spans="5:6" x14ac:dyDescent="0.25">
      <c r="E147" s="22"/>
      <c r="F147" s="22"/>
    </row>
    <row r="148" spans="5:6" x14ac:dyDescent="0.25">
      <c r="E148" s="22"/>
      <c r="F148" s="22"/>
    </row>
    <row r="149" spans="5:6" x14ac:dyDescent="0.25">
      <c r="E149" s="22"/>
      <c r="F149" s="22"/>
    </row>
    <row r="150" spans="5:6" x14ac:dyDescent="0.25">
      <c r="E150" s="22"/>
      <c r="F150" s="22"/>
    </row>
    <row r="151" spans="5:6" x14ac:dyDescent="0.25">
      <c r="E151" s="22"/>
      <c r="F151" s="22"/>
    </row>
    <row r="152" spans="5:6" x14ac:dyDescent="0.25">
      <c r="E152" s="22"/>
      <c r="F152" s="22"/>
    </row>
    <row r="153" spans="5:6" x14ac:dyDescent="0.25">
      <c r="E153" s="22"/>
      <c r="F153" s="22"/>
    </row>
    <row r="154" spans="5:6" x14ac:dyDescent="0.25">
      <c r="E154" s="22"/>
      <c r="F154" s="22"/>
    </row>
    <row r="155" spans="5:6" x14ac:dyDescent="0.25">
      <c r="E155" s="22"/>
      <c r="F155" s="22"/>
    </row>
    <row r="156" spans="5:6" x14ac:dyDescent="0.25">
      <c r="E156" s="22"/>
      <c r="F156" s="22"/>
    </row>
    <row r="157" spans="5:6" x14ac:dyDescent="0.25">
      <c r="E157" s="22"/>
      <c r="F157" s="22"/>
    </row>
    <row r="158" spans="5:6" x14ac:dyDescent="0.25">
      <c r="E158" s="22"/>
      <c r="F158" s="22"/>
    </row>
    <row r="159" spans="5:6" x14ac:dyDescent="0.25">
      <c r="E159" s="22"/>
      <c r="F159" s="22"/>
    </row>
    <row r="160" spans="5:6" x14ac:dyDescent="0.25">
      <c r="E160" s="22"/>
      <c r="F160" s="22"/>
    </row>
    <row r="161" spans="5:6" x14ac:dyDescent="0.25">
      <c r="E161" s="22"/>
      <c r="F161" s="22"/>
    </row>
    <row r="162" spans="5:6" x14ac:dyDescent="0.25">
      <c r="E162" s="22"/>
      <c r="F162" s="22"/>
    </row>
    <row r="163" spans="5:6" x14ac:dyDescent="0.25">
      <c r="E163" s="22"/>
      <c r="F163" s="22"/>
    </row>
    <row r="164" spans="5:6" x14ac:dyDescent="0.25">
      <c r="E164" s="22"/>
      <c r="F164" s="22"/>
    </row>
    <row r="165" spans="5:6" x14ac:dyDescent="0.25">
      <c r="E165" s="22"/>
      <c r="F165" s="22"/>
    </row>
    <row r="166" spans="5:6" x14ac:dyDescent="0.25">
      <c r="E166" s="22"/>
      <c r="F166" s="22"/>
    </row>
    <row r="167" spans="5:6" x14ac:dyDescent="0.25">
      <c r="E167" s="22"/>
      <c r="F167" s="22"/>
    </row>
    <row r="168" spans="5:6" x14ac:dyDescent="0.25">
      <c r="E168" s="22"/>
      <c r="F168" s="22"/>
    </row>
    <row r="169" spans="5:6" x14ac:dyDescent="0.25">
      <c r="E169" s="22"/>
      <c r="F169" s="22"/>
    </row>
    <row r="170" spans="5:6" x14ac:dyDescent="0.25">
      <c r="E170" s="22"/>
      <c r="F170" s="22"/>
    </row>
    <row r="171" spans="5:6" x14ac:dyDescent="0.25">
      <c r="E171" s="22"/>
      <c r="F171" s="22"/>
    </row>
    <row r="172" spans="5:6" x14ac:dyDescent="0.25">
      <c r="E172" s="22"/>
      <c r="F172" s="22"/>
    </row>
    <row r="173" spans="5:6" x14ac:dyDescent="0.25">
      <c r="E173" s="22"/>
      <c r="F173" s="22"/>
    </row>
    <row r="174" spans="5:6" x14ac:dyDescent="0.25">
      <c r="E174" s="22"/>
      <c r="F174" s="22"/>
    </row>
    <row r="175" spans="5:6" x14ac:dyDescent="0.25">
      <c r="E175" s="22"/>
      <c r="F175" s="22"/>
    </row>
    <row r="176" spans="5:6" x14ac:dyDescent="0.25">
      <c r="E176" s="22"/>
      <c r="F176" s="22"/>
    </row>
    <row r="177" spans="5:6" x14ac:dyDescent="0.25">
      <c r="E177" s="22"/>
      <c r="F177" s="22"/>
    </row>
    <row r="178" spans="5:6" x14ac:dyDescent="0.25">
      <c r="E178" s="22"/>
      <c r="F178" s="22"/>
    </row>
    <row r="179" spans="5:6" x14ac:dyDescent="0.25">
      <c r="E179" s="22"/>
      <c r="F179" s="22"/>
    </row>
    <row r="180" spans="5:6" x14ac:dyDescent="0.25">
      <c r="E180" s="22"/>
      <c r="F180" s="22"/>
    </row>
    <row r="181" spans="5:6" x14ac:dyDescent="0.25">
      <c r="E181" s="22"/>
      <c r="F181" s="22"/>
    </row>
    <row r="182" spans="5:6" x14ac:dyDescent="0.25">
      <c r="E182" s="22"/>
      <c r="F182" s="22"/>
    </row>
    <row r="183" spans="5:6" x14ac:dyDescent="0.25">
      <c r="E183" s="22"/>
      <c r="F183" s="22"/>
    </row>
    <row r="184" spans="5:6" x14ac:dyDescent="0.25">
      <c r="E184" s="22"/>
      <c r="F184" s="22"/>
    </row>
    <row r="185" spans="5:6" x14ac:dyDescent="0.25">
      <c r="E185" s="22"/>
      <c r="F185" s="22"/>
    </row>
    <row r="186" spans="5:6" x14ac:dyDescent="0.25">
      <c r="E186" s="22"/>
      <c r="F186" s="22"/>
    </row>
    <row r="187" spans="5:6" x14ac:dyDescent="0.25">
      <c r="E187" s="22"/>
      <c r="F187" s="22"/>
    </row>
    <row r="188" spans="5:6" x14ac:dyDescent="0.25">
      <c r="E188" s="22"/>
      <c r="F188" s="22"/>
    </row>
    <row r="189" spans="5:6" x14ac:dyDescent="0.25">
      <c r="E189" s="22"/>
      <c r="F189" s="22"/>
    </row>
    <row r="190" spans="5:6" x14ac:dyDescent="0.25">
      <c r="E190" s="22"/>
      <c r="F190" s="22"/>
    </row>
    <row r="191" spans="5:6" x14ac:dyDescent="0.25">
      <c r="E191" s="22"/>
      <c r="F191" s="22"/>
    </row>
    <row r="192" spans="5:6" x14ac:dyDescent="0.25">
      <c r="E192" s="22"/>
      <c r="F192" s="22"/>
    </row>
    <row r="193" spans="5:6" x14ac:dyDescent="0.25">
      <c r="E193" s="22"/>
      <c r="F193" s="22"/>
    </row>
    <row r="194" spans="5:6" x14ac:dyDescent="0.25">
      <c r="E194" s="22"/>
      <c r="F194" s="22"/>
    </row>
    <row r="195" spans="5:6" x14ac:dyDescent="0.25">
      <c r="E195" s="22"/>
      <c r="F195" s="22"/>
    </row>
    <row r="196" spans="5:6" x14ac:dyDescent="0.25">
      <c r="E196" s="22"/>
      <c r="F196" s="22"/>
    </row>
    <row r="197" spans="5:6" x14ac:dyDescent="0.25">
      <c r="E197" s="22"/>
      <c r="F197" s="22"/>
    </row>
    <row r="198" spans="5:6" x14ac:dyDescent="0.25">
      <c r="E198" s="22"/>
      <c r="F198" s="22"/>
    </row>
    <row r="199" spans="5:6" x14ac:dyDescent="0.25">
      <c r="E199" s="22"/>
      <c r="F199" s="22"/>
    </row>
    <row r="200" spans="5:6" x14ac:dyDescent="0.25">
      <c r="E200" s="22"/>
      <c r="F200" s="22"/>
    </row>
    <row r="201" spans="5:6" x14ac:dyDescent="0.25">
      <c r="E201" s="22"/>
      <c r="F201" s="22"/>
    </row>
    <row r="202" spans="5:6" x14ac:dyDescent="0.25">
      <c r="E202" s="22"/>
      <c r="F202" s="22"/>
    </row>
    <row r="203" spans="5:6" x14ac:dyDescent="0.25">
      <c r="E203" s="22"/>
      <c r="F203" s="22"/>
    </row>
    <row r="204" spans="5:6" x14ac:dyDescent="0.25">
      <c r="E204" s="22"/>
      <c r="F204" s="22"/>
    </row>
    <row r="205" spans="5:6" x14ac:dyDescent="0.25">
      <c r="E205" s="22"/>
      <c r="F205" s="22"/>
    </row>
    <row r="206" spans="5:6" x14ac:dyDescent="0.25">
      <c r="E206" s="22"/>
      <c r="F206" s="22"/>
    </row>
    <row r="207" spans="5:6" x14ac:dyDescent="0.25">
      <c r="E207" s="22"/>
      <c r="F207" s="22"/>
    </row>
    <row r="208" spans="5:6" x14ac:dyDescent="0.25">
      <c r="E208" s="22"/>
      <c r="F208" s="22"/>
    </row>
    <row r="209" spans="5:6" x14ac:dyDescent="0.25">
      <c r="E209" s="22"/>
      <c r="F209" s="22"/>
    </row>
    <row r="210" spans="5:6" x14ac:dyDescent="0.25">
      <c r="E210" s="22"/>
      <c r="F210" s="22"/>
    </row>
    <row r="211" spans="5:6" x14ac:dyDescent="0.25">
      <c r="E211" s="22"/>
      <c r="F211" s="22"/>
    </row>
    <row r="212" spans="5:6" x14ac:dyDescent="0.25">
      <c r="E212" s="22"/>
      <c r="F212" s="22"/>
    </row>
    <row r="213" spans="5:6" x14ac:dyDescent="0.25">
      <c r="E213" s="22"/>
      <c r="F213" s="22"/>
    </row>
    <row r="214" spans="5:6" x14ac:dyDescent="0.25">
      <c r="E214" s="22"/>
      <c r="F214" s="22"/>
    </row>
    <row r="215" spans="5:6" x14ac:dyDescent="0.25">
      <c r="E215" s="22"/>
      <c r="F215" s="22"/>
    </row>
    <row r="216" spans="5:6" x14ac:dyDescent="0.25">
      <c r="E216" s="22"/>
      <c r="F216" s="22"/>
    </row>
    <row r="217" spans="5:6" x14ac:dyDescent="0.25">
      <c r="E217" s="22"/>
      <c r="F217" s="22"/>
    </row>
    <row r="218" spans="5:6" x14ac:dyDescent="0.25">
      <c r="E218" s="22"/>
      <c r="F218" s="22"/>
    </row>
    <row r="219" spans="5:6" x14ac:dyDescent="0.25">
      <c r="E219" s="22"/>
      <c r="F219" s="22"/>
    </row>
    <row r="220" spans="5:6" x14ac:dyDescent="0.25">
      <c r="E220" s="22"/>
      <c r="F220" s="22"/>
    </row>
    <row r="221" spans="5:6" x14ac:dyDescent="0.25">
      <c r="E221" s="22"/>
      <c r="F221" s="22"/>
    </row>
    <row r="222" spans="5:6" x14ac:dyDescent="0.25">
      <c r="E222" s="22"/>
      <c r="F222" s="22"/>
    </row>
    <row r="223" spans="5:6" x14ac:dyDescent="0.25">
      <c r="E223" s="22"/>
      <c r="F223" s="22"/>
    </row>
    <row r="224" spans="5:6" x14ac:dyDescent="0.25">
      <c r="E224" s="22"/>
      <c r="F224" s="22"/>
    </row>
    <row r="225" spans="5:6" x14ac:dyDescent="0.25">
      <c r="E225" s="22"/>
      <c r="F225" s="22"/>
    </row>
    <row r="226" spans="5:6" x14ac:dyDescent="0.25">
      <c r="E226" s="22"/>
      <c r="F226" s="22"/>
    </row>
    <row r="227" spans="5:6" x14ac:dyDescent="0.25">
      <c r="E227" s="22"/>
      <c r="F227" s="22"/>
    </row>
    <row r="228" spans="5:6" x14ac:dyDescent="0.25">
      <c r="E228" s="22"/>
      <c r="F228" s="22"/>
    </row>
    <row r="229" spans="5:6" x14ac:dyDescent="0.25">
      <c r="E229" s="22"/>
      <c r="F229" s="22"/>
    </row>
    <row r="230" spans="5:6" x14ac:dyDescent="0.25">
      <c r="E230" s="22"/>
      <c r="F230" s="22"/>
    </row>
    <row r="231" spans="5:6" x14ac:dyDescent="0.25">
      <c r="E231" s="22"/>
      <c r="F231" s="22"/>
    </row>
    <row r="232" spans="5:6" x14ac:dyDescent="0.25">
      <c r="E232" s="22"/>
      <c r="F232" s="22"/>
    </row>
    <row r="233" spans="5:6" x14ac:dyDescent="0.25">
      <c r="E233" s="22"/>
      <c r="F233" s="22"/>
    </row>
    <row r="234" spans="5:6" x14ac:dyDescent="0.25">
      <c r="E234" s="22"/>
      <c r="F234" s="22"/>
    </row>
    <row r="235" spans="5:6" x14ac:dyDescent="0.25">
      <c r="E235" s="22"/>
      <c r="F235" s="22"/>
    </row>
    <row r="236" spans="5:6" x14ac:dyDescent="0.25">
      <c r="E236" s="22"/>
      <c r="F236" s="22"/>
    </row>
    <row r="237" spans="5:6" x14ac:dyDescent="0.25">
      <c r="E237" s="22"/>
      <c r="F237" s="22"/>
    </row>
    <row r="238" spans="5:6" x14ac:dyDescent="0.25">
      <c r="E238" s="22"/>
      <c r="F238" s="22"/>
    </row>
    <row r="239" spans="5:6" x14ac:dyDescent="0.25">
      <c r="E239" s="22"/>
      <c r="F239" s="22"/>
    </row>
    <row r="240" spans="5:6" x14ac:dyDescent="0.25">
      <c r="E240" s="22"/>
      <c r="F240" s="22"/>
    </row>
    <row r="241" spans="5:6" x14ac:dyDescent="0.25">
      <c r="E241" s="22"/>
      <c r="F241" s="22"/>
    </row>
    <row r="242" spans="5:6" x14ac:dyDescent="0.25">
      <c r="E242" s="22"/>
      <c r="F242" s="22"/>
    </row>
    <row r="243" spans="5:6" x14ac:dyDescent="0.25">
      <c r="E243" s="22"/>
      <c r="F243" s="22"/>
    </row>
    <row r="244" spans="5:6" x14ac:dyDescent="0.25">
      <c r="E244" s="22"/>
      <c r="F244" s="22"/>
    </row>
    <row r="245" spans="5:6" x14ac:dyDescent="0.25">
      <c r="E245" s="22"/>
      <c r="F245" s="22"/>
    </row>
    <row r="246" spans="5:6" x14ac:dyDescent="0.25">
      <c r="E246" s="22"/>
      <c r="F246" s="22"/>
    </row>
    <row r="247" spans="5:6" x14ac:dyDescent="0.25">
      <c r="E247" s="22"/>
      <c r="F247" s="22"/>
    </row>
    <row r="248" spans="5:6" x14ac:dyDescent="0.25">
      <c r="E248" s="22"/>
      <c r="F248" s="22"/>
    </row>
    <row r="249" spans="5:6" x14ac:dyDescent="0.25">
      <c r="E249" s="22"/>
      <c r="F249" s="22"/>
    </row>
    <row r="250" spans="5:6" x14ac:dyDescent="0.25">
      <c r="E250" s="22"/>
      <c r="F250" s="22"/>
    </row>
    <row r="251" spans="5:6" x14ac:dyDescent="0.25">
      <c r="E251" s="22"/>
      <c r="F251" s="22"/>
    </row>
    <row r="252" spans="5:6" x14ac:dyDescent="0.25">
      <c r="E252" s="22"/>
      <c r="F252" s="22"/>
    </row>
    <row r="253" spans="5:6" x14ac:dyDescent="0.25">
      <c r="E253" s="22"/>
      <c r="F253" s="22"/>
    </row>
    <row r="254" spans="5:6" x14ac:dyDescent="0.25">
      <c r="E254" s="22"/>
      <c r="F254" s="22"/>
    </row>
    <row r="255" spans="5:6" x14ac:dyDescent="0.25">
      <c r="E255" s="22"/>
      <c r="F255" s="22"/>
    </row>
    <row r="256" spans="5:6" x14ac:dyDescent="0.25">
      <c r="E256" s="22"/>
      <c r="F256" s="22"/>
    </row>
    <row r="257" spans="5:6" x14ac:dyDescent="0.25">
      <c r="E257" s="22"/>
      <c r="F257" s="22"/>
    </row>
    <row r="258" spans="5:6" x14ac:dyDescent="0.25">
      <c r="E258" s="22"/>
      <c r="F258" s="22"/>
    </row>
    <row r="259" spans="5:6" x14ac:dyDescent="0.25">
      <c r="E259" s="22"/>
      <c r="F259" s="22"/>
    </row>
    <row r="260" spans="5:6" x14ac:dyDescent="0.25">
      <c r="E260" s="22"/>
      <c r="F260" s="22"/>
    </row>
    <row r="261" spans="5:6" x14ac:dyDescent="0.25">
      <c r="E261" s="22"/>
      <c r="F261" s="22"/>
    </row>
    <row r="262" spans="5:6" x14ac:dyDescent="0.25">
      <c r="E262" s="22"/>
      <c r="F262" s="22"/>
    </row>
    <row r="263" spans="5:6" x14ac:dyDescent="0.25">
      <c r="E263" s="22"/>
      <c r="F263" s="22"/>
    </row>
    <row r="264" spans="5:6" x14ac:dyDescent="0.25">
      <c r="E264" s="22"/>
      <c r="F264" s="22"/>
    </row>
    <row r="265" spans="5:6" x14ac:dyDescent="0.25">
      <c r="E265" s="22"/>
      <c r="F265" s="22"/>
    </row>
    <row r="266" spans="5:6" x14ac:dyDescent="0.25">
      <c r="E266" s="22"/>
      <c r="F266" s="22"/>
    </row>
    <row r="267" spans="5:6" x14ac:dyDescent="0.25">
      <c r="E267" s="22"/>
      <c r="F267" s="22"/>
    </row>
    <row r="268" spans="5:6" x14ac:dyDescent="0.25">
      <c r="E268" s="22"/>
      <c r="F268" s="22"/>
    </row>
    <row r="269" spans="5:6" x14ac:dyDescent="0.25">
      <c r="E269" s="22"/>
      <c r="F269" s="22"/>
    </row>
    <row r="270" spans="5:6" x14ac:dyDescent="0.25">
      <c r="E270" s="22"/>
      <c r="F270" s="22"/>
    </row>
    <row r="271" spans="5:6" x14ac:dyDescent="0.25">
      <c r="E271" s="22"/>
      <c r="F271" s="22"/>
    </row>
    <row r="272" spans="5:6" x14ac:dyDescent="0.25">
      <c r="E272" s="22"/>
      <c r="F272" s="22"/>
    </row>
    <row r="273" spans="5:6" x14ac:dyDescent="0.25">
      <c r="E273" s="22"/>
      <c r="F273" s="22"/>
    </row>
    <row r="274" spans="5:6" x14ac:dyDescent="0.25">
      <c r="E274" s="22"/>
      <c r="F274" s="22"/>
    </row>
    <row r="275" spans="5:6" x14ac:dyDescent="0.25">
      <c r="E275" s="22"/>
      <c r="F275" s="22"/>
    </row>
    <row r="276" spans="5:6" x14ac:dyDescent="0.25">
      <c r="E276" s="22"/>
      <c r="F276" s="22"/>
    </row>
    <row r="277" spans="5:6" x14ac:dyDescent="0.25">
      <c r="E277" s="22"/>
      <c r="F277" s="22"/>
    </row>
    <row r="278" spans="5:6" x14ac:dyDescent="0.25">
      <c r="E278" s="22"/>
      <c r="F278" s="22"/>
    </row>
    <row r="279" spans="5:6" x14ac:dyDescent="0.25">
      <c r="E279" s="22"/>
      <c r="F279" s="22"/>
    </row>
    <row r="280" spans="5:6" x14ac:dyDescent="0.25">
      <c r="E280" s="22"/>
      <c r="F280" s="22"/>
    </row>
    <row r="281" spans="5:6" x14ac:dyDescent="0.25">
      <c r="E281" s="22"/>
      <c r="F281" s="22"/>
    </row>
    <row r="282" spans="5:6" x14ac:dyDescent="0.25">
      <c r="E282" s="22"/>
      <c r="F282" s="22"/>
    </row>
    <row r="283" spans="5:6" x14ac:dyDescent="0.25">
      <c r="E283" s="22"/>
      <c r="F283" s="22"/>
    </row>
    <row r="284" spans="5:6" x14ac:dyDescent="0.25">
      <c r="E284" s="22"/>
      <c r="F284" s="22"/>
    </row>
    <row r="285" spans="5:6" x14ac:dyDescent="0.25">
      <c r="E285" s="22"/>
      <c r="F285" s="22"/>
    </row>
    <row r="286" spans="5:6" x14ac:dyDescent="0.25">
      <c r="E286" s="22"/>
      <c r="F286" s="22"/>
    </row>
    <row r="287" spans="5:6" x14ac:dyDescent="0.25">
      <c r="E287" s="22"/>
      <c r="F287" s="22"/>
    </row>
    <row r="288" spans="5:6" x14ac:dyDescent="0.25">
      <c r="E288" s="22"/>
      <c r="F288" s="22"/>
    </row>
    <row r="289" spans="5:6" x14ac:dyDescent="0.25">
      <c r="E289" s="22"/>
      <c r="F289" s="22"/>
    </row>
    <row r="290" spans="5:6" x14ac:dyDescent="0.25">
      <c r="E290" s="22"/>
      <c r="F290" s="22"/>
    </row>
    <row r="291" spans="5:6" x14ac:dyDescent="0.25">
      <c r="E291" s="22"/>
      <c r="F291" s="22"/>
    </row>
    <row r="292" spans="5:6" x14ac:dyDescent="0.25">
      <c r="E292" s="22"/>
      <c r="F292" s="22"/>
    </row>
    <row r="293" spans="5:6" x14ac:dyDescent="0.25">
      <c r="E293" s="22"/>
      <c r="F293" s="22"/>
    </row>
    <row r="294" spans="5:6" x14ac:dyDescent="0.25">
      <c r="E294" s="22"/>
      <c r="F294" s="22"/>
    </row>
    <row r="295" spans="5:6" x14ac:dyDescent="0.25">
      <c r="E295" s="22"/>
      <c r="F295" s="22"/>
    </row>
    <row r="296" spans="5:6" x14ac:dyDescent="0.25">
      <c r="E296" s="22"/>
      <c r="F296" s="22"/>
    </row>
    <row r="297" spans="5:6" x14ac:dyDescent="0.25">
      <c r="E297" s="22"/>
      <c r="F297" s="22"/>
    </row>
    <row r="298" spans="5:6" x14ac:dyDescent="0.25">
      <c r="E298" s="22"/>
      <c r="F298" s="22"/>
    </row>
    <row r="299" spans="5:6" x14ac:dyDescent="0.25">
      <c r="E299" s="22"/>
      <c r="F299" s="22"/>
    </row>
    <row r="300" spans="5:6" x14ac:dyDescent="0.25">
      <c r="E300" s="22"/>
      <c r="F300" s="22"/>
    </row>
    <row r="301" spans="5:6" x14ac:dyDescent="0.25">
      <c r="E301" s="22"/>
      <c r="F301" s="22"/>
    </row>
    <row r="302" spans="5:6" x14ac:dyDescent="0.25">
      <c r="E302" s="22"/>
      <c r="F302" s="22"/>
    </row>
    <row r="303" spans="5:6" x14ac:dyDescent="0.25">
      <c r="E303" s="22"/>
      <c r="F303" s="22"/>
    </row>
    <row r="304" spans="5:6" x14ac:dyDescent="0.25">
      <c r="E304" s="22"/>
      <c r="F304" s="22"/>
    </row>
    <row r="305" spans="5:6" x14ac:dyDescent="0.25">
      <c r="E305" s="22"/>
      <c r="F305" s="22"/>
    </row>
    <row r="306" spans="5:6" x14ac:dyDescent="0.25">
      <c r="E306" s="22"/>
      <c r="F306" s="22"/>
    </row>
    <row r="307" spans="5:6" x14ac:dyDescent="0.25">
      <c r="E307" s="22"/>
      <c r="F307" s="22"/>
    </row>
    <row r="308" spans="5:6" x14ac:dyDescent="0.25">
      <c r="E308" s="22"/>
      <c r="F308" s="22"/>
    </row>
    <row r="309" spans="5:6" x14ac:dyDescent="0.25">
      <c r="E309" s="22"/>
      <c r="F309" s="22"/>
    </row>
    <row r="310" spans="5:6" x14ac:dyDescent="0.25">
      <c r="E310" s="22"/>
      <c r="F310" s="22"/>
    </row>
    <row r="311" spans="5:6" x14ac:dyDescent="0.25">
      <c r="E311" s="22"/>
      <c r="F311" s="22"/>
    </row>
    <row r="312" spans="5:6" x14ac:dyDescent="0.25">
      <c r="E312" s="22"/>
      <c r="F312" s="22"/>
    </row>
    <row r="313" spans="5:6" x14ac:dyDescent="0.25">
      <c r="E313" s="22"/>
      <c r="F313" s="22"/>
    </row>
    <row r="314" spans="5:6" x14ac:dyDescent="0.25">
      <c r="E314" s="22"/>
      <c r="F314" s="22"/>
    </row>
    <row r="315" spans="5:6" x14ac:dyDescent="0.25">
      <c r="E315" s="22"/>
      <c r="F315" s="22"/>
    </row>
    <row r="316" spans="5:6" x14ac:dyDescent="0.25">
      <c r="E316" s="22"/>
      <c r="F316" s="22"/>
    </row>
    <row r="317" spans="5:6" x14ac:dyDescent="0.25">
      <c r="E317" s="22"/>
      <c r="F317" s="22"/>
    </row>
    <row r="318" spans="5:6" x14ac:dyDescent="0.25">
      <c r="E318" s="22"/>
      <c r="F318" s="22"/>
    </row>
    <row r="319" spans="5:6" x14ac:dyDescent="0.25">
      <c r="E319" s="22"/>
      <c r="F319" s="22"/>
    </row>
    <row r="320" spans="5:6" x14ac:dyDescent="0.25">
      <c r="E320" s="22"/>
      <c r="F320" s="22"/>
    </row>
    <row r="321" spans="5:6" x14ac:dyDescent="0.25">
      <c r="E321" s="22"/>
      <c r="F321" s="22"/>
    </row>
    <row r="322" spans="5:6" x14ac:dyDescent="0.25">
      <c r="E322" s="22"/>
      <c r="F322" s="22"/>
    </row>
    <row r="323" spans="5:6" x14ac:dyDescent="0.25">
      <c r="E323" s="22"/>
      <c r="F323" s="22"/>
    </row>
    <row r="324" spans="5:6" x14ac:dyDescent="0.25">
      <c r="E324" s="22"/>
      <c r="F324" s="22"/>
    </row>
    <row r="325" spans="5:6" x14ac:dyDescent="0.25">
      <c r="E325" s="22"/>
      <c r="F325" s="22"/>
    </row>
    <row r="326" spans="5:6" x14ac:dyDescent="0.25">
      <c r="E326" s="22"/>
      <c r="F326" s="22"/>
    </row>
    <row r="327" spans="5:6" x14ac:dyDescent="0.25">
      <c r="E327" s="22"/>
      <c r="F327" s="22"/>
    </row>
    <row r="328" spans="5:6" x14ac:dyDescent="0.25">
      <c r="E328" s="22"/>
      <c r="F328" s="22"/>
    </row>
    <row r="329" spans="5:6" x14ac:dyDescent="0.25">
      <c r="E329" s="22"/>
      <c r="F329" s="22"/>
    </row>
    <row r="330" spans="5:6" x14ac:dyDescent="0.25">
      <c r="E330" s="22"/>
      <c r="F330" s="22"/>
    </row>
    <row r="331" spans="5:6" x14ac:dyDescent="0.25">
      <c r="E331" s="22"/>
      <c r="F331" s="22"/>
    </row>
    <row r="332" spans="5:6" x14ac:dyDescent="0.25">
      <c r="E332" s="22"/>
      <c r="F332" s="22"/>
    </row>
    <row r="333" spans="5:6" x14ac:dyDescent="0.25">
      <c r="E333" s="22"/>
      <c r="F333" s="22"/>
    </row>
    <row r="334" spans="5:6" x14ac:dyDescent="0.25">
      <c r="E334" s="22"/>
      <c r="F334" s="22"/>
    </row>
    <row r="335" spans="5:6" x14ac:dyDescent="0.25">
      <c r="E335" s="22"/>
      <c r="F335" s="22"/>
    </row>
    <row r="336" spans="5:6" x14ac:dyDescent="0.25">
      <c r="E336" s="22"/>
      <c r="F336" s="22"/>
    </row>
    <row r="337" spans="5:6" x14ac:dyDescent="0.25">
      <c r="E337" s="22"/>
      <c r="F337" s="22"/>
    </row>
    <row r="338" spans="5:6" x14ac:dyDescent="0.25">
      <c r="E338" s="22"/>
      <c r="F338" s="22"/>
    </row>
    <row r="339" spans="5:6" x14ac:dyDescent="0.25">
      <c r="E339" s="22"/>
      <c r="F339" s="22"/>
    </row>
    <row r="340" spans="5:6" x14ac:dyDescent="0.25">
      <c r="E340" s="22"/>
      <c r="F340" s="22"/>
    </row>
    <row r="341" spans="5:6" x14ac:dyDescent="0.25">
      <c r="E341" s="22"/>
      <c r="F341" s="22"/>
    </row>
    <row r="342" spans="5:6" x14ac:dyDescent="0.25">
      <c r="E342" s="22"/>
      <c r="F342" s="22"/>
    </row>
    <row r="343" spans="5:6" x14ac:dyDescent="0.25">
      <c r="E343" s="22"/>
      <c r="F343" s="22"/>
    </row>
    <row r="344" spans="5:6" x14ac:dyDescent="0.25">
      <c r="E344" s="22"/>
      <c r="F344" s="22"/>
    </row>
    <row r="345" spans="5:6" x14ac:dyDescent="0.25">
      <c r="E345" s="22"/>
      <c r="F345" s="22"/>
    </row>
    <row r="346" spans="5:6" x14ac:dyDescent="0.25">
      <c r="E346" s="22"/>
      <c r="F346" s="22"/>
    </row>
    <row r="347" spans="5:6" x14ac:dyDescent="0.25">
      <c r="E347" s="22"/>
      <c r="F347" s="22"/>
    </row>
    <row r="348" spans="5:6" x14ac:dyDescent="0.25">
      <c r="E348" s="22"/>
      <c r="F348" s="22"/>
    </row>
    <row r="349" spans="5:6" x14ac:dyDescent="0.25">
      <c r="E349" s="22"/>
      <c r="F349" s="22"/>
    </row>
    <row r="350" spans="5:6" x14ac:dyDescent="0.25">
      <c r="E350" s="22"/>
      <c r="F350" s="22"/>
    </row>
    <row r="351" spans="5:6" x14ac:dyDescent="0.25">
      <c r="E351" s="22"/>
      <c r="F351" s="22"/>
    </row>
    <row r="352" spans="5:6" x14ac:dyDescent="0.25">
      <c r="E352" s="22"/>
      <c r="F352" s="22"/>
    </row>
    <row r="353" spans="5:6" x14ac:dyDescent="0.25">
      <c r="E353" s="22"/>
      <c r="F353" s="22"/>
    </row>
    <row r="354" spans="5:6" x14ac:dyDescent="0.25">
      <c r="E354" s="22"/>
      <c r="F354" s="22"/>
    </row>
    <row r="355" spans="5:6" x14ac:dyDescent="0.25">
      <c r="E355" s="22"/>
      <c r="F355" s="22"/>
    </row>
    <row r="356" spans="5:6" x14ac:dyDescent="0.25">
      <c r="E356" s="22"/>
      <c r="F356" s="22"/>
    </row>
    <row r="357" spans="5:6" x14ac:dyDescent="0.25">
      <c r="E357" s="22"/>
      <c r="F357" s="22"/>
    </row>
    <row r="358" spans="5:6" x14ac:dyDescent="0.25">
      <c r="E358" s="22"/>
      <c r="F358" s="22"/>
    </row>
    <row r="359" spans="5:6" x14ac:dyDescent="0.25">
      <c r="E359" s="22"/>
      <c r="F359" s="22"/>
    </row>
    <row r="360" spans="5:6" x14ac:dyDescent="0.25">
      <c r="E360" s="22"/>
      <c r="F360" s="22"/>
    </row>
    <row r="361" spans="5:6" x14ac:dyDescent="0.25">
      <c r="E361" s="22"/>
      <c r="F361" s="22"/>
    </row>
    <row r="362" spans="5:6" x14ac:dyDescent="0.25">
      <c r="E362" s="22"/>
      <c r="F362" s="22"/>
    </row>
    <row r="363" spans="5:6" x14ac:dyDescent="0.25">
      <c r="E363" s="22"/>
      <c r="F363" s="22"/>
    </row>
    <row r="364" spans="5:6" x14ac:dyDescent="0.25">
      <c r="E364" s="22"/>
      <c r="F364" s="22"/>
    </row>
    <row r="365" spans="5:6" x14ac:dyDescent="0.25">
      <c r="E365" s="22"/>
      <c r="F365" s="22"/>
    </row>
    <row r="366" spans="5:6" x14ac:dyDescent="0.25">
      <c r="E366" s="22"/>
      <c r="F366" s="22"/>
    </row>
    <row r="367" spans="5:6" x14ac:dyDescent="0.25">
      <c r="E367" s="22"/>
      <c r="F367" s="22"/>
    </row>
    <row r="368" spans="5:6" x14ac:dyDescent="0.25">
      <c r="E368" s="22"/>
      <c r="F368" s="22"/>
    </row>
    <row r="369" spans="5:6" x14ac:dyDescent="0.25">
      <c r="E369" s="22"/>
      <c r="F369" s="22"/>
    </row>
    <row r="370" spans="5:6" x14ac:dyDescent="0.25">
      <c r="E370" s="22"/>
      <c r="F370" s="22"/>
    </row>
    <row r="371" spans="5:6" x14ac:dyDescent="0.25">
      <c r="E371" s="22"/>
      <c r="F371" s="22"/>
    </row>
    <row r="372" spans="5:6" x14ac:dyDescent="0.25">
      <c r="E372" s="22"/>
      <c r="F372" s="22"/>
    </row>
    <row r="373" spans="5:6" x14ac:dyDescent="0.25">
      <c r="E373" s="22"/>
      <c r="F373" s="22"/>
    </row>
    <row r="374" spans="5:6" x14ac:dyDescent="0.25">
      <c r="E374" s="22"/>
      <c r="F374" s="22"/>
    </row>
    <row r="375" spans="5:6" x14ac:dyDescent="0.25">
      <c r="E375" s="22"/>
      <c r="F375" s="22"/>
    </row>
    <row r="376" spans="5:6" x14ac:dyDescent="0.25">
      <c r="E376" s="22"/>
      <c r="F376" s="22"/>
    </row>
    <row r="377" spans="5:6" x14ac:dyDescent="0.25">
      <c r="E377" s="22"/>
      <c r="F377" s="22"/>
    </row>
    <row r="378" spans="5:6" x14ac:dyDescent="0.25">
      <c r="E378" s="22"/>
      <c r="F378" s="22"/>
    </row>
    <row r="379" spans="5:6" x14ac:dyDescent="0.25">
      <c r="E379" s="22"/>
      <c r="F379" s="22"/>
    </row>
    <row r="380" spans="5:6" x14ac:dyDescent="0.25">
      <c r="E380" s="22"/>
      <c r="F380" s="22"/>
    </row>
    <row r="381" spans="5:6" x14ac:dyDescent="0.25">
      <c r="E381" s="22"/>
      <c r="F381" s="22"/>
    </row>
    <row r="382" spans="5:6" x14ac:dyDescent="0.25">
      <c r="E382" s="22"/>
      <c r="F382" s="22"/>
    </row>
    <row r="383" spans="5:6" x14ac:dyDescent="0.25">
      <c r="E383" s="22"/>
      <c r="F383" s="22"/>
    </row>
    <row r="384" spans="5:6" x14ac:dyDescent="0.25">
      <c r="E384" s="22"/>
      <c r="F384" s="22"/>
    </row>
    <row r="385" spans="5:6" x14ac:dyDescent="0.25">
      <c r="E385" s="22"/>
      <c r="F385" s="22"/>
    </row>
    <row r="386" spans="5:6" x14ac:dyDescent="0.25">
      <c r="E386" s="22"/>
      <c r="F386" s="22"/>
    </row>
    <row r="387" spans="5:6" x14ac:dyDescent="0.25">
      <c r="E387" s="22"/>
      <c r="F387" s="22"/>
    </row>
    <row r="388" spans="5:6" x14ac:dyDescent="0.25">
      <c r="E388" s="22"/>
      <c r="F388" s="22"/>
    </row>
    <row r="389" spans="5:6" x14ac:dyDescent="0.25">
      <c r="E389" s="22"/>
      <c r="F389" s="22"/>
    </row>
    <row r="390" spans="5:6" x14ac:dyDescent="0.25">
      <c r="E390" s="22"/>
      <c r="F390" s="22"/>
    </row>
    <row r="391" spans="5:6" x14ac:dyDescent="0.25">
      <c r="E391" s="22"/>
      <c r="F391" s="22"/>
    </row>
    <row r="392" spans="5:6" x14ac:dyDescent="0.25">
      <c r="E392" s="22"/>
      <c r="F392" s="22"/>
    </row>
    <row r="393" spans="5:6" x14ac:dyDescent="0.25">
      <c r="E393" s="22"/>
      <c r="F393" s="22"/>
    </row>
    <row r="394" spans="5:6" x14ac:dyDescent="0.25">
      <c r="E394" s="22"/>
      <c r="F394" s="22"/>
    </row>
    <row r="395" spans="5:6" x14ac:dyDescent="0.25">
      <c r="E395" s="22"/>
      <c r="F395" s="22"/>
    </row>
    <row r="396" spans="5:6" x14ac:dyDescent="0.25">
      <c r="E396" s="22"/>
      <c r="F396" s="22"/>
    </row>
    <row r="397" spans="5:6" x14ac:dyDescent="0.25">
      <c r="E397" s="22"/>
      <c r="F397" s="22"/>
    </row>
    <row r="398" spans="5:6" x14ac:dyDescent="0.25">
      <c r="E398" s="22"/>
      <c r="F398" s="22"/>
    </row>
    <row r="399" spans="5:6" x14ac:dyDescent="0.25">
      <c r="E399" s="22"/>
      <c r="F399" s="22"/>
    </row>
    <row r="400" spans="5:6" x14ac:dyDescent="0.25">
      <c r="E400" s="22"/>
      <c r="F400" s="22"/>
    </row>
    <row r="401" spans="5:6" x14ac:dyDescent="0.25">
      <c r="E401" s="22"/>
      <c r="F401" s="22"/>
    </row>
    <row r="402" spans="5:6" x14ac:dyDescent="0.25">
      <c r="E402" s="22"/>
      <c r="F402" s="22"/>
    </row>
    <row r="403" spans="5:6" x14ac:dyDescent="0.25">
      <c r="E403" s="22"/>
      <c r="F403" s="22"/>
    </row>
    <row r="404" spans="5:6" x14ac:dyDescent="0.25">
      <c r="E404" s="22"/>
      <c r="F404" s="22"/>
    </row>
    <row r="405" spans="5:6" x14ac:dyDescent="0.25">
      <c r="E405" s="22"/>
      <c r="F405" s="22"/>
    </row>
    <row r="406" spans="5:6" x14ac:dyDescent="0.25">
      <c r="E406" s="22"/>
      <c r="F406" s="22"/>
    </row>
    <row r="407" spans="5:6" x14ac:dyDescent="0.25">
      <c r="E407" s="22"/>
      <c r="F407" s="22"/>
    </row>
    <row r="408" spans="5:6" x14ac:dyDescent="0.25">
      <c r="E408" s="22"/>
      <c r="F408" s="22"/>
    </row>
    <row r="409" spans="5:6" x14ac:dyDescent="0.25">
      <c r="E409" s="22"/>
      <c r="F409" s="22"/>
    </row>
    <row r="410" spans="5:6" x14ac:dyDescent="0.25">
      <c r="E410" s="22"/>
      <c r="F410" s="22"/>
    </row>
    <row r="411" spans="5:6" x14ac:dyDescent="0.25">
      <c r="E411" s="22"/>
      <c r="F411" s="22"/>
    </row>
    <row r="412" spans="5:6" x14ac:dyDescent="0.25">
      <c r="E412" s="22"/>
      <c r="F412" s="22"/>
    </row>
    <row r="413" spans="5:6" x14ac:dyDescent="0.25">
      <c r="E413" s="22"/>
      <c r="F413" s="22"/>
    </row>
    <row r="414" spans="5:6" x14ac:dyDescent="0.25">
      <c r="E414" s="22"/>
      <c r="F414" s="22"/>
    </row>
    <row r="415" spans="5:6" x14ac:dyDescent="0.25">
      <c r="E415" s="22"/>
      <c r="F415" s="22"/>
    </row>
    <row r="416" spans="5:6" x14ac:dyDescent="0.25">
      <c r="E416" s="22"/>
      <c r="F416" s="22"/>
    </row>
    <row r="417" spans="5:6" x14ac:dyDescent="0.25">
      <c r="E417" s="22"/>
      <c r="F417" s="22"/>
    </row>
    <row r="418" spans="5:6" x14ac:dyDescent="0.25">
      <c r="E418" s="22"/>
      <c r="F418" s="22"/>
    </row>
    <row r="419" spans="5:6" x14ac:dyDescent="0.25">
      <c r="E419" s="22"/>
      <c r="F419" s="22"/>
    </row>
    <row r="420" spans="5:6" x14ac:dyDescent="0.25">
      <c r="E420" s="22"/>
      <c r="F420" s="22"/>
    </row>
    <row r="421" spans="5:6" x14ac:dyDescent="0.25">
      <c r="E421" s="22"/>
      <c r="F421" s="22"/>
    </row>
    <row r="422" spans="5:6" x14ac:dyDescent="0.25">
      <c r="E422" s="22"/>
      <c r="F422" s="22"/>
    </row>
    <row r="423" spans="5:6" x14ac:dyDescent="0.25">
      <c r="E423" s="22"/>
      <c r="F423" s="22"/>
    </row>
    <row r="424" spans="5:6" x14ac:dyDescent="0.25">
      <c r="E424" s="22"/>
      <c r="F424" s="22"/>
    </row>
    <row r="425" spans="5:6" x14ac:dyDescent="0.25">
      <c r="E425" s="22"/>
      <c r="F425" s="22"/>
    </row>
    <row r="426" spans="5:6" x14ac:dyDescent="0.25">
      <c r="E426" s="22"/>
      <c r="F426" s="22"/>
    </row>
    <row r="427" spans="5:6" x14ac:dyDescent="0.25">
      <c r="E427" s="22"/>
      <c r="F427" s="22"/>
    </row>
    <row r="428" spans="5:6" x14ac:dyDescent="0.25">
      <c r="E428" s="22"/>
      <c r="F428" s="22"/>
    </row>
    <row r="429" spans="5:6" x14ac:dyDescent="0.25">
      <c r="E429" s="22"/>
      <c r="F429" s="22"/>
    </row>
    <row r="430" spans="5:6" x14ac:dyDescent="0.25">
      <c r="E430" s="22"/>
      <c r="F430" s="22"/>
    </row>
    <row r="431" spans="5:6" x14ac:dyDescent="0.25">
      <c r="E431" s="22"/>
      <c r="F431" s="22"/>
    </row>
    <row r="432" spans="5:6" x14ac:dyDescent="0.25">
      <c r="E432" s="22"/>
      <c r="F432" s="22"/>
    </row>
    <row r="433" spans="5:6" x14ac:dyDescent="0.25">
      <c r="E433" s="22"/>
      <c r="F433" s="22"/>
    </row>
    <row r="434" spans="5:6" x14ac:dyDescent="0.25">
      <c r="E434" s="22"/>
      <c r="F434" s="22"/>
    </row>
    <row r="435" spans="5:6" x14ac:dyDescent="0.25">
      <c r="E435" s="22"/>
      <c r="F435" s="22"/>
    </row>
    <row r="436" spans="5:6" x14ac:dyDescent="0.25">
      <c r="E436" s="22"/>
      <c r="F436" s="22"/>
    </row>
    <row r="437" spans="5:6" x14ac:dyDescent="0.25">
      <c r="E437" s="22"/>
      <c r="F437" s="22"/>
    </row>
    <row r="438" spans="5:6" x14ac:dyDescent="0.25">
      <c r="E438" s="22"/>
      <c r="F438" s="22"/>
    </row>
    <row r="439" spans="5:6" x14ac:dyDescent="0.25">
      <c r="E439" s="22"/>
      <c r="F439" s="22"/>
    </row>
    <row r="440" spans="5:6" x14ac:dyDescent="0.25">
      <c r="E440" s="22"/>
      <c r="F440" s="22"/>
    </row>
    <row r="441" spans="5:6" x14ac:dyDescent="0.25">
      <c r="E441" s="22"/>
      <c r="F441" s="22"/>
    </row>
    <row r="442" spans="5:6" x14ac:dyDescent="0.25">
      <c r="E442" s="22"/>
      <c r="F442" s="22"/>
    </row>
    <row r="443" spans="5:6" x14ac:dyDescent="0.25">
      <c r="E443" s="22"/>
      <c r="F443" s="22"/>
    </row>
  </sheetData>
  <mergeCells count="1">
    <mergeCell ref="B3:U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AC54"/>
  <sheetViews>
    <sheetView showGridLines="0" tabSelected="1" topLeftCell="B28" workbookViewId="0">
      <selection activeCell="Y50" sqref="Y50"/>
    </sheetView>
  </sheetViews>
  <sheetFormatPr defaultRowHeight="15" x14ac:dyDescent="0.25"/>
  <cols>
    <col min="3" max="3" width="7.28515625" bestFit="1" customWidth="1"/>
    <col min="4" max="4" width="16.140625" bestFit="1" customWidth="1"/>
    <col min="5" max="5" width="15.5703125" customWidth="1"/>
    <col min="6" max="6" width="17.7109375" customWidth="1"/>
    <col min="7" max="7" width="25.7109375" bestFit="1" customWidth="1"/>
    <col min="8" max="8" width="10" hidden="1" customWidth="1"/>
    <col min="9" max="9" width="15.7109375" bestFit="1" customWidth="1"/>
    <col min="10" max="10" width="10.5703125" bestFit="1" customWidth="1"/>
    <col min="11" max="11" width="11.140625" hidden="1" customWidth="1"/>
    <col min="12" max="12" width="9.5703125" hidden="1" customWidth="1"/>
    <col min="13" max="13" width="10.42578125" hidden="1" customWidth="1"/>
    <col min="14" max="14" width="16.85546875" hidden="1" customWidth="1"/>
    <col min="15" max="15" width="7.7109375" hidden="1" customWidth="1"/>
    <col min="16" max="16" width="9.140625" hidden="1" customWidth="1"/>
    <col min="17" max="17" width="12.28515625" customWidth="1"/>
    <col min="18" max="18" width="15.140625" customWidth="1"/>
    <col min="19" max="19" width="11.5703125" hidden="1" customWidth="1"/>
    <col min="20" max="20" width="14.28515625" customWidth="1"/>
    <col min="21" max="21" width="9.140625" hidden="1" customWidth="1"/>
    <col min="22" max="22" width="14.85546875" hidden="1" customWidth="1"/>
    <col min="23" max="23" width="16.85546875" bestFit="1" customWidth="1"/>
    <col min="24" max="24" width="15.28515625" bestFit="1" customWidth="1"/>
    <col min="25" max="25" width="12.5703125" bestFit="1" customWidth="1"/>
    <col min="26" max="26" width="13.85546875" bestFit="1" customWidth="1"/>
    <col min="27" max="27" width="15.5703125" bestFit="1" customWidth="1"/>
    <col min="28" max="28" width="10.5703125" hidden="1" customWidth="1"/>
    <col min="29" max="29" width="14.28515625" hidden="1" customWidth="1"/>
  </cols>
  <sheetData>
    <row r="2" spans="3:23" ht="15.75" thickBot="1" x14ac:dyDescent="0.3">
      <c r="I2">
        <f>SUBTOTAL(9,I5:I32)</f>
        <v>429192.97199999989</v>
      </c>
    </row>
    <row r="3" spans="3:23" ht="16.5" thickBot="1" x14ac:dyDescent="0.3">
      <c r="C3" s="78" t="s">
        <v>56</v>
      </c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38"/>
    </row>
    <row r="4" spans="3:23" ht="60.75" thickBot="1" x14ac:dyDescent="0.3">
      <c r="C4" s="40" t="s">
        <v>6</v>
      </c>
      <c r="D4" s="40" t="s">
        <v>24</v>
      </c>
      <c r="E4" s="40" t="s">
        <v>7</v>
      </c>
      <c r="F4" s="40" t="s">
        <v>43</v>
      </c>
      <c r="G4" s="40" t="s">
        <v>8</v>
      </c>
      <c r="H4" s="41" t="s">
        <v>9</v>
      </c>
      <c r="I4" s="41" t="s">
        <v>10</v>
      </c>
      <c r="J4" s="41" t="s">
        <v>11</v>
      </c>
      <c r="K4" s="41" t="s">
        <v>12</v>
      </c>
      <c r="L4" s="41" t="s">
        <v>13</v>
      </c>
      <c r="M4" s="41" t="s">
        <v>14</v>
      </c>
      <c r="N4" s="41" t="s">
        <v>15</v>
      </c>
      <c r="O4" s="41" t="s">
        <v>16</v>
      </c>
      <c r="P4" s="41" t="s">
        <v>17</v>
      </c>
      <c r="Q4" s="41" t="s">
        <v>18</v>
      </c>
      <c r="R4" s="41" t="s">
        <v>19</v>
      </c>
      <c r="S4" s="41" t="s">
        <v>20</v>
      </c>
      <c r="T4" s="41" t="s">
        <v>21</v>
      </c>
      <c r="U4" s="41" t="s">
        <v>22</v>
      </c>
      <c r="V4" s="41" t="s">
        <v>23</v>
      </c>
      <c r="W4" s="38"/>
    </row>
    <row r="5" spans="3:23" ht="15.75" thickBot="1" x14ac:dyDescent="0.3">
      <c r="C5" s="42">
        <v>1</v>
      </c>
      <c r="D5" s="42" t="s">
        <v>25</v>
      </c>
      <c r="E5" s="43" t="s">
        <v>2</v>
      </c>
      <c r="F5" s="44" t="s">
        <v>42</v>
      </c>
      <c r="G5" s="44" t="s">
        <v>1</v>
      </c>
      <c r="H5" s="56">
        <f>10*33</f>
        <v>330</v>
      </c>
      <c r="I5" s="61">
        <f>H5*10.764</f>
        <v>3552.12</v>
      </c>
      <c r="J5" s="45">
        <v>12</v>
      </c>
      <c r="K5" s="42">
        <v>2018</v>
      </c>
      <c r="L5" s="42">
        <v>2022</v>
      </c>
      <c r="M5" s="42">
        <f>L5-K5</f>
        <v>4</v>
      </c>
      <c r="N5" s="42">
        <v>60</v>
      </c>
      <c r="O5" s="46">
        <v>0.1</v>
      </c>
      <c r="P5" s="47">
        <f>(1-O5)/N5</f>
        <v>1.5000000000000001E-2</v>
      </c>
      <c r="Q5" s="48">
        <v>1500</v>
      </c>
      <c r="R5" s="48">
        <f>Q5*I5</f>
        <v>5328180</v>
      </c>
      <c r="S5" s="48">
        <f t="shared" ref="S5:S32" si="0">R5*P5*M5</f>
        <v>319690.80000000005</v>
      </c>
      <c r="T5" s="48">
        <f t="shared" ref="T5:T32" si="1">MAX(R5-S5,0)</f>
        <v>5008489.2</v>
      </c>
      <c r="U5" s="49">
        <v>0</v>
      </c>
      <c r="V5" s="48">
        <f t="shared" ref="V5:V32" si="2">IF(T5&gt;O5*R5,T5*(1-U5),R5*O5)</f>
        <v>5008489.2</v>
      </c>
      <c r="W5" s="39">
        <f>V5/I5</f>
        <v>1410</v>
      </c>
    </row>
    <row r="6" spans="3:23" ht="15.75" thickBot="1" x14ac:dyDescent="0.3">
      <c r="C6" s="42">
        <v>2</v>
      </c>
      <c r="D6" s="42" t="s">
        <v>25</v>
      </c>
      <c r="E6" s="43" t="s">
        <v>26</v>
      </c>
      <c r="F6" s="44" t="s">
        <v>42</v>
      </c>
      <c r="G6" s="44" t="s">
        <v>1</v>
      </c>
      <c r="H6" s="56">
        <f t="shared" ref="H6:H7" si="3">10*33</f>
        <v>330</v>
      </c>
      <c r="I6" s="61">
        <f t="shared" ref="I6:I32" si="4">H6*10.764</f>
        <v>3552.12</v>
      </c>
      <c r="J6" s="45">
        <v>12</v>
      </c>
      <c r="K6" s="42">
        <v>2018</v>
      </c>
      <c r="L6" s="42">
        <v>2022</v>
      </c>
      <c r="M6" s="42">
        <f t="shared" ref="M6:M32" si="5">L6-K6</f>
        <v>4</v>
      </c>
      <c r="N6" s="42">
        <v>60</v>
      </c>
      <c r="O6" s="46">
        <v>0.1</v>
      </c>
      <c r="P6" s="47">
        <f t="shared" ref="P6:P32" si="6">(1-O6)/N6</f>
        <v>1.5000000000000001E-2</v>
      </c>
      <c r="Q6" s="48">
        <f>Q5</f>
        <v>1500</v>
      </c>
      <c r="R6" s="48">
        <f t="shared" ref="R6:R32" si="7">Q6*I6</f>
        <v>5328180</v>
      </c>
      <c r="S6" s="48">
        <f t="shared" si="0"/>
        <v>319690.80000000005</v>
      </c>
      <c r="T6" s="48">
        <f t="shared" si="1"/>
        <v>5008489.2</v>
      </c>
      <c r="U6" s="49">
        <v>0</v>
      </c>
      <c r="V6" s="48">
        <f t="shared" si="2"/>
        <v>5008489.2</v>
      </c>
      <c r="W6" s="39">
        <f t="shared" ref="W6:W32" si="8">V6/I6</f>
        <v>1410</v>
      </c>
    </row>
    <row r="7" spans="3:23" ht="15.75" thickBot="1" x14ac:dyDescent="0.3">
      <c r="C7" s="42">
        <v>3</v>
      </c>
      <c r="D7" s="42" t="s">
        <v>25</v>
      </c>
      <c r="E7" s="43" t="s">
        <v>3</v>
      </c>
      <c r="F7" s="44" t="s">
        <v>42</v>
      </c>
      <c r="G7" s="44" t="s">
        <v>1</v>
      </c>
      <c r="H7" s="56">
        <f t="shared" si="3"/>
        <v>330</v>
      </c>
      <c r="I7" s="61">
        <f t="shared" si="4"/>
        <v>3552.12</v>
      </c>
      <c r="J7" s="45">
        <v>12</v>
      </c>
      <c r="K7" s="42">
        <v>2018</v>
      </c>
      <c r="L7" s="42">
        <v>2022</v>
      </c>
      <c r="M7" s="42">
        <f t="shared" si="5"/>
        <v>4</v>
      </c>
      <c r="N7" s="42">
        <v>60</v>
      </c>
      <c r="O7" s="46">
        <v>0.1</v>
      </c>
      <c r="P7" s="47">
        <f t="shared" si="6"/>
        <v>1.5000000000000001E-2</v>
      </c>
      <c r="Q7" s="48">
        <f>Q6</f>
        <v>1500</v>
      </c>
      <c r="R7" s="48">
        <f t="shared" si="7"/>
        <v>5328180</v>
      </c>
      <c r="S7" s="48">
        <f t="shared" si="0"/>
        <v>319690.80000000005</v>
      </c>
      <c r="T7" s="48">
        <f t="shared" si="1"/>
        <v>5008489.2</v>
      </c>
      <c r="U7" s="49">
        <v>0</v>
      </c>
      <c r="V7" s="48">
        <f t="shared" si="2"/>
        <v>5008489.2</v>
      </c>
      <c r="W7" s="39">
        <f t="shared" si="8"/>
        <v>1410</v>
      </c>
    </row>
    <row r="8" spans="3:23" ht="15.75" thickBot="1" x14ac:dyDescent="0.3">
      <c r="C8" s="42">
        <v>4</v>
      </c>
      <c r="D8" s="42" t="s">
        <v>27</v>
      </c>
      <c r="E8" s="44" t="s">
        <v>2</v>
      </c>
      <c r="F8" s="44" t="s">
        <v>49</v>
      </c>
      <c r="G8" s="44" t="s">
        <v>45</v>
      </c>
      <c r="H8" s="57">
        <f>75*50</f>
        <v>3750</v>
      </c>
      <c r="I8" s="61">
        <f t="shared" si="4"/>
        <v>40365</v>
      </c>
      <c r="J8" s="45">
        <v>45</v>
      </c>
      <c r="K8" s="42">
        <v>2018</v>
      </c>
      <c r="L8" s="42">
        <v>2022</v>
      </c>
      <c r="M8" s="42">
        <f t="shared" si="5"/>
        <v>4</v>
      </c>
      <c r="N8" s="50">
        <v>40</v>
      </c>
      <c r="O8" s="46">
        <v>0.1</v>
      </c>
      <c r="P8" s="47">
        <f t="shared" si="6"/>
        <v>2.2499999999999999E-2</v>
      </c>
      <c r="Q8" s="51">
        <v>1300</v>
      </c>
      <c r="R8" s="48">
        <f t="shared" si="7"/>
        <v>52474500</v>
      </c>
      <c r="S8" s="48">
        <f t="shared" si="0"/>
        <v>4722705</v>
      </c>
      <c r="T8" s="48">
        <f t="shared" si="1"/>
        <v>47751795</v>
      </c>
      <c r="U8" s="49">
        <v>0</v>
      </c>
      <c r="V8" s="48">
        <f t="shared" si="2"/>
        <v>47751795</v>
      </c>
      <c r="W8" s="39">
        <f t="shared" si="8"/>
        <v>1183</v>
      </c>
    </row>
    <row r="9" spans="3:23" ht="15.75" thickBot="1" x14ac:dyDescent="0.3">
      <c r="C9" s="42">
        <v>5</v>
      </c>
      <c r="D9" s="42" t="s">
        <v>27</v>
      </c>
      <c r="E9" s="44" t="s">
        <v>48</v>
      </c>
      <c r="F9" s="44" t="s">
        <v>49</v>
      </c>
      <c r="G9" s="44" t="s">
        <v>45</v>
      </c>
      <c r="H9" s="57">
        <f>50*30</f>
        <v>1500</v>
      </c>
      <c r="I9" s="61">
        <f t="shared" si="4"/>
        <v>16145.999999999998</v>
      </c>
      <c r="J9" s="45">
        <v>20</v>
      </c>
      <c r="K9" s="42">
        <v>2018</v>
      </c>
      <c r="L9" s="42">
        <v>2022</v>
      </c>
      <c r="M9" s="42">
        <f t="shared" si="5"/>
        <v>4</v>
      </c>
      <c r="N9" s="50">
        <v>40</v>
      </c>
      <c r="O9" s="46">
        <v>0.1</v>
      </c>
      <c r="P9" s="47">
        <f t="shared" si="6"/>
        <v>2.2499999999999999E-2</v>
      </c>
      <c r="Q9" s="51">
        <v>800</v>
      </c>
      <c r="R9" s="48">
        <f t="shared" si="7"/>
        <v>12916799.999999998</v>
      </c>
      <c r="S9" s="48">
        <f t="shared" si="0"/>
        <v>1162511.9999999998</v>
      </c>
      <c r="T9" s="48">
        <f t="shared" si="1"/>
        <v>11754287.999999998</v>
      </c>
      <c r="U9" s="49">
        <v>0</v>
      </c>
      <c r="V9" s="48">
        <f t="shared" si="2"/>
        <v>11754287.999999998</v>
      </c>
      <c r="W9" s="39">
        <f t="shared" si="8"/>
        <v>728</v>
      </c>
    </row>
    <row r="10" spans="3:23" ht="15.75" thickBot="1" x14ac:dyDescent="0.3">
      <c r="C10" s="42">
        <v>6</v>
      </c>
      <c r="D10" s="42" t="s">
        <v>28</v>
      </c>
      <c r="E10" s="44" t="s">
        <v>2</v>
      </c>
      <c r="F10" s="44" t="s">
        <v>49</v>
      </c>
      <c r="G10" s="44" t="s">
        <v>45</v>
      </c>
      <c r="H10" s="57">
        <f>63*41</f>
        <v>2583</v>
      </c>
      <c r="I10" s="61">
        <f t="shared" si="4"/>
        <v>27803.411999999997</v>
      </c>
      <c r="J10" s="45">
        <v>45</v>
      </c>
      <c r="K10" s="42">
        <v>2018</v>
      </c>
      <c r="L10" s="42">
        <v>2022</v>
      </c>
      <c r="M10" s="42">
        <f t="shared" si="5"/>
        <v>4</v>
      </c>
      <c r="N10" s="50">
        <v>40</v>
      </c>
      <c r="O10" s="46">
        <v>0.1</v>
      </c>
      <c r="P10" s="47">
        <f t="shared" si="6"/>
        <v>2.2499999999999999E-2</v>
      </c>
      <c r="Q10" s="51">
        <v>1300</v>
      </c>
      <c r="R10" s="48">
        <f t="shared" si="7"/>
        <v>36144435.599999994</v>
      </c>
      <c r="S10" s="48">
        <f t="shared" si="0"/>
        <v>3252999.2039999994</v>
      </c>
      <c r="T10" s="48">
        <f t="shared" si="1"/>
        <v>32891436.395999994</v>
      </c>
      <c r="U10" s="49">
        <v>0</v>
      </c>
      <c r="V10" s="48">
        <f t="shared" si="2"/>
        <v>32891436.395999994</v>
      </c>
      <c r="W10" s="39">
        <f t="shared" si="8"/>
        <v>1183</v>
      </c>
    </row>
    <row r="11" spans="3:23" ht="15.75" thickBot="1" x14ac:dyDescent="0.3">
      <c r="C11" s="42">
        <v>7</v>
      </c>
      <c r="D11" s="42" t="s">
        <v>28</v>
      </c>
      <c r="E11" s="44" t="s">
        <v>48</v>
      </c>
      <c r="F11" s="44" t="s">
        <v>49</v>
      </c>
      <c r="G11" s="44" t="s">
        <v>45</v>
      </c>
      <c r="H11" s="57">
        <f>25*41</f>
        <v>1025</v>
      </c>
      <c r="I11" s="61">
        <f t="shared" si="4"/>
        <v>11033.099999999999</v>
      </c>
      <c r="J11" s="45">
        <v>20</v>
      </c>
      <c r="K11" s="42">
        <v>2018</v>
      </c>
      <c r="L11" s="42">
        <v>2022</v>
      </c>
      <c r="M11" s="42">
        <f t="shared" si="5"/>
        <v>4</v>
      </c>
      <c r="N11" s="50">
        <v>40</v>
      </c>
      <c r="O11" s="46">
        <v>0.1</v>
      </c>
      <c r="P11" s="47">
        <f t="shared" si="6"/>
        <v>2.2499999999999999E-2</v>
      </c>
      <c r="Q11" s="51">
        <v>800</v>
      </c>
      <c r="R11" s="48">
        <f t="shared" si="7"/>
        <v>8826479.9999999981</v>
      </c>
      <c r="S11" s="48">
        <f t="shared" si="0"/>
        <v>794383.19999999984</v>
      </c>
      <c r="T11" s="48">
        <f t="shared" si="1"/>
        <v>8032096.799999998</v>
      </c>
      <c r="U11" s="49">
        <v>0</v>
      </c>
      <c r="V11" s="48">
        <f t="shared" si="2"/>
        <v>8032096.799999998</v>
      </c>
      <c r="W11" s="39">
        <f t="shared" si="8"/>
        <v>727.99999999999989</v>
      </c>
    </row>
    <row r="12" spans="3:23" ht="15.75" thickBot="1" x14ac:dyDescent="0.3">
      <c r="C12" s="42">
        <v>8</v>
      </c>
      <c r="D12" s="42" t="s">
        <v>29</v>
      </c>
      <c r="E12" s="44" t="s">
        <v>2</v>
      </c>
      <c r="F12" s="44" t="s">
        <v>49</v>
      </c>
      <c r="G12" s="44" t="s">
        <v>45</v>
      </c>
      <c r="H12" s="57">
        <f>85*76</f>
        <v>6460</v>
      </c>
      <c r="I12" s="61">
        <f t="shared" si="4"/>
        <v>69535.44</v>
      </c>
      <c r="J12" s="44">
        <v>60</v>
      </c>
      <c r="K12" s="42">
        <v>2018</v>
      </c>
      <c r="L12" s="42">
        <v>2022</v>
      </c>
      <c r="M12" s="42">
        <f t="shared" si="5"/>
        <v>4</v>
      </c>
      <c r="N12" s="50">
        <v>40</v>
      </c>
      <c r="O12" s="46">
        <v>0.1</v>
      </c>
      <c r="P12" s="47">
        <f t="shared" si="6"/>
        <v>2.2499999999999999E-2</v>
      </c>
      <c r="Q12" s="51">
        <v>1300</v>
      </c>
      <c r="R12" s="48">
        <f t="shared" si="7"/>
        <v>90396072</v>
      </c>
      <c r="S12" s="48">
        <f t="shared" si="0"/>
        <v>8135646.4799999995</v>
      </c>
      <c r="T12" s="48">
        <f t="shared" si="1"/>
        <v>82260425.519999996</v>
      </c>
      <c r="U12" s="49">
        <v>0</v>
      </c>
      <c r="V12" s="48">
        <f t="shared" si="2"/>
        <v>82260425.519999996</v>
      </c>
      <c r="W12" s="39">
        <f t="shared" si="8"/>
        <v>1183</v>
      </c>
    </row>
    <row r="13" spans="3:23" ht="15.75" thickBot="1" x14ac:dyDescent="0.3">
      <c r="C13" s="42">
        <v>9</v>
      </c>
      <c r="D13" s="42" t="s">
        <v>29</v>
      </c>
      <c r="E13" s="44" t="s">
        <v>48</v>
      </c>
      <c r="F13" s="44" t="s">
        <v>49</v>
      </c>
      <c r="G13" s="44" t="s">
        <v>45</v>
      </c>
      <c r="H13" s="57">
        <f>85*76</f>
        <v>6460</v>
      </c>
      <c r="I13" s="61">
        <f t="shared" si="4"/>
        <v>69535.44</v>
      </c>
      <c r="J13" s="45">
        <v>22</v>
      </c>
      <c r="K13" s="42">
        <v>2018</v>
      </c>
      <c r="L13" s="42">
        <v>2022</v>
      </c>
      <c r="M13" s="42">
        <f t="shared" si="5"/>
        <v>4</v>
      </c>
      <c r="N13" s="50">
        <v>40</v>
      </c>
      <c r="O13" s="46">
        <v>0.1</v>
      </c>
      <c r="P13" s="47">
        <f t="shared" si="6"/>
        <v>2.2499999999999999E-2</v>
      </c>
      <c r="Q13" s="51">
        <v>800</v>
      </c>
      <c r="R13" s="48">
        <f t="shared" si="7"/>
        <v>55628352</v>
      </c>
      <c r="S13" s="48">
        <f t="shared" si="0"/>
        <v>5006551.68</v>
      </c>
      <c r="T13" s="48">
        <f t="shared" si="1"/>
        <v>50621800.32</v>
      </c>
      <c r="U13" s="49">
        <v>0</v>
      </c>
      <c r="V13" s="48">
        <f t="shared" si="2"/>
        <v>50621800.32</v>
      </c>
      <c r="W13" s="39">
        <f t="shared" si="8"/>
        <v>728</v>
      </c>
    </row>
    <row r="14" spans="3:23" ht="15.75" thickBot="1" x14ac:dyDescent="0.3">
      <c r="C14" s="42">
        <v>10</v>
      </c>
      <c r="D14" s="42" t="s">
        <v>50</v>
      </c>
      <c r="E14" s="43" t="s">
        <v>2</v>
      </c>
      <c r="F14" s="42" t="s">
        <v>50</v>
      </c>
      <c r="G14" s="44" t="s">
        <v>1</v>
      </c>
      <c r="H14" s="57">
        <f>12*24</f>
        <v>288</v>
      </c>
      <c r="I14" s="61">
        <f t="shared" si="4"/>
        <v>3100.0319999999997</v>
      </c>
      <c r="J14" s="45">
        <v>12</v>
      </c>
      <c r="K14" s="42">
        <v>2018</v>
      </c>
      <c r="L14" s="42">
        <v>2022</v>
      </c>
      <c r="M14" s="42">
        <f t="shared" si="5"/>
        <v>4</v>
      </c>
      <c r="N14" s="50">
        <v>60</v>
      </c>
      <c r="O14" s="46">
        <v>0.1</v>
      </c>
      <c r="P14" s="47">
        <f t="shared" si="6"/>
        <v>1.5000000000000001E-2</v>
      </c>
      <c r="Q14" s="48">
        <v>1400</v>
      </c>
      <c r="R14" s="48">
        <f t="shared" si="7"/>
        <v>4340044.8</v>
      </c>
      <c r="S14" s="48">
        <f t="shared" si="0"/>
        <v>260402.68800000002</v>
      </c>
      <c r="T14" s="48">
        <f t="shared" si="1"/>
        <v>4079642.1119999997</v>
      </c>
      <c r="U14" s="49">
        <v>0</v>
      </c>
      <c r="V14" s="48">
        <f t="shared" si="2"/>
        <v>4079642.1119999997</v>
      </c>
      <c r="W14" s="39">
        <f t="shared" si="8"/>
        <v>1316</v>
      </c>
    </row>
    <row r="15" spans="3:23" ht="15.75" thickBot="1" x14ac:dyDescent="0.3">
      <c r="C15" s="42">
        <v>11</v>
      </c>
      <c r="D15" s="42" t="s">
        <v>50</v>
      </c>
      <c r="E15" s="43" t="s">
        <v>26</v>
      </c>
      <c r="F15" s="42" t="s">
        <v>50</v>
      </c>
      <c r="G15" s="44" t="s">
        <v>1</v>
      </c>
      <c r="H15" s="57">
        <f>12*24</f>
        <v>288</v>
      </c>
      <c r="I15" s="61">
        <f t="shared" si="4"/>
        <v>3100.0319999999997</v>
      </c>
      <c r="J15" s="45">
        <v>12</v>
      </c>
      <c r="K15" s="42">
        <v>2018</v>
      </c>
      <c r="L15" s="42">
        <v>2022</v>
      </c>
      <c r="M15" s="42">
        <f t="shared" si="5"/>
        <v>4</v>
      </c>
      <c r="N15" s="50">
        <v>60</v>
      </c>
      <c r="O15" s="46">
        <v>0.1</v>
      </c>
      <c r="P15" s="47">
        <f t="shared" si="6"/>
        <v>1.5000000000000001E-2</v>
      </c>
      <c r="Q15" s="48">
        <v>1400</v>
      </c>
      <c r="R15" s="48">
        <f t="shared" si="7"/>
        <v>4340044.8</v>
      </c>
      <c r="S15" s="48">
        <f t="shared" si="0"/>
        <v>260402.68800000002</v>
      </c>
      <c r="T15" s="48">
        <f t="shared" si="1"/>
        <v>4079642.1119999997</v>
      </c>
      <c r="U15" s="49">
        <v>0</v>
      </c>
      <c r="V15" s="48">
        <f t="shared" si="2"/>
        <v>4079642.1119999997</v>
      </c>
      <c r="W15" s="39">
        <f t="shared" si="8"/>
        <v>1316</v>
      </c>
    </row>
    <row r="16" spans="3:23" ht="15.75" thickBot="1" x14ac:dyDescent="0.3">
      <c r="C16" s="42">
        <v>12</v>
      </c>
      <c r="D16" s="42" t="s">
        <v>36</v>
      </c>
      <c r="E16" s="44" t="s">
        <v>2</v>
      </c>
      <c r="F16" s="44" t="s">
        <v>49</v>
      </c>
      <c r="G16" s="44" t="s">
        <v>45</v>
      </c>
      <c r="H16" s="57">
        <f>80*50</f>
        <v>4000</v>
      </c>
      <c r="I16" s="61">
        <f t="shared" si="4"/>
        <v>43056</v>
      </c>
      <c r="J16" s="45">
        <v>45</v>
      </c>
      <c r="K16" s="42">
        <v>2018</v>
      </c>
      <c r="L16" s="42">
        <v>2022</v>
      </c>
      <c r="M16" s="42">
        <f t="shared" si="5"/>
        <v>4</v>
      </c>
      <c r="N16" s="50">
        <v>40</v>
      </c>
      <c r="O16" s="46">
        <v>0.1</v>
      </c>
      <c r="P16" s="47">
        <f t="shared" si="6"/>
        <v>2.2499999999999999E-2</v>
      </c>
      <c r="Q16" s="51">
        <v>1300</v>
      </c>
      <c r="R16" s="48">
        <f t="shared" si="7"/>
        <v>55972800</v>
      </c>
      <c r="S16" s="48">
        <f t="shared" si="0"/>
        <v>5037552</v>
      </c>
      <c r="T16" s="48">
        <f t="shared" si="1"/>
        <v>50935248</v>
      </c>
      <c r="U16" s="49">
        <v>0</v>
      </c>
      <c r="V16" s="48">
        <f t="shared" si="2"/>
        <v>50935248</v>
      </c>
      <c r="W16" s="39">
        <f t="shared" si="8"/>
        <v>1183</v>
      </c>
    </row>
    <row r="17" spans="3:27" ht="15.75" thickBot="1" x14ac:dyDescent="0.3">
      <c r="C17" s="42">
        <v>13</v>
      </c>
      <c r="D17" s="42" t="s">
        <v>36</v>
      </c>
      <c r="E17" s="44" t="s">
        <v>48</v>
      </c>
      <c r="F17" s="44" t="s">
        <v>49</v>
      </c>
      <c r="G17" s="44" t="s">
        <v>45</v>
      </c>
      <c r="H17" s="58">
        <f>50*30.5</f>
        <v>1525</v>
      </c>
      <c r="I17" s="61">
        <f t="shared" si="4"/>
        <v>16415.099999999999</v>
      </c>
      <c r="J17" s="45">
        <v>20</v>
      </c>
      <c r="K17" s="42">
        <v>2018</v>
      </c>
      <c r="L17" s="42">
        <v>2022</v>
      </c>
      <c r="M17" s="42">
        <f t="shared" si="5"/>
        <v>4</v>
      </c>
      <c r="N17" s="50">
        <v>40</v>
      </c>
      <c r="O17" s="46">
        <v>0.1</v>
      </c>
      <c r="P17" s="47">
        <f t="shared" si="6"/>
        <v>2.2499999999999999E-2</v>
      </c>
      <c r="Q17" s="51">
        <v>800</v>
      </c>
      <c r="R17" s="48">
        <f t="shared" si="7"/>
        <v>13132079.999999998</v>
      </c>
      <c r="S17" s="48">
        <f t="shared" si="0"/>
        <v>1181887.1999999997</v>
      </c>
      <c r="T17" s="48">
        <f t="shared" si="1"/>
        <v>11950192.799999999</v>
      </c>
      <c r="U17" s="49">
        <v>0</v>
      </c>
      <c r="V17" s="48">
        <f t="shared" si="2"/>
        <v>11950192.799999999</v>
      </c>
      <c r="W17" s="39">
        <f t="shared" si="8"/>
        <v>728</v>
      </c>
    </row>
    <row r="18" spans="3:27" ht="15.75" thickBot="1" x14ac:dyDescent="0.3">
      <c r="C18" s="42">
        <v>14</v>
      </c>
      <c r="D18" s="42" t="s">
        <v>30</v>
      </c>
      <c r="E18" s="44" t="s">
        <v>2</v>
      </c>
      <c r="F18" s="44" t="s">
        <v>49</v>
      </c>
      <c r="G18" s="44" t="s">
        <v>45</v>
      </c>
      <c r="H18" s="57">
        <f>32.5*50</f>
        <v>1625</v>
      </c>
      <c r="I18" s="61">
        <f t="shared" si="4"/>
        <v>17491.5</v>
      </c>
      <c r="J18" s="45">
        <v>40</v>
      </c>
      <c r="K18" s="42">
        <v>2018</v>
      </c>
      <c r="L18" s="42">
        <v>2022</v>
      </c>
      <c r="M18" s="42">
        <f t="shared" si="5"/>
        <v>4</v>
      </c>
      <c r="N18" s="50">
        <v>40</v>
      </c>
      <c r="O18" s="46">
        <v>0.1</v>
      </c>
      <c r="P18" s="47">
        <f t="shared" si="6"/>
        <v>2.2499999999999999E-2</v>
      </c>
      <c r="Q18" s="51">
        <v>1300</v>
      </c>
      <c r="R18" s="48">
        <f t="shared" si="7"/>
        <v>22738950</v>
      </c>
      <c r="S18" s="48">
        <f t="shared" si="0"/>
        <v>2046505.5</v>
      </c>
      <c r="T18" s="48">
        <f t="shared" si="1"/>
        <v>20692444.5</v>
      </c>
      <c r="U18" s="49">
        <v>0</v>
      </c>
      <c r="V18" s="48">
        <f t="shared" si="2"/>
        <v>20692444.5</v>
      </c>
      <c r="W18" s="39">
        <f t="shared" si="8"/>
        <v>1183</v>
      </c>
      <c r="Z18">
        <f>AA18/Z20</f>
        <v>0.58057291923020127</v>
      </c>
      <c r="AA18">
        <v>23591</v>
      </c>
    </row>
    <row r="19" spans="3:27" ht="15.75" thickBot="1" x14ac:dyDescent="0.3">
      <c r="C19" s="42">
        <v>15</v>
      </c>
      <c r="D19" s="42" t="s">
        <v>30</v>
      </c>
      <c r="E19" s="44" t="s">
        <v>48</v>
      </c>
      <c r="F19" s="44" t="s">
        <v>49</v>
      </c>
      <c r="G19" s="44" t="s">
        <v>45</v>
      </c>
      <c r="H19" s="57">
        <f>32.5*50</f>
        <v>1625</v>
      </c>
      <c r="I19" s="61">
        <f t="shared" si="4"/>
        <v>17491.5</v>
      </c>
      <c r="J19" s="45">
        <v>20</v>
      </c>
      <c r="K19" s="42">
        <v>2018</v>
      </c>
      <c r="L19" s="42">
        <v>2022</v>
      </c>
      <c r="M19" s="42">
        <f t="shared" si="5"/>
        <v>4</v>
      </c>
      <c r="N19" s="50">
        <v>40</v>
      </c>
      <c r="O19" s="46">
        <v>0.1</v>
      </c>
      <c r="P19" s="47">
        <f t="shared" si="6"/>
        <v>2.2499999999999999E-2</v>
      </c>
      <c r="Q19" s="51">
        <v>800</v>
      </c>
      <c r="R19" s="48">
        <f t="shared" si="7"/>
        <v>13993200</v>
      </c>
      <c r="S19" s="48">
        <f t="shared" si="0"/>
        <v>1259388</v>
      </c>
      <c r="T19" s="48">
        <f t="shared" si="1"/>
        <v>12733812</v>
      </c>
      <c r="U19" s="49">
        <v>0</v>
      </c>
      <c r="V19" s="48">
        <f t="shared" si="2"/>
        <v>12733812</v>
      </c>
      <c r="W19" s="39">
        <f t="shared" si="8"/>
        <v>728</v>
      </c>
    </row>
    <row r="20" spans="3:27" ht="15.75" thickBot="1" x14ac:dyDescent="0.3">
      <c r="C20" s="42">
        <v>16</v>
      </c>
      <c r="D20" s="42" t="s">
        <v>31</v>
      </c>
      <c r="E20" s="44" t="s">
        <v>51</v>
      </c>
      <c r="F20" s="44" t="s">
        <v>52</v>
      </c>
      <c r="G20" s="44" t="s">
        <v>55</v>
      </c>
      <c r="H20" s="57">
        <f>17*15</f>
        <v>255</v>
      </c>
      <c r="I20" s="61">
        <f t="shared" si="4"/>
        <v>2744.8199999999997</v>
      </c>
      <c r="J20" s="45">
        <v>20</v>
      </c>
      <c r="K20" s="42">
        <v>2018</v>
      </c>
      <c r="L20" s="42">
        <v>2022</v>
      </c>
      <c r="M20" s="42">
        <f t="shared" si="5"/>
        <v>4</v>
      </c>
      <c r="N20" s="50">
        <v>40</v>
      </c>
      <c r="O20" s="46">
        <v>0.1</v>
      </c>
      <c r="P20" s="47">
        <f t="shared" si="6"/>
        <v>2.2499999999999999E-2</v>
      </c>
      <c r="Q20" s="51">
        <v>900</v>
      </c>
      <c r="R20" s="48">
        <f t="shared" si="7"/>
        <v>2470337.9999999995</v>
      </c>
      <c r="S20" s="48">
        <f t="shared" si="0"/>
        <v>222330.41999999995</v>
      </c>
      <c r="T20" s="48">
        <f t="shared" si="1"/>
        <v>2248007.5799999996</v>
      </c>
      <c r="U20" s="49">
        <v>0</v>
      </c>
      <c r="V20" s="48">
        <f t="shared" si="2"/>
        <v>2248007.5799999996</v>
      </c>
      <c r="W20" s="39">
        <f t="shared" si="8"/>
        <v>819</v>
      </c>
      <c r="Z20">
        <f>40634</f>
        <v>40634</v>
      </c>
    </row>
    <row r="21" spans="3:27" ht="15.75" thickBot="1" x14ac:dyDescent="0.3">
      <c r="C21" s="42">
        <v>17</v>
      </c>
      <c r="D21" s="42" t="s">
        <v>54</v>
      </c>
      <c r="E21" s="43" t="s">
        <v>2</v>
      </c>
      <c r="F21" s="44" t="s">
        <v>49</v>
      </c>
      <c r="G21" s="44" t="s">
        <v>1</v>
      </c>
      <c r="H21" s="57">
        <f>22.5*56</f>
        <v>1260</v>
      </c>
      <c r="I21" s="61">
        <f t="shared" si="4"/>
        <v>13562.64</v>
      </c>
      <c r="J21" s="45">
        <v>15</v>
      </c>
      <c r="K21" s="42">
        <v>2018</v>
      </c>
      <c r="L21" s="42">
        <v>2022</v>
      </c>
      <c r="M21" s="42">
        <f t="shared" si="5"/>
        <v>4</v>
      </c>
      <c r="N21" s="50">
        <v>60</v>
      </c>
      <c r="O21" s="46">
        <v>0.1</v>
      </c>
      <c r="P21" s="47">
        <f t="shared" si="6"/>
        <v>1.5000000000000001E-2</v>
      </c>
      <c r="Q21" s="48">
        <v>1400</v>
      </c>
      <c r="R21" s="48">
        <f t="shared" si="7"/>
        <v>18987696</v>
      </c>
      <c r="S21" s="48">
        <f t="shared" si="0"/>
        <v>1139261.76</v>
      </c>
      <c r="T21" s="48">
        <f t="shared" si="1"/>
        <v>17848434.239999998</v>
      </c>
      <c r="U21" s="49">
        <v>0</v>
      </c>
      <c r="V21" s="48">
        <f t="shared" si="2"/>
        <v>17848434.239999998</v>
      </c>
      <c r="W21" s="39">
        <f t="shared" si="8"/>
        <v>1316</v>
      </c>
    </row>
    <row r="22" spans="3:27" ht="15.75" thickBot="1" x14ac:dyDescent="0.3">
      <c r="C22" s="42">
        <v>18</v>
      </c>
      <c r="D22" s="42" t="s">
        <v>54</v>
      </c>
      <c r="E22" s="43" t="s">
        <v>26</v>
      </c>
      <c r="F22" s="44" t="s">
        <v>49</v>
      </c>
      <c r="G22" s="44" t="s">
        <v>55</v>
      </c>
      <c r="H22" s="57">
        <f>22.5*56</f>
        <v>1260</v>
      </c>
      <c r="I22" s="61">
        <f t="shared" si="4"/>
        <v>13562.64</v>
      </c>
      <c r="J22" s="45">
        <v>20</v>
      </c>
      <c r="K22" s="42">
        <v>2018</v>
      </c>
      <c r="L22" s="42">
        <v>2022</v>
      </c>
      <c r="M22" s="42">
        <f t="shared" si="5"/>
        <v>4</v>
      </c>
      <c r="N22" s="50">
        <v>40</v>
      </c>
      <c r="O22" s="46">
        <v>0.1</v>
      </c>
      <c r="P22" s="47">
        <f t="shared" si="6"/>
        <v>2.2499999999999999E-2</v>
      </c>
      <c r="Q22" s="51">
        <v>1200</v>
      </c>
      <c r="R22" s="48">
        <f t="shared" si="7"/>
        <v>16275168</v>
      </c>
      <c r="S22" s="48">
        <f t="shared" si="0"/>
        <v>1464765.1199999999</v>
      </c>
      <c r="T22" s="48">
        <f t="shared" si="1"/>
        <v>14810402.880000001</v>
      </c>
      <c r="U22" s="49">
        <v>0</v>
      </c>
      <c r="V22" s="48">
        <f t="shared" si="2"/>
        <v>14810402.880000001</v>
      </c>
      <c r="W22" s="39">
        <f t="shared" si="8"/>
        <v>1092</v>
      </c>
    </row>
    <row r="23" spans="3:27" ht="15.75" thickBot="1" x14ac:dyDescent="0.3">
      <c r="C23" s="42">
        <v>19</v>
      </c>
      <c r="D23" s="42" t="s">
        <v>34</v>
      </c>
      <c r="E23" s="44" t="s">
        <v>2</v>
      </c>
      <c r="F23" s="44" t="s">
        <v>49</v>
      </c>
      <c r="G23" s="44" t="s">
        <v>45</v>
      </c>
      <c r="H23" s="57">
        <f>23*50</f>
        <v>1150</v>
      </c>
      <c r="I23" s="61">
        <f t="shared" si="4"/>
        <v>12378.599999999999</v>
      </c>
      <c r="J23" s="45">
        <v>45</v>
      </c>
      <c r="K23" s="42">
        <v>2018</v>
      </c>
      <c r="L23" s="42">
        <v>2022</v>
      </c>
      <c r="M23" s="42">
        <f t="shared" si="5"/>
        <v>4</v>
      </c>
      <c r="N23" s="50">
        <v>40</v>
      </c>
      <c r="O23" s="46">
        <v>0.1</v>
      </c>
      <c r="P23" s="47">
        <f t="shared" si="6"/>
        <v>2.2499999999999999E-2</v>
      </c>
      <c r="Q23" s="51">
        <v>1300</v>
      </c>
      <c r="R23" s="48">
        <f t="shared" si="7"/>
        <v>16092179.999999998</v>
      </c>
      <c r="S23" s="48">
        <f t="shared" si="0"/>
        <v>1448296.1999999997</v>
      </c>
      <c r="T23" s="48">
        <f t="shared" si="1"/>
        <v>14643883.799999999</v>
      </c>
      <c r="U23" s="49">
        <v>0</v>
      </c>
      <c r="V23" s="48">
        <f t="shared" si="2"/>
        <v>14643883.799999999</v>
      </c>
      <c r="W23" s="39">
        <f t="shared" si="8"/>
        <v>1183</v>
      </c>
    </row>
    <row r="24" spans="3:27" ht="15.75" thickBot="1" x14ac:dyDescent="0.3">
      <c r="C24" s="42">
        <v>20</v>
      </c>
      <c r="D24" s="42" t="s">
        <v>34</v>
      </c>
      <c r="E24" s="44" t="s">
        <v>48</v>
      </c>
      <c r="F24" s="44" t="s">
        <v>49</v>
      </c>
      <c r="G24" s="44" t="s">
        <v>45</v>
      </c>
      <c r="H24" s="57">
        <f>30*23</f>
        <v>690</v>
      </c>
      <c r="I24" s="61">
        <f t="shared" si="4"/>
        <v>7427.16</v>
      </c>
      <c r="J24" s="45">
        <v>20</v>
      </c>
      <c r="K24" s="42">
        <v>2018</v>
      </c>
      <c r="L24" s="42">
        <v>2022</v>
      </c>
      <c r="M24" s="42">
        <f t="shared" si="5"/>
        <v>4</v>
      </c>
      <c r="N24" s="50">
        <v>40</v>
      </c>
      <c r="O24" s="46">
        <v>0.1</v>
      </c>
      <c r="P24" s="47">
        <f t="shared" si="6"/>
        <v>2.2499999999999999E-2</v>
      </c>
      <c r="Q24" s="51">
        <v>800</v>
      </c>
      <c r="R24" s="48">
        <f t="shared" si="7"/>
        <v>5941728</v>
      </c>
      <c r="S24" s="48">
        <f t="shared" si="0"/>
        <v>534755.52</v>
      </c>
      <c r="T24" s="48">
        <f t="shared" si="1"/>
        <v>5406972.4800000004</v>
      </c>
      <c r="U24" s="49">
        <v>0</v>
      </c>
      <c r="V24" s="48">
        <f t="shared" si="2"/>
        <v>5406972.4800000004</v>
      </c>
      <c r="W24" s="39">
        <f t="shared" si="8"/>
        <v>728.00000000000011</v>
      </c>
    </row>
    <row r="25" spans="3:27" ht="15.75" thickBot="1" x14ac:dyDescent="0.3">
      <c r="C25" s="42">
        <v>21</v>
      </c>
      <c r="D25" s="42" t="s">
        <v>35</v>
      </c>
      <c r="E25" s="43" t="s">
        <v>2</v>
      </c>
      <c r="F25" s="44" t="s">
        <v>49</v>
      </c>
      <c r="G25" s="44" t="s">
        <v>1</v>
      </c>
      <c r="H25" s="57">
        <f>22.5*45</f>
        <v>1012.5</v>
      </c>
      <c r="I25" s="61">
        <f t="shared" si="4"/>
        <v>10898.55</v>
      </c>
      <c r="J25" s="45">
        <v>20</v>
      </c>
      <c r="K25" s="42">
        <v>2018</v>
      </c>
      <c r="L25" s="42">
        <v>2022</v>
      </c>
      <c r="M25" s="42">
        <f t="shared" si="5"/>
        <v>4</v>
      </c>
      <c r="N25" s="50">
        <v>60</v>
      </c>
      <c r="O25" s="46">
        <v>0.1</v>
      </c>
      <c r="P25" s="47">
        <f t="shared" si="6"/>
        <v>1.5000000000000001E-2</v>
      </c>
      <c r="Q25" s="51">
        <v>1300</v>
      </c>
      <c r="R25" s="48">
        <f t="shared" si="7"/>
        <v>14168114.999999998</v>
      </c>
      <c r="S25" s="48">
        <f t="shared" si="0"/>
        <v>850086.89999999991</v>
      </c>
      <c r="T25" s="48">
        <f t="shared" si="1"/>
        <v>13318028.099999998</v>
      </c>
      <c r="U25" s="49">
        <v>0</v>
      </c>
      <c r="V25" s="48">
        <f t="shared" si="2"/>
        <v>13318028.099999998</v>
      </c>
      <c r="W25" s="39">
        <f t="shared" si="8"/>
        <v>1221.9999999999998</v>
      </c>
    </row>
    <row r="26" spans="3:27" ht="15.75" thickBot="1" x14ac:dyDescent="0.3">
      <c r="C26" s="42">
        <v>22</v>
      </c>
      <c r="D26" s="42" t="s">
        <v>35</v>
      </c>
      <c r="E26" s="43" t="s">
        <v>26</v>
      </c>
      <c r="F26" s="44" t="s">
        <v>49</v>
      </c>
      <c r="G26" s="44" t="s">
        <v>1</v>
      </c>
      <c r="H26" s="57">
        <f>22.5*45</f>
        <v>1012.5</v>
      </c>
      <c r="I26" s="61">
        <f t="shared" si="4"/>
        <v>10898.55</v>
      </c>
      <c r="J26" s="45">
        <v>20</v>
      </c>
      <c r="K26" s="42">
        <v>2018</v>
      </c>
      <c r="L26" s="42">
        <v>2022</v>
      </c>
      <c r="M26" s="42">
        <f t="shared" si="5"/>
        <v>4</v>
      </c>
      <c r="N26" s="50">
        <v>60</v>
      </c>
      <c r="O26" s="46">
        <v>0.1</v>
      </c>
      <c r="P26" s="47">
        <f t="shared" si="6"/>
        <v>1.5000000000000001E-2</v>
      </c>
      <c r="Q26" s="51">
        <v>1300</v>
      </c>
      <c r="R26" s="48">
        <f t="shared" si="7"/>
        <v>14168114.999999998</v>
      </c>
      <c r="S26" s="48">
        <f t="shared" si="0"/>
        <v>850086.89999999991</v>
      </c>
      <c r="T26" s="48">
        <f t="shared" si="1"/>
        <v>13318028.099999998</v>
      </c>
      <c r="U26" s="49">
        <v>0</v>
      </c>
      <c r="V26" s="48">
        <f t="shared" si="2"/>
        <v>13318028.099999998</v>
      </c>
      <c r="W26" s="39">
        <f t="shared" si="8"/>
        <v>1221.9999999999998</v>
      </c>
    </row>
    <row r="27" spans="3:27" ht="30.75" thickBot="1" x14ac:dyDescent="0.3">
      <c r="C27" s="42">
        <v>23</v>
      </c>
      <c r="D27" s="52" t="s">
        <v>57</v>
      </c>
      <c r="E27" s="44" t="s">
        <v>58</v>
      </c>
      <c r="F27" s="44" t="s">
        <v>65</v>
      </c>
      <c r="G27" s="44" t="s">
        <v>66</v>
      </c>
      <c r="H27" s="59">
        <f>22*6</f>
        <v>132</v>
      </c>
      <c r="I27" s="61">
        <f t="shared" si="4"/>
        <v>1420.848</v>
      </c>
      <c r="J27" s="45">
        <v>0</v>
      </c>
      <c r="K27" s="42">
        <v>2018</v>
      </c>
      <c r="L27" s="42">
        <v>2022</v>
      </c>
      <c r="M27" s="42">
        <f t="shared" si="5"/>
        <v>4</v>
      </c>
      <c r="N27" s="53">
        <v>60</v>
      </c>
      <c r="O27" s="46">
        <v>0.1</v>
      </c>
      <c r="P27" s="47">
        <f t="shared" si="6"/>
        <v>1.5000000000000001E-2</v>
      </c>
      <c r="Q27" s="94">
        <v>500</v>
      </c>
      <c r="R27" s="48">
        <f t="shared" si="7"/>
        <v>710424</v>
      </c>
      <c r="S27" s="48">
        <f t="shared" si="0"/>
        <v>42625.440000000002</v>
      </c>
      <c r="T27" s="48">
        <f t="shared" si="1"/>
        <v>667798.56000000006</v>
      </c>
      <c r="U27" s="49">
        <v>0</v>
      </c>
      <c r="V27" s="48">
        <f t="shared" si="2"/>
        <v>667798.56000000006</v>
      </c>
      <c r="W27" s="39">
        <f t="shared" si="8"/>
        <v>470.00000000000006</v>
      </c>
    </row>
    <row r="28" spans="3:27" ht="15.75" thickBot="1" x14ac:dyDescent="0.3">
      <c r="C28" s="42">
        <v>24</v>
      </c>
      <c r="D28" s="52" t="s">
        <v>59</v>
      </c>
      <c r="E28" s="44" t="s">
        <v>2</v>
      </c>
      <c r="F28" s="44" t="s">
        <v>53</v>
      </c>
      <c r="G28" s="50" t="s">
        <v>64</v>
      </c>
      <c r="H28" s="57">
        <f>5*64</f>
        <v>320</v>
      </c>
      <c r="I28" s="61">
        <f t="shared" si="4"/>
        <v>3444.4799999999996</v>
      </c>
      <c r="J28" s="45">
        <v>10</v>
      </c>
      <c r="K28" s="42">
        <v>2018</v>
      </c>
      <c r="L28" s="42">
        <v>2022</v>
      </c>
      <c r="M28" s="42">
        <f t="shared" si="5"/>
        <v>4</v>
      </c>
      <c r="N28" s="50">
        <v>30</v>
      </c>
      <c r="O28" s="46">
        <v>0.1</v>
      </c>
      <c r="P28" s="47">
        <f t="shared" si="6"/>
        <v>3.0000000000000002E-2</v>
      </c>
      <c r="Q28" s="51">
        <v>700</v>
      </c>
      <c r="R28" s="48">
        <f t="shared" si="7"/>
        <v>2411135.9999999995</v>
      </c>
      <c r="S28" s="48">
        <f t="shared" si="0"/>
        <v>289336.31999999995</v>
      </c>
      <c r="T28" s="48">
        <f t="shared" si="1"/>
        <v>2121799.6799999997</v>
      </c>
      <c r="U28" s="49">
        <v>0</v>
      </c>
      <c r="V28" s="48">
        <f t="shared" si="2"/>
        <v>2121799.6799999997</v>
      </c>
      <c r="W28" s="39">
        <f t="shared" si="8"/>
        <v>616</v>
      </c>
    </row>
    <row r="29" spans="3:27" ht="15.75" thickBot="1" x14ac:dyDescent="0.3">
      <c r="C29" s="42">
        <v>25</v>
      </c>
      <c r="D29" s="52" t="s">
        <v>60</v>
      </c>
      <c r="E29" s="44" t="s">
        <v>2</v>
      </c>
      <c r="F29" s="44" t="s">
        <v>53</v>
      </c>
      <c r="G29" s="50" t="s">
        <v>64</v>
      </c>
      <c r="H29" s="57">
        <f>4*38</f>
        <v>152</v>
      </c>
      <c r="I29" s="61">
        <f t="shared" si="4"/>
        <v>1636.1279999999999</v>
      </c>
      <c r="J29" s="45">
        <v>10</v>
      </c>
      <c r="K29" s="42">
        <v>2018</v>
      </c>
      <c r="L29" s="42">
        <v>2022</v>
      </c>
      <c r="M29" s="42">
        <f t="shared" si="5"/>
        <v>4</v>
      </c>
      <c r="N29" s="50">
        <v>30</v>
      </c>
      <c r="O29" s="46">
        <v>0.1</v>
      </c>
      <c r="P29" s="47">
        <f t="shared" si="6"/>
        <v>3.0000000000000002E-2</v>
      </c>
      <c r="Q29" s="51">
        <f>Q28</f>
        <v>700</v>
      </c>
      <c r="R29" s="48">
        <f t="shared" si="7"/>
        <v>1145289.5999999999</v>
      </c>
      <c r="S29" s="48">
        <f t="shared" si="0"/>
        <v>137434.75200000001</v>
      </c>
      <c r="T29" s="48">
        <f t="shared" si="1"/>
        <v>1007854.8479999999</v>
      </c>
      <c r="U29" s="49">
        <v>0</v>
      </c>
      <c r="V29" s="48">
        <f t="shared" si="2"/>
        <v>1007854.8479999999</v>
      </c>
      <c r="W29" s="39">
        <f t="shared" si="8"/>
        <v>616</v>
      </c>
    </row>
    <row r="30" spans="3:27" ht="15.75" thickBot="1" x14ac:dyDescent="0.3">
      <c r="C30" s="42">
        <v>26</v>
      </c>
      <c r="D30" s="52" t="s">
        <v>61</v>
      </c>
      <c r="E30" s="44" t="s">
        <v>2</v>
      </c>
      <c r="F30" s="44" t="s">
        <v>53</v>
      </c>
      <c r="G30" s="44" t="s">
        <v>67</v>
      </c>
      <c r="H30" s="57">
        <f>30*10</f>
        <v>300</v>
      </c>
      <c r="I30" s="61">
        <f t="shared" si="4"/>
        <v>3229.2</v>
      </c>
      <c r="J30" s="45">
        <v>10</v>
      </c>
      <c r="K30" s="42">
        <v>2018</v>
      </c>
      <c r="L30" s="42">
        <v>2022</v>
      </c>
      <c r="M30" s="42">
        <f t="shared" si="5"/>
        <v>4</v>
      </c>
      <c r="N30" s="50">
        <v>30</v>
      </c>
      <c r="O30" s="46">
        <v>0.1</v>
      </c>
      <c r="P30" s="47">
        <f t="shared" si="6"/>
        <v>3.0000000000000002E-2</v>
      </c>
      <c r="Q30" s="51">
        <v>600</v>
      </c>
      <c r="R30" s="48">
        <f t="shared" si="7"/>
        <v>1937520</v>
      </c>
      <c r="S30" s="48">
        <f t="shared" si="0"/>
        <v>232502.40000000002</v>
      </c>
      <c r="T30" s="48">
        <f t="shared" si="1"/>
        <v>1705017.6</v>
      </c>
      <c r="U30" s="49">
        <v>0</v>
      </c>
      <c r="V30" s="48">
        <f t="shared" si="2"/>
        <v>1705017.6</v>
      </c>
      <c r="W30" s="39">
        <f t="shared" si="8"/>
        <v>528.00000000000011</v>
      </c>
    </row>
    <row r="31" spans="3:27" ht="15.75" thickBot="1" x14ac:dyDescent="0.3">
      <c r="C31" s="42">
        <v>27</v>
      </c>
      <c r="D31" s="52" t="s">
        <v>62</v>
      </c>
      <c r="E31" s="43" t="s">
        <v>2</v>
      </c>
      <c r="F31" s="44" t="s">
        <v>63</v>
      </c>
      <c r="G31" s="44" t="s">
        <v>1</v>
      </c>
      <c r="H31" s="57">
        <f>15*7</f>
        <v>105</v>
      </c>
      <c r="I31" s="61">
        <f t="shared" si="4"/>
        <v>1130.22</v>
      </c>
      <c r="J31" s="45">
        <v>12</v>
      </c>
      <c r="K31" s="42">
        <v>2018</v>
      </c>
      <c r="L31" s="42">
        <v>2022</v>
      </c>
      <c r="M31" s="42">
        <f t="shared" si="5"/>
        <v>4</v>
      </c>
      <c r="N31" s="50">
        <v>60</v>
      </c>
      <c r="O31" s="46">
        <v>0.1</v>
      </c>
      <c r="P31" s="47">
        <f t="shared" si="6"/>
        <v>1.5000000000000001E-2</v>
      </c>
      <c r="Q31" s="48">
        <v>1300</v>
      </c>
      <c r="R31" s="48">
        <f t="shared" si="7"/>
        <v>1469286</v>
      </c>
      <c r="S31" s="48">
        <f t="shared" si="0"/>
        <v>88157.16</v>
      </c>
      <c r="T31" s="48">
        <f t="shared" si="1"/>
        <v>1381128.84</v>
      </c>
      <c r="U31" s="49">
        <v>0</v>
      </c>
      <c r="V31" s="48">
        <f t="shared" si="2"/>
        <v>1381128.84</v>
      </c>
      <c r="W31" s="39">
        <f t="shared" si="8"/>
        <v>1222</v>
      </c>
    </row>
    <row r="32" spans="3:27" ht="15.75" thickBot="1" x14ac:dyDescent="0.3">
      <c r="C32" s="42">
        <v>28</v>
      </c>
      <c r="D32" s="52" t="s">
        <v>62</v>
      </c>
      <c r="E32" s="43" t="s">
        <v>26</v>
      </c>
      <c r="F32" s="44" t="s">
        <v>63</v>
      </c>
      <c r="G32" s="44" t="s">
        <v>1</v>
      </c>
      <c r="H32" s="57">
        <f>15*7</f>
        <v>105</v>
      </c>
      <c r="I32" s="61">
        <f t="shared" si="4"/>
        <v>1130.22</v>
      </c>
      <c r="J32" s="45">
        <v>12</v>
      </c>
      <c r="K32" s="42">
        <v>2018</v>
      </c>
      <c r="L32" s="42">
        <v>2022</v>
      </c>
      <c r="M32" s="42">
        <f t="shared" si="5"/>
        <v>4</v>
      </c>
      <c r="N32" s="50">
        <v>60</v>
      </c>
      <c r="O32" s="46">
        <v>0.1</v>
      </c>
      <c r="P32" s="47">
        <f t="shared" si="6"/>
        <v>1.5000000000000001E-2</v>
      </c>
      <c r="Q32" s="48">
        <v>1300</v>
      </c>
      <c r="R32" s="48">
        <f t="shared" si="7"/>
        <v>1469286</v>
      </c>
      <c r="S32" s="48">
        <f t="shared" si="0"/>
        <v>88157.16</v>
      </c>
      <c r="T32" s="48">
        <f t="shared" si="1"/>
        <v>1381128.84</v>
      </c>
      <c r="U32" s="49">
        <v>0</v>
      </c>
      <c r="V32" s="48">
        <f t="shared" si="2"/>
        <v>1381128.84</v>
      </c>
      <c r="W32" s="39">
        <f t="shared" si="8"/>
        <v>1222</v>
      </c>
    </row>
    <row r="33" spans="3:29" ht="15.75" thickBot="1" x14ac:dyDescent="0.3">
      <c r="C33" s="79" t="s">
        <v>0</v>
      </c>
      <c r="D33" s="79"/>
      <c r="E33" s="79"/>
      <c r="F33" s="79"/>
      <c r="G33" s="79"/>
      <c r="H33" s="60">
        <f>SUM(H5:H32)</f>
        <v>39873</v>
      </c>
      <c r="I33" s="62">
        <f>SUM(I5:I32)</f>
        <v>429192.97199999989</v>
      </c>
      <c r="J33" s="80"/>
      <c r="K33" s="80"/>
      <c r="L33" s="80"/>
      <c r="M33" s="80"/>
      <c r="N33" s="80"/>
      <c r="O33" s="80"/>
      <c r="P33" s="80"/>
      <c r="Q33" s="80"/>
      <c r="R33" s="54">
        <f>SUM(R5:R32)</f>
        <v>484134580.80000007</v>
      </c>
      <c r="S33" s="55"/>
      <c r="T33" s="54">
        <f>SUM(T5:T32)</f>
        <v>442666776.708</v>
      </c>
      <c r="U33" s="55"/>
      <c r="V33" s="54">
        <f>SUM(V5:V32)</f>
        <v>442666776.708</v>
      </c>
      <c r="W33" s="38"/>
    </row>
    <row r="34" spans="3:29" ht="15.75" thickBot="1" x14ac:dyDescent="0.3">
      <c r="C34" s="81" t="s">
        <v>68</v>
      </c>
      <c r="D34" s="82"/>
      <c r="E34" s="82"/>
      <c r="F34" s="82"/>
      <c r="G34" s="82"/>
      <c r="H34" s="82"/>
      <c r="I34" s="82"/>
      <c r="J34" s="82"/>
      <c r="K34" s="82"/>
      <c r="L34" s="82"/>
      <c r="M34" s="82"/>
      <c r="N34" s="82"/>
      <c r="O34" s="82"/>
      <c r="P34" s="82"/>
      <c r="Q34" s="82"/>
      <c r="R34" s="82"/>
      <c r="S34" s="82"/>
      <c r="T34" s="82"/>
      <c r="U34" s="82"/>
      <c r="V34" s="83"/>
    </row>
    <row r="35" spans="3:29" ht="15.75" thickBot="1" x14ac:dyDescent="0.3">
      <c r="C35" s="81" t="s">
        <v>69</v>
      </c>
      <c r="D35" s="82"/>
      <c r="E35" s="82"/>
      <c r="F35" s="82"/>
      <c r="G35" s="82"/>
      <c r="H35" s="82"/>
      <c r="I35" s="82"/>
      <c r="J35" s="82"/>
      <c r="K35" s="82"/>
      <c r="L35" s="82"/>
      <c r="M35" s="82"/>
      <c r="N35" s="82"/>
      <c r="O35" s="82"/>
      <c r="P35" s="82"/>
      <c r="Q35" s="82"/>
      <c r="R35" s="82"/>
      <c r="S35" s="82"/>
      <c r="T35" s="82"/>
      <c r="U35" s="82"/>
      <c r="V35" s="83"/>
    </row>
    <row r="36" spans="3:29" ht="15.75" thickBot="1" x14ac:dyDescent="0.3">
      <c r="C36" s="87" t="s">
        <v>70</v>
      </c>
      <c r="D36" s="88"/>
      <c r="E36" s="88"/>
      <c r="F36" s="88"/>
      <c r="G36" s="88"/>
      <c r="H36" s="88"/>
      <c r="I36" s="88"/>
      <c r="J36" s="88"/>
      <c r="K36" s="88"/>
      <c r="L36" s="88"/>
      <c r="M36" s="88"/>
      <c r="N36" s="88"/>
      <c r="O36" s="88"/>
      <c r="P36" s="88"/>
      <c r="Q36" s="88"/>
      <c r="R36" s="88"/>
      <c r="S36" s="88"/>
      <c r="T36" s="88"/>
      <c r="U36" s="88"/>
      <c r="V36" s="89"/>
      <c r="X36" s="86" t="s">
        <v>80</v>
      </c>
      <c r="Y36" s="86"/>
      <c r="Z36" s="86"/>
      <c r="AA36" s="86"/>
      <c r="AB36" s="86"/>
      <c r="AC36" s="86"/>
    </row>
    <row r="37" spans="3:29" ht="15.75" thickBot="1" x14ac:dyDescent="0.3">
      <c r="C37" s="81" t="s">
        <v>71</v>
      </c>
      <c r="D37" s="82"/>
      <c r="E37" s="82"/>
      <c r="F37" s="82"/>
      <c r="G37" s="82"/>
      <c r="H37" s="82"/>
      <c r="I37" s="82"/>
      <c r="J37" s="82"/>
      <c r="K37" s="82"/>
      <c r="L37" s="82"/>
      <c r="M37" s="82"/>
      <c r="N37" s="82"/>
      <c r="O37" s="82"/>
      <c r="P37" s="82"/>
      <c r="Q37" s="82"/>
      <c r="R37" s="82"/>
      <c r="S37" s="82"/>
      <c r="T37" s="82"/>
      <c r="U37" s="82"/>
      <c r="V37" s="83"/>
      <c r="X37" s="65" t="s">
        <v>73</v>
      </c>
      <c r="Y37" s="65" t="s">
        <v>43</v>
      </c>
      <c r="Z37" s="65" t="s">
        <v>74</v>
      </c>
      <c r="AA37" s="65" t="s">
        <v>75</v>
      </c>
      <c r="AB37" s="65" t="s">
        <v>77</v>
      </c>
      <c r="AC37" s="65" t="s">
        <v>78</v>
      </c>
    </row>
    <row r="38" spans="3:29" x14ac:dyDescent="0.25">
      <c r="C38" s="64"/>
      <c r="D38" s="64"/>
      <c r="E38" s="64"/>
      <c r="F38" s="64"/>
      <c r="G38" s="64"/>
      <c r="H38" s="64"/>
      <c r="I38" s="64"/>
      <c r="J38" s="64"/>
      <c r="K38" s="64"/>
      <c r="L38" s="64"/>
      <c r="M38" s="64"/>
      <c r="N38" s="64"/>
      <c r="O38" s="64"/>
      <c r="P38" s="64"/>
      <c r="Q38" s="64"/>
      <c r="R38" s="64"/>
      <c r="S38" s="64"/>
      <c r="T38" s="64"/>
      <c r="U38" s="64"/>
      <c r="V38" s="64"/>
      <c r="X38" s="2">
        <v>1</v>
      </c>
      <c r="Y38" s="63" t="s">
        <v>72</v>
      </c>
      <c r="Z38" s="92">
        <v>54476.6</v>
      </c>
      <c r="AA38" s="69">
        <v>5061.0466466615262</v>
      </c>
      <c r="AB38" s="67">
        <v>1200</v>
      </c>
      <c r="AC38" s="70">
        <v>65371920</v>
      </c>
    </row>
    <row r="39" spans="3:29" x14ac:dyDescent="0.25">
      <c r="E39" s="90" t="s">
        <v>79</v>
      </c>
      <c r="F39" s="90"/>
      <c r="G39" s="90"/>
      <c r="H39" s="91"/>
      <c r="I39" s="90"/>
      <c r="J39" s="90"/>
      <c r="K39" s="91"/>
      <c r="L39" s="91"/>
      <c r="M39" s="91"/>
      <c r="N39" s="90"/>
      <c r="X39" s="2">
        <v>2</v>
      </c>
      <c r="Y39" s="63" t="s">
        <v>64</v>
      </c>
      <c r="Z39" s="92">
        <v>374716.36800000002</v>
      </c>
      <c r="AA39" s="69">
        <v>34812.323414375831</v>
      </c>
      <c r="AB39" s="67">
        <v>600</v>
      </c>
      <c r="AC39" s="70">
        <v>224829820.80000001</v>
      </c>
    </row>
    <row r="40" spans="3:29" x14ac:dyDescent="0.25">
      <c r="E40" s="65" t="s">
        <v>73</v>
      </c>
      <c r="F40" s="65" t="s">
        <v>43</v>
      </c>
      <c r="G40" s="65" t="s">
        <v>74</v>
      </c>
      <c r="I40" s="65" t="s">
        <v>75</v>
      </c>
      <c r="J40" s="65" t="s">
        <v>77</v>
      </c>
      <c r="N40" s="65" t="s">
        <v>78</v>
      </c>
      <c r="Q40" s="66"/>
      <c r="X40" s="84" t="s">
        <v>76</v>
      </c>
      <c r="Y40" s="85"/>
      <c r="Z40" s="93">
        <v>429192.96799999999</v>
      </c>
      <c r="AA40" s="72">
        <v>39873.370061037356</v>
      </c>
      <c r="AB40" s="73">
        <v>1800</v>
      </c>
      <c r="AC40" s="74">
        <v>290201740.80000001</v>
      </c>
    </row>
    <row r="41" spans="3:29" x14ac:dyDescent="0.25">
      <c r="E41" s="2">
        <v>1</v>
      </c>
      <c r="F41" s="63" t="s">
        <v>72</v>
      </c>
      <c r="G41" s="68">
        <f>54476.6</f>
        <v>54476.6</v>
      </c>
      <c r="I41" s="69">
        <f>G41/10.7639</f>
        <v>5061.0466466615262</v>
      </c>
      <c r="J41" s="67">
        <v>1200</v>
      </c>
      <c r="N41" s="70">
        <f>J41*G41</f>
        <v>65371920</v>
      </c>
    </row>
    <row r="42" spans="3:29" x14ac:dyDescent="0.25">
      <c r="E42" s="2">
        <v>2</v>
      </c>
      <c r="F42" s="63" t="s">
        <v>64</v>
      </c>
      <c r="G42" s="68">
        <v>374716.36800000002</v>
      </c>
      <c r="I42" s="69">
        <f>G42/10.7639</f>
        <v>34812.323414375831</v>
      </c>
      <c r="J42" s="67">
        <v>600</v>
      </c>
      <c r="N42" s="70">
        <f>J42*G42</f>
        <v>224829820.80000001</v>
      </c>
    </row>
    <row r="43" spans="3:29" x14ac:dyDescent="0.25">
      <c r="E43" s="84" t="s">
        <v>76</v>
      </c>
      <c r="F43" s="85"/>
      <c r="G43" s="71">
        <f>SUBTOTAL(9,G41:G42)</f>
        <v>429192.96799999999</v>
      </c>
      <c r="I43" s="72">
        <f>SUBTOTAL(9,I41:I42)</f>
        <v>39873.370061037356</v>
      </c>
      <c r="J43" s="73">
        <f>SUBTOTAL(9,J41:J42)</f>
        <v>1800</v>
      </c>
      <c r="N43" s="74">
        <f>SUBTOTAL(9,N41:N42)</f>
        <v>290201740.80000001</v>
      </c>
    </row>
    <row r="48" spans="3:29" x14ac:dyDescent="0.25">
      <c r="T48">
        <v>10.02</v>
      </c>
      <c r="W48" s="96">
        <v>32000000</v>
      </c>
      <c r="X48" s="96">
        <v>321280000</v>
      </c>
    </row>
    <row r="49" spans="20:25" x14ac:dyDescent="0.25">
      <c r="T49" s="97">
        <f>I33</f>
        <v>429192.97199999989</v>
      </c>
      <c r="X49" s="96">
        <f>T33</f>
        <v>442666776.708</v>
      </c>
    </row>
    <row r="50" spans="20:25" x14ac:dyDescent="0.25">
      <c r="X50" s="96">
        <v>1300000</v>
      </c>
      <c r="Y50" s="97">
        <f>SUM(X49:X50)</f>
        <v>443966776.708</v>
      </c>
    </row>
    <row r="51" spans="20:25" x14ac:dyDescent="0.25">
      <c r="X51" s="98">
        <f>SUM(X48:X50)</f>
        <v>765246776.70799994</v>
      </c>
    </row>
    <row r="52" spans="20:25" x14ac:dyDescent="0.25">
      <c r="X52">
        <v>76.52</v>
      </c>
    </row>
    <row r="53" spans="20:25" x14ac:dyDescent="0.25">
      <c r="X53" s="95">
        <f>X52*0.85</f>
        <v>65.042000000000002</v>
      </c>
    </row>
    <row r="54" spans="20:25" x14ac:dyDescent="0.25">
      <c r="X54" s="95">
        <f>X52*0.75</f>
        <v>57.39</v>
      </c>
    </row>
  </sheetData>
  <autoFilter ref="C4:W42"/>
  <mergeCells count="11">
    <mergeCell ref="X40:Y40"/>
    <mergeCell ref="X36:AC36"/>
    <mergeCell ref="C36:V36"/>
    <mergeCell ref="C37:V37"/>
    <mergeCell ref="E43:F43"/>
    <mergeCell ref="E39:N39"/>
    <mergeCell ref="C3:V3"/>
    <mergeCell ref="C33:G33"/>
    <mergeCell ref="J33:Q33"/>
    <mergeCell ref="C34:V34"/>
    <mergeCell ref="C35:V3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Aqualite</vt:lpstr>
      <vt:lpstr>Building_Calculation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Mohit Agarwal</dc:creator>
  <cp:lastModifiedBy>Adil Afaque</cp:lastModifiedBy>
  <dcterms:created xsi:type="dcterms:W3CDTF">2016-02-17T05:50:56Z</dcterms:created>
  <dcterms:modified xsi:type="dcterms:W3CDTF">2022-12-20T13:37:09Z</dcterms:modified>
</cp:coreProperties>
</file>