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Files For Review\Adil Afaque\uploads\VIS(2022-23)-PL521-418-720\"/>
    </mc:Choice>
  </mc:AlternateContent>
  <bookViews>
    <workbookView showVerticalScroll="0" xWindow="0" yWindow="0" windowWidth="24000" windowHeight="9615"/>
  </bookViews>
  <sheets>
    <sheet name="Building" sheetId="1" r:id="rId1"/>
    <sheet name="Land" sheetId="2" r:id="rId2"/>
  </sheets>
  <definedNames>
    <definedName name="_xlnm.Print_Area" localSheetId="0">Building!$B$2:$T$19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E27" i="1" l="1"/>
  <c r="E26" i="1"/>
  <c r="G22" i="1" l="1"/>
  <c r="G23" i="1"/>
  <c r="G24" i="1" s="1"/>
  <c r="K20" i="2" l="1"/>
  <c r="K12" i="2"/>
  <c r="K16" i="2"/>
  <c r="K8" i="2"/>
  <c r="J20" i="2"/>
  <c r="D31" i="1" l="1"/>
  <c r="P24" i="1"/>
  <c r="P23" i="1"/>
  <c r="D22" i="1"/>
  <c r="F15" i="1"/>
  <c r="P7" i="1"/>
  <c r="P8" i="1"/>
  <c r="P9" i="1"/>
  <c r="P10" i="1"/>
  <c r="P11" i="1"/>
  <c r="P12" i="1"/>
  <c r="P13" i="1"/>
  <c r="P14" i="1"/>
  <c r="Q14" i="1" s="1"/>
  <c r="R14" i="1" s="1"/>
  <c r="T14" i="1" s="1"/>
  <c r="P6" i="1"/>
  <c r="N7" i="1"/>
  <c r="N8" i="1"/>
  <c r="N9" i="1"/>
  <c r="N10" i="1"/>
  <c r="N11" i="1"/>
  <c r="N12" i="1"/>
  <c r="N13" i="1"/>
  <c r="N14" i="1"/>
  <c r="K9" i="1"/>
  <c r="K10" i="1"/>
  <c r="K11" i="1"/>
  <c r="K12" i="1"/>
  <c r="K13" i="1"/>
  <c r="K14" i="1"/>
  <c r="K8" i="1"/>
  <c r="K7" i="1"/>
  <c r="K6" i="1"/>
  <c r="K5" i="1"/>
  <c r="F9" i="1"/>
  <c r="F14" i="1"/>
  <c r="F13" i="1"/>
  <c r="F12" i="1"/>
  <c r="F11" i="1"/>
  <c r="F10" i="1"/>
  <c r="F8" i="1"/>
  <c r="F7" i="1"/>
  <c r="F6" i="1"/>
  <c r="F5" i="1"/>
  <c r="Q12" i="1" l="1"/>
  <c r="R12" i="1" s="1"/>
  <c r="T12" i="1" s="1"/>
  <c r="Q10" i="1"/>
  <c r="R10" i="1" s="1"/>
  <c r="T10" i="1" s="1"/>
  <c r="Q8" i="1"/>
  <c r="R8" i="1" s="1"/>
  <c r="T8" i="1" s="1"/>
  <c r="Q13" i="1"/>
  <c r="R13" i="1" s="1"/>
  <c r="T13" i="1" s="1"/>
  <c r="Q11" i="1"/>
  <c r="R11" i="1" s="1"/>
  <c r="T11" i="1" s="1"/>
  <c r="Q9" i="1"/>
  <c r="R9" i="1" s="1"/>
  <c r="T9" i="1" s="1"/>
  <c r="Q7" i="1"/>
  <c r="R7" i="1" s="1"/>
  <c r="T7" i="1" s="1"/>
  <c r="N6" i="1" l="1"/>
  <c r="Q6" i="1" s="1"/>
  <c r="R6" i="1" s="1"/>
  <c r="T6" i="1" s="1"/>
  <c r="M21" i="1" l="1"/>
  <c r="K24" i="2" l="1"/>
  <c r="K30" i="2" s="1"/>
  <c r="K33" i="1" l="1"/>
  <c r="P5" i="1" l="1"/>
  <c r="P15" i="1" s="1"/>
  <c r="S23" i="1" l="1"/>
  <c r="S22" i="1"/>
  <c r="N5" i="1" l="1"/>
  <c r="Q5" i="1" l="1"/>
  <c r="R5" i="1" l="1"/>
  <c r="R15" i="1" s="1"/>
  <c r="T5" i="1" l="1"/>
  <c r="T15" i="1" l="1"/>
  <c r="D23" i="1" s="1"/>
  <c r="D24" i="1" l="1"/>
  <c r="D26" i="1" l="1"/>
  <c r="D27" i="1"/>
  <c r="L28" i="1"/>
  <c r="D32" i="1" s="1"/>
  <c r="D33" i="1" s="1"/>
</calcChain>
</file>

<file path=xl/comments1.xml><?xml version="1.0" encoding="utf-8"?>
<comments xmlns="http://schemas.openxmlformats.org/spreadsheetml/2006/main">
  <authors>
    <author>admin</author>
  </authors>
  <commentList>
    <comment ref="T3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<sst xmlns="http://schemas.openxmlformats.org/spreadsheetml/2006/main" count="97" uniqueCount="75">
  <si>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</si>
  <si>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</si>
  <si>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</si>
  <si>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</si>
  <si>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</si>
  <si>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</si>
  <si>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</si>
  <si>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</si>
  <si>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</si>
  <si>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</si>
  <si>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</si>
  <si>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</si>
  <si>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</si>
  <si>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</si>
  <si>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</si>
  <si>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</si>
  <si>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RV</t>
  </si>
  <si>
    <t>DV</t>
  </si>
  <si>
    <t>TOTAL FMV</t>
  </si>
  <si>
    <t>ROUND OFF</t>
  </si>
  <si>
    <t>LAND</t>
  </si>
  <si>
    <t>BUILDING</t>
  </si>
  <si>
    <t>Land value</t>
  </si>
  <si>
    <t>Circle Rate</t>
  </si>
  <si>
    <r>
      <t xml:space="preserve">Area
</t>
    </r>
    <r>
      <rPr>
        <b/>
        <i/>
        <sz val="10"/>
        <rFont val="Calibri"/>
        <family val="2"/>
        <scheme val="minor"/>
      </rPr>
      <t>(in sq.ft)</t>
    </r>
  </si>
  <si>
    <t>Type of Transfer</t>
  </si>
  <si>
    <t>S. No.</t>
  </si>
  <si>
    <t>Deed Dated</t>
  </si>
  <si>
    <t>Directions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</si>
  <si>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</si>
  <si>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r>
      <t xml:space="preserve">Area
</t>
    </r>
    <r>
      <rPr>
        <b/>
        <i/>
        <sz val="10"/>
        <rFont val="Calibri"/>
        <family val="2"/>
        <scheme val="minor"/>
      </rPr>
      <t>(in sq.mtr.)</t>
    </r>
  </si>
  <si>
    <t xml:space="preserve"> Ground  Floor</t>
  </si>
  <si>
    <t>First Floor</t>
  </si>
  <si>
    <t>BOUNDARY WALL</t>
  </si>
  <si>
    <t xml:space="preserve">CIRCLE RATE </t>
  </si>
  <si>
    <t>Land</t>
  </si>
  <si>
    <t>Building</t>
  </si>
  <si>
    <t>total</t>
  </si>
  <si>
    <t>BUILDING VALUATION FOR THE PROPERTY OF M/S. PROGRESSIVE BREEDING FARM|PARGANA &amp; TEHSIL: NAJIBABAD, DISTRICT: BIJNORE, UTTAR PRADESH</t>
  </si>
  <si>
    <t>RCC BUILDING</t>
  </si>
  <si>
    <t>STORAGE ROOM</t>
  </si>
  <si>
    <t>SHED-2</t>
  </si>
  <si>
    <t>LABOUR ROOM</t>
  </si>
  <si>
    <t>RCC framed beam column structure on RCC slab</t>
  </si>
  <si>
    <t>GI shed roof mounted on trusses frame structure resting on RCC columns</t>
  </si>
  <si>
    <t>Bilding Type</t>
  </si>
  <si>
    <t>SHED-1</t>
  </si>
  <si>
    <t>SHED-3</t>
  </si>
  <si>
    <t>SHED-4</t>
  </si>
  <si>
    <t>SHED-5</t>
  </si>
  <si>
    <r>
      <t xml:space="preserve">1. </t>
    </r>
    <r>
      <rPr>
        <i/>
        <sz val="10"/>
        <color theme="1"/>
        <rFont val="Calibri"/>
        <family val="2"/>
        <scheme val="minor"/>
      </rPr>
      <t>All the details pertaining to the building such as area, height etc has been taken from site survey measurement since no building plan was provided to us</t>
    </r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</si>
  <si>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structure/s that has been taken in the area statemnet belonging to M/S. PROGRESSIVE BREEDING FARM.</t>
    </r>
  </si>
  <si>
    <t>RCC</t>
  </si>
  <si>
    <t>Shed</t>
  </si>
  <si>
    <t>Depreciation</t>
  </si>
  <si>
    <t>Replacement cost</t>
  </si>
  <si>
    <t>BIFURCATION OF LAND DETAILS OF M/S. PROGRESSIVE BREEDING FARM | PARGANA &amp; TEHSIL: NAJIBABAD, DISTRICT: BIJNORE, UTTAR PRADESH</t>
  </si>
  <si>
    <t>Sale deed (No.5645 )</t>
  </si>
  <si>
    <t>20.06.2017</t>
  </si>
  <si>
    <t>Khata No.</t>
  </si>
  <si>
    <t>Land Area (in hect.)</t>
  </si>
  <si>
    <t>22.12.2017</t>
  </si>
  <si>
    <t>Sale deed (No. 11948)</t>
  </si>
  <si>
    <t>Sale deed (No.5646)</t>
  </si>
  <si>
    <t>East: Land of Forest</t>
  </si>
  <si>
    <t xml:space="preserve">West: Land of Sh. Ram Singh </t>
  </si>
  <si>
    <t>North: Land of Sh. Balram Singh</t>
  </si>
  <si>
    <t xml:space="preserve">South: Land of Purchaser </t>
  </si>
  <si>
    <t>Not mentioned in the TIR</t>
  </si>
  <si>
    <t>1. All the details are taken from the 3 TIR provided to us by the client.</t>
  </si>
  <si>
    <t>2.  Three land parcels belonging to the same owner are merged together by the owner at the site to form a single larger land parcel having a common boundary. This merged larger land parcel is treated as a single land parcel in this valuation report and the valuation is done accordingly.</t>
  </si>
  <si>
    <t>Land Area (in bigha)</t>
  </si>
  <si>
    <t>Tin shed roof mounted on trusses frame structure resting on RCC columns</t>
  </si>
  <si>
    <t>Building (after depreciation)</t>
  </si>
  <si>
    <r>
      <t>Height
(</t>
    </r>
    <r>
      <rPr>
        <b/>
        <i/>
        <sz val="10"/>
        <rFont val="Calibri"/>
        <family val="2"/>
        <scheme val="minor"/>
      </rPr>
      <t>in ft.)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</si>
</sst>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[$₹-4009]\ * #,##0_ ;_ [$₹-4009]\ * \-#,##0_ ;_ [$₹-4009]\ * &quot;-&quot;??_ ;_ @_ "/>
    <numFmt numFmtId="168" formatCode="_ [$₹-4009]\ * #,##0.00_ ;_ [$₹-4009]\ * \-#,##0.00_ ;_ [$₹-4009]\ * &quot;-&quot;??_ ;_ @_ "/>
    <numFmt numFmtId="169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FFFF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7" fontId="0" fillId="4" borderId="0" xfId="0" applyNumberFormat="1" applyFill="1"/>
    <xf numFmtId="0" fontId="11" fillId="5" borderId="0" xfId="0" applyFont="1" applyFill="1" applyAlignment="1">
      <alignment horizontal="center"/>
    </xf>
    <xf numFmtId="167" fontId="0" fillId="0" borderId="0" xfId="0" applyNumberFormat="1"/>
    <xf numFmtId="164" fontId="4" fillId="2" borderId="1" xfId="3" applyNumberFormat="1" applyFont="1" applyFill="1" applyBorder="1" applyAlignment="1">
      <alignment horizontal="center" vertical="center" wrapText="1"/>
    </xf>
    <xf numFmtId="164" fontId="0" fillId="0" borderId="0" xfId="3" applyNumberFormat="1" applyFont="1" applyAlignment="1">
      <alignment horizontal="center"/>
    </xf>
    <xf numFmtId="44" fontId="0" fillId="0" borderId="0" xfId="1" applyFont="1" applyAlignment="1">
      <alignment wrapText="1"/>
    </xf>
    <xf numFmtId="168" fontId="0" fillId="0" borderId="0" xfId="3" applyNumberFormat="1" applyFont="1"/>
    <xf numFmtId="0" fontId="2" fillId="6" borderId="0" xfId="0" applyFont="1" applyFill="1" applyAlignment="1">
      <alignment wrapText="1"/>
    </xf>
    <xf numFmtId="168" fontId="0" fillId="6" borderId="0" xfId="0" applyNumberFormat="1" applyFill="1" applyAlignment="1">
      <alignment horizontal="center" wrapText="1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43" fontId="0" fillId="0" borderId="0" xfId="3" applyFont="1"/>
    <xf numFmtId="164" fontId="0" fillId="0" borderId="0" xfId="3" applyNumberFormat="1" applyFont="1"/>
    <xf numFmtId="166" fontId="0" fillId="0" borderId="0" xfId="2" applyNumberFormat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167" fontId="0" fillId="4" borderId="1" xfId="0" applyNumberFormat="1" applyFill="1" applyBorder="1"/>
    <xf numFmtId="0" fontId="2" fillId="5" borderId="1" xfId="0" applyFont="1" applyFill="1" applyBorder="1"/>
    <xf numFmtId="167" fontId="2" fillId="4" borderId="1" xfId="0" applyNumberFormat="1" applyFont="1" applyFill="1" applyBorder="1"/>
    <xf numFmtId="166" fontId="2" fillId="4" borderId="1" xfId="1" applyNumberFormat="1" applyFont="1" applyFill="1" applyBorder="1"/>
    <xf numFmtId="164" fontId="0" fillId="0" borderId="0" xfId="3" applyNumberFormat="1" applyFont="1" applyAlignment="1"/>
    <xf numFmtId="164" fontId="0" fillId="0" borderId="1" xfId="3" applyNumberFormat="1" applyFont="1" applyBorder="1" applyAlignment="1">
      <alignment horizontal="center" vertical="center"/>
    </xf>
    <xf numFmtId="9" fontId="0" fillId="0" borderId="0" xfId="2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3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/>
    </xf>
    <xf numFmtId="43" fontId="0" fillId="0" borderId="4" xfId="0" applyNumberFormat="1" applyBorder="1" applyAlignment="1">
      <alignment horizontal="center" vertical="center"/>
    </xf>
    <xf numFmtId="43" fontId="2" fillId="0" borderId="4" xfId="0" applyNumberFormat="1" applyFont="1" applyBorder="1" applyAlignment="1">
      <alignment horizontal="center" vertical="center"/>
    </xf>
    <xf numFmtId="164" fontId="2" fillId="0" borderId="1" xfId="3" applyNumberFormat="1" applyFont="1" applyBorder="1" applyAlignment="1">
      <alignment horizontal="center" vertical="center"/>
    </xf>
    <xf numFmtId="2" fontId="0" fillId="0" borderId="0" xfId="0" applyNumberFormat="1"/>
    <xf numFmtId="0" fontId="15" fillId="0" borderId="0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69" fontId="17" fillId="0" borderId="23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3" fontId="0" fillId="0" borderId="0" xfId="3" applyFont="1" applyAlignment="1">
      <alignment wrapText="1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169" fontId="15" fillId="0" borderId="8" xfId="0" applyNumberFormat="1" applyFont="1" applyBorder="1" applyAlignment="1">
      <alignment horizontal="center" vertical="center"/>
    </xf>
    <xf numFmtId="169" fontId="15" fillId="0" borderId="1" xfId="0" applyNumberFormat="1" applyFont="1" applyBorder="1" applyAlignment="1">
      <alignment horizontal="center" vertical="center"/>
    </xf>
    <xf numFmtId="169" fontId="15" fillId="0" borderId="13" xfId="0" applyNumberFormat="1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4" fontId="15" fillId="0" borderId="13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38"/>
  <sheetViews>
    <sheetView tabSelected="1" topLeftCell="A13" zoomScale="85" zoomScaleNormal="85" zoomScaleSheetLayoutView="85" workbookViewId="0">
      <selection activeCell="E26" sqref="E26"/>
    </sheetView>
  </sheetViews>
  <sheetFormatPr defaultRowHeight="15" x14ac:dyDescent="0.25"/>
  <cols>
    <col min="2" max="2" width="5.42578125" customWidth="1"/>
    <col min="3" max="3" width="16.5703125" customWidth="1"/>
    <col min="4" max="4" width="13.42578125" style="13" customWidth="1"/>
    <col min="5" max="5" width="31.5703125" style="13" customWidth="1"/>
    <col min="6" max="6" width="11" style="13" hidden="1" customWidth="1"/>
    <col min="7" max="7" width="13.42578125" style="19" bestFit="1" customWidth="1"/>
    <col min="8" max="8" width="9.42578125" customWidth="1"/>
    <col min="9" max="9" width="12.42578125" hidden="1" customWidth="1"/>
    <col min="10" max="10" width="10.5703125" hidden="1" customWidth="1"/>
    <col min="11" max="11" width="13.140625" hidden="1" customWidth="1"/>
    <col min="12" max="12" width="14.42578125" hidden="1" customWidth="1"/>
    <col min="13" max="13" width="14.7109375" hidden="1" customWidth="1"/>
    <col min="14" max="14" width="15.85546875" hidden="1" customWidth="1"/>
    <col min="15" max="15" width="12.7109375" customWidth="1"/>
    <col min="16" max="16" width="13.28515625" customWidth="1"/>
    <col min="17" max="17" width="15.7109375" hidden="1" customWidth="1"/>
    <col min="18" max="18" width="21.42578125" hidden="1" customWidth="1"/>
    <col min="19" max="19" width="12.5703125" hidden="1" customWidth="1"/>
    <col min="20" max="20" width="18.85546875" style="14" customWidth="1"/>
    <col min="21" max="21" width="17" bestFit="1" customWidth="1"/>
    <col min="22" max="23" width="14.28515625" bestFit="1" customWidth="1"/>
  </cols>
  <sheetData>
    <row r="3" spans="2:30" ht="18.75" x14ac:dyDescent="0.25">
      <c r="B3" s="72" t="s">
        <v>38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</row>
    <row r="4" spans="2:30" s="11" customFormat="1" ht="60" x14ac:dyDescent="0.25">
      <c r="B4" s="9" t="s">
        <v>26</v>
      </c>
      <c r="C4" s="9" t="s">
        <v>45</v>
      </c>
      <c r="D4" s="10" t="s">
        <v>0</v>
      </c>
      <c r="E4" s="10" t="s">
        <v>3</v>
      </c>
      <c r="F4" s="18" t="s">
        <v>30</v>
      </c>
      <c r="G4" s="18" t="s">
        <v>24</v>
      </c>
      <c r="H4" s="10" t="s">
        <v>74</v>
      </c>
      <c r="I4" s="10" t="s">
        <v>1</v>
      </c>
      <c r="J4" s="10" t="s">
        <v>2</v>
      </c>
      <c r="K4" s="10" t="s">
        <v>12</v>
      </c>
      <c r="L4" s="10" t="s">
        <v>13</v>
      </c>
      <c r="M4" s="10" t="s">
        <v>4</v>
      </c>
      <c r="N4" s="10" t="s">
        <v>6</v>
      </c>
      <c r="O4" s="10" t="s">
        <v>14</v>
      </c>
      <c r="P4" s="10" t="s">
        <v>10</v>
      </c>
      <c r="Q4" s="10" t="s">
        <v>7</v>
      </c>
      <c r="R4" s="10" t="s">
        <v>8</v>
      </c>
      <c r="S4" s="10" t="s">
        <v>11</v>
      </c>
      <c r="T4" s="10" t="s">
        <v>9</v>
      </c>
    </row>
    <row r="5" spans="2:30" ht="30" x14ac:dyDescent="0.25">
      <c r="B5" s="2">
        <v>1</v>
      </c>
      <c r="C5" s="67" t="s">
        <v>39</v>
      </c>
      <c r="D5" s="12" t="s">
        <v>31</v>
      </c>
      <c r="E5" s="47" t="s">
        <v>43</v>
      </c>
      <c r="F5" s="49">
        <f t="shared" ref="F5:F14" si="0">G5/10.764</f>
        <v>75.439427722036413</v>
      </c>
      <c r="G5" s="45">
        <v>812.03</v>
      </c>
      <c r="H5" s="7">
        <v>10</v>
      </c>
      <c r="I5" s="2">
        <v>2018</v>
      </c>
      <c r="J5" s="2">
        <v>2022</v>
      </c>
      <c r="K5" s="2">
        <f>J5-I5</f>
        <v>4</v>
      </c>
      <c r="L5" s="2">
        <v>60</v>
      </c>
      <c r="M5" s="3">
        <v>0.05</v>
      </c>
      <c r="N5" s="5">
        <f>(1-M5)/L5</f>
        <v>1.5833333333333331E-2</v>
      </c>
      <c r="O5" s="45">
        <v>950</v>
      </c>
      <c r="P5" s="45">
        <f>O5*G5</f>
        <v>771428.5</v>
      </c>
      <c r="Q5" s="45">
        <f>P5*N5*K5</f>
        <v>48857.138333333329</v>
      </c>
      <c r="R5" s="45">
        <f t="shared" ref="R5:R14" si="1">MAX(P5-Q5,0)</f>
        <v>722571.36166666669</v>
      </c>
      <c r="S5" s="45">
        <v>0.15</v>
      </c>
      <c r="T5" s="45">
        <f t="shared" ref="T5:T14" si="2">IF(R5&gt;M5*P5,R5*(1-S5),P5*M5)</f>
        <v>614185.65741666663</v>
      </c>
      <c r="U5" s="35"/>
      <c r="V5" s="1"/>
      <c r="W5" s="1"/>
    </row>
    <row r="6" spans="2:30" ht="30" x14ac:dyDescent="0.25">
      <c r="B6" s="2">
        <v>2</v>
      </c>
      <c r="C6" s="68"/>
      <c r="D6" s="2" t="s">
        <v>32</v>
      </c>
      <c r="E6" s="12" t="s">
        <v>43</v>
      </c>
      <c r="F6" s="49">
        <f t="shared" si="0"/>
        <v>25.999628390932742</v>
      </c>
      <c r="G6" s="45">
        <v>279.86</v>
      </c>
      <c r="H6" s="7">
        <v>10</v>
      </c>
      <c r="I6" s="2">
        <v>2018</v>
      </c>
      <c r="J6" s="2">
        <v>2022</v>
      </c>
      <c r="K6" s="2">
        <f>J6-I6</f>
        <v>4</v>
      </c>
      <c r="L6" s="2">
        <v>60</v>
      </c>
      <c r="M6" s="3">
        <v>0.05</v>
      </c>
      <c r="N6" s="5">
        <f t="shared" ref="N6:N14" si="3">(1-M6)/L6</f>
        <v>1.5833333333333331E-2</v>
      </c>
      <c r="O6" s="45">
        <v>950</v>
      </c>
      <c r="P6" s="45">
        <f>O6*G6</f>
        <v>265867</v>
      </c>
      <c r="Q6" s="45">
        <f t="shared" ref="Q6:Q14" si="4">P6*N6*K6</f>
        <v>16838.243333333332</v>
      </c>
      <c r="R6" s="45">
        <f t="shared" si="1"/>
        <v>249028.75666666665</v>
      </c>
      <c r="S6" s="45">
        <v>0.15</v>
      </c>
      <c r="T6" s="45">
        <f t="shared" si="2"/>
        <v>211674.44316666666</v>
      </c>
      <c r="U6" s="35"/>
      <c r="V6" s="1"/>
      <c r="W6" s="1"/>
    </row>
    <row r="7" spans="2:30" ht="30" x14ac:dyDescent="0.25">
      <c r="B7" s="2">
        <v>3</v>
      </c>
      <c r="C7" s="67" t="s">
        <v>40</v>
      </c>
      <c r="D7" s="12" t="s">
        <v>31</v>
      </c>
      <c r="E7" s="12" t="s">
        <v>43</v>
      </c>
      <c r="F7" s="50">
        <f t="shared" si="0"/>
        <v>3.7199646971386104</v>
      </c>
      <c r="G7" s="45">
        <v>40.041699999999999</v>
      </c>
      <c r="H7" s="7">
        <v>10</v>
      </c>
      <c r="I7" s="2">
        <v>2018</v>
      </c>
      <c r="J7" s="2">
        <v>2022</v>
      </c>
      <c r="K7" s="2">
        <f>J7-I7</f>
        <v>4</v>
      </c>
      <c r="L7" s="2">
        <v>60</v>
      </c>
      <c r="M7" s="3">
        <v>0.05</v>
      </c>
      <c r="N7" s="5">
        <f t="shared" si="3"/>
        <v>1.5833333333333331E-2</v>
      </c>
      <c r="O7" s="45">
        <v>950</v>
      </c>
      <c r="P7" s="45">
        <f t="shared" ref="P7:P14" si="5">O7*G7</f>
        <v>38039.614999999998</v>
      </c>
      <c r="Q7" s="45">
        <f t="shared" si="4"/>
        <v>2409.1756166666664</v>
      </c>
      <c r="R7" s="45">
        <f t="shared" si="1"/>
        <v>35630.439383333331</v>
      </c>
      <c r="S7" s="45">
        <v>0.15</v>
      </c>
      <c r="T7" s="45">
        <f t="shared" si="2"/>
        <v>30285.87347583333</v>
      </c>
      <c r="U7" s="35"/>
      <c r="V7" s="1"/>
      <c r="W7" s="1"/>
    </row>
    <row r="8" spans="2:30" ht="30" x14ac:dyDescent="0.25">
      <c r="B8" s="2">
        <v>4</v>
      </c>
      <c r="C8" s="68"/>
      <c r="D8" s="2" t="s">
        <v>32</v>
      </c>
      <c r="E8" s="12" t="s">
        <v>43</v>
      </c>
      <c r="F8" s="50">
        <f t="shared" si="0"/>
        <v>3.7198067632850242</v>
      </c>
      <c r="G8" s="45">
        <v>40.04</v>
      </c>
      <c r="H8" s="7">
        <v>10</v>
      </c>
      <c r="I8" s="2">
        <v>2018</v>
      </c>
      <c r="J8" s="2">
        <v>2022</v>
      </c>
      <c r="K8" s="2">
        <f>J8-I8</f>
        <v>4</v>
      </c>
      <c r="L8" s="2">
        <v>60</v>
      </c>
      <c r="M8" s="3">
        <v>0.05</v>
      </c>
      <c r="N8" s="5">
        <f t="shared" si="3"/>
        <v>1.5833333333333331E-2</v>
      </c>
      <c r="O8" s="45">
        <v>950</v>
      </c>
      <c r="P8" s="45">
        <f t="shared" si="5"/>
        <v>38038</v>
      </c>
      <c r="Q8" s="45">
        <f t="shared" si="4"/>
        <v>2409.0733333333328</v>
      </c>
      <c r="R8" s="45">
        <f t="shared" si="1"/>
        <v>35628.926666666666</v>
      </c>
      <c r="S8" s="45">
        <v>0.15</v>
      </c>
      <c r="T8" s="45">
        <f t="shared" si="2"/>
        <v>30284.587666666666</v>
      </c>
      <c r="U8" s="35"/>
      <c r="V8" s="1"/>
      <c r="W8" s="1"/>
    </row>
    <row r="9" spans="2:30" ht="45" x14ac:dyDescent="0.25">
      <c r="B9" s="2">
        <v>5</v>
      </c>
      <c r="C9" s="38" t="s">
        <v>46</v>
      </c>
      <c r="D9" s="12" t="s">
        <v>31</v>
      </c>
      <c r="E9" s="12" t="s">
        <v>72</v>
      </c>
      <c r="F9" s="50">
        <f t="shared" si="0"/>
        <v>304.72686733556299</v>
      </c>
      <c r="G9" s="45">
        <v>3280.08</v>
      </c>
      <c r="H9" s="7">
        <v>15</v>
      </c>
      <c r="I9" s="2">
        <v>2018</v>
      </c>
      <c r="J9" s="2">
        <v>2022</v>
      </c>
      <c r="K9" s="2">
        <f t="shared" ref="K9:K14" si="6">J9-I9</f>
        <v>4</v>
      </c>
      <c r="L9" s="2">
        <v>45</v>
      </c>
      <c r="M9" s="3">
        <v>0.05</v>
      </c>
      <c r="N9" s="5">
        <f t="shared" si="3"/>
        <v>2.1111111111111112E-2</v>
      </c>
      <c r="O9" s="45">
        <v>650</v>
      </c>
      <c r="P9" s="45">
        <f t="shared" si="5"/>
        <v>2132052</v>
      </c>
      <c r="Q9" s="45">
        <f t="shared" si="4"/>
        <v>180039.94666666668</v>
      </c>
      <c r="R9" s="45">
        <f t="shared" si="1"/>
        <v>1952012.0533333332</v>
      </c>
      <c r="S9" s="45">
        <v>0.15</v>
      </c>
      <c r="T9" s="45">
        <f t="shared" si="2"/>
        <v>1659210.2453333333</v>
      </c>
      <c r="U9" s="35"/>
      <c r="V9" s="1"/>
      <c r="W9" s="1"/>
    </row>
    <row r="10" spans="2:30" ht="45" x14ac:dyDescent="0.25">
      <c r="B10" s="2">
        <v>6</v>
      </c>
      <c r="C10" s="38" t="s">
        <v>41</v>
      </c>
      <c r="D10" s="12" t="s">
        <v>31</v>
      </c>
      <c r="E10" s="48" t="s">
        <v>72</v>
      </c>
      <c r="F10" s="51">
        <f t="shared" si="0"/>
        <v>890.75157933853586</v>
      </c>
      <c r="G10" s="45">
        <v>9588.0499999999993</v>
      </c>
      <c r="H10" s="7">
        <v>15</v>
      </c>
      <c r="I10" s="2">
        <v>2018</v>
      </c>
      <c r="J10" s="2">
        <v>2022</v>
      </c>
      <c r="K10" s="2">
        <f t="shared" si="6"/>
        <v>4</v>
      </c>
      <c r="L10" s="2">
        <v>45</v>
      </c>
      <c r="M10" s="3">
        <v>0.05</v>
      </c>
      <c r="N10" s="5">
        <f t="shared" si="3"/>
        <v>2.1111111111111112E-2</v>
      </c>
      <c r="O10" s="45">
        <v>650</v>
      </c>
      <c r="P10" s="45">
        <f t="shared" si="5"/>
        <v>6232232.4999999991</v>
      </c>
      <c r="Q10" s="45">
        <f t="shared" si="4"/>
        <v>526277.41111111105</v>
      </c>
      <c r="R10" s="45">
        <f t="shared" si="1"/>
        <v>5705955.0888888882</v>
      </c>
      <c r="S10" s="45">
        <v>0.15</v>
      </c>
      <c r="T10" s="45">
        <f t="shared" si="2"/>
        <v>4850061.8255555546</v>
      </c>
      <c r="U10" s="35"/>
      <c r="V10" s="1"/>
      <c r="W10" s="1"/>
    </row>
    <row r="11" spans="2:30" ht="45" x14ac:dyDescent="0.25">
      <c r="B11" s="2">
        <v>7</v>
      </c>
      <c r="C11" s="38" t="s">
        <v>47</v>
      </c>
      <c r="D11" s="12" t="s">
        <v>31</v>
      </c>
      <c r="E11" s="48" t="s">
        <v>72</v>
      </c>
      <c r="F11" s="51">
        <f t="shared" si="0"/>
        <v>1427.9078409513193</v>
      </c>
      <c r="G11" s="45">
        <v>15370</v>
      </c>
      <c r="H11" s="7">
        <v>15</v>
      </c>
      <c r="I11" s="2">
        <v>2018</v>
      </c>
      <c r="J11" s="2">
        <v>2022</v>
      </c>
      <c r="K11" s="2">
        <f t="shared" si="6"/>
        <v>4</v>
      </c>
      <c r="L11" s="2">
        <v>45</v>
      </c>
      <c r="M11" s="3">
        <v>0.05</v>
      </c>
      <c r="N11" s="5">
        <f t="shared" si="3"/>
        <v>2.1111111111111112E-2</v>
      </c>
      <c r="O11" s="45">
        <v>650</v>
      </c>
      <c r="P11" s="45">
        <f t="shared" si="5"/>
        <v>9990500</v>
      </c>
      <c r="Q11" s="45">
        <f t="shared" si="4"/>
        <v>843642.22222222225</v>
      </c>
      <c r="R11" s="45">
        <f t="shared" si="1"/>
        <v>9146857.777777778</v>
      </c>
      <c r="S11" s="45">
        <v>0.15</v>
      </c>
      <c r="T11" s="45">
        <f t="shared" si="2"/>
        <v>7774829.111111111</v>
      </c>
      <c r="U11" s="35"/>
      <c r="V11" s="1"/>
      <c r="W11" s="1"/>
      <c r="AD11">
        <v>3.3</v>
      </c>
    </row>
    <row r="12" spans="2:30" ht="45" x14ac:dyDescent="0.25">
      <c r="B12" s="2">
        <v>8</v>
      </c>
      <c r="C12" s="38" t="s">
        <v>48</v>
      </c>
      <c r="D12" s="12" t="s">
        <v>31</v>
      </c>
      <c r="E12" s="48" t="s">
        <v>44</v>
      </c>
      <c r="F12" s="51">
        <f t="shared" si="0"/>
        <v>1427.9078409513193</v>
      </c>
      <c r="G12" s="45">
        <v>15370</v>
      </c>
      <c r="H12" s="7">
        <v>15</v>
      </c>
      <c r="I12" s="2">
        <v>2020</v>
      </c>
      <c r="J12" s="2">
        <v>2022</v>
      </c>
      <c r="K12" s="2">
        <f t="shared" si="6"/>
        <v>2</v>
      </c>
      <c r="L12" s="2">
        <v>45</v>
      </c>
      <c r="M12" s="3">
        <v>0.05</v>
      </c>
      <c r="N12" s="5">
        <f t="shared" si="3"/>
        <v>2.1111111111111112E-2</v>
      </c>
      <c r="O12" s="45">
        <v>650</v>
      </c>
      <c r="P12" s="45">
        <f t="shared" si="5"/>
        <v>9990500</v>
      </c>
      <c r="Q12" s="45">
        <f t="shared" si="4"/>
        <v>421821.11111111112</v>
      </c>
      <c r="R12" s="45">
        <f t="shared" si="1"/>
        <v>9568678.8888888881</v>
      </c>
      <c r="S12" s="45">
        <v>0</v>
      </c>
      <c r="T12" s="45">
        <f t="shared" si="2"/>
        <v>9568678.8888888881</v>
      </c>
      <c r="U12" s="35"/>
      <c r="V12" s="1"/>
      <c r="W12" s="1"/>
    </row>
    <row r="13" spans="2:30" ht="45" x14ac:dyDescent="0.25">
      <c r="B13" s="2">
        <v>9</v>
      </c>
      <c r="C13" s="12" t="s">
        <v>49</v>
      </c>
      <c r="D13" s="12" t="s">
        <v>31</v>
      </c>
      <c r="E13" s="48" t="s">
        <v>72</v>
      </c>
      <c r="F13" s="51">
        <f t="shared" si="0"/>
        <v>334.4481605351171</v>
      </c>
      <c r="G13" s="45">
        <v>3600</v>
      </c>
      <c r="H13" s="7">
        <v>12</v>
      </c>
      <c r="I13" s="2">
        <v>2020</v>
      </c>
      <c r="J13" s="2">
        <v>2022</v>
      </c>
      <c r="K13" s="2">
        <f t="shared" si="6"/>
        <v>2</v>
      </c>
      <c r="L13" s="2">
        <v>45</v>
      </c>
      <c r="M13" s="3">
        <v>0.05</v>
      </c>
      <c r="N13" s="5">
        <f t="shared" si="3"/>
        <v>2.1111111111111112E-2</v>
      </c>
      <c r="O13" s="45">
        <v>650</v>
      </c>
      <c r="P13" s="45">
        <f t="shared" si="5"/>
        <v>2340000</v>
      </c>
      <c r="Q13" s="45">
        <f t="shared" si="4"/>
        <v>98800</v>
      </c>
      <c r="R13" s="45">
        <f t="shared" si="1"/>
        <v>2241200</v>
      </c>
      <c r="S13" s="45">
        <v>0</v>
      </c>
      <c r="T13" s="45">
        <f t="shared" si="2"/>
        <v>2241200</v>
      </c>
      <c r="U13" s="35"/>
      <c r="V13" s="1"/>
      <c r="W13" s="1"/>
    </row>
    <row r="14" spans="2:30" ht="45" x14ac:dyDescent="0.25">
      <c r="B14" s="2">
        <v>10</v>
      </c>
      <c r="C14" s="12" t="s">
        <v>42</v>
      </c>
      <c r="D14" s="12" t="s">
        <v>31</v>
      </c>
      <c r="E14" s="48" t="s">
        <v>72</v>
      </c>
      <c r="F14" s="51">
        <f t="shared" si="0"/>
        <v>79.152731326644371</v>
      </c>
      <c r="G14" s="45">
        <v>852</v>
      </c>
      <c r="H14" s="7">
        <v>8</v>
      </c>
      <c r="I14" s="2">
        <v>2020</v>
      </c>
      <c r="J14" s="2">
        <v>2022</v>
      </c>
      <c r="K14" s="2">
        <f t="shared" si="6"/>
        <v>2</v>
      </c>
      <c r="L14" s="2">
        <v>45</v>
      </c>
      <c r="M14" s="3">
        <v>0.05</v>
      </c>
      <c r="N14" s="5">
        <f t="shared" si="3"/>
        <v>2.1111111111111112E-2</v>
      </c>
      <c r="O14" s="45">
        <v>500</v>
      </c>
      <c r="P14" s="45">
        <f t="shared" si="5"/>
        <v>426000</v>
      </c>
      <c r="Q14" s="45">
        <f t="shared" si="4"/>
        <v>17986.666666666668</v>
      </c>
      <c r="R14" s="45">
        <f t="shared" si="1"/>
        <v>408013.33333333331</v>
      </c>
      <c r="S14" s="45">
        <v>0.15</v>
      </c>
      <c r="T14" s="45">
        <f t="shared" si="2"/>
        <v>346811.33333333331</v>
      </c>
      <c r="U14" s="35"/>
      <c r="V14" s="1"/>
      <c r="W14" s="1"/>
    </row>
    <row r="15" spans="2:30" x14ac:dyDescent="0.25">
      <c r="B15" s="60" t="s">
        <v>5</v>
      </c>
      <c r="C15" s="61"/>
      <c r="D15" s="61"/>
      <c r="E15" s="62"/>
      <c r="F15" s="52">
        <f>SUM(F5:F14)</f>
        <v>4573.7738480118924</v>
      </c>
      <c r="G15" s="53">
        <f>SUM(G5:G14)</f>
        <v>49232.101699999999</v>
      </c>
      <c r="H15" s="63"/>
      <c r="I15" s="63"/>
      <c r="J15" s="63"/>
      <c r="K15" s="63"/>
      <c r="L15" s="63"/>
      <c r="M15" s="63"/>
      <c r="N15" s="63"/>
      <c r="O15" s="63"/>
      <c r="P15" s="53">
        <f>SUM(P5:P14)</f>
        <v>32224657.614999998</v>
      </c>
      <c r="Q15" s="53"/>
      <c r="R15" s="53">
        <f>SUM(R5:R14)</f>
        <v>30065576.626605552</v>
      </c>
      <c r="S15" s="53"/>
      <c r="T15" s="53">
        <f>SUM(T5:T14)</f>
        <v>27327221.965948053</v>
      </c>
      <c r="U15" s="8"/>
    </row>
    <row r="16" spans="2:30" x14ac:dyDescent="0.25">
      <c r="B16" s="66" t="s">
        <v>15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8"/>
    </row>
    <row r="17" spans="2:23" ht="15" customHeight="1" x14ac:dyDescent="0.25">
      <c r="B17" s="64" t="s">
        <v>50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8"/>
    </row>
    <row r="18" spans="2:23" ht="15" customHeight="1" x14ac:dyDescent="0.25">
      <c r="B18" s="64" t="s">
        <v>51</v>
      </c>
      <c r="C18" s="64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8"/>
    </row>
    <row r="19" spans="2:23" x14ac:dyDescent="0.25">
      <c r="B19" s="65" t="s">
        <v>29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8"/>
    </row>
    <row r="20" spans="2:23" x14ac:dyDescent="0.25">
      <c r="U20" s="8"/>
    </row>
    <row r="21" spans="2:23" ht="30" x14ac:dyDescent="0.25">
      <c r="C21" s="39" t="s">
        <v>33</v>
      </c>
      <c r="D21" s="40"/>
      <c r="F21" s="70" t="s">
        <v>34</v>
      </c>
      <c r="G21" s="71"/>
      <c r="K21">
        <v>2000</v>
      </c>
      <c r="M21">
        <f>L21*K21</f>
        <v>0</v>
      </c>
      <c r="O21" s="36"/>
      <c r="U21" s="8"/>
    </row>
    <row r="22" spans="2:23" ht="15.75" x14ac:dyDescent="0.25">
      <c r="C22" s="41" t="s">
        <v>20</v>
      </c>
      <c r="D22" s="40">
        <f>14.156*400000</f>
        <v>5662400</v>
      </c>
      <c r="F22" s="41" t="s">
        <v>35</v>
      </c>
      <c r="G22" s="40">
        <f>5000000*1.0653</f>
        <v>5326500</v>
      </c>
      <c r="J22" s="35"/>
      <c r="R22" s="16" t="s">
        <v>22</v>
      </c>
      <c r="S22" s="15">
        <f>D22</f>
        <v>5662400</v>
      </c>
      <c r="U22" s="8"/>
    </row>
    <row r="23" spans="2:23" ht="15.75" x14ac:dyDescent="0.25">
      <c r="C23" s="41" t="s">
        <v>21</v>
      </c>
      <c r="D23" s="40">
        <f>T15</f>
        <v>27327221.965948053</v>
      </c>
      <c r="F23" s="41" t="s">
        <v>36</v>
      </c>
      <c r="G23" s="40">
        <f>P23*T23+P24*T24</f>
        <v>36916827.266815312</v>
      </c>
      <c r="O23" s="1" t="s">
        <v>52</v>
      </c>
      <c r="P23" s="54">
        <f>SUM(F5:F8)</f>
        <v>108.87882757339278</v>
      </c>
      <c r="R23" s="16" t="s">
        <v>23</v>
      </c>
      <c r="S23" s="15">
        <f>5583.61*20000</f>
        <v>111672200</v>
      </c>
      <c r="T23" s="14">
        <v>11000</v>
      </c>
      <c r="U23" s="8"/>
    </row>
    <row r="24" spans="2:23" x14ac:dyDescent="0.25">
      <c r="C24" s="39" t="s">
        <v>18</v>
      </c>
      <c r="D24" s="42">
        <f>SUM(D21:D23)</f>
        <v>32989621.965948053</v>
      </c>
      <c r="F24" s="41" t="s">
        <v>37</v>
      </c>
      <c r="G24" s="40">
        <f>G23+G22</f>
        <v>42243327.266815312</v>
      </c>
      <c r="O24" t="s">
        <v>53</v>
      </c>
      <c r="P24" s="24">
        <f>SUM(F9:F14)</f>
        <v>4464.8950204384992</v>
      </c>
      <c r="T24" s="14">
        <v>8000</v>
      </c>
      <c r="U24" s="8"/>
    </row>
    <row r="25" spans="2:23" x14ac:dyDescent="0.25">
      <c r="C25" s="39" t="s">
        <v>19</v>
      </c>
      <c r="D25" s="42">
        <v>33000000</v>
      </c>
      <c r="E25" s="69">
        <v>3.3</v>
      </c>
      <c r="H25" s="13"/>
      <c r="I25" s="21"/>
      <c r="J25" s="46"/>
      <c r="O25" s="17"/>
      <c r="Q25" s="22"/>
      <c r="R25" s="13"/>
      <c r="S25" s="13"/>
      <c r="T25" s="23"/>
      <c r="U25" s="20"/>
    </row>
    <row r="26" spans="2:23" x14ac:dyDescent="0.25">
      <c r="C26" s="41" t="s">
        <v>16</v>
      </c>
      <c r="D26" s="43">
        <f>0.85*D25</f>
        <v>28050000</v>
      </c>
      <c r="E26" s="69">
        <f>E25*0.85</f>
        <v>2.8049999999999997</v>
      </c>
      <c r="G26" s="37"/>
      <c r="U26" s="8"/>
    </row>
    <row r="27" spans="2:23" x14ac:dyDescent="0.25">
      <c r="C27" s="41" t="s">
        <v>17</v>
      </c>
      <c r="D27" s="43">
        <f>0.75*D25</f>
        <v>24750000</v>
      </c>
      <c r="E27" s="69">
        <f>E25*0.75</f>
        <v>2.4749999999999996</v>
      </c>
      <c r="J27" t="s">
        <v>55</v>
      </c>
      <c r="L27" s="36">
        <v>36916827.266815312</v>
      </c>
      <c r="U27" s="8"/>
    </row>
    <row r="28" spans="2:23" x14ac:dyDescent="0.25">
      <c r="J28" t="s">
        <v>54</v>
      </c>
      <c r="L28" s="36">
        <f>(G23*4*9)/(60*10)</f>
        <v>2215009.6360089188</v>
      </c>
      <c r="U28" s="8"/>
    </row>
    <row r="29" spans="2:23" x14ac:dyDescent="0.25">
      <c r="G29" s="44"/>
      <c r="U29" s="8"/>
    </row>
    <row r="30" spans="2:23" x14ac:dyDescent="0.25">
      <c r="C30" s="70" t="s">
        <v>34</v>
      </c>
      <c r="D30" s="71"/>
    </row>
    <row r="31" spans="2:23" x14ac:dyDescent="0.25">
      <c r="C31" s="41" t="s">
        <v>35</v>
      </c>
      <c r="D31" s="40">
        <f>5000000*1.0653</f>
        <v>5326500</v>
      </c>
      <c r="E31" s="28"/>
      <c r="F31" s="28"/>
      <c r="U31" s="6"/>
      <c r="V31" s="4"/>
      <c r="W31" s="4"/>
    </row>
    <row r="32" spans="2:23" ht="30" x14ac:dyDescent="0.25">
      <c r="C32" s="39" t="s">
        <v>73</v>
      </c>
      <c r="D32" s="40">
        <f>L27-L28</f>
        <v>34701817.630806394</v>
      </c>
      <c r="E32"/>
      <c r="F32"/>
      <c r="H32" s="25"/>
      <c r="P32" s="24"/>
    </row>
    <row r="33" spans="3:11" x14ac:dyDescent="0.25">
      <c r="C33" s="41" t="s">
        <v>37</v>
      </c>
      <c r="D33" s="40">
        <f>D32+D31</f>
        <v>40028317.630806394</v>
      </c>
      <c r="E33"/>
      <c r="F33"/>
      <c r="J33" s="1"/>
      <c r="K33" s="24">
        <f>J33/10.7642</f>
        <v>0</v>
      </c>
    </row>
    <row r="34" spans="3:11" x14ac:dyDescent="0.25">
      <c r="D34" s="26"/>
      <c r="E34"/>
      <c r="F34"/>
    </row>
    <row r="35" spans="3:11" x14ac:dyDescent="0.25">
      <c r="D35" s="26"/>
      <c r="E35" s="25"/>
      <c r="F35" s="25"/>
    </row>
    <row r="36" spans="3:11" x14ac:dyDescent="0.25">
      <c r="D36" s="26"/>
      <c r="E36" s="25"/>
      <c r="F36" s="25"/>
    </row>
    <row r="37" spans="3:11" x14ac:dyDescent="0.25">
      <c r="D37" s="27"/>
      <c r="E37" s="25"/>
      <c r="F37" s="25"/>
    </row>
    <row r="38" spans="3:11" x14ac:dyDescent="0.25">
      <c r="E38" s="25"/>
      <c r="F38" s="25"/>
    </row>
  </sheetData>
  <mergeCells count="3">
    <mergeCell ref="C30:D30"/>
    <mergeCell ref="F21:G21"/>
    <mergeCell ref="B3:T3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5:T34"/>
  <sheetViews>
    <sheetView zoomScaleNormal="100" workbookViewId="0">
      <selection activeCell="L8" sqref="L8:L11"/>
    </sheetView>
  </sheetViews>
  <sheetFormatPr defaultRowHeight="15" x14ac:dyDescent="0.25"/>
  <cols>
    <col min="4" max="4" width="26.7109375" bestFit="1" customWidth="1"/>
    <col min="5" max="5" width="5.5703125" bestFit="1" customWidth="1"/>
    <col min="6" max="6" width="10.5703125" bestFit="1" customWidth="1"/>
    <col min="7" max="7" width="12" customWidth="1"/>
    <col min="8" max="8" width="7.42578125" bestFit="1" customWidth="1"/>
    <col min="9" max="9" width="7.42578125" customWidth="1"/>
    <col min="10" max="10" width="10" bestFit="1" customWidth="1"/>
    <col min="11" max="11" width="10" customWidth="1"/>
    <col min="12" max="12" width="32.28515625" customWidth="1"/>
  </cols>
  <sheetData>
    <row r="5" spans="5:12" ht="15.75" thickBot="1" x14ac:dyDescent="0.3"/>
    <row r="6" spans="5:12" ht="31.5" customHeight="1" thickBot="1" x14ac:dyDescent="0.3">
      <c r="E6" s="84" t="s">
        <v>56</v>
      </c>
      <c r="F6" s="85"/>
      <c r="G6" s="85"/>
      <c r="H6" s="85"/>
      <c r="I6" s="85"/>
      <c r="J6" s="85"/>
      <c r="K6" s="85"/>
      <c r="L6" s="86"/>
    </row>
    <row r="7" spans="5:12" ht="26.25" thickBot="1" x14ac:dyDescent="0.3">
      <c r="E7" s="32" t="s">
        <v>26</v>
      </c>
      <c r="F7" s="33" t="s">
        <v>27</v>
      </c>
      <c r="G7" s="33" t="s">
        <v>25</v>
      </c>
      <c r="H7" s="33" t="s">
        <v>59</v>
      </c>
      <c r="I7" s="33" t="s">
        <v>59</v>
      </c>
      <c r="J7" s="33" t="s">
        <v>60</v>
      </c>
      <c r="K7" s="33" t="s">
        <v>71</v>
      </c>
      <c r="L7" s="34" t="s">
        <v>28</v>
      </c>
    </row>
    <row r="8" spans="5:12" x14ac:dyDescent="0.25">
      <c r="E8" s="98">
        <v>1</v>
      </c>
      <c r="F8" s="78" t="s">
        <v>58</v>
      </c>
      <c r="G8" s="87" t="s">
        <v>57</v>
      </c>
      <c r="H8" s="81">
        <v>9</v>
      </c>
      <c r="I8" s="91">
        <v>12</v>
      </c>
      <c r="J8" s="81">
        <v>0.501</v>
      </c>
      <c r="K8" s="75">
        <f>J8*13.288</f>
        <v>6.6572880000000003</v>
      </c>
      <c r="L8" s="94" t="s">
        <v>68</v>
      </c>
    </row>
    <row r="9" spans="5:12" x14ac:dyDescent="0.25">
      <c r="E9" s="99"/>
      <c r="F9" s="79"/>
      <c r="G9" s="88"/>
      <c r="H9" s="82"/>
      <c r="I9" s="92"/>
      <c r="J9" s="82"/>
      <c r="K9" s="76"/>
      <c r="L9" s="95"/>
    </row>
    <row r="10" spans="5:12" x14ac:dyDescent="0.25">
      <c r="E10" s="99"/>
      <c r="F10" s="79"/>
      <c r="G10" s="88"/>
      <c r="H10" s="82"/>
      <c r="I10" s="92"/>
      <c r="J10" s="82"/>
      <c r="K10" s="76"/>
      <c r="L10" s="95"/>
    </row>
    <row r="11" spans="5:12" ht="15.75" thickBot="1" x14ac:dyDescent="0.3">
      <c r="E11" s="100"/>
      <c r="F11" s="80"/>
      <c r="G11" s="89"/>
      <c r="H11" s="83"/>
      <c r="I11" s="92"/>
      <c r="J11" s="83"/>
      <c r="K11" s="77"/>
      <c r="L11" s="96"/>
    </row>
    <row r="12" spans="5:12" x14ac:dyDescent="0.25">
      <c r="E12" s="98">
        <v>2</v>
      </c>
      <c r="F12" s="78" t="s">
        <v>61</v>
      </c>
      <c r="G12" s="87" t="s">
        <v>62</v>
      </c>
      <c r="H12" s="81">
        <v>5</v>
      </c>
      <c r="I12" s="92"/>
      <c r="J12" s="81">
        <v>0.09</v>
      </c>
      <c r="K12" s="75">
        <f t="shared" ref="K12" si="0">J12*13.288</f>
        <v>1.1959199999999999</v>
      </c>
      <c r="L12" s="29" t="s">
        <v>64</v>
      </c>
    </row>
    <row r="13" spans="5:12" x14ac:dyDescent="0.25">
      <c r="E13" s="99"/>
      <c r="F13" s="79"/>
      <c r="G13" s="88"/>
      <c r="H13" s="82"/>
      <c r="I13" s="92"/>
      <c r="J13" s="82"/>
      <c r="K13" s="76"/>
      <c r="L13" s="30" t="s">
        <v>65</v>
      </c>
    </row>
    <row r="14" spans="5:12" x14ac:dyDescent="0.25">
      <c r="E14" s="99"/>
      <c r="F14" s="79"/>
      <c r="G14" s="88"/>
      <c r="H14" s="82"/>
      <c r="I14" s="92"/>
      <c r="J14" s="82"/>
      <c r="K14" s="76"/>
      <c r="L14" s="30" t="s">
        <v>66</v>
      </c>
    </row>
    <row r="15" spans="5:12" ht="15.75" thickBot="1" x14ac:dyDescent="0.3">
      <c r="E15" s="100"/>
      <c r="F15" s="80"/>
      <c r="G15" s="89"/>
      <c r="H15" s="83"/>
      <c r="I15" s="92"/>
      <c r="J15" s="83"/>
      <c r="K15" s="77"/>
      <c r="L15" s="31" t="s">
        <v>67</v>
      </c>
    </row>
    <row r="16" spans="5:12" x14ac:dyDescent="0.25">
      <c r="E16" s="98">
        <v>3</v>
      </c>
      <c r="F16" s="78">
        <v>20.062017000000001</v>
      </c>
      <c r="G16" s="87" t="s">
        <v>63</v>
      </c>
      <c r="H16" s="81">
        <v>12</v>
      </c>
      <c r="I16" s="92"/>
      <c r="J16" s="81">
        <v>0.4743</v>
      </c>
      <c r="K16" s="75">
        <f t="shared" ref="K16" si="1">J16*13.288</f>
        <v>6.3024984000000002</v>
      </c>
      <c r="L16" s="94" t="s">
        <v>68</v>
      </c>
    </row>
    <row r="17" spans="5:12" x14ac:dyDescent="0.25">
      <c r="E17" s="99"/>
      <c r="F17" s="79"/>
      <c r="G17" s="88"/>
      <c r="H17" s="82"/>
      <c r="I17" s="92"/>
      <c r="J17" s="82"/>
      <c r="K17" s="76"/>
      <c r="L17" s="95"/>
    </row>
    <row r="18" spans="5:12" x14ac:dyDescent="0.25">
      <c r="E18" s="99"/>
      <c r="F18" s="79"/>
      <c r="G18" s="88"/>
      <c r="H18" s="82"/>
      <c r="I18" s="92"/>
      <c r="J18" s="82"/>
      <c r="K18" s="76"/>
      <c r="L18" s="95"/>
    </row>
    <row r="19" spans="5:12" ht="15.75" thickBot="1" x14ac:dyDescent="0.3">
      <c r="E19" s="100"/>
      <c r="F19" s="80"/>
      <c r="G19" s="89"/>
      <c r="H19" s="83"/>
      <c r="I19" s="93"/>
      <c r="J19" s="83"/>
      <c r="K19" s="77"/>
      <c r="L19" s="96"/>
    </row>
    <row r="20" spans="5:12" ht="15.75" x14ac:dyDescent="0.25">
      <c r="E20" s="101" t="s">
        <v>5</v>
      </c>
      <c r="F20" s="102"/>
      <c r="G20" s="102"/>
      <c r="H20" s="103"/>
      <c r="I20" s="56"/>
      <c r="J20" s="57">
        <f>SUM(J8:J19)</f>
        <v>1.0652999999999999</v>
      </c>
      <c r="K20" s="58">
        <f>SUM(K8:K19)</f>
        <v>14.1557064</v>
      </c>
      <c r="L20" s="59"/>
    </row>
    <row r="21" spans="5:12" x14ac:dyDescent="0.25">
      <c r="E21" s="97" t="s">
        <v>69</v>
      </c>
      <c r="F21" s="97"/>
      <c r="G21" s="97"/>
      <c r="H21" s="97"/>
      <c r="I21" s="97"/>
      <c r="J21" s="97"/>
      <c r="K21" s="97"/>
      <c r="L21" s="97"/>
    </row>
    <row r="22" spans="5:12" ht="39" customHeight="1" x14ac:dyDescent="0.25">
      <c r="E22" s="90" t="s">
        <v>70</v>
      </c>
      <c r="F22" s="90"/>
      <c r="G22" s="90"/>
      <c r="H22" s="90"/>
      <c r="I22" s="90"/>
      <c r="J22" s="90"/>
      <c r="K22" s="90"/>
      <c r="L22" s="90"/>
    </row>
    <row r="23" spans="5:12" x14ac:dyDescent="0.25">
      <c r="J23" s="1"/>
      <c r="K23" s="36"/>
    </row>
    <row r="24" spans="5:12" x14ac:dyDescent="0.25">
      <c r="G24" s="55"/>
      <c r="K24" s="36">
        <f>K23*K20</f>
        <v>0</v>
      </c>
    </row>
    <row r="25" spans="5:12" x14ac:dyDescent="0.25">
      <c r="G25" s="55"/>
    </row>
    <row r="26" spans="5:12" x14ac:dyDescent="0.25">
      <c r="G26" s="55"/>
    </row>
    <row r="27" spans="5:12" x14ac:dyDescent="0.25">
      <c r="G27" s="55"/>
    </row>
    <row r="30" spans="5:12" x14ac:dyDescent="0.25">
      <c r="K30" s="36">
        <f>K24</f>
        <v>0</v>
      </c>
    </row>
    <row r="31" spans="5:12" x14ac:dyDescent="0.25">
      <c r="K31" s="36"/>
    </row>
    <row r="32" spans="5:12" x14ac:dyDescent="0.25">
      <c r="K32" s="36"/>
    </row>
    <row r="33" spans="11:20" x14ac:dyDescent="0.25">
      <c r="K33" s="24"/>
    </row>
    <row r="34" spans="11:20" x14ac:dyDescent="0.25"/>
  </sheetData>
  <mergeCells count="25">
    <mergeCell ref="E22:L22"/>
    <mergeCell ref="K12:K15"/>
    <mergeCell ref="I8:I19"/>
    <mergeCell ref="L8:L11"/>
    <mergeCell ref="L16:L19"/>
    <mergeCell ref="E21:L21"/>
    <mergeCell ref="E12:E15"/>
    <mergeCell ref="F12:F15"/>
    <mergeCell ref="G12:G15"/>
    <mergeCell ref="H12:H15"/>
    <mergeCell ref="E8:E11"/>
    <mergeCell ref="E16:E19"/>
    <mergeCell ref="E20:H20"/>
    <mergeCell ref="G16:G19"/>
    <mergeCell ref="H16:H19"/>
    <mergeCell ref="J16:J19"/>
    <mergeCell ref="K16:K19"/>
    <mergeCell ref="F16:F19"/>
    <mergeCell ref="J12:J15"/>
    <mergeCell ref="E6:L6"/>
    <mergeCell ref="K8:K11"/>
    <mergeCell ref="J8:J11"/>
    <mergeCell ref="H8:H11"/>
    <mergeCell ref="G8:G11"/>
    <mergeCell ref="F8:F1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Building</vt:lpstr>
      <vt:lpstr>Land</vt:lpstr>
      <vt:lpstr>Building!Print_Area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Adil Afaque</cp:lastModifiedBy>
  <cp:lastPrinted>2022-01-07T08:12:53Z</cp:lastPrinted>
  <dcterms:created xsi:type="dcterms:W3CDTF">2021-09-16T11:33:35Z</dcterms:created>
  <dcterms:modified xsi:type="dcterms:W3CDTF">2022-12-26T15:09:23Z</dcterms:modified>
</cp:coreProperties>
</file>