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3F4C8331-2CB5-4B28-A9C2-AB2816FE6F6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heet1" sheetId="1" r:id="rId1"/>
    <sheet name="Building-E-12" sheetId="2" r:id="rId2"/>
    <sheet name="Sheet3" sheetId="3" r:id="rId3"/>
    <sheet name="Building-E-13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2" l="1"/>
  <c r="D14" i="2"/>
  <c r="D10" i="2"/>
  <c r="C5" i="2"/>
  <c r="D3" i="2"/>
  <c r="C21" i="2" s="1"/>
  <c r="L10" i="2"/>
  <c r="E19" i="4"/>
  <c r="E5" i="4"/>
  <c r="I13" i="4"/>
  <c r="I12" i="4"/>
  <c r="G8" i="4"/>
  <c r="I8" i="4" s="1"/>
  <c r="H9" i="4"/>
  <c r="P25" i="4"/>
  <c r="P24" i="4"/>
  <c r="P23" i="4"/>
  <c r="P22" i="4"/>
  <c r="P21" i="4"/>
  <c r="D21" i="2" l="1"/>
  <c r="D5" i="2"/>
  <c r="D6" i="2" s="1"/>
  <c r="H2" i="4"/>
  <c r="C26" i="4"/>
  <c r="L17" i="4"/>
  <c r="G25" i="4" l="1"/>
  <c r="J25" i="4" s="1"/>
  <c r="G24" i="4"/>
  <c r="J24" i="4" s="1"/>
  <c r="G23" i="4"/>
  <c r="J23" i="4" s="1"/>
  <c r="G22" i="4"/>
  <c r="J22" i="4" s="1"/>
  <c r="G21" i="4"/>
  <c r="J21" i="4" s="1"/>
  <c r="P26" i="4" l="1"/>
  <c r="H3" i="4" s="1"/>
  <c r="H4" i="4" s="1"/>
  <c r="D15" i="4"/>
  <c r="C11" i="4"/>
  <c r="C9" i="4"/>
  <c r="C8" i="4"/>
  <c r="C7" i="4"/>
  <c r="C6" i="4"/>
  <c r="D5" i="4"/>
  <c r="D3" i="4"/>
  <c r="L24" i="4" l="1"/>
  <c r="L25" i="4"/>
  <c r="M25" i="4" s="1"/>
  <c r="N25" i="4" s="1"/>
  <c r="L21" i="4"/>
  <c r="L22" i="4"/>
  <c r="M22" i="4" s="1"/>
  <c r="N22" i="4" s="1"/>
  <c r="L23" i="4"/>
  <c r="C10" i="4"/>
  <c r="C12" i="4" s="1"/>
  <c r="C13" i="4" s="1"/>
  <c r="C4" i="4"/>
  <c r="D4" i="4" s="1"/>
  <c r="D10" i="4"/>
  <c r="I11" i="2"/>
  <c r="I10" i="2"/>
  <c r="I9" i="2"/>
  <c r="I6" i="2"/>
  <c r="J6" i="2" s="1"/>
  <c r="C22" i="2"/>
  <c r="Q21" i="2"/>
  <c r="N21" i="2"/>
  <c r="I21" i="2"/>
  <c r="L21" i="2" s="1"/>
  <c r="I7" i="2" l="1"/>
  <c r="I12" i="2"/>
  <c r="R21" i="2"/>
  <c r="R22" i="2" s="1"/>
  <c r="L26" i="4"/>
  <c r="M21" i="4"/>
  <c r="M23" i="4"/>
  <c r="N23" i="4" s="1"/>
  <c r="M24" i="4"/>
  <c r="N24" i="4" s="1"/>
  <c r="D22" i="2"/>
  <c r="O21" i="2"/>
  <c r="N22" i="2"/>
  <c r="N21" i="4" l="1"/>
  <c r="N26" i="4" s="1"/>
  <c r="I9" i="4" s="1"/>
  <c r="I10" i="4" s="1"/>
  <c r="M26" i="4"/>
  <c r="P21" i="2"/>
  <c r="P22" i="2" s="1"/>
  <c r="D11" i="2" s="1"/>
  <c r="D12" i="2" s="1"/>
  <c r="O22" i="2"/>
</calcChain>
</file>

<file path=xl/sharedStrings.xml><?xml version="1.0" encoding="utf-8"?>
<sst xmlns="http://schemas.openxmlformats.org/spreadsheetml/2006/main" count="91" uniqueCount="57">
  <si>
    <t>Market Rate</t>
  </si>
  <si>
    <t>Covered Area
(in sq. ft.)</t>
  </si>
  <si>
    <t>Covered Area
(in sq. mtr.)</t>
  </si>
  <si>
    <t>Height
(in ft.)</t>
  </si>
  <si>
    <t>Type of Construction</t>
  </si>
  <si>
    <t>Year of Construction</t>
  </si>
  <si>
    <t>Condition</t>
  </si>
  <si>
    <t>Total Life Consumed 
(in years)</t>
  </si>
  <si>
    <t>Total Economical Life
(in years)</t>
  </si>
  <si>
    <t>Salvage Value</t>
  </si>
  <si>
    <t>Depreciation Rate</t>
  </si>
  <si>
    <r>
      <t xml:space="preserve">Rate Adopted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</si>
  <si>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</si>
  <si>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</si>
  <si>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Fair Market Value
(INR)</t>
  </si>
  <si>
    <t>Government Rate
(n Rs. Per sq. mtr.)</t>
  </si>
  <si>
    <t>Government Value</t>
  </si>
  <si>
    <t>Lower Ground Floor</t>
  </si>
  <si>
    <t>RCC framed pillars beam column structure on RCC Slab</t>
  </si>
  <si>
    <t>Good</t>
  </si>
  <si>
    <t>Building Name</t>
  </si>
  <si>
    <t>Total Plot Area</t>
  </si>
  <si>
    <t>Permissible FAR</t>
  </si>
  <si>
    <t>Proposed Covered Area GF</t>
  </si>
  <si>
    <t>Proposed Covered Area FF</t>
  </si>
  <si>
    <t>Proposed Covered Area SF</t>
  </si>
  <si>
    <t>Proposed Total FAR Achieved</t>
  </si>
  <si>
    <t>Proposed Covered Area on Guard Room &amp; Electrical Room</t>
  </si>
  <si>
    <t>Proposed Covered Area on Mumty &amp; Machine Room</t>
  </si>
  <si>
    <t>Proposed Covered Area on all floors</t>
  </si>
  <si>
    <t>Permissible Covered Area on GF</t>
  </si>
  <si>
    <t>Proposed Covered Area on GF</t>
  </si>
  <si>
    <t>Particular</t>
  </si>
  <si>
    <t>Unit (in sq. mtr)</t>
  </si>
  <si>
    <t>in %</t>
  </si>
  <si>
    <t>e-13</t>
  </si>
  <si>
    <t>e-12</t>
  </si>
  <si>
    <t>GF Office Area</t>
  </si>
  <si>
    <t>GF Production Area</t>
  </si>
  <si>
    <t>FF Office Area</t>
  </si>
  <si>
    <t>FF Packing Area</t>
  </si>
  <si>
    <t>SF Shed Area</t>
  </si>
  <si>
    <t>SF RCC Area</t>
  </si>
  <si>
    <t>Site Measurement</t>
  </si>
  <si>
    <t>Area
(in sq. mtr.)</t>
  </si>
  <si>
    <t>Floor/ Specs.</t>
  </si>
  <si>
    <t>S. No.</t>
  </si>
  <si>
    <t>Total</t>
  </si>
  <si>
    <t>RCC framed pillars beam column structure with GI Shed</t>
  </si>
  <si>
    <t>Floor</t>
  </si>
  <si>
    <t>Govt. Value</t>
  </si>
  <si>
    <t>Land</t>
  </si>
  <si>
    <t>Building</t>
  </si>
  <si>
    <t>Government Value
(INR)</t>
  </si>
  <si>
    <t>FMV</t>
  </si>
  <si>
    <t>LAND</t>
  </si>
  <si>
    <t xml:space="preserve">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</si>
</sst>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9" fontId="0" fillId="0" borderId="1" xfId="2" applyFon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43" fontId="0" fillId="0" borderId="1" xfId="1" applyFont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6" fontId="0" fillId="0" borderId="1" xfId="2" applyNumberFormat="1" applyFont="1" applyBorder="1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43" fontId="3" fillId="4" borderId="1" xfId="1" applyFont="1" applyFill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1" xfId="0" applyNumberForma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NumberFormat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4"/>
  <sheetViews>
    <sheetView tabSelected="1" topLeftCell="C7" workbookViewId="0">
      <selection activeCell="K15" sqref="K15"/>
    </sheetView>
  </sheetViews>
  <sheetFormatPr defaultRowHeight="15" x14ac:dyDescent="0.25"/>
  <cols>
    <col min="1" max="1" width="9.140625" style="2"/>
    <col min="2" max="2" width="33.5703125" style="1" customWidth="1"/>
    <col min="3" max="4" width="14" style="2" customWidth="1"/>
    <col min="5" max="5" width="6.85546875" style="2" customWidth="1"/>
    <col min="6" max="6" width="27.28515625" style="2" customWidth="1"/>
    <col min="7" max="7" width="9.140625" style="2" customWidth="1"/>
    <col min="8" max="8" width="18.28515625" style="2" bestFit="1" customWidth="1"/>
    <col min="9" max="9" width="11.28515625" style="2" bestFit="1" customWidth="1"/>
    <col min="10" max="10" width="14.7109375" style="2" customWidth="1"/>
    <col min="11" max="11" width="15.28515625" style="2" customWidth="1"/>
    <col min="12" max="12" width="14.140625" style="2" customWidth="1"/>
    <col min="13" max="13" width="12" style="2" customWidth="1"/>
    <col min="14" max="14" width="13.5703125" style="2" customWidth="1"/>
    <col min="15" max="15" width="12.85546875" style="2" hidden="1" customWidth="1"/>
    <col min="16" max="16" width="12.28515625" style="2" customWidth="1"/>
    <col min="17" max="17" width="14.5703125" style="2" customWidth="1"/>
    <col min="18" max="18" width="13.85546875" style="2" customWidth="1"/>
    <col min="19" max="16384" width="9.140625" style="2"/>
  </cols>
  <sheetData>
    <row r="1" spans="2:12" x14ac:dyDescent="0.25">
      <c r="B1" s="2"/>
      <c r="C1" s="2" t="s">
        <v>16</v>
      </c>
    </row>
    <row r="2" spans="2:12" x14ac:dyDescent="0.25">
      <c r="B2" s="2"/>
      <c r="C2" s="2" t="s">
        <v>51</v>
      </c>
      <c r="D2" s="2" t="s">
        <v>52</v>
      </c>
      <c r="F2" s="2" t="s">
        <v>35</v>
      </c>
      <c r="G2" s="2">
        <v>1590</v>
      </c>
    </row>
    <row r="3" spans="2:12" x14ac:dyDescent="0.25">
      <c r="B3" s="2"/>
      <c r="C3" s="2">
        <v>2129</v>
      </c>
      <c r="D3" s="31">
        <f>'Building-E-13'!C5</f>
        <v>1490.3</v>
      </c>
      <c r="F3" s="2" t="s">
        <v>36</v>
      </c>
      <c r="G3" s="2">
        <v>1325</v>
      </c>
    </row>
    <row r="4" spans="2:12" x14ac:dyDescent="0.25">
      <c r="B4" s="2"/>
      <c r="C4" s="2">
        <v>5200</v>
      </c>
      <c r="D4" s="2">
        <v>12000</v>
      </c>
      <c r="H4" s="2" t="s">
        <v>43</v>
      </c>
    </row>
    <row r="5" spans="2:12" ht="30" x14ac:dyDescent="0.25">
      <c r="C5" s="35">
        <f>C4*C3</f>
        <v>11070800</v>
      </c>
      <c r="D5" s="35">
        <f>D3*D4</f>
        <v>17883600</v>
      </c>
      <c r="G5" s="27" t="s">
        <v>46</v>
      </c>
      <c r="H5" s="27" t="s">
        <v>45</v>
      </c>
      <c r="I5" s="28" t="s">
        <v>44</v>
      </c>
    </row>
    <row r="6" spans="2:12" x14ac:dyDescent="0.25">
      <c r="B6" s="2"/>
      <c r="D6" s="37">
        <f>SUM(C5:D5)</f>
        <v>28954400</v>
      </c>
      <c r="G6" s="11">
        <v>1</v>
      </c>
      <c r="H6" s="9" t="s">
        <v>37</v>
      </c>
      <c r="I6" s="10">
        <f>18*6.5</f>
        <v>117</v>
      </c>
      <c r="J6" s="31">
        <f>I6+I8</f>
        <v>1893</v>
      </c>
    </row>
    <row r="7" spans="2:12" x14ac:dyDescent="0.25">
      <c r="B7" s="2"/>
      <c r="G7" s="11">
        <v>2</v>
      </c>
      <c r="H7" s="9" t="s">
        <v>39</v>
      </c>
      <c r="I7" s="10">
        <f>I6</f>
        <v>117</v>
      </c>
    </row>
    <row r="8" spans="2:12" x14ac:dyDescent="0.25">
      <c r="B8" s="2"/>
      <c r="G8" s="11">
        <v>3</v>
      </c>
      <c r="H8" s="9" t="s">
        <v>38</v>
      </c>
      <c r="I8" s="10">
        <v>1776</v>
      </c>
      <c r="L8" s="2">
        <v>2023</v>
      </c>
    </row>
    <row r="9" spans="2:12" x14ac:dyDescent="0.25">
      <c r="B9" s="2"/>
      <c r="C9" s="2" t="s">
        <v>54</v>
      </c>
      <c r="G9" s="11">
        <v>4</v>
      </c>
      <c r="H9" s="9" t="s">
        <v>40</v>
      </c>
      <c r="I9" s="10">
        <f>(26*21.4)+(40*18)+(25*8)-(11*8)</f>
        <v>1388.4</v>
      </c>
      <c r="L9" s="2">
        <v>2009</v>
      </c>
    </row>
    <row r="10" spans="2:12" x14ac:dyDescent="0.25">
      <c r="B10" s="2"/>
      <c r="C10" s="2" t="s">
        <v>55</v>
      </c>
      <c r="D10" s="35">
        <f>'Building-E-13'!I8</f>
        <v>29791522.799999997</v>
      </c>
      <c r="G10" s="11">
        <v>5</v>
      </c>
      <c r="H10" s="9" t="s">
        <v>41</v>
      </c>
      <c r="I10" s="10">
        <f>(26*21.4)+(40*18)-(11*8)</f>
        <v>1188.4000000000001</v>
      </c>
      <c r="L10" s="2">
        <f>L8-L9</f>
        <v>14</v>
      </c>
    </row>
    <row r="11" spans="2:12" x14ac:dyDescent="0.25">
      <c r="B11" s="2"/>
      <c r="C11" s="2" t="s">
        <v>56</v>
      </c>
      <c r="D11" s="35">
        <f>P22</f>
        <v>17479985.031599998</v>
      </c>
      <c r="G11" s="11">
        <v>6</v>
      </c>
      <c r="H11" s="9" t="s">
        <v>42</v>
      </c>
      <c r="I11" s="10">
        <f>8*25</f>
        <v>200</v>
      </c>
    </row>
    <row r="12" spans="2:12" x14ac:dyDescent="0.25">
      <c r="B12" s="2"/>
      <c r="D12" s="41">
        <f>SUM(D10:D11)</f>
        <v>47271507.831599995</v>
      </c>
      <c r="G12" s="29"/>
      <c r="H12" s="29" t="s">
        <v>47</v>
      </c>
      <c r="I12" s="30">
        <f>SUM(I6:I11)</f>
        <v>4786.8</v>
      </c>
    </row>
    <row r="13" spans="2:12" x14ac:dyDescent="0.25">
      <c r="B13" s="2"/>
      <c r="D13" s="2">
        <v>4.7300000000000004</v>
      </c>
      <c r="I13" s="1"/>
    </row>
    <row r="14" spans="2:12" x14ac:dyDescent="0.25">
      <c r="B14" s="2"/>
      <c r="D14" s="1">
        <f>D13*0.9</f>
        <v>4.2570000000000006</v>
      </c>
    </row>
    <row r="15" spans="2:12" x14ac:dyDescent="0.25">
      <c r="B15" s="2"/>
      <c r="D15" s="1">
        <f>D13*0.8</f>
        <v>3.7840000000000007</v>
      </c>
    </row>
    <row r="16" spans="2:12" x14ac:dyDescent="0.25">
      <c r="C16" s="1"/>
    </row>
    <row r="17" spans="2:18" x14ac:dyDescent="0.25">
      <c r="B17" s="1" t="s">
        <v>0</v>
      </c>
      <c r="C17" s="1"/>
    </row>
    <row r="18" spans="2:18" s="4" customFormat="1" x14ac:dyDescent="0.25">
      <c r="B18" s="3"/>
    </row>
    <row r="19" spans="2:18" x14ac:dyDescent="0.25">
      <c r="I19" s="2">
        <v>2023</v>
      </c>
    </row>
    <row r="20" spans="2:18" ht="60" x14ac:dyDescent="0.25">
      <c r="B20" s="5" t="s">
        <v>20</v>
      </c>
      <c r="C20" s="6" t="s">
        <v>1</v>
      </c>
      <c r="D20" s="6" t="s">
        <v>2</v>
      </c>
      <c r="E20" s="7" t="s">
        <v>3</v>
      </c>
      <c r="F20" s="5" t="s">
        <v>4</v>
      </c>
      <c r="G20" s="7" t="s">
        <v>5</v>
      </c>
      <c r="H20" s="5" t="s">
        <v>6</v>
      </c>
      <c r="I20" s="8" t="s">
        <v>7</v>
      </c>
      <c r="J20" s="8" t="s">
        <v>8</v>
      </c>
      <c r="K20" s="8" t="s">
        <v>9</v>
      </c>
      <c r="L20" s="8" t="s">
        <v>10</v>
      </c>
      <c r="M20" s="8" t="s">
        <v>11</v>
      </c>
      <c r="N20" s="8" t="s">
        <v>12</v>
      </c>
      <c r="O20" s="8" t="s">
        <v>13</v>
      </c>
      <c r="P20" s="8" t="s">
        <v>14</v>
      </c>
      <c r="Q20" s="8" t="s">
        <v>15</v>
      </c>
      <c r="R20" s="8" t="s">
        <v>16</v>
      </c>
    </row>
    <row r="21" spans="2:18" ht="30" x14ac:dyDescent="0.25">
      <c r="B21" s="9" t="s">
        <v>17</v>
      </c>
      <c r="C21" s="17">
        <f>D3*10.764</f>
        <v>16041.589199999999</v>
      </c>
      <c r="D21" s="10">
        <f>D3</f>
        <v>1490.3</v>
      </c>
      <c r="E21" s="11">
        <v>11</v>
      </c>
      <c r="F21" s="12" t="s">
        <v>18</v>
      </c>
      <c r="G21" s="11">
        <v>2009</v>
      </c>
      <c r="H21" s="9" t="s">
        <v>19</v>
      </c>
      <c r="I21" s="13">
        <f>$I$19-G21</f>
        <v>14</v>
      </c>
      <c r="J21" s="13">
        <v>60</v>
      </c>
      <c r="K21" s="14">
        <v>0.05</v>
      </c>
      <c r="L21" s="15">
        <f>((1-K21)/J21)*I21</f>
        <v>0.22166666666666662</v>
      </c>
      <c r="M21" s="16">
        <v>1400</v>
      </c>
      <c r="N21" s="16">
        <f>M21*C21</f>
        <v>22458224.879999999</v>
      </c>
      <c r="O21" s="13">
        <f>N21*L21</f>
        <v>4978239.8483999986</v>
      </c>
      <c r="P21" s="13">
        <f>N21-O21</f>
        <v>17479985.031599998</v>
      </c>
      <c r="Q21" s="17">
        <f>12000*0.762</f>
        <v>9144</v>
      </c>
      <c r="R21" s="13">
        <f>Q21*D21</f>
        <v>13627303.199999999</v>
      </c>
    </row>
    <row r="22" spans="2:18" x14ac:dyDescent="0.25">
      <c r="B22" s="19"/>
      <c r="C22" s="32">
        <f>SUM(C21:C21)</f>
        <v>16041.589199999999</v>
      </c>
      <c r="D22" s="20">
        <f>SUM(D21:D21)</f>
        <v>1490.3</v>
      </c>
      <c r="E22" s="19"/>
      <c r="F22" s="19"/>
      <c r="G22" s="19"/>
      <c r="H22" s="19"/>
      <c r="I22" s="19"/>
      <c r="J22" s="19"/>
      <c r="K22" s="19"/>
      <c r="L22" s="19"/>
      <c r="M22" s="19"/>
      <c r="N22" s="21">
        <f>SUM(N21:N21)</f>
        <v>22458224.879999999</v>
      </c>
      <c r="O22" s="21">
        <f>SUM(O21:O21)</f>
        <v>4978239.8483999986</v>
      </c>
      <c r="P22" s="21">
        <f>SUM(P21:P21)</f>
        <v>17479985.031599998</v>
      </c>
      <c r="Q22" s="21"/>
      <c r="R22" s="21">
        <f>SUM(R21:R21)</f>
        <v>13627303.199999999</v>
      </c>
    </row>
    <row r="24" spans="2:18" x14ac:dyDescent="0.25">
      <c r="D24" s="2">
        <v>10.7639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4" sqref="D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6"/>
  <sheetViews>
    <sheetView topLeftCell="B1" workbookViewId="0">
      <selection activeCell="P25" sqref="P25"/>
    </sheetView>
  </sheetViews>
  <sheetFormatPr defaultRowHeight="15" x14ac:dyDescent="0.25"/>
  <cols>
    <col min="1" max="1" width="9.140625" style="2"/>
    <col min="2" max="2" width="29.140625" style="1" customWidth="1"/>
    <col min="3" max="3" width="14" style="2" customWidth="1"/>
    <col min="4" max="4" width="29.5703125" style="2" customWidth="1"/>
    <col min="5" max="5" width="12.28515625" style="2" customWidth="1"/>
    <col min="6" max="6" width="9.7109375" style="2" customWidth="1"/>
    <col min="7" max="7" width="15" style="2" customWidth="1"/>
    <col min="8" max="8" width="14.42578125" style="2" customWidth="1"/>
    <col min="9" max="9" width="14.28515625" style="2" customWidth="1"/>
    <col min="10" max="10" width="12.85546875" style="2" customWidth="1"/>
    <col min="11" max="11" width="13.7109375" style="2" bestFit="1" customWidth="1"/>
    <col min="12" max="12" width="12.7109375" style="2" bestFit="1" customWidth="1"/>
    <col min="13" max="13" width="12.85546875" style="2" customWidth="1"/>
    <col min="14" max="14" width="12.28515625" style="2" bestFit="1" customWidth="1"/>
    <col min="15" max="15" width="17.42578125" style="2" bestFit="1" customWidth="1"/>
    <col min="16" max="16" width="12" style="2" customWidth="1"/>
    <col min="17" max="17" width="13.5703125" style="2" customWidth="1"/>
    <col min="18" max="18" width="12.85546875" style="2" customWidth="1"/>
    <col min="19" max="19" width="12.28515625" style="2" customWidth="1"/>
    <col min="20" max="20" width="18.28515625" style="2" customWidth="1"/>
    <col min="21" max="21" width="13.85546875" style="2" customWidth="1"/>
    <col min="22" max="16384" width="9.140625" style="2"/>
  </cols>
  <sheetData>
    <row r="1" spans="2:12" x14ac:dyDescent="0.25">
      <c r="B1" s="26" t="s">
        <v>32</v>
      </c>
      <c r="C1" s="27" t="s">
        <v>33</v>
      </c>
      <c r="D1" s="27" t="s">
        <v>34</v>
      </c>
      <c r="F1" s="9"/>
      <c r="G1" s="40" t="s">
        <v>50</v>
      </c>
      <c r="H1" s="9"/>
    </row>
    <row r="2" spans="2:12" x14ac:dyDescent="0.25">
      <c r="B2" s="18" t="s">
        <v>21</v>
      </c>
      <c r="C2" s="18">
        <v>2129</v>
      </c>
      <c r="D2" s="12"/>
      <c r="F2" s="9" t="s">
        <v>51</v>
      </c>
      <c r="G2" s="17">
        <v>5200</v>
      </c>
      <c r="H2" s="13">
        <f>G2*C2</f>
        <v>11070800</v>
      </c>
    </row>
    <row r="3" spans="2:12" ht="30" x14ac:dyDescent="0.25">
      <c r="B3" s="18" t="s">
        <v>30</v>
      </c>
      <c r="C3" s="18">
        <v>1171.5</v>
      </c>
      <c r="D3" s="22">
        <f>C3/C2</f>
        <v>0.55025833724753404</v>
      </c>
      <c r="F3" s="9" t="s">
        <v>52</v>
      </c>
      <c r="G3" s="9"/>
      <c r="H3" s="38">
        <f>P26</f>
        <v>18315620.279999997</v>
      </c>
    </row>
    <row r="4" spans="2:12" x14ac:dyDescent="0.25">
      <c r="B4" s="25" t="s">
        <v>31</v>
      </c>
      <c r="C4" s="25">
        <f>C6+C9</f>
        <v>1020.1032</v>
      </c>
      <c r="D4" s="24">
        <f>C4/C2</f>
        <v>0.47914664161578208</v>
      </c>
      <c r="F4" s="9"/>
      <c r="G4" s="9"/>
      <c r="H4" s="39">
        <f>SUM(H2:H3)</f>
        <v>29386420.279999997</v>
      </c>
      <c r="L4" s="2">
        <v>2023</v>
      </c>
    </row>
    <row r="5" spans="2:12" x14ac:dyDescent="0.25">
      <c r="B5" s="18" t="s">
        <v>22</v>
      </c>
      <c r="C5" s="18">
        <v>1490.3</v>
      </c>
      <c r="D5" s="23">
        <f>C5/C2</f>
        <v>0.7</v>
      </c>
      <c r="E5" s="36">
        <f>C5*10.764</f>
        <v>16041.589199999999</v>
      </c>
    </row>
    <row r="6" spans="2:12" x14ac:dyDescent="0.25">
      <c r="B6" s="18" t="s">
        <v>23</v>
      </c>
      <c r="C6" s="18">
        <f>18*56</f>
        <v>1008</v>
      </c>
      <c r="D6" s="24"/>
    </row>
    <row r="7" spans="2:12" x14ac:dyDescent="0.25">
      <c r="B7" s="18" t="s">
        <v>24</v>
      </c>
      <c r="C7" s="18">
        <f>18*15.373</f>
        <v>276.714</v>
      </c>
      <c r="D7" s="24"/>
    </row>
    <row r="8" spans="2:12" x14ac:dyDescent="0.25">
      <c r="B8" s="18" t="s">
        <v>25</v>
      </c>
      <c r="C8" s="18">
        <f>18*10.372</f>
        <v>186.696</v>
      </c>
      <c r="D8" s="24"/>
      <c r="G8" s="36">
        <f>C2*10.764</f>
        <v>22916.555999999997</v>
      </c>
      <c r="H8" s="35">
        <v>1300</v>
      </c>
      <c r="I8" s="36">
        <f>H8*G8</f>
        <v>29791522.799999997</v>
      </c>
    </row>
    <row r="9" spans="2:12" ht="30" x14ac:dyDescent="0.25">
      <c r="B9" s="18" t="s">
        <v>27</v>
      </c>
      <c r="C9" s="18">
        <f>(2.46*2.46)*2</f>
        <v>12.103199999999999</v>
      </c>
      <c r="D9" s="24"/>
      <c r="H9" s="35">
        <f>H8*10.764</f>
        <v>13993.199999999999</v>
      </c>
      <c r="I9" s="33">
        <f>N26</f>
        <v>20098464.820960499</v>
      </c>
    </row>
    <row r="10" spans="2:12" x14ac:dyDescent="0.25">
      <c r="B10" s="25" t="s">
        <v>26</v>
      </c>
      <c r="C10" s="25">
        <f>SUM(C6:C9)</f>
        <v>1483.5131999999999</v>
      </c>
      <c r="D10" s="23">
        <f>C10/C2</f>
        <v>0.69681221230624701</v>
      </c>
      <c r="I10" s="37">
        <f>SUM(I8:I9)</f>
        <v>49889987.620960496</v>
      </c>
    </row>
    <row r="11" spans="2:12" ht="30" x14ac:dyDescent="0.25">
      <c r="B11" s="18" t="s">
        <v>28</v>
      </c>
      <c r="C11" s="18">
        <f>4.749*9.01</f>
        <v>42.788489999999996</v>
      </c>
      <c r="D11" s="12"/>
      <c r="I11" s="1">
        <v>5</v>
      </c>
    </row>
    <row r="12" spans="2:12" ht="30" x14ac:dyDescent="0.25">
      <c r="B12" s="25" t="s">
        <v>29</v>
      </c>
      <c r="C12" s="25">
        <f>SUM(C10:C11)</f>
        <v>1526.3016899999998</v>
      </c>
      <c r="D12" s="9"/>
      <c r="I12" s="1">
        <f>I11*0.9</f>
        <v>4.5</v>
      </c>
    </row>
    <row r="13" spans="2:12" x14ac:dyDescent="0.25">
      <c r="C13" s="1">
        <f>C12*10.764</f>
        <v>16429.111391159997</v>
      </c>
      <c r="I13" s="1">
        <f>I11*0.8</f>
        <v>4</v>
      </c>
      <c r="L13" s="1"/>
    </row>
    <row r="14" spans="2:12" x14ac:dyDescent="0.25">
      <c r="C14" s="1"/>
    </row>
    <row r="15" spans="2:12" x14ac:dyDescent="0.25">
      <c r="B15" s="2" t="s">
        <v>35</v>
      </c>
      <c r="C15" s="2">
        <v>1590</v>
      </c>
      <c r="D15" s="2">
        <f>71*30</f>
        <v>2130</v>
      </c>
    </row>
    <row r="16" spans="2:12" x14ac:dyDescent="0.25">
      <c r="B16" s="2" t="s">
        <v>36</v>
      </c>
      <c r="C16" s="2">
        <v>1325</v>
      </c>
    </row>
    <row r="17" spans="1:21" x14ac:dyDescent="0.25">
      <c r="B17" s="1" t="s">
        <v>0</v>
      </c>
      <c r="C17" s="1"/>
      <c r="K17" s="2">
        <v>182978</v>
      </c>
      <c r="L17" s="1">
        <f>K17/4047</f>
        <v>45.213244378552012</v>
      </c>
    </row>
    <row r="18" spans="1:21" s="4" customFormat="1" x14ac:dyDescent="0.25">
      <c r="B18" s="3"/>
    </row>
    <row r="19" spans="1:21" x14ac:dyDescent="0.25">
      <c r="E19" s="31">
        <f>C21+C25</f>
        <v>1050.7884899999999</v>
      </c>
      <c r="L19" s="2">
        <v>2023</v>
      </c>
    </row>
    <row r="20" spans="1:21" ht="60" x14ac:dyDescent="0.25">
      <c r="A20" s="7" t="s">
        <v>46</v>
      </c>
      <c r="B20" s="7" t="s">
        <v>49</v>
      </c>
      <c r="C20" s="7" t="s">
        <v>2</v>
      </c>
      <c r="D20" s="7" t="s">
        <v>4</v>
      </c>
      <c r="E20" s="7" t="s">
        <v>5</v>
      </c>
      <c r="F20" s="7" t="s">
        <v>6</v>
      </c>
      <c r="G20" s="8" t="s">
        <v>7</v>
      </c>
      <c r="H20" s="8" t="s">
        <v>8</v>
      </c>
      <c r="I20" s="8" t="s">
        <v>9</v>
      </c>
      <c r="J20" s="8" t="s">
        <v>10</v>
      </c>
      <c r="K20" s="8" t="s">
        <v>11</v>
      </c>
      <c r="L20" s="8" t="s">
        <v>12</v>
      </c>
      <c r="M20" s="8" t="s">
        <v>13</v>
      </c>
      <c r="N20" s="8" t="s">
        <v>14</v>
      </c>
      <c r="O20" s="8" t="s">
        <v>15</v>
      </c>
      <c r="P20" s="8" t="s">
        <v>53</v>
      </c>
      <c r="Q20" s="4"/>
      <c r="R20" s="4"/>
      <c r="S20" s="4"/>
      <c r="T20" s="4"/>
      <c r="U20" s="4"/>
    </row>
    <row r="21" spans="1:21" ht="30" x14ac:dyDescent="0.25">
      <c r="A21" s="34">
        <v>1</v>
      </c>
      <c r="B21" s="18" t="s">
        <v>23</v>
      </c>
      <c r="C21" s="18">
        <v>1008</v>
      </c>
      <c r="D21" s="12" t="s">
        <v>18</v>
      </c>
      <c r="E21" s="11">
        <v>2018</v>
      </c>
      <c r="F21" s="9" t="s">
        <v>19</v>
      </c>
      <c r="G21" s="13">
        <f>$L$4-2018</f>
        <v>5</v>
      </c>
      <c r="H21" s="13">
        <v>60</v>
      </c>
      <c r="I21" s="14">
        <v>0.05</v>
      </c>
      <c r="J21" s="15">
        <f>((1-I21)/H21)*G21</f>
        <v>7.9166666666666663E-2</v>
      </c>
      <c r="K21" s="16">
        <v>1400</v>
      </c>
      <c r="L21" s="16">
        <f>K21*C6*10.764</f>
        <v>15190156.799999999</v>
      </c>
      <c r="M21" s="13">
        <f>L21*J21</f>
        <v>1202554.0799999998</v>
      </c>
      <c r="N21" s="13">
        <f>L21-M21</f>
        <v>13987602.719999999</v>
      </c>
      <c r="O21" s="17">
        <v>12000</v>
      </c>
      <c r="P21" s="13">
        <f>O21*C21</f>
        <v>12096000</v>
      </c>
      <c r="Q21" s="4"/>
      <c r="R21" s="4"/>
      <c r="S21" s="4"/>
      <c r="T21" s="4"/>
      <c r="U21" s="4"/>
    </row>
    <row r="22" spans="1:21" ht="30" x14ac:dyDescent="0.25">
      <c r="A22" s="34">
        <v>2</v>
      </c>
      <c r="B22" s="18" t="s">
        <v>24</v>
      </c>
      <c r="C22" s="18">
        <v>276.714</v>
      </c>
      <c r="D22" s="12" t="s">
        <v>18</v>
      </c>
      <c r="E22" s="11">
        <v>2018</v>
      </c>
      <c r="F22" s="9" t="s">
        <v>19</v>
      </c>
      <c r="G22" s="13">
        <f t="shared" ref="G22:G25" si="0">$L$4-2018</f>
        <v>5</v>
      </c>
      <c r="H22" s="13">
        <v>60</v>
      </c>
      <c r="I22" s="14">
        <v>0.05</v>
      </c>
      <c r="J22" s="15">
        <f t="shared" ref="J22:J24" si="1">((1-I22)/H22)*G22</f>
        <v>7.9166666666666663E-2</v>
      </c>
      <c r="K22" s="16">
        <v>1300</v>
      </c>
      <c r="L22" s="16">
        <f>K22*C7*10.764</f>
        <v>3872114.3448000001</v>
      </c>
      <c r="M22" s="13">
        <f t="shared" ref="M22:M24" si="2">L22*J22</f>
        <v>306542.38562999998</v>
      </c>
      <c r="N22" s="13">
        <f t="shared" ref="N22:N24" si="3">L22-M22</f>
        <v>3565571.9591700002</v>
      </c>
      <c r="O22" s="17">
        <v>12000</v>
      </c>
      <c r="P22" s="13">
        <f t="shared" ref="P22:P25" si="4">O22*C22</f>
        <v>3320568</v>
      </c>
      <c r="Q22" s="4"/>
      <c r="R22" s="4"/>
      <c r="S22" s="4"/>
      <c r="T22" s="4"/>
      <c r="U22" s="4"/>
    </row>
    <row r="23" spans="1:21" ht="30" x14ac:dyDescent="0.25">
      <c r="A23" s="34">
        <v>3</v>
      </c>
      <c r="B23" s="18" t="s">
        <v>25</v>
      </c>
      <c r="C23" s="18">
        <v>186.696</v>
      </c>
      <c r="D23" s="12" t="s">
        <v>48</v>
      </c>
      <c r="E23" s="11">
        <v>2018</v>
      </c>
      <c r="F23" s="9" t="s">
        <v>19</v>
      </c>
      <c r="G23" s="13">
        <f t="shared" si="0"/>
        <v>5</v>
      </c>
      <c r="H23" s="13">
        <v>45</v>
      </c>
      <c r="I23" s="14">
        <v>0.05</v>
      </c>
      <c r="J23" s="15">
        <f t="shared" si="1"/>
        <v>0.10555555555555556</v>
      </c>
      <c r="K23" s="16">
        <v>1100</v>
      </c>
      <c r="L23" s="16">
        <f>K23*C8*10.764</f>
        <v>2210555.3183999998</v>
      </c>
      <c r="M23" s="13">
        <f t="shared" si="2"/>
        <v>233336.39471999998</v>
      </c>
      <c r="N23" s="13">
        <f t="shared" si="3"/>
        <v>1977218.9236799998</v>
      </c>
      <c r="O23" s="17">
        <v>12000</v>
      </c>
      <c r="P23" s="13">
        <f t="shared" si="4"/>
        <v>2240352</v>
      </c>
      <c r="Q23" s="4"/>
      <c r="R23" s="4"/>
      <c r="S23" s="4"/>
      <c r="T23" s="4"/>
      <c r="U23" s="4"/>
    </row>
    <row r="24" spans="1:21" ht="30" x14ac:dyDescent="0.25">
      <c r="A24" s="34">
        <v>4</v>
      </c>
      <c r="B24" s="18" t="s">
        <v>27</v>
      </c>
      <c r="C24" s="18">
        <v>12.103199999999999</v>
      </c>
      <c r="D24" s="12" t="s">
        <v>18</v>
      </c>
      <c r="E24" s="11">
        <v>2018</v>
      </c>
      <c r="F24" s="9" t="s">
        <v>19</v>
      </c>
      <c r="G24" s="13">
        <f t="shared" si="0"/>
        <v>5</v>
      </c>
      <c r="H24" s="13">
        <v>60</v>
      </c>
      <c r="I24" s="14">
        <v>0.05</v>
      </c>
      <c r="J24" s="15">
        <f t="shared" si="1"/>
        <v>7.9166666666666663E-2</v>
      </c>
      <c r="K24" s="16">
        <v>1200</v>
      </c>
      <c r="L24" s="16">
        <f>K24*C9*10.764</f>
        <v>156334.61375999998</v>
      </c>
      <c r="M24" s="13">
        <f t="shared" si="2"/>
        <v>12376.490255999997</v>
      </c>
      <c r="N24" s="13">
        <f t="shared" si="3"/>
        <v>143958.12350399999</v>
      </c>
      <c r="O24" s="17">
        <v>12000</v>
      </c>
      <c r="P24" s="13">
        <f t="shared" si="4"/>
        <v>145238.39999999999</v>
      </c>
      <c r="Q24" s="4"/>
      <c r="R24" s="4"/>
      <c r="S24" s="4"/>
      <c r="T24" s="4"/>
      <c r="U24" s="4"/>
    </row>
    <row r="25" spans="1:21" ht="30" x14ac:dyDescent="0.25">
      <c r="A25" s="34">
        <v>5</v>
      </c>
      <c r="B25" s="18" t="s">
        <v>28</v>
      </c>
      <c r="C25" s="18">
        <v>42.788489999999996</v>
      </c>
      <c r="D25" s="12" t="s">
        <v>18</v>
      </c>
      <c r="E25" s="11">
        <v>2018</v>
      </c>
      <c r="F25" s="9" t="s">
        <v>19</v>
      </c>
      <c r="G25" s="13">
        <f t="shared" si="0"/>
        <v>5</v>
      </c>
      <c r="H25" s="13">
        <v>60</v>
      </c>
      <c r="I25" s="14">
        <v>0.05</v>
      </c>
      <c r="J25" s="15">
        <f t="shared" ref="J25" si="5">((1-I25)/H25)*G25</f>
        <v>7.9166666666666663E-2</v>
      </c>
      <c r="K25" s="16">
        <v>1000</v>
      </c>
      <c r="L25" s="16">
        <f>K25*C11*10.764</f>
        <v>460575.30635999993</v>
      </c>
      <c r="M25" s="13">
        <f t="shared" ref="M25" si="6">L25*J25</f>
        <v>36462.211753499992</v>
      </c>
      <c r="N25" s="13">
        <f t="shared" ref="N25" si="7">L25-M25</f>
        <v>424113.09460649994</v>
      </c>
      <c r="O25" s="17">
        <v>12000</v>
      </c>
      <c r="P25" s="13">
        <f t="shared" si="4"/>
        <v>513461.87999999995</v>
      </c>
      <c r="Q25" s="4"/>
      <c r="R25" s="4"/>
      <c r="S25" s="4"/>
      <c r="T25" s="4"/>
      <c r="U25" s="4"/>
    </row>
    <row r="26" spans="1:21" x14ac:dyDescent="0.25">
      <c r="A26" s="19"/>
      <c r="B26" s="19"/>
      <c r="C26" s="20">
        <f>SUM(C21:C25)</f>
        <v>1526.3016899999998</v>
      </c>
      <c r="D26" s="19"/>
      <c r="E26" s="19"/>
      <c r="F26" s="19"/>
      <c r="G26" s="19"/>
      <c r="H26" s="19"/>
      <c r="I26" s="19"/>
      <c r="J26" s="19"/>
      <c r="K26" s="19"/>
      <c r="L26" s="21">
        <f t="shared" ref="L26:M26" si="8">SUM(L21:L25)</f>
        <v>21889736.383319996</v>
      </c>
      <c r="M26" s="21">
        <f t="shared" si="8"/>
        <v>1791271.5623594997</v>
      </c>
      <c r="N26" s="21">
        <f>SUM(N21:N25)</f>
        <v>20098464.820960499</v>
      </c>
      <c r="O26" s="21"/>
      <c r="P26" s="21">
        <f t="shared" ref="P26" si="9">SUM(P21:P25)</f>
        <v>18315620.279999997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Building-E-12</vt:lpstr>
      <vt:lpstr>Sheet3</vt:lpstr>
      <vt:lpstr>Building-E-13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2023-01-11T10:36:08Z</dcterms:modified>
</cp:coreProperties>
</file>