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In Progress Files\Adil Afaque\uploads\VIS(2022-23)-PL558-452-771-HPL Electric &amp; Power Ltd\"/>
    </mc:Choice>
  </mc:AlternateContent>
  <bookViews>
    <workbookView xWindow="0" yWindow="0" windowWidth="17970" windowHeight="6120" activeTab="2"/>
  </bookViews>
  <sheets>
    <sheet name="bUILDING" sheetId="1" r:id="rId1"/>
    <sheet name="Sanctioned Plan" sheetId="3" r:id="rId2"/>
    <sheet name="LAND and Summary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2" l="1"/>
  <c r="E24" i="2"/>
  <c r="E22" i="2"/>
  <c r="E9" i="2"/>
  <c r="E8" i="2"/>
  <c r="AB17" i="1"/>
  <c r="AB8" i="1"/>
  <c r="AB9" i="1"/>
  <c r="AB10" i="1"/>
  <c r="AB11" i="1"/>
  <c r="AB12" i="1"/>
  <c r="AB13" i="1"/>
  <c r="AB14" i="1"/>
  <c r="AB15" i="1"/>
  <c r="AB16" i="1"/>
  <c r="AB7" i="1"/>
  <c r="D7" i="2"/>
  <c r="S20" i="1"/>
  <c r="S19" i="1"/>
  <c r="Q18" i="1"/>
  <c r="E20" i="2" l="1"/>
  <c r="E19" i="2"/>
  <c r="E7" i="2"/>
  <c r="C7" i="2"/>
  <c r="E4" i="2"/>
  <c r="M3" i="3"/>
  <c r="L3" i="3"/>
  <c r="J12" i="2"/>
  <c r="J11" i="2"/>
  <c r="C15" i="2"/>
  <c r="C14" i="2"/>
  <c r="C13" i="2"/>
  <c r="D12" i="2"/>
  <c r="D11" i="2"/>
  <c r="K8" i="1"/>
  <c r="Q8" i="1" s="1"/>
  <c r="T8" i="1" s="1"/>
  <c r="Y8" i="1"/>
  <c r="Y9" i="1" s="1"/>
  <c r="Y10" i="1" s="1"/>
  <c r="V14" i="1"/>
  <c r="V15" i="1"/>
  <c r="N13" i="1"/>
  <c r="V13" i="1" s="1"/>
  <c r="N12" i="1"/>
  <c r="V12" i="1" s="1"/>
  <c r="N11" i="1"/>
  <c r="N10" i="1"/>
  <c r="V10" i="1" s="1"/>
  <c r="N9" i="1"/>
  <c r="V9" i="1" s="1"/>
  <c r="N8" i="1"/>
  <c r="V8" i="1" s="1"/>
  <c r="N7" i="1"/>
  <c r="V7" i="1" s="1"/>
  <c r="N16" i="1"/>
  <c r="V16" i="1" s="1"/>
  <c r="Q7" i="1"/>
  <c r="T7" i="1" s="1"/>
  <c r="J16" i="3"/>
  <c r="J15" i="3"/>
  <c r="I12" i="3"/>
  <c r="I11" i="3"/>
  <c r="H11" i="3"/>
  <c r="H10" i="3"/>
  <c r="G10" i="3"/>
  <c r="F10" i="3"/>
  <c r="H9" i="3"/>
  <c r="H8" i="3"/>
  <c r="H7" i="3"/>
  <c r="H6" i="3"/>
  <c r="H5" i="3"/>
  <c r="H4" i="3"/>
  <c r="G9" i="3"/>
  <c r="F9" i="3"/>
  <c r="E9" i="3"/>
  <c r="D9" i="3"/>
  <c r="C9" i="3"/>
  <c r="K9" i="1" l="1"/>
  <c r="Q9" i="1" s="1"/>
  <c r="T9" i="1" s="1"/>
  <c r="W9" i="1" s="1"/>
  <c r="X9" i="1" s="1"/>
  <c r="Z9" i="1" s="1"/>
  <c r="AC9" i="1" s="1"/>
  <c r="K10" i="1"/>
  <c r="Y11" i="1"/>
  <c r="N17" i="1"/>
  <c r="W8" i="1"/>
  <c r="X8" i="1" s="1"/>
  <c r="Z8" i="1" s="1"/>
  <c r="AC8" i="1" s="1"/>
  <c r="V11" i="1"/>
  <c r="V17" i="1" s="1"/>
  <c r="W7" i="1"/>
  <c r="X7" i="1" s="1"/>
  <c r="Z7" i="1" s="1"/>
  <c r="AC7" i="1" s="1"/>
  <c r="P15" i="1"/>
  <c r="P14" i="1"/>
  <c r="P13" i="1"/>
  <c r="P12" i="1"/>
  <c r="P11" i="1"/>
  <c r="P10" i="1"/>
  <c r="P9" i="1"/>
  <c r="P8" i="1"/>
  <c r="P7" i="1"/>
  <c r="Q10" i="1" l="1"/>
  <c r="T10" i="1" s="1"/>
  <c r="W10" i="1" s="1"/>
  <c r="X10" i="1" s="1"/>
  <c r="Z10" i="1" s="1"/>
  <c r="AC10" i="1" s="1"/>
  <c r="K11" i="1"/>
  <c r="Y12" i="1"/>
  <c r="P17" i="1"/>
  <c r="K12" i="1" l="1"/>
  <c r="Q11" i="1"/>
  <c r="T11" i="1" s="1"/>
  <c r="W11" i="1" s="1"/>
  <c r="X11" i="1" s="1"/>
  <c r="Y13" i="1"/>
  <c r="K13" i="1" l="1"/>
  <c r="Q12" i="1"/>
  <c r="T12" i="1" s="1"/>
  <c r="W12" i="1" s="1"/>
  <c r="X12" i="1" s="1"/>
  <c r="Z12" i="1" s="1"/>
  <c r="AC12" i="1" s="1"/>
  <c r="Z11" i="1"/>
  <c r="AC11" i="1" s="1"/>
  <c r="Y14" i="1"/>
  <c r="K14" i="1" l="1"/>
  <c r="Q13" i="1"/>
  <c r="T13" i="1" s="1"/>
  <c r="W13" i="1" s="1"/>
  <c r="Y15" i="1"/>
  <c r="X13" i="1" l="1"/>
  <c r="K15" i="1"/>
  <c r="Q14" i="1"/>
  <c r="T14" i="1" s="1"/>
  <c r="W14" i="1" s="1"/>
  <c r="X14" i="1" s="1"/>
  <c r="Z14" i="1" s="1"/>
  <c r="AC14" i="1" s="1"/>
  <c r="Y16" i="1"/>
  <c r="Z16" i="1" s="1"/>
  <c r="Z13" i="1" l="1"/>
  <c r="AC13" i="1" s="1"/>
  <c r="Q15" i="1"/>
  <c r="T15" i="1" s="1"/>
  <c r="W15" i="1" s="1"/>
  <c r="X15" i="1" s="1"/>
  <c r="Z15" i="1" s="1"/>
  <c r="AC15" i="1" s="1"/>
  <c r="K16" i="1"/>
  <c r="Q16" i="1" s="1"/>
  <c r="T16" i="1" s="1"/>
  <c r="W16" i="1" s="1"/>
  <c r="X16" i="1" s="1"/>
  <c r="W17" i="1"/>
  <c r="AC16" i="1" l="1"/>
  <c r="Z17" i="1"/>
  <c r="X17" i="1"/>
</calcChain>
</file>

<file path=xl/sharedStrings.xml><?xml version="1.0" encoding="utf-8"?>
<sst xmlns="http://schemas.openxmlformats.org/spreadsheetml/2006/main" count="83" uniqueCount="60">
  <si>
    <t>Block Name</t>
  </si>
  <si>
    <t>Total Slabs/ Floors</t>
  </si>
  <si>
    <t>Year of construction</t>
  </si>
  <si>
    <t xml:space="preserve">Type of Structures </t>
  </si>
  <si>
    <t>Structure condition</t>
  </si>
  <si>
    <t>RCC framed pillar beam column structure on RCC slab</t>
  </si>
  <si>
    <t xml:space="preserve">Current Depreciated Market Value </t>
  </si>
  <si>
    <t>Block-A</t>
  </si>
  <si>
    <t>G+3</t>
  </si>
  <si>
    <t>Block-B</t>
  </si>
  <si>
    <t>Ground</t>
  </si>
  <si>
    <t>GI shed roof mounted on iron pillars, trusses frame structure resting on brick wall</t>
  </si>
  <si>
    <t>Block-C</t>
  </si>
  <si>
    <t>C1</t>
  </si>
  <si>
    <t>B+G+2</t>
  </si>
  <si>
    <t>Average</t>
  </si>
  <si>
    <t>C2</t>
  </si>
  <si>
    <t>C3</t>
  </si>
  <si>
    <t>C4</t>
  </si>
  <si>
    <t>C5</t>
  </si>
  <si>
    <t>G+2</t>
  </si>
  <si>
    <t>Guard Room-I</t>
  </si>
  <si>
    <t xml:space="preserve">Ground </t>
  </si>
  <si>
    <t>Guard Room-II</t>
  </si>
  <si>
    <t>Total</t>
  </si>
  <si>
    <t xml:space="preserve">Note:- </t>
  </si>
  <si>
    <t>1. Constructed covered area of the property is taken as per the approved map and which is found approximately similar during the site survey.</t>
  </si>
  <si>
    <t>2. Building construction value is calculated on the basis of 'Depreciated Replacement Cost approach'</t>
  </si>
  <si>
    <t xml:space="preserve">S.No. </t>
  </si>
  <si>
    <t>VALUATION OF CONSTRUCTED AREA AS OF DATE: M/S. HPL ELECTRIC &amp; POWER LIMITED</t>
  </si>
  <si>
    <r>
      <t xml:space="preserve">Floor wise Height
</t>
    </r>
    <r>
      <rPr>
        <i/>
        <sz val="11"/>
        <color theme="0"/>
        <rFont val="Calibri"/>
        <family val="2"/>
        <scheme val="minor"/>
      </rPr>
      <t>(ft.)</t>
    </r>
  </si>
  <si>
    <r>
      <t xml:space="preserve">Covered Area </t>
    </r>
    <r>
      <rPr>
        <i/>
        <sz val="10"/>
        <color theme="0"/>
        <rFont val="Calibri"/>
        <family val="2"/>
        <scheme val="minor"/>
      </rPr>
      <t>(in sq.ft.)</t>
    </r>
  </si>
  <si>
    <r>
      <t xml:space="preserve">Rate Adopted </t>
    </r>
    <r>
      <rPr>
        <i/>
        <sz val="11"/>
        <color theme="0"/>
        <rFont val="Calibri"/>
        <family val="2"/>
        <scheme val="minor"/>
      </rPr>
      <t>(per sq.ft.)</t>
    </r>
  </si>
  <si>
    <t>Total Life Consumed 
(in years)</t>
  </si>
  <si>
    <t>Total Economical Life
(in years)</t>
  </si>
  <si>
    <t>Salvage Value</t>
  </si>
  <si>
    <t>Depreciation Rate</t>
  </si>
  <si>
    <r>
      <t xml:space="preserve">Rate Adopted 
</t>
    </r>
    <r>
      <rPr>
        <b/>
        <i/>
        <sz val="10"/>
        <rFont val="Arial"/>
        <family val="2"/>
      </rPr>
      <t>(in per sq.ft)</t>
    </r>
  </si>
  <si>
    <t>Gross Replacement Value
(INR)</t>
  </si>
  <si>
    <t xml:space="preserve">Depreciation
(INR) </t>
  </si>
  <si>
    <t>Government Rate
(n Rs. Per sq. mtr.)</t>
  </si>
  <si>
    <t>Government Value</t>
  </si>
  <si>
    <t>A</t>
  </si>
  <si>
    <t>B</t>
  </si>
  <si>
    <t>C</t>
  </si>
  <si>
    <t>GR-I</t>
  </si>
  <si>
    <t>GR-II</t>
  </si>
  <si>
    <t>Mumty</t>
  </si>
  <si>
    <t>Consumed FAR</t>
  </si>
  <si>
    <t>Permissible FAR</t>
  </si>
  <si>
    <t>Permissible Covered Area on G.F.</t>
  </si>
  <si>
    <t>Depreciated Replacement Cost
(INR)</t>
  </si>
  <si>
    <t>Condition Factor</t>
  </si>
  <si>
    <t>Fair Market Value
(INR)</t>
  </si>
  <si>
    <t>rom industrial area</t>
  </si>
  <si>
    <t>Government</t>
  </si>
  <si>
    <t>FMV</t>
  </si>
  <si>
    <t>Land</t>
  </si>
  <si>
    <t>Building</t>
  </si>
  <si>
    <t>Aesthatic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</si>
</sst>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_ * #,##0_ ;_ * \-#,##0_ ;_ * &quot;-&quot;??_ ;_ @_ "/>
    <numFmt numFmtId="165" formatCode="_ [$₹-4009]\ * #,##0_ ;_ [$₹-4009]\ * \-#,##0_ ;_ [$₹-4009]\ * &quot;-&quot;??_ ;_ @_ "/>
    <numFmt numFmtId="166" formatCode="_ * #,##0.000_ ;_ * \-#,##0.000_ ;_ * &quot;-&quot;??_ ;_ @_ "/>
    <numFmt numFmtId="167" formatCode="_(* #,##0_);_(* \(#,##0\);_(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10"/>
      <color theme="0"/>
      <name val="Calibri"/>
      <family val="2"/>
      <scheme val="minor"/>
    </font>
    <font>
      <sz val="11"/>
      <name val="ＭＳ Ｐゴシック"/>
      <charset val="128"/>
    </font>
    <font>
      <sz val="10"/>
      <name val="Arial"/>
      <family val="2"/>
    </font>
    <font>
      <b/>
      <i/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rgb="FF00206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4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</cellStyleXfs>
  <cellXfs count="43">
    <xf numFmtId="0" fontId="0" fillId="0" borderId="0" xfId="0"/>
    <xf numFmtId="0" fontId="0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43" fontId="0" fillId="0" borderId="0" xfId="1" applyFont="1"/>
    <xf numFmtId="164" fontId="0" fillId="0" borderId="0" xfId="1" applyNumberFormat="1" applyFont="1"/>
    <xf numFmtId="165" fontId="1" fillId="0" borderId="2" xfId="0" applyNumberFormat="1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164" fontId="5" fillId="3" borderId="2" xfId="1" applyNumberFormat="1" applyFont="1" applyFill="1" applyBorder="1" applyAlignment="1">
      <alignment horizontal="center" vertical="center" wrapText="1"/>
    </xf>
    <xf numFmtId="43" fontId="0" fillId="0" borderId="0" xfId="1" applyFont="1" applyAlignment="1">
      <alignment horizontal="center"/>
    </xf>
    <xf numFmtId="0" fontId="0" fillId="0" borderId="0" xfId="0"/>
    <xf numFmtId="167" fontId="11" fillId="3" borderId="2" xfId="6" applyNumberFormat="1" applyFont="1" applyFill="1" applyBorder="1" applyAlignment="1">
      <alignment horizontal="center" vertical="center" wrapText="1"/>
    </xf>
    <xf numFmtId="164" fontId="12" fillId="0" borderId="2" xfId="0" applyNumberFormat="1" applyFont="1" applyBorder="1" applyAlignment="1">
      <alignment vertical="center"/>
    </xf>
    <xf numFmtId="9" fontId="12" fillId="0" borderId="2" xfId="2" applyFont="1" applyBorder="1" applyAlignment="1">
      <alignment vertical="center"/>
    </xf>
    <xf numFmtId="10" fontId="12" fillId="0" borderId="2" xfId="2" applyNumberFormat="1" applyFont="1" applyBorder="1" applyAlignment="1">
      <alignment vertical="center"/>
    </xf>
    <xf numFmtId="167" fontId="12" fillId="0" borderId="2" xfId="6" applyNumberFormat="1" applyFont="1" applyBorder="1" applyAlignment="1">
      <alignment vertical="center"/>
    </xf>
    <xf numFmtId="164" fontId="12" fillId="0" borderId="2" xfId="6" applyNumberFormat="1" applyFont="1" applyBorder="1" applyAlignment="1">
      <alignment vertical="center"/>
    </xf>
    <xf numFmtId="43" fontId="2" fillId="0" borderId="0" xfId="1" applyFont="1"/>
    <xf numFmtId="43" fontId="0" fillId="0" borderId="0" xfId="0" applyNumberFormat="1"/>
    <xf numFmtId="10" fontId="0" fillId="0" borderId="0" xfId="2" applyNumberFormat="1" applyFont="1"/>
    <xf numFmtId="164" fontId="0" fillId="0" borderId="0" xfId="0" applyNumberFormat="1"/>
    <xf numFmtId="9" fontId="0" fillId="0" borderId="0" xfId="0" applyNumberFormat="1"/>
    <xf numFmtId="0" fontId="0" fillId="0" borderId="2" xfId="0" applyBorder="1"/>
    <xf numFmtId="165" fontId="2" fillId="0" borderId="2" xfId="0" applyNumberFormat="1" applyFont="1" applyBorder="1" applyAlignment="1">
      <alignment vertical="center" wrapText="1"/>
    </xf>
    <xf numFmtId="165" fontId="2" fillId="0" borderId="2" xfId="0" applyNumberFormat="1" applyFont="1" applyBorder="1" applyAlignment="1">
      <alignment horizontal="center" vertical="center"/>
    </xf>
    <xf numFmtId="164" fontId="4" fillId="0" borderId="2" xfId="1" applyNumberFormat="1" applyFont="1" applyBorder="1" applyAlignment="1">
      <alignment horizontal="center" vertical="center" wrapText="1"/>
    </xf>
    <xf numFmtId="1" fontId="0" fillId="0" borderId="0" xfId="0" applyNumberFormat="1" applyAlignment="1">
      <alignment vertical="center"/>
    </xf>
    <xf numFmtId="166" fontId="0" fillId="0" borderId="0" xfId="0" applyNumberFormat="1"/>
    <xf numFmtId="0" fontId="2" fillId="0" borderId="0" xfId="0" applyFont="1"/>
    <xf numFmtId="0" fontId="0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164" fontId="0" fillId="0" borderId="2" xfId="1" applyNumberFormat="1" applyFont="1" applyBorder="1" applyAlignment="1">
      <alignment horizontal="center" vertical="center"/>
    </xf>
    <xf numFmtId="164" fontId="1" fillId="0" borderId="2" xfId="1" applyNumberFormat="1" applyFont="1" applyBorder="1" applyAlignment="1">
      <alignment horizontal="center" vertical="center"/>
    </xf>
  </cellXfs>
  <cellStyles count="8">
    <cellStyle name="Comma" xfId="1" builtinId="3"/>
    <cellStyle name="Comma 2" xfId="4"/>
    <cellStyle name="Comma 3" xfId="6"/>
    <cellStyle name="Comma 4" xfId="5"/>
    <cellStyle name="Normal" xfId="0" builtinId="0"/>
    <cellStyle name="Normal 2" xfId="3"/>
    <cellStyle name="Normal 3" xfId="7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5:AC20"/>
  <sheetViews>
    <sheetView topLeftCell="E6" workbookViewId="0">
      <selection activeCell="F6" sqref="F6:AB17"/>
    </sheetView>
  </sheetViews>
  <sheetFormatPr defaultRowHeight="15"/>
  <cols>
    <col min="6" max="6" width="5.7109375" bestFit="1" customWidth="1"/>
    <col min="9" max="9" width="11.7109375" customWidth="1"/>
    <col min="10" max="10" width="15.28515625" customWidth="1"/>
    <col min="11" max="11" width="12.28515625" hidden="1" customWidth="1"/>
    <col min="12" max="12" width="34" hidden="1" customWidth="1"/>
    <col min="13" max="13" width="9.85546875" hidden="1" customWidth="1"/>
    <col min="14" max="14" width="13.140625" style="6" hidden="1" customWidth="1"/>
    <col min="15" max="15" width="11.28515625" hidden="1" customWidth="1"/>
    <col min="16" max="16" width="17.42578125" hidden="1" customWidth="1"/>
    <col min="17" max="17" width="11.28515625" hidden="1" customWidth="1"/>
    <col min="18" max="18" width="12.28515625" hidden="1" customWidth="1"/>
    <col min="19" max="20" width="0" hidden="1" customWidth="1"/>
    <col min="21" max="21" width="12.140625" customWidth="1"/>
    <col min="22" max="22" width="17.28515625" bestFit="1" customWidth="1"/>
    <col min="23" max="24" width="14.42578125" hidden="1" customWidth="1"/>
    <col min="25" max="25" width="14.28515625" style="11" hidden="1" customWidth="1"/>
    <col min="26" max="26" width="14.28515625" style="11" customWidth="1"/>
    <col min="27" max="27" width="17.42578125" customWidth="1"/>
    <col min="28" max="28" width="17.28515625" bestFit="1" customWidth="1"/>
  </cols>
  <sheetData>
    <row r="5" spans="6:29" ht="15.75">
      <c r="F5" s="32" t="s">
        <v>29</v>
      </c>
      <c r="G5" s="32"/>
      <c r="H5" s="32"/>
      <c r="I5" s="32"/>
      <c r="J5" s="32"/>
      <c r="K5" s="32"/>
      <c r="L5" s="32"/>
      <c r="M5" s="32"/>
      <c r="N5" s="32"/>
      <c r="O5" s="32"/>
      <c r="P5" s="32"/>
      <c r="Q5">
        <v>2023</v>
      </c>
    </row>
    <row r="6" spans="6:29" ht="51">
      <c r="F6" s="8" t="s">
        <v>28</v>
      </c>
      <c r="G6" s="33" t="s">
        <v>0</v>
      </c>
      <c r="H6" s="33"/>
      <c r="I6" s="8" t="s">
        <v>1</v>
      </c>
      <c r="J6" s="8" t="s">
        <v>30</v>
      </c>
      <c r="K6" s="8" t="s">
        <v>2</v>
      </c>
      <c r="L6" s="8" t="s">
        <v>3</v>
      </c>
      <c r="M6" s="8" t="s">
        <v>4</v>
      </c>
      <c r="N6" s="9" t="s">
        <v>31</v>
      </c>
      <c r="O6" s="8" t="s">
        <v>32</v>
      </c>
      <c r="P6" s="8" t="s">
        <v>6</v>
      </c>
      <c r="Q6" s="12" t="s">
        <v>33</v>
      </c>
      <c r="R6" s="12" t="s">
        <v>34</v>
      </c>
      <c r="S6" s="12" t="s">
        <v>35</v>
      </c>
      <c r="T6" s="12" t="s">
        <v>36</v>
      </c>
      <c r="U6" s="12" t="s">
        <v>37</v>
      </c>
      <c r="V6" s="12" t="s">
        <v>38</v>
      </c>
      <c r="W6" s="12" t="s">
        <v>39</v>
      </c>
      <c r="X6" s="12" t="s">
        <v>51</v>
      </c>
      <c r="Y6" s="12" t="s">
        <v>52</v>
      </c>
      <c r="Z6" s="12" t="s">
        <v>53</v>
      </c>
      <c r="AA6" s="12" t="s">
        <v>40</v>
      </c>
      <c r="AB6" s="12" t="s">
        <v>41</v>
      </c>
    </row>
    <row r="7" spans="6:29" ht="30">
      <c r="F7" s="2">
        <v>1</v>
      </c>
      <c r="G7" s="34" t="s">
        <v>7</v>
      </c>
      <c r="H7" s="34"/>
      <c r="I7" s="4" t="s">
        <v>8</v>
      </c>
      <c r="J7" s="1">
        <v>10</v>
      </c>
      <c r="K7" s="2">
        <v>2006</v>
      </c>
      <c r="L7" s="3" t="s">
        <v>5</v>
      </c>
      <c r="M7" s="2" t="s">
        <v>15</v>
      </c>
      <c r="N7" s="41">
        <f>'Sanctioned Plan'!H4</f>
        <v>31161.25</v>
      </c>
      <c r="O7" s="7">
        <v>850</v>
      </c>
      <c r="P7" s="7">
        <f>O7*N7</f>
        <v>26487062.5</v>
      </c>
      <c r="Q7" s="13">
        <f>$Q$5-K7</f>
        <v>17</v>
      </c>
      <c r="R7" s="13">
        <v>60</v>
      </c>
      <c r="S7" s="14">
        <v>0.05</v>
      </c>
      <c r="T7" s="15">
        <f>(1-S7)*Q7/R7</f>
        <v>0.26916666666666667</v>
      </c>
      <c r="U7" s="16">
        <v>1400</v>
      </c>
      <c r="V7" s="16">
        <f>U7*N7</f>
        <v>43625750</v>
      </c>
      <c r="W7" s="13">
        <f>V7*T7</f>
        <v>11742597.708333334</v>
      </c>
      <c r="X7" s="13">
        <f>V7-W7</f>
        <v>31883152.291666664</v>
      </c>
      <c r="Y7" s="14">
        <v>0.2</v>
      </c>
      <c r="Z7" s="13">
        <f>(1-Y7)*X7</f>
        <v>25506521.833333332</v>
      </c>
      <c r="AA7" s="17">
        <v>1100</v>
      </c>
      <c r="AB7" s="13">
        <f>AA7*N7</f>
        <v>34277375</v>
      </c>
      <c r="AC7" s="27">
        <f>Z7/N7</f>
        <v>818.5333333333333</v>
      </c>
    </row>
    <row r="8" spans="6:29" ht="45">
      <c r="F8" s="2">
        <v>2</v>
      </c>
      <c r="G8" s="34" t="s">
        <v>9</v>
      </c>
      <c r="H8" s="34"/>
      <c r="I8" s="4" t="s">
        <v>10</v>
      </c>
      <c r="J8" s="1">
        <v>35</v>
      </c>
      <c r="K8" s="2">
        <f>K7</f>
        <v>2006</v>
      </c>
      <c r="L8" s="3" t="s">
        <v>11</v>
      </c>
      <c r="M8" s="2" t="s">
        <v>15</v>
      </c>
      <c r="N8" s="42">
        <f>'Sanctioned Plan'!H5</f>
        <v>32042.25</v>
      </c>
      <c r="O8" s="7">
        <v>550</v>
      </c>
      <c r="P8" s="7">
        <f t="shared" ref="P8:P15" si="0">O8*N8</f>
        <v>17623237.5</v>
      </c>
      <c r="Q8" s="13">
        <f t="shared" ref="Q8:Q16" si="1">$Q$5-K8</f>
        <v>17</v>
      </c>
      <c r="R8" s="13">
        <v>45</v>
      </c>
      <c r="S8" s="14">
        <v>0.05</v>
      </c>
      <c r="T8" s="15">
        <f t="shared" ref="T8:T16" si="2">(1-S8)*Q8/R8</f>
        <v>0.35888888888888887</v>
      </c>
      <c r="U8" s="16">
        <v>1100</v>
      </c>
      <c r="V8" s="16">
        <f t="shared" ref="V8:V16" si="3">U8*N8</f>
        <v>35246475</v>
      </c>
      <c r="W8" s="13">
        <f t="shared" ref="W8:W16" si="4">V8*T8</f>
        <v>12649568.25</v>
      </c>
      <c r="X8" s="13">
        <f t="shared" ref="X8:X16" si="5">V8-W8</f>
        <v>22596906.75</v>
      </c>
      <c r="Y8" s="14">
        <f>Y7</f>
        <v>0.2</v>
      </c>
      <c r="Z8" s="13">
        <f t="shared" ref="Z8:Z16" si="6">(1-Y8)*X8</f>
        <v>18077525.400000002</v>
      </c>
      <c r="AA8" s="17">
        <v>1100</v>
      </c>
      <c r="AB8" s="13">
        <f t="shared" ref="AB8:AB16" si="7">AA8*N8</f>
        <v>35246475</v>
      </c>
      <c r="AC8" s="27">
        <f t="shared" ref="AC8:AC16" si="8">Z8/N8</f>
        <v>564.17777777777781</v>
      </c>
    </row>
    <row r="9" spans="6:29" ht="30">
      <c r="F9" s="35">
        <v>3</v>
      </c>
      <c r="G9" s="34" t="s">
        <v>12</v>
      </c>
      <c r="H9" s="4" t="s">
        <v>13</v>
      </c>
      <c r="I9" s="4" t="s">
        <v>14</v>
      </c>
      <c r="J9" s="1">
        <v>10</v>
      </c>
      <c r="K9" s="2">
        <f t="shared" ref="K9:K16" si="9">K8</f>
        <v>2006</v>
      </c>
      <c r="L9" s="3" t="s">
        <v>5</v>
      </c>
      <c r="M9" s="2" t="s">
        <v>15</v>
      </c>
      <c r="N9" s="42">
        <f>'Sanctioned Plan'!C12*3</f>
        <v>750</v>
      </c>
      <c r="O9" s="7">
        <v>800</v>
      </c>
      <c r="P9" s="7">
        <f t="shared" si="0"/>
        <v>600000</v>
      </c>
      <c r="Q9" s="13">
        <f t="shared" si="1"/>
        <v>17</v>
      </c>
      <c r="R9" s="13">
        <v>60</v>
      </c>
      <c r="S9" s="14">
        <v>0.05</v>
      </c>
      <c r="T9" s="15">
        <f t="shared" si="2"/>
        <v>0.26916666666666667</v>
      </c>
      <c r="U9" s="16">
        <v>1300</v>
      </c>
      <c r="V9" s="16">
        <f t="shared" si="3"/>
        <v>975000</v>
      </c>
      <c r="W9" s="13">
        <f t="shared" si="4"/>
        <v>262437.5</v>
      </c>
      <c r="X9" s="13">
        <f t="shared" si="5"/>
        <v>712562.5</v>
      </c>
      <c r="Y9" s="14">
        <f t="shared" ref="Y9:Y16" si="10">Y8</f>
        <v>0.2</v>
      </c>
      <c r="Z9" s="13">
        <f t="shared" si="6"/>
        <v>570050</v>
      </c>
      <c r="AA9" s="17">
        <v>1100</v>
      </c>
      <c r="AB9" s="13">
        <f t="shared" si="7"/>
        <v>825000</v>
      </c>
      <c r="AC9" s="27">
        <f t="shared" si="8"/>
        <v>760.06666666666672</v>
      </c>
    </row>
    <row r="10" spans="6:29" ht="30">
      <c r="F10" s="35"/>
      <c r="G10" s="34"/>
      <c r="H10" s="4" t="s">
        <v>16</v>
      </c>
      <c r="I10" s="4" t="s">
        <v>14</v>
      </c>
      <c r="J10" s="1">
        <v>10</v>
      </c>
      <c r="K10" s="2">
        <f t="shared" si="9"/>
        <v>2006</v>
      </c>
      <c r="L10" s="3" t="s">
        <v>5</v>
      </c>
      <c r="M10" s="2" t="s">
        <v>15</v>
      </c>
      <c r="N10" s="42">
        <f>'Sanctioned Plan'!C13*3</f>
        <v>4129.8599999999997</v>
      </c>
      <c r="O10" s="7">
        <v>800</v>
      </c>
      <c r="P10" s="7">
        <f t="shared" si="0"/>
        <v>3303887.9999999995</v>
      </c>
      <c r="Q10" s="13">
        <f t="shared" si="1"/>
        <v>17</v>
      </c>
      <c r="R10" s="13">
        <v>60</v>
      </c>
      <c r="S10" s="14">
        <v>0.05</v>
      </c>
      <c r="T10" s="15">
        <f t="shared" si="2"/>
        <v>0.26916666666666667</v>
      </c>
      <c r="U10" s="16">
        <v>1300</v>
      </c>
      <c r="V10" s="16">
        <f t="shared" si="3"/>
        <v>5368818</v>
      </c>
      <c r="W10" s="13">
        <f t="shared" si="4"/>
        <v>1445106.845</v>
      </c>
      <c r="X10" s="13">
        <f t="shared" si="5"/>
        <v>3923711.1550000003</v>
      </c>
      <c r="Y10" s="14">
        <f t="shared" si="10"/>
        <v>0.2</v>
      </c>
      <c r="Z10" s="13">
        <f t="shared" si="6"/>
        <v>3138968.9240000006</v>
      </c>
      <c r="AA10" s="17">
        <v>1100</v>
      </c>
      <c r="AB10" s="13">
        <f t="shared" si="7"/>
        <v>4542846</v>
      </c>
      <c r="AC10" s="27">
        <f t="shared" si="8"/>
        <v>760.06666666666683</v>
      </c>
    </row>
    <row r="11" spans="6:29" ht="30">
      <c r="F11" s="35"/>
      <c r="G11" s="34"/>
      <c r="H11" s="4" t="s">
        <v>17</v>
      </c>
      <c r="I11" s="4" t="s">
        <v>14</v>
      </c>
      <c r="J11" s="1">
        <v>10</v>
      </c>
      <c r="K11" s="2">
        <f t="shared" si="9"/>
        <v>2006</v>
      </c>
      <c r="L11" s="3" t="s">
        <v>5</v>
      </c>
      <c r="M11" s="2" t="s">
        <v>15</v>
      </c>
      <c r="N11" s="42">
        <f>'Sanctioned Plan'!C14*3</f>
        <v>7808.13</v>
      </c>
      <c r="O11" s="7">
        <v>800</v>
      </c>
      <c r="P11" s="7">
        <f t="shared" si="0"/>
        <v>6246504</v>
      </c>
      <c r="Q11" s="13">
        <f t="shared" si="1"/>
        <v>17</v>
      </c>
      <c r="R11" s="13">
        <v>60</v>
      </c>
      <c r="S11" s="14">
        <v>0.05</v>
      </c>
      <c r="T11" s="15">
        <f t="shared" si="2"/>
        <v>0.26916666666666667</v>
      </c>
      <c r="U11" s="16">
        <v>1300</v>
      </c>
      <c r="V11" s="16">
        <f t="shared" si="3"/>
        <v>10150569</v>
      </c>
      <c r="W11" s="13">
        <f t="shared" si="4"/>
        <v>2732194.8224999998</v>
      </c>
      <c r="X11" s="13">
        <f t="shared" si="5"/>
        <v>7418374.1775000002</v>
      </c>
      <c r="Y11" s="14">
        <f t="shared" si="10"/>
        <v>0.2</v>
      </c>
      <c r="Z11" s="13">
        <f t="shared" si="6"/>
        <v>5934699.3420000002</v>
      </c>
      <c r="AA11" s="17">
        <v>1100</v>
      </c>
      <c r="AB11" s="13">
        <f t="shared" si="7"/>
        <v>8588943</v>
      </c>
      <c r="AC11" s="27">
        <f t="shared" si="8"/>
        <v>760.06666666666672</v>
      </c>
    </row>
    <row r="12" spans="6:29" ht="30">
      <c r="F12" s="35"/>
      <c r="G12" s="34"/>
      <c r="H12" s="4" t="s">
        <v>18</v>
      </c>
      <c r="I12" s="4" t="s">
        <v>14</v>
      </c>
      <c r="J12" s="1">
        <v>10</v>
      </c>
      <c r="K12" s="2">
        <f t="shared" si="9"/>
        <v>2006</v>
      </c>
      <c r="L12" s="4" t="s">
        <v>5</v>
      </c>
      <c r="M12" s="2" t="s">
        <v>15</v>
      </c>
      <c r="N12" s="42">
        <f>'Sanctioned Plan'!C15*3</f>
        <v>11695.005000000001</v>
      </c>
      <c r="O12" s="7">
        <v>800</v>
      </c>
      <c r="P12" s="7">
        <f t="shared" si="0"/>
        <v>9356004</v>
      </c>
      <c r="Q12" s="13">
        <f t="shared" si="1"/>
        <v>17</v>
      </c>
      <c r="R12" s="13">
        <v>60</v>
      </c>
      <c r="S12" s="14">
        <v>0.05</v>
      </c>
      <c r="T12" s="15">
        <f t="shared" si="2"/>
        <v>0.26916666666666667</v>
      </c>
      <c r="U12" s="16">
        <v>1300</v>
      </c>
      <c r="V12" s="16">
        <f t="shared" si="3"/>
        <v>15203506.500000002</v>
      </c>
      <c r="W12" s="13">
        <f t="shared" si="4"/>
        <v>4092277.1662500007</v>
      </c>
      <c r="X12" s="13">
        <f t="shared" si="5"/>
        <v>11111229.333750002</v>
      </c>
      <c r="Y12" s="14">
        <f t="shared" si="10"/>
        <v>0.2</v>
      </c>
      <c r="Z12" s="13">
        <f t="shared" si="6"/>
        <v>8888983.467000002</v>
      </c>
      <c r="AA12" s="17">
        <v>1100</v>
      </c>
      <c r="AB12" s="13">
        <f t="shared" si="7"/>
        <v>12864505.500000002</v>
      </c>
      <c r="AC12" s="27">
        <f t="shared" si="8"/>
        <v>760.06666666666672</v>
      </c>
    </row>
    <row r="13" spans="6:29" ht="30">
      <c r="F13" s="35"/>
      <c r="G13" s="34"/>
      <c r="H13" s="4" t="s">
        <v>19</v>
      </c>
      <c r="I13" s="4" t="s">
        <v>20</v>
      </c>
      <c r="J13" s="1">
        <v>10</v>
      </c>
      <c r="K13" s="2">
        <f t="shared" si="9"/>
        <v>2006</v>
      </c>
      <c r="L13" s="3" t="s">
        <v>5</v>
      </c>
      <c r="M13" s="2" t="s">
        <v>15</v>
      </c>
      <c r="N13" s="42">
        <f>'Sanctioned Plan'!C16*3</f>
        <v>14837.811</v>
      </c>
      <c r="O13" s="7">
        <v>800</v>
      </c>
      <c r="P13" s="7">
        <f t="shared" si="0"/>
        <v>11870248.799999999</v>
      </c>
      <c r="Q13" s="13">
        <f t="shared" si="1"/>
        <v>17</v>
      </c>
      <c r="R13" s="13">
        <v>60</v>
      </c>
      <c r="S13" s="14">
        <v>0.05</v>
      </c>
      <c r="T13" s="15">
        <f t="shared" si="2"/>
        <v>0.26916666666666667</v>
      </c>
      <c r="U13" s="16">
        <v>1300</v>
      </c>
      <c r="V13" s="16">
        <f t="shared" si="3"/>
        <v>19289154.300000001</v>
      </c>
      <c r="W13" s="13">
        <f t="shared" si="4"/>
        <v>5191997.3657499999</v>
      </c>
      <c r="X13" s="13">
        <f t="shared" si="5"/>
        <v>14097156.934250001</v>
      </c>
      <c r="Y13" s="14">
        <f t="shared" si="10"/>
        <v>0.2</v>
      </c>
      <c r="Z13" s="13">
        <f t="shared" si="6"/>
        <v>11277725.547400001</v>
      </c>
      <c r="AA13" s="17">
        <v>1100</v>
      </c>
      <c r="AB13" s="13">
        <f t="shared" si="7"/>
        <v>16321592.1</v>
      </c>
      <c r="AC13" s="27">
        <f t="shared" si="8"/>
        <v>760.06666666666683</v>
      </c>
    </row>
    <row r="14" spans="6:29" ht="30">
      <c r="F14" s="2">
        <v>4</v>
      </c>
      <c r="G14" s="34" t="s">
        <v>21</v>
      </c>
      <c r="H14" s="34"/>
      <c r="I14" s="4" t="s">
        <v>22</v>
      </c>
      <c r="J14" s="1">
        <v>10</v>
      </c>
      <c r="K14" s="2">
        <f t="shared" si="9"/>
        <v>2006</v>
      </c>
      <c r="L14" s="3" t="s">
        <v>5</v>
      </c>
      <c r="M14" s="2" t="s">
        <v>15</v>
      </c>
      <c r="N14" s="42">
        <v>174.37</v>
      </c>
      <c r="O14" s="7">
        <v>550</v>
      </c>
      <c r="P14" s="7">
        <f t="shared" si="0"/>
        <v>95903.5</v>
      </c>
      <c r="Q14" s="13">
        <f t="shared" si="1"/>
        <v>17</v>
      </c>
      <c r="R14" s="13">
        <v>60</v>
      </c>
      <c r="S14" s="14">
        <v>0.05</v>
      </c>
      <c r="T14" s="15">
        <f t="shared" si="2"/>
        <v>0.26916666666666667</v>
      </c>
      <c r="U14" s="16">
        <v>1200</v>
      </c>
      <c r="V14" s="16">
        <f t="shared" si="3"/>
        <v>209244</v>
      </c>
      <c r="W14" s="13">
        <f t="shared" si="4"/>
        <v>56321.51</v>
      </c>
      <c r="X14" s="13">
        <f t="shared" si="5"/>
        <v>152922.49</v>
      </c>
      <c r="Y14" s="14">
        <f t="shared" si="10"/>
        <v>0.2</v>
      </c>
      <c r="Z14" s="13">
        <f t="shared" si="6"/>
        <v>122337.992</v>
      </c>
      <c r="AA14" s="17">
        <v>1100</v>
      </c>
      <c r="AB14" s="13">
        <f t="shared" si="7"/>
        <v>191807</v>
      </c>
      <c r="AC14" s="27">
        <f t="shared" si="8"/>
        <v>701.6</v>
      </c>
    </row>
    <row r="15" spans="6:29" ht="30">
      <c r="F15" s="2">
        <v>5</v>
      </c>
      <c r="G15" s="34" t="s">
        <v>23</v>
      </c>
      <c r="H15" s="34"/>
      <c r="I15" s="4" t="s">
        <v>10</v>
      </c>
      <c r="J15" s="1">
        <v>10</v>
      </c>
      <c r="K15" s="2">
        <f t="shared" si="9"/>
        <v>2006</v>
      </c>
      <c r="L15" s="3" t="s">
        <v>5</v>
      </c>
      <c r="M15" s="2" t="s">
        <v>15</v>
      </c>
      <c r="N15" s="42">
        <v>270</v>
      </c>
      <c r="O15" s="7">
        <v>550</v>
      </c>
      <c r="P15" s="7">
        <f t="shared" si="0"/>
        <v>148500</v>
      </c>
      <c r="Q15" s="13">
        <f t="shared" si="1"/>
        <v>17</v>
      </c>
      <c r="R15" s="13">
        <v>60</v>
      </c>
      <c r="S15" s="14">
        <v>0.05</v>
      </c>
      <c r="T15" s="15">
        <f t="shared" si="2"/>
        <v>0.26916666666666667</v>
      </c>
      <c r="U15" s="16">
        <v>1200</v>
      </c>
      <c r="V15" s="16">
        <f t="shared" si="3"/>
        <v>324000</v>
      </c>
      <c r="W15" s="13">
        <f t="shared" si="4"/>
        <v>87210</v>
      </c>
      <c r="X15" s="13">
        <f t="shared" si="5"/>
        <v>236790</v>
      </c>
      <c r="Y15" s="14">
        <f t="shared" si="10"/>
        <v>0.2</v>
      </c>
      <c r="Z15" s="13">
        <f t="shared" si="6"/>
        <v>189432</v>
      </c>
      <c r="AA15" s="17">
        <v>1100</v>
      </c>
      <c r="AB15" s="13">
        <f t="shared" si="7"/>
        <v>297000</v>
      </c>
      <c r="AC15" s="27">
        <f t="shared" si="8"/>
        <v>701.6</v>
      </c>
    </row>
    <row r="16" spans="6:29" s="11" customFormat="1" ht="30">
      <c r="F16" s="2">
        <v>6</v>
      </c>
      <c r="G16" s="34" t="s">
        <v>47</v>
      </c>
      <c r="H16" s="34"/>
      <c r="I16" s="4"/>
      <c r="J16" s="1"/>
      <c r="K16" s="2">
        <f t="shared" si="9"/>
        <v>2006</v>
      </c>
      <c r="L16" s="3" t="s">
        <v>5</v>
      </c>
      <c r="M16" s="2" t="s">
        <v>15</v>
      </c>
      <c r="N16" s="42">
        <f>'Sanctioned Plan'!H10</f>
        <v>1552.4299999999998</v>
      </c>
      <c r="O16" s="7"/>
      <c r="P16" s="7"/>
      <c r="Q16" s="13">
        <f t="shared" si="1"/>
        <v>17</v>
      </c>
      <c r="R16" s="13">
        <v>60</v>
      </c>
      <c r="S16" s="14">
        <v>0.05</v>
      </c>
      <c r="T16" s="15">
        <f t="shared" si="2"/>
        <v>0.26916666666666667</v>
      </c>
      <c r="U16" s="16">
        <v>1000</v>
      </c>
      <c r="V16" s="16">
        <f t="shared" si="3"/>
        <v>1552429.9999999998</v>
      </c>
      <c r="W16" s="13">
        <f t="shared" si="4"/>
        <v>417862.40833333327</v>
      </c>
      <c r="X16" s="13">
        <f t="shared" si="5"/>
        <v>1134567.5916666666</v>
      </c>
      <c r="Y16" s="14">
        <f t="shared" si="10"/>
        <v>0.2</v>
      </c>
      <c r="Z16" s="13">
        <f t="shared" si="6"/>
        <v>907654.07333333325</v>
      </c>
      <c r="AA16" s="17">
        <v>1100</v>
      </c>
      <c r="AB16" s="13">
        <f t="shared" si="7"/>
        <v>1707672.9999999998</v>
      </c>
      <c r="AC16" s="27">
        <f t="shared" si="8"/>
        <v>584.66666666666663</v>
      </c>
    </row>
    <row r="17" spans="6:28" ht="15.75">
      <c r="F17" s="36" t="s">
        <v>24</v>
      </c>
      <c r="G17" s="36"/>
      <c r="H17" s="36"/>
      <c r="I17" s="36"/>
      <c r="J17" s="36"/>
      <c r="K17" s="36"/>
      <c r="L17" s="36"/>
      <c r="M17" s="36"/>
      <c r="N17" s="26">
        <f>SUM(N7:N16)</f>
        <v>104421.106</v>
      </c>
      <c r="O17" s="24"/>
      <c r="P17" s="25">
        <f>SUM(P7:P15)</f>
        <v>75731348.299999997</v>
      </c>
      <c r="Q17" s="23"/>
      <c r="R17" s="23"/>
      <c r="S17" s="23"/>
      <c r="T17" s="23"/>
      <c r="U17" s="23"/>
      <c r="V17" s="26">
        <f>SUM(V7:V16)</f>
        <v>131944946.8</v>
      </c>
      <c r="W17" s="26">
        <f t="shared" ref="W17:AB17" si="11">SUM(W7:W16)</f>
        <v>38677573.576166667</v>
      </c>
      <c r="X17" s="26">
        <f t="shared" si="11"/>
        <v>93267373.223833337</v>
      </c>
      <c r="Y17" s="26"/>
      <c r="Z17" s="26">
        <f t="shared" si="11"/>
        <v>74613898.579066679</v>
      </c>
      <c r="AA17" s="23"/>
      <c r="AB17" s="26">
        <f t="shared" si="11"/>
        <v>114863216.59999999</v>
      </c>
    </row>
    <row r="18" spans="6:28">
      <c r="F18" s="37" t="s">
        <v>25</v>
      </c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6">
        <f>N17/10.764</f>
        <v>9700.9574507617999</v>
      </c>
    </row>
    <row r="19" spans="6:28">
      <c r="F19" s="38" t="s">
        <v>26</v>
      </c>
      <c r="G19" s="39"/>
      <c r="H19" s="39"/>
      <c r="I19" s="39"/>
      <c r="J19" s="39"/>
      <c r="K19" s="39"/>
      <c r="L19" s="39"/>
      <c r="M19" s="39"/>
      <c r="N19" s="39"/>
      <c r="O19" s="39"/>
      <c r="P19" s="40"/>
      <c r="S19" s="21">
        <f>R8-Q8</f>
        <v>28</v>
      </c>
    </row>
    <row r="20" spans="6:28">
      <c r="F20" s="30" t="s">
        <v>27</v>
      </c>
      <c r="G20" s="31"/>
      <c r="H20" s="31"/>
      <c r="I20" s="31"/>
      <c r="J20" s="31"/>
      <c r="K20" s="31"/>
      <c r="L20" s="31"/>
      <c r="M20" s="31"/>
      <c r="N20" s="31"/>
      <c r="O20" s="31"/>
      <c r="P20" s="31"/>
      <c r="S20" s="21">
        <f>R9-Q9</f>
        <v>43</v>
      </c>
    </row>
  </sheetData>
  <mergeCells count="13">
    <mergeCell ref="F20:P20"/>
    <mergeCell ref="F5:P5"/>
    <mergeCell ref="G6:H6"/>
    <mergeCell ref="G7:H7"/>
    <mergeCell ref="G8:H8"/>
    <mergeCell ref="F9:F13"/>
    <mergeCell ref="G9:G13"/>
    <mergeCell ref="G14:H14"/>
    <mergeCell ref="G15:H15"/>
    <mergeCell ref="F17:M17"/>
    <mergeCell ref="F18:P18"/>
    <mergeCell ref="F19:P19"/>
    <mergeCell ref="G16:H16"/>
  </mergeCells>
  <dataValidations disablePrompts="1" count="2">
    <dataValidation type="list" allowBlank="1" showInputMessage="1" showErrorMessage="1" sqref="M20 M7:M16">
      <formula1>"Very Good, Good, Average, Poor, Ordinary with wreckages in the structure"</formula1>
    </dataValidation>
    <dataValidation type="list" allowBlank="1" showInputMessage="1" showErrorMessage="1" sqref="L8 L20">
      <formula1>$K$2:$K$13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6"/>
  <sheetViews>
    <sheetView workbookViewId="0">
      <selection activeCell="I23" sqref="I23"/>
    </sheetView>
  </sheetViews>
  <sheetFormatPr defaultRowHeight="15"/>
  <cols>
    <col min="3" max="5" width="10" style="5" bestFit="1" customWidth="1"/>
    <col min="6" max="7" width="9.140625" style="5"/>
    <col min="8" max="8" width="11.5703125" style="5" bestFit="1" customWidth="1"/>
    <col min="9" max="9" width="31.140625" bestFit="1" customWidth="1"/>
    <col min="10" max="10" width="11.5703125" bestFit="1" customWidth="1"/>
    <col min="11" max="11" width="10" bestFit="1" customWidth="1"/>
    <col min="12" max="12" width="15.42578125" bestFit="1" customWidth="1"/>
    <col min="13" max="13" width="12.5703125" bestFit="1" customWidth="1"/>
    <col min="15" max="15" width="10" bestFit="1" customWidth="1"/>
  </cols>
  <sheetData>
    <row r="1" spans="2:15">
      <c r="I1" s="5">
        <v>87118.38</v>
      </c>
      <c r="J1" s="5">
        <v>9679.82</v>
      </c>
      <c r="K1" s="5">
        <v>8093.49</v>
      </c>
    </row>
    <row r="3" spans="2:15">
      <c r="C3" s="10" t="s">
        <v>10</v>
      </c>
      <c r="D3" s="6">
        <v>1</v>
      </c>
      <c r="E3" s="6">
        <v>2</v>
      </c>
      <c r="F3" s="6">
        <v>3</v>
      </c>
      <c r="G3" s="6">
        <v>4</v>
      </c>
      <c r="K3" s="6">
        <v>25000</v>
      </c>
      <c r="L3" s="6">
        <f>K3*J1</f>
        <v>241995500</v>
      </c>
      <c r="M3" s="21">
        <f>L3/2</f>
        <v>120997750</v>
      </c>
    </row>
    <row r="4" spans="2:15">
      <c r="B4" t="s">
        <v>42</v>
      </c>
      <c r="C4" s="5">
        <v>6232.25</v>
      </c>
      <c r="D4" s="5">
        <v>6232.25</v>
      </c>
      <c r="E4" s="5">
        <v>6232.25</v>
      </c>
      <c r="F4" s="5">
        <v>6232.25</v>
      </c>
      <c r="G4" s="5">
        <v>6232.25</v>
      </c>
      <c r="H4" s="5">
        <f>SUM(C4:G4)</f>
        <v>31161.25</v>
      </c>
    </row>
    <row r="5" spans="2:15">
      <c r="B5" t="s">
        <v>43</v>
      </c>
      <c r="C5" s="5">
        <v>32042.25</v>
      </c>
      <c r="H5" s="5">
        <f t="shared" ref="H5:H8" si="0">SUM(C5:G5)</f>
        <v>32042.25</v>
      </c>
    </row>
    <row r="6" spans="2:15">
      <c r="B6" t="s">
        <v>44</v>
      </c>
      <c r="C6" s="5">
        <v>13073.602000000001</v>
      </c>
      <c r="D6" s="5">
        <v>13073.602000000001</v>
      </c>
      <c r="E6" s="5">
        <v>13073.602000000001</v>
      </c>
      <c r="H6" s="5">
        <f t="shared" si="0"/>
        <v>39220.806000000004</v>
      </c>
    </row>
    <row r="7" spans="2:15">
      <c r="B7" t="s">
        <v>45</v>
      </c>
      <c r="C7" s="5">
        <v>174.37</v>
      </c>
      <c r="H7" s="5">
        <f t="shared" si="0"/>
        <v>174.37</v>
      </c>
    </row>
    <row r="8" spans="2:15">
      <c r="B8" t="s">
        <v>46</v>
      </c>
      <c r="C8" s="5">
        <v>270</v>
      </c>
      <c r="H8" s="5">
        <f t="shared" si="0"/>
        <v>270</v>
      </c>
    </row>
    <row r="9" spans="2:15">
      <c r="C9" s="18">
        <f>SUM(C4:C8)</f>
        <v>51792.472000000002</v>
      </c>
      <c r="D9" s="18">
        <f t="shared" ref="D9:H9" si="1">SUM(D4:D8)</f>
        <v>19305.851999999999</v>
      </c>
      <c r="E9" s="18">
        <f t="shared" si="1"/>
        <v>19305.851999999999</v>
      </c>
      <c r="F9" s="18">
        <f t="shared" si="1"/>
        <v>6232.25</v>
      </c>
      <c r="G9" s="18">
        <f t="shared" si="1"/>
        <v>6232.25</v>
      </c>
      <c r="H9" s="18">
        <f t="shared" si="1"/>
        <v>102868.67600000001</v>
      </c>
      <c r="I9" s="20"/>
    </row>
    <row r="10" spans="2:15" s="11" customFormat="1">
      <c r="B10" s="11" t="s">
        <v>47</v>
      </c>
      <c r="C10" s="18">
        <v>235.75</v>
      </c>
      <c r="D10" s="5">
        <v>205</v>
      </c>
      <c r="E10" s="5">
        <v>370.56</v>
      </c>
      <c r="F10" s="5">
        <f>E10</f>
        <v>370.56</v>
      </c>
      <c r="G10" s="5">
        <f>F10</f>
        <v>370.56</v>
      </c>
      <c r="H10" s="5">
        <f>SUM(C10:G10)</f>
        <v>1552.4299999999998</v>
      </c>
      <c r="O10" s="11" t="s">
        <v>54</v>
      </c>
    </row>
    <row r="11" spans="2:15" s="11" customFormat="1">
      <c r="C11" s="18"/>
      <c r="D11" s="5"/>
      <c r="E11" s="5"/>
      <c r="F11" s="5"/>
      <c r="G11" s="5"/>
      <c r="H11" s="5">
        <f>H10+H9</f>
        <v>104421.106</v>
      </c>
      <c r="I11" s="20">
        <f>H11/I1</f>
        <v>1.1986116592158853</v>
      </c>
      <c r="J11" s="11" t="s">
        <v>48</v>
      </c>
      <c r="O11" s="6">
        <v>35000</v>
      </c>
    </row>
    <row r="12" spans="2:15">
      <c r="C12" s="5">
        <v>250</v>
      </c>
      <c r="I12" s="20">
        <f>H4/I1</f>
        <v>0.35768858420002758</v>
      </c>
    </row>
    <row r="13" spans="2:15">
      <c r="C13" s="5">
        <v>1376.62</v>
      </c>
    </row>
    <row r="14" spans="2:15">
      <c r="C14" s="5">
        <v>2602.71</v>
      </c>
    </row>
    <row r="15" spans="2:15">
      <c r="C15" s="5">
        <v>3898.335</v>
      </c>
      <c r="I15" t="s">
        <v>49</v>
      </c>
      <c r="J15" s="21">
        <f>K15*I1</f>
        <v>108897.97500000001</v>
      </c>
      <c r="K15" s="22">
        <v>1.25</v>
      </c>
    </row>
    <row r="16" spans="2:15">
      <c r="C16" s="5">
        <v>4945.9369999999999</v>
      </c>
      <c r="I16" s="11" t="s">
        <v>50</v>
      </c>
      <c r="J16" s="21">
        <f>K16*I1</f>
        <v>52271.027999999998</v>
      </c>
      <c r="K16" s="22">
        <v>0.6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J25"/>
  <sheetViews>
    <sheetView tabSelected="1" workbookViewId="0">
      <selection activeCell="E26" sqref="E26"/>
    </sheetView>
  </sheetViews>
  <sheetFormatPr defaultRowHeight="15"/>
  <cols>
    <col min="3" max="3" width="12.42578125" bestFit="1" customWidth="1"/>
    <col min="4" max="4" width="14.28515625" bestFit="1" customWidth="1"/>
    <col min="5" max="5" width="14.42578125" bestFit="1" customWidth="1"/>
    <col min="10" max="10" width="16.85546875" bestFit="1" customWidth="1"/>
  </cols>
  <sheetData>
    <row r="4" spans="3:10">
      <c r="C4" s="5">
        <v>2</v>
      </c>
      <c r="D4" s="6">
        <v>40000000</v>
      </c>
      <c r="E4" s="21">
        <f>D4*C4</f>
        <v>80000000</v>
      </c>
    </row>
    <row r="5" spans="3:10">
      <c r="E5" s="21"/>
    </row>
    <row r="6" spans="3:10">
      <c r="C6" s="29" t="s">
        <v>55</v>
      </c>
    </row>
    <row r="7" spans="3:10">
      <c r="C7" s="19">
        <f>C4</f>
        <v>2</v>
      </c>
      <c r="D7" s="6">
        <f>6000000*5</f>
        <v>30000000</v>
      </c>
      <c r="E7" s="6">
        <f>D7*C7</f>
        <v>60000000</v>
      </c>
    </row>
    <row r="8" spans="3:10">
      <c r="E8" s="6">
        <f>bUILDING!AB17</f>
        <v>114863216.59999999</v>
      </c>
    </row>
    <row r="9" spans="3:10">
      <c r="E9" s="21">
        <f>SUM(E7:E8)</f>
        <v>174863216.59999999</v>
      </c>
    </row>
    <row r="11" spans="3:10">
      <c r="C11">
        <v>12</v>
      </c>
      <c r="D11">
        <f>E11/20</f>
        <v>0.5</v>
      </c>
      <c r="E11">
        <v>10</v>
      </c>
      <c r="J11">
        <f>1.9*10^5</f>
        <v>190000</v>
      </c>
    </row>
    <row r="12" spans="3:10">
      <c r="C12">
        <v>8</v>
      </c>
      <c r="D12" s="11">
        <f>E12/20</f>
        <v>0.5</v>
      </c>
      <c r="E12">
        <v>10</v>
      </c>
      <c r="J12" s="6">
        <f>J11*8500</f>
        <v>1615000000</v>
      </c>
    </row>
    <row r="13" spans="3:10">
      <c r="C13" s="5">
        <f>SUM(C11:D12)</f>
        <v>21</v>
      </c>
    </row>
    <row r="14" spans="3:10">
      <c r="C14" s="28">
        <f>C13/8</f>
        <v>2.625</v>
      </c>
    </row>
    <row r="15" spans="3:10">
      <c r="C15" s="5">
        <f>C14*4047</f>
        <v>10623.375</v>
      </c>
    </row>
    <row r="18" spans="4:5">
      <c r="D18" s="29" t="s">
        <v>56</v>
      </c>
    </row>
    <row r="19" spans="4:5">
      <c r="D19" t="s">
        <v>57</v>
      </c>
      <c r="E19" s="6">
        <f>E4</f>
        <v>80000000</v>
      </c>
    </row>
    <row r="20" spans="4:5">
      <c r="D20" t="s">
        <v>58</v>
      </c>
      <c r="E20" s="6">
        <f>bUILDING!Z17</f>
        <v>74613898.579066679</v>
      </c>
    </row>
    <row r="21" spans="4:5">
      <c r="D21" t="s">
        <v>59</v>
      </c>
      <c r="E21" s="6">
        <v>1000000</v>
      </c>
    </row>
    <row r="22" spans="4:5">
      <c r="E22" s="21">
        <f>SUM(E19:E21)</f>
        <v>155613898.57906669</v>
      </c>
    </row>
    <row r="23" spans="4:5">
      <c r="E23" s="5">
        <v>15.56</v>
      </c>
    </row>
    <row r="24" spans="4:5">
      <c r="E24" s="5">
        <f>E23*0.85</f>
        <v>13.226000000000001</v>
      </c>
    </row>
    <row r="25" spans="4:5">
      <c r="E25" s="5">
        <f>E23*0.75</f>
        <v>11.67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bUILDING</vt:lpstr>
      <vt:lpstr>Sanctioned Plan</vt:lpstr>
      <vt:lpstr>LAND and Summary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Udit Kumar Dubey</dc:creator>
  <cp:lastModifiedBy>Adil Afaque</cp:lastModifiedBy>
  <dcterms:created xsi:type="dcterms:W3CDTF">2020-12-29T07:00:28Z</dcterms:created>
  <dcterms:modified xsi:type="dcterms:W3CDTF">2023-01-16T08:56:16Z</dcterms:modified>
</cp:coreProperties>
</file>