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Rahul Gupta\In progress\HPL\VIS(2022-23)-PL558-452-772\"/>
    </mc:Choice>
  </mc:AlternateContent>
  <bookViews>
    <workbookView xWindow="0" yWindow="0" windowWidth="20490" windowHeight="7755" activeTab="2"/>
  </bookViews>
  <sheets>
    <sheet name="working" sheetId="2" r:id="rId1"/>
    <sheet name="Sheet1" sheetId="1" r:id="rId2"/>
    <sheet name="Sheet2" sheetId="3" r:id="rId3"/>
    <sheet name="Sheet3"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0" i="3" l="1"/>
  <c r="K10" i="3"/>
  <c r="A3" i="3"/>
  <c r="S3" i="2"/>
  <c r="J11" i="2" l="1"/>
  <c r="M11" i="2"/>
  <c r="P11" i="2" s="1"/>
  <c r="Q11" i="2" s="1"/>
  <c r="S11" i="2" s="1"/>
  <c r="O11" i="2"/>
  <c r="J12" i="2"/>
  <c r="M12" i="2"/>
  <c r="O12" i="2"/>
  <c r="J13" i="2"/>
  <c r="M13" i="2"/>
  <c r="O13" i="2"/>
  <c r="J14" i="2"/>
  <c r="P14" i="2" s="1"/>
  <c r="M14" i="2"/>
  <c r="O14" i="2"/>
  <c r="J15" i="2"/>
  <c r="M15" i="2"/>
  <c r="O15" i="2"/>
  <c r="J9" i="2"/>
  <c r="M9" i="2"/>
  <c r="O9" i="2"/>
  <c r="P9" i="2" s="1"/>
  <c r="G15" i="2"/>
  <c r="G14" i="2"/>
  <c r="G13" i="2"/>
  <c r="G12" i="2"/>
  <c r="G11" i="2"/>
  <c r="G10" i="2"/>
  <c r="G9" i="2"/>
  <c r="G8" i="2"/>
  <c r="G7" i="2"/>
  <c r="G6" i="2"/>
  <c r="G4" i="2"/>
  <c r="G5" i="2"/>
  <c r="G3" i="2"/>
  <c r="Z4" i="2"/>
  <c r="K14" i="4"/>
  <c r="K12" i="4"/>
  <c r="P15" i="2" l="1"/>
  <c r="Q15" i="2" s="1"/>
  <c r="S15" i="2" s="1"/>
  <c r="P12" i="2"/>
  <c r="Q12" i="2" s="1"/>
  <c r="S12" i="2" s="1"/>
  <c r="P13" i="2"/>
  <c r="Q13" i="2" s="1"/>
  <c r="S13" i="2" s="1"/>
  <c r="Q14" i="2"/>
  <c r="S14" i="2" s="1"/>
  <c r="Q9" i="2"/>
  <c r="S9" i="2" s="1"/>
  <c r="F31" i="2"/>
  <c r="F30" i="2"/>
  <c r="F28" i="2"/>
  <c r="X5" i="2" l="1"/>
  <c r="Y7" i="2" l="1"/>
  <c r="Y8" i="2" s="1"/>
  <c r="M4" i="2"/>
  <c r="M5" i="2"/>
  <c r="M6" i="2"/>
  <c r="M7" i="2"/>
  <c r="M8" i="2"/>
  <c r="M10" i="2"/>
  <c r="M3" i="2"/>
  <c r="J4" i="2"/>
  <c r="J5" i="2"/>
  <c r="J6" i="2"/>
  <c r="J7" i="2"/>
  <c r="J8" i="2"/>
  <c r="J10" i="2"/>
  <c r="J3" i="2"/>
  <c r="O4" i="2" l="1"/>
  <c r="O10" i="2"/>
  <c r="O8" i="2"/>
  <c r="O7" i="2"/>
  <c r="O6" i="2"/>
  <c r="O5" i="2"/>
  <c r="P10" i="2" l="1"/>
  <c r="Q10" i="2" s="1"/>
  <c r="S10" i="2" s="1"/>
  <c r="P6" i="2"/>
  <c r="Q6" i="2" s="1"/>
  <c r="S6" i="2" s="1"/>
  <c r="P5" i="2"/>
  <c r="Q5" i="2" s="1"/>
  <c r="S5" i="2" s="1"/>
  <c r="P7" i="2"/>
  <c r="Q7" i="2" s="1"/>
  <c r="S7" i="2" s="1"/>
  <c r="P8" i="2"/>
  <c r="Q8" i="2" s="1"/>
  <c r="S8" i="2" s="1"/>
  <c r="P4" i="2"/>
  <c r="Q4" i="2" s="1"/>
  <c r="S4" i="2" s="1"/>
  <c r="O3" i="2" l="1"/>
  <c r="I3" i="3"/>
  <c r="G3" i="3"/>
  <c r="D3" i="3"/>
  <c r="P3" i="2" l="1"/>
  <c r="Q3" i="2" s="1"/>
  <c r="O17" i="2"/>
  <c r="J3" i="3"/>
  <c r="K3" i="3" s="1"/>
  <c r="M3" i="3" s="1"/>
  <c r="S17" i="2" l="1"/>
  <c r="Q17" i="2"/>
  <c r="U17" i="2" l="1"/>
  <c r="F17" i="2"/>
  <c r="G17" i="2"/>
</calcChain>
</file>

<file path=xl/sharedStrings.xml><?xml version="1.0" encoding="utf-8"?>
<sst xmlns="http://schemas.openxmlformats.org/spreadsheetml/2006/main" count="82" uniqueCount="58">
  <si>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</si>
  <si>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</si>
  <si>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</si>
  <si>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</si>
  <si>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</si>
  <si>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</si>
  <si>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</si>
  <si>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</si>
  <si>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</si>
  <si>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</si>
  <si>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</si>
  <si>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</si>
  <si>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</si>
  <si>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</si>
  <si>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</si>
  <si>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</si>
  <si>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Details of Building</t>
  </si>
  <si>
    <t>4.We have taken the year of construction from information provided to us during the survey.</t>
  </si>
  <si>
    <t>Floor</t>
  </si>
  <si>
    <t>Ground Floor</t>
  </si>
  <si>
    <t>2.The subject property is consturcted with different type of structures..</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</si>
  <si>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</si>
  <si>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</si>
  <si>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</si>
  <si>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</si>
  <si>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</si>
  <si>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</si>
  <si>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</si>
  <si>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 xml:space="preserve">5.As per our site survey we have observed the maintenance of the building is good . </t>
  </si>
  <si>
    <t>Block A</t>
  </si>
  <si>
    <t>Block B</t>
  </si>
  <si>
    <t>Height in Feet</t>
  </si>
  <si>
    <t>Brick wall, Iron Pillar Truss GI Shed</t>
  </si>
  <si>
    <t>RCC framed pillar beam column on RCC slab</t>
  </si>
  <si>
    <t xml:space="preserve">Land Area </t>
  </si>
  <si>
    <t xml:space="preserve">Address </t>
  </si>
  <si>
    <t xml:space="preserve">Industrial Plot No.76-B, Sector- 57, Industrial Estate , Kundali, </t>
  </si>
  <si>
    <t>Pruchased Price</t>
  </si>
  <si>
    <t>Block C</t>
  </si>
  <si>
    <t>D Block</t>
  </si>
  <si>
    <t>E Block</t>
  </si>
  <si>
    <t>F Bridge Area</t>
  </si>
  <si>
    <t>Guard Room</t>
  </si>
  <si>
    <t>Mumty Area</t>
  </si>
  <si>
    <t>Total Covered Area (in sq.mtr)</t>
  </si>
  <si>
    <t>Total CoveredArea 
(in sq ft)</t>
  </si>
  <si>
    <t>G+3</t>
  </si>
  <si>
    <t>G+2</t>
  </si>
  <si>
    <t xml:space="preserve">Basement </t>
  </si>
  <si>
    <t xml:space="preserve">A Block </t>
  </si>
  <si>
    <t xml:space="preserve">B Block </t>
  </si>
  <si>
    <t xml:space="preserve">C Block </t>
  </si>
  <si>
    <t xml:space="preserve">D Block </t>
  </si>
  <si>
    <t>-</t>
  </si>
  <si>
    <t>1. All the details pertaing to the building area statement such as area, floor, etc has been taken from the documents provided to us by the bank/client.</t>
  </si>
  <si>
    <t>6.We have considered the covered area as per the  approved building plan done during the site survey  i.e 2,37,849 sq.ft only.</t>
  </si>
  <si>
    <t xml:space="preserve">BUILDING VALUATION OF  M/S.HPL ELECTRIC &amp; POWER LIMITED |SITUATED AT INDUSTRIAL PLOT NO. 76-B, SECTOR- 57, INDUSTRIAL ESTATE, KUNDLI, SONIPAT, HARYANA
</t>
  </si>
  <si>
    <t xml:space="preserve">As per the discussion with the property dealer of the subject locality we came to know that there availability of vacant land in the nearby is less. However according to him some industries/factories are available for sale within the abovementioned range.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</si>
</sst>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
      <sz val="10"/>
      <color theme="1"/>
      <name val="Arial"/>
      <family val="2"/>
    </font>
  </fonts>
  <fills count="6">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5" fillId="0" borderId="0" xfId="0" applyFont="1" applyAlignment="1">
      <alignment vertical="center"/>
    </xf>
    <xf numFmtId="165" fontId="0" fillId="0" borderId="0" xfId="0" applyNumberFormat="1"/>
    <xf numFmtId="43" fontId="0" fillId="0" borderId="0" xfId="0" applyNumberFormat="1"/>
    <xf numFmtId="43" fontId="0" fillId="0" borderId="1" xfId="6" applyFont="1" applyBorder="1" applyAlignment="1">
      <alignment horizontal="center" vertical="center" wrapText="1"/>
    </xf>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9" fontId="0" fillId="5" borderId="1" xfId="2" applyFont="1" applyFill="1" applyBorder="1" applyAlignment="1">
      <alignment horizontal="center" vertical="center" wrapText="1"/>
    </xf>
    <xf numFmtId="165" fontId="0" fillId="5" borderId="1" xfId="1" applyNumberFormat="1" applyFont="1" applyFill="1" applyBorder="1" applyAlignment="1">
      <alignment horizontal="center" vertical="center" wrapText="1"/>
    </xf>
    <xf numFmtId="166" fontId="0" fillId="0" borderId="1" xfId="6" applyNumberFormat="1" applyFont="1" applyBorder="1" applyAlignment="1">
      <alignment horizontal="center" vertical="center" wrapText="1"/>
    </xf>
    <xf numFmtId="166" fontId="2" fillId="0" borderId="1" xfId="6" applyNumberFormat="1" applyFont="1" applyBorder="1" applyAlignment="1">
      <alignment horizontal="right" vertical="center" wrapText="1"/>
    </xf>
    <xf numFmtId="166" fontId="2" fillId="0" borderId="1" xfId="6" applyNumberFormat="1" applyFont="1" applyBorder="1" applyAlignment="1">
      <alignment horizontal="center" vertical="center" wrapText="1"/>
    </xf>
    <xf numFmtId="166" fontId="0" fillId="0" borderId="0" xfId="0" applyNumberFormat="1"/>
    <xf numFmtId="0" fontId="3" fillId="3" borderId="2" xfId="0" applyFont="1" applyFill="1" applyBorder="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8" fillId="0" borderId="0" xfId="0" applyFont="1"/>
  </cellXfs>
  <cellStyles count="13">
    <cellStyle name="40% - Accent1" xfId="3" builtinId="31"/>
    <cellStyle name="Comma" xfId="6" builtinId="3"/>
    <cellStyle name="Comma 2" xfId="4"/>
    <cellStyle name="Comma 2 2" xfId="10"/>
    <cellStyle name="Comma 3" xfId="12"/>
    <cellStyle name="Comma 4" xfId="8"/>
    <cellStyle name="Currency" xfId="1" builtinId="4"/>
    <cellStyle name="Currency 2" xfId="5"/>
    <cellStyle name="Currency 2 2" xfId="9"/>
    <cellStyle name="Currency 3" xfId="11"/>
    <cellStyle name="Currency 4" xf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opLeftCell="H10" workbookViewId="0">
      <selection activeCell="S3" sqref="S3"/>
    </sheetView>
  </sheetViews>
  <sheetFormatPr defaultRowHeight="15" x14ac:dyDescent="0.25"/>
  <cols>
    <col min="1" max="1" width="4.140625" customWidth="1"/>
    <col min="2" max="2" width="12.7109375" customWidth="1"/>
    <col min="3" max="3" width="9.85546875" customWidth="1"/>
    <col min="4" max="4" width="9" bestFit="1" customWidth="1"/>
    <col min="5" max="5" width="22.140625" customWidth="1"/>
    <col min="6" max="7" width="8.42578125" customWidth="1"/>
    <col min="8" max="8" width="11.140625" bestFit="1" customWidth="1"/>
    <col min="9" max="9" width="5.5703125" bestFit="1" customWidth="1"/>
    <col min="10" max="10" width="10.42578125" bestFit="1" customWidth="1"/>
    <col min="11" max="11" width="9.42578125" bestFit="1" customWidth="1"/>
    <col min="12" max="12" width="7.7109375" customWidth="1"/>
    <col min="13" max="13" width="6.5703125" customWidth="1"/>
    <col min="14" max="14" width="11.85546875" bestFit="1" customWidth="1"/>
    <col min="15" max="15" width="14.28515625" bestFit="1" customWidth="1"/>
    <col min="16" max="16" width="13.28515625" bestFit="1" customWidth="1"/>
    <col min="17" max="17" width="13.28515625" customWidth="1"/>
    <col min="18" max="18" width="8.28515625" customWidth="1"/>
    <col min="19" max="19" width="13.28515625" customWidth="1"/>
    <col min="21" max="21" width="5.85546875" bestFit="1" customWidth="1"/>
    <col min="24" max="24" width="3" bestFit="1" customWidth="1"/>
    <col min="25" max="25" width="12" bestFit="1" customWidth="1"/>
    <col min="26" max="26" width="5" bestFit="1" customWidth="1"/>
  </cols>
  <sheetData>
    <row r="1" spans="1:26" ht="55.5" customHeight="1" x14ac:dyDescent="0.25">
      <c r="A1" s="28" t="s">
        <v>56</v>
      </c>
      <c r="B1" s="28"/>
      <c r="C1" s="28"/>
      <c r="D1" s="28"/>
      <c r="E1" s="28"/>
      <c r="F1" s="28"/>
      <c r="G1" s="28"/>
      <c r="H1" s="28"/>
      <c r="I1" s="28"/>
      <c r="J1" s="28"/>
      <c r="K1" s="28"/>
      <c r="L1" s="28"/>
      <c r="M1" s="28"/>
      <c r="N1" s="28"/>
      <c r="O1" s="28"/>
      <c r="P1" s="28"/>
      <c r="Q1" s="28"/>
      <c r="R1" s="28"/>
      <c r="S1" s="28"/>
    </row>
    <row r="2" spans="1:26" ht="60" x14ac:dyDescent="0.25">
      <c r="A2" s="1" t="s">
        <v>0</v>
      </c>
      <c r="B2" s="1" t="s">
        <v>16</v>
      </c>
      <c r="C2" s="1" t="s">
        <v>18</v>
      </c>
      <c r="D2" s="1" t="s">
        <v>31</v>
      </c>
      <c r="E2" s="1" t="s">
        <v>1</v>
      </c>
      <c r="F2" s="1" t="s">
        <v>44</v>
      </c>
      <c r="G2" s="1" t="s">
        <v>45</v>
      </c>
      <c r="H2" s="1" t="s">
        <v>23</v>
      </c>
      <c r="I2" s="1" t="s">
        <v>2</v>
      </c>
      <c r="J2" s="1" t="s">
        <v>3</v>
      </c>
      <c r="K2" s="1" t="s">
        <v>4</v>
      </c>
      <c r="L2" s="1" t="s">
        <v>5</v>
      </c>
      <c r="M2" s="1" t="s">
        <v>6</v>
      </c>
      <c r="N2" s="1" t="s">
        <v>7</v>
      </c>
      <c r="O2" s="1" t="s">
        <v>8</v>
      </c>
      <c r="P2" s="1" t="s">
        <v>9</v>
      </c>
      <c r="Q2" s="1" t="s">
        <v>10</v>
      </c>
      <c r="R2" s="2" t="s">
        <v>15</v>
      </c>
      <c r="S2" s="1" t="s">
        <v>11</v>
      </c>
    </row>
    <row r="3" spans="1:26" ht="30" customHeight="1" x14ac:dyDescent="0.25">
      <c r="A3" s="3">
        <v>1</v>
      </c>
      <c r="B3" s="3" t="s">
        <v>29</v>
      </c>
      <c r="C3" s="3" t="s">
        <v>19</v>
      </c>
      <c r="D3" s="3">
        <v>45</v>
      </c>
      <c r="E3" s="35" t="s">
        <v>33</v>
      </c>
      <c r="F3" s="24">
        <v>375</v>
      </c>
      <c r="G3" s="24">
        <f>F3*10.7639</f>
        <v>4036.4624999999996</v>
      </c>
      <c r="H3" s="3">
        <v>2011</v>
      </c>
      <c r="I3" s="3">
        <v>2023</v>
      </c>
      <c r="J3" s="3">
        <f t="shared" ref="J3:J10" si="0">I3-H3</f>
        <v>12</v>
      </c>
      <c r="K3" s="3">
        <v>60</v>
      </c>
      <c r="L3" s="4">
        <v>0.1</v>
      </c>
      <c r="M3" s="5">
        <f t="shared" ref="M3:M10" si="1">(1-L3)/K3</f>
        <v>1.5000000000000001E-2</v>
      </c>
      <c r="N3" s="6">
        <v>1500</v>
      </c>
      <c r="O3" s="6">
        <f t="shared" ref="O3:O10" si="2">N3*G3</f>
        <v>6054693.7499999991</v>
      </c>
      <c r="P3" s="6">
        <f t="shared" ref="P3:P10" si="3">O3*M3*J3</f>
        <v>1089844.875</v>
      </c>
      <c r="Q3" s="6">
        <f t="shared" ref="Q3:Q10" si="4">MAX(O3-P3,0)</f>
        <v>4964848.8749999991</v>
      </c>
      <c r="R3" s="22">
        <v>0</v>
      </c>
      <c r="S3" s="23">
        <f>IF(Q3&gt;L3*O3,Q3*(1-R3),O3*L3)</f>
        <v>4964848.8749999991</v>
      </c>
    </row>
    <row r="4" spans="1:26" ht="30" customHeight="1" x14ac:dyDescent="0.25">
      <c r="A4" s="3">
        <v>2</v>
      </c>
      <c r="B4" s="3" t="s">
        <v>30</v>
      </c>
      <c r="C4" s="3" t="s">
        <v>46</v>
      </c>
      <c r="D4" s="3">
        <v>45</v>
      </c>
      <c r="E4" s="36"/>
      <c r="F4" s="24">
        <v>7551.55</v>
      </c>
      <c r="G4" s="24">
        <f t="shared" ref="G4:G15" si="5">F4*10.7639</f>
        <v>81284.129044999994</v>
      </c>
      <c r="H4" s="3">
        <v>2011</v>
      </c>
      <c r="I4" s="3">
        <v>2023</v>
      </c>
      <c r="J4" s="3">
        <f t="shared" si="0"/>
        <v>12</v>
      </c>
      <c r="K4" s="3">
        <v>60</v>
      </c>
      <c r="L4" s="4">
        <v>0.1</v>
      </c>
      <c r="M4" s="5">
        <f t="shared" si="1"/>
        <v>1.5000000000000001E-2</v>
      </c>
      <c r="N4" s="6">
        <v>1500</v>
      </c>
      <c r="O4" s="6">
        <f t="shared" si="2"/>
        <v>121926193.5675</v>
      </c>
      <c r="P4" s="6">
        <f t="shared" si="3"/>
        <v>21946714.842149999</v>
      </c>
      <c r="Q4" s="6">
        <f t="shared" si="4"/>
        <v>99979478.725349993</v>
      </c>
      <c r="R4" s="22">
        <v>0</v>
      </c>
      <c r="S4" s="23">
        <f t="shared" ref="S3:S10" si="6">IF(Q4&gt;L4*O4,Q4*(1-R4),O4*L4)</f>
        <v>99979478.725349993</v>
      </c>
      <c r="Z4">
        <f>7551+2448</f>
        <v>9999</v>
      </c>
    </row>
    <row r="5" spans="1:26" ht="30" customHeight="1" x14ac:dyDescent="0.25">
      <c r="A5" s="3">
        <v>3</v>
      </c>
      <c r="B5" s="3" t="s">
        <v>38</v>
      </c>
      <c r="C5" s="3" t="s">
        <v>47</v>
      </c>
      <c r="D5" s="3">
        <v>12</v>
      </c>
      <c r="E5" s="37"/>
      <c r="F5" s="24">
        <v>2016</v>
      </c>
      <c r="G5" s="24">
        <f t="shared" si="5"/>
        <v>21700.022399999998</v>
      </c>
      <c r="H5" s="3">
        <v>2011</v>
      </c>
      <c r="I5" s="3">
        <v>2023</v>
      </c>
      <c r="J5" s="3">
        <f t="shared" si="0"/>
        <v>12</v>
      </c>
      <c r="K5" s="3">
        <v>60</v>
      </c>
      <c r="L5" s="4">
        <v>0.1</v>
      </c>
      <c r="M5" s="5">
        <f t="shared" si="1"/>
        <v>1.5000000000000001E-2</v>
      </c>
      <c r="N5" s="6">
        <v>1500</v>
      </c>
      <c r="O5" s="6">
        <f t="shared" si="2"/>
        <v>32550033.599999998</v>
      </c>
      <c r="P5" s="6">
        <f t="shared" si="3"/>
        <v>5859006.0480000004</v>
      </c>
      <c r="Q5" s="6">
        <f t="shared" si="4"/>
        <v>26691027.551999997</v>
      </c>
      <c r="R5" s="22">
        <v>0</v>
      </c>
      <c r="S5" s="23">
        <f t="shared" si="6"/>
        <v>26691027.551999997</v>
      </c>
      <c r="X5">
        <f>65-28</f>
        <v>37</v>
      </c>
    </row>
    <row r="6" spans="1:26" ht="30" x14ac:dyDescent="0.25">
      <c r="A6" s="3">
        <v>4</v>
      </c>
      <c r="B6" s="3" t="s">
        <v>39</v>
      </c>
      <c r="C6" s="3" t="s">
        <v>19</v>
      </c>
      <c r="D6" s="3">
        <v>40</v>
      </c>
      <c r="E6" s="3" t="s">
        <v>32</v>
      </c>
      <c r="F6" s="24">
        <v>2856</v>
      </c>
      <c r="G6" s="24">
        <f t="shared" si="5"/>
        <v>30741.698399999997</v>
      </c>
      <c r="H6" s="3">
        <v>2011</v>
      </c>
      <c r="I6" s="3">
        <v>2023</v>
      </c>
      <c r="J6" s="3">
        <f t="shared" si="0"/>
        <v>12</v>
      </c>
      <c r="K6" s="3">
        <v>45</v>
      </c>
      <c r="L6" s="4">
        <v>0.1</v>
      </c>
      <c r="M6" s="5">
        <f t="shared" si="1"/>
        <v>0.02</v>
      </c>
      <c r="N6" s="6">
        <v>1200</v>
      </c>
      <c r="O6" s="6">
        <f t="shared" si="2"/>
        <v>36890038.079999998</v>
      </c>
      <c r="P6" s="6">
        <f t="shared" si="3"/>
        <v>8853609.1392000001</v>
      </c>
      <c r="Q6" s="6">
        <f t="shared" si="4"/>
        <v>28036428.940799996</v>
      </c>
      <c r="R6" s="22">
        <v>0</v>
      </c>
      <c r="S6" s="23">
        <f t="shared" si="6"/>
        <v>28036428.940799996</v>
      </c>
    </row>
    <row r="7" spans="1:26" ht="30" customHeight="1" x14ac:dyDescent="0.25">
      <c r="A7" s="3">
        <v>5</v>
      </c>
      <c r="B7" s="3" t="s">
        <v>40</v>
      </c>
      <c r="C7" s="3" t="s">
        <v>46</v>
      </c>
      <c r="D7" s="3">
        <v>12</v>
      </c>
      <c r="E7" s="35" t="s">
        <v>33</v>
      </c>
      <c r="F7" s="24">
        <v>2016</v>
      </c>
      <c r="G7" s="24">
        <f t="shared" si="5"/>
        <v>21700.022399999998</v>
      </c>
      <c r="H7" s="3">
        <v>2011</v>
      </c>
      <c r="I7" s="3">
        <v>2023</v>
      </c>
      <c r="J7" s="3">
        <f t="shared" si="0"/>
        <v>12</v>
      </c>
      <c r="K7" s="3">
        <v>60</v>
      </c>
      <c r="L7" s="4">
        <v>0.1</v>
      </c>
      <c r="M7" s="5">
        <f t="shared" si="1"/>
        <v>1.5000000000000001E-2</v>
      </c>
      <c r="N7" s="6">
        <v>1500</v>
      </c>
      <c r="O7" s="6">
        <f t="shared" si="2"/>
        <v>32550033.599999998</v>
      </c>
      <c r="P7" s="6">
        <f t="shared" si="3"/>
        <v>5859006.0480000004</v>
      </c>
      <c r="Q7" s="6">
        <f t="shared" si="4"/>
        <v>26691027.551999997</v>
      </c>
      <c r="R7" s="22">
        <v>0</v>
      </c>
      <c r="S7" s="23">
        <f t="shared" si="6"/>
        <v>26691027.551999997</v>
      </c>
      <c r="Y7">
        <f>9855.44</f>
        <v>9855.44</v>
      </c>
    </row>
    <row r="8" spans="1:26" ht="30" customHeight="1" x14ac:dyDescent="0.25">
      <c r="A8" s="3">
        <v>6</v>
      </c>
      <c r="B8" s="3" t="s">
        <v>41</v>
      </c>
      <c r="C8" s="3" t="s">
        <v>19</v>
      </c>
      <c r="D8" s="3">
        <v>12</v>
      </c>
      <c r="E8" s="36"/>
      <c r="F8" s="24">
        <v>16.515999999999998</v>
      </c>
      <c r="G8" s="24">
        <f t="shared" si="5"/>
        <v>177.77657239999996</v>
      </c>
      <c r="H8" s="3">
        <v>2011</v>
      </c>
      <c r="I8" s="3">
        <v>2023</v>
      </c>
      <c r="J8" s="3">
        <f t="shared" si="0"/>
        <v>12</v>
      </c>
      <c r="K8" s="3">
        <v>60</v>
      </c>
      <c r="L8" s="4">
        <v>0.1</v>
      </c>
      <c r="M8" s="5">
        <f t="shared" si="1"/>
        <v>1.5000000000000001E-2</v>
      </c>
      <c r="N8" s="6">
        <v>1500</v>
      </c>
      <c r="O8" s="6">
        <f t="shared" si="2"/>
        <v>266664.85859999992</v>
      </c>
      <c r="P8" s="6">
        <f t="shared" si="3"/>
        <v>47999.674547999988</v>
      </c>
      <c r="Q8" s="6">
        <f t="shared" si="4"/>
        <v>218665.18405199994</v>
      </c>
      <c r="R8" s="22">
        <v>0</v>
      </c>
      <c r="S8" s="23">
        <f t="shared" si="6"/>
        <v>218665.18405199994</v>
      </c>
      <c r="Y8">
        <f>Y7*10.7639</f>
        <v>106082.97061600001</v>
      </c>
    </row>
    <row r="9" spans="1:26" ht="30" customHeight="1" x14ac:dyDescent="0.25">
      <c r="A9" s="3">
        <v>7</v>
      </c>
      <c r="B9" s="3" t="s">
        <v>42</v>
      </c>
      <c r="C9" s="3" t="s">
        <v>19</v>
      </c>
      <c r="D9" s="3">
        <v>10</v>
      </c>
      <c r="E9" s="36"/>
      <c r="F9" s="24">
        <v>18</v>
      </c>
      <c r="G9" s="24">
        <f t="shared" si="5"/>
        <v>193.75020000000001</v>
      </c>
      <c r="H9" s="3">
        <v>2011</v>
      </c>
      <c r="I9" s="3">
        <v>2023</v>
      </c>
      <c r="J9" s="3">
        <f t="shared" ref="J9" si="7">I9-H9</f>
        <v>12</v>
      </c>
      <c r="K9" s="3">
        <v>60</v>
      </c>
      <c r="L9" s="4">
        <v>0.1</v>
      </c>
      <c r="M9" s="5">
        <f t="shared" ref="M9" si="8">(1-L9)/K9</f>
        <v>1.5000000000000001E-2</v>
      </c>
      <c r="N9" s="6">
        <v>1500</v>
      </c>
      <c r="O9" s="6">
        <f t="shared" ref="O9" si="9">N9*G9</f>
        <v>290625.3</v>
      </c>
      <c r="P9" s="6">
        <f t="shared" ref="P9" si="10">O9*M9*J9</f>
        <v>52312.554000000004</v>
      </c>
      <c r="Q9" s="6">
        <f t="shared" ref="Q9" si="11">MAX(O9-P9,0)</f>
        <v>238312.74599999998</v>
      </c>
      <c r="R9" s="22">
        <v>0</v>
      </c>
      <c r="S9" s="23">
        <f t="shared" ref="S9" si="12">IF(Q9&gt;L9*O9,Q9*(1-R9),O9*L9)</f>
        <v>238312.74599999998</v>
      </c>
    </row>
    <row r="10" spans="1:26" ht="30" customHeight="1" x14ac:dyDescent="0.25">
      <c r="A10" s="3">
        <v>8</v>
      </c>
      <c r="B10" s="3" t="s">
        <v>43</v>
      </c>
      <c r="C10" s="3" t="s">
        <v>19</v>
      </c>
      <c r="D10" s="3">
        <v>12</v>
      </c>
      <c r="E10" s="37"/>
      <c r="F10" s="24">
        <v>392.84</v>
      </c>
      <c r="G10" s="24">
        <f t="shared" si="5"/>
        <v>4228.4904759999999</v>
      </c>
      <c r="H10" s="3">
        <v>2011</v>
      </c>
      <c r="I10" s="3">
        <v>2023</v>
      </c>
      <c r="J10" s="3">
        <f t="shared" si="0"/>
        <v>12</v>
      </c>
      <c r="K10" s="3">
        <v>60</v>
      </c>
      <c r="L10" s="4">
        <v>0.1</v>
      </c>
      <c r="M10" s="5">
        <f t="shared" si="1"/>
        <v>1.5000000000000001E-2</v>
      </c>
      <c r="N10" s="6">
        <v>1500</v>
      </c>
      <c r="O10" s="6">
        <f t="shared" si="2"/>
        <v>6342735.7139999997</v>
      </c>
      <c r="P10" s="6">
        <f t="shared" si="3"/>
        <v>1141692.4285200001</v>
      </c>
      <c r="Q10" s="6">
        <f t="shared" si="4"/>
        <v>5201043.2854800001</v>
      </c>
      <c r="R10" s="22">
        <v>0</v>
      </c>
      <c r="S10" s="23">
        <f t="shared" si="6"/>
        <v>5201043.2854800001</v>
      </c>
    </row>
    <row r="11" spans="1:26" ht="30" customHeight="1" x14ac:dyDescent="0.25">
      <c r="A11" s="3">
        <v>9</v>
      </c>
      <c r="B11" s="3" t="s">
        <v>49</v>
      </c>
      <c r="C11" s="3" t="s">
        <v>48</v>
      </c>
      <c r="D11" s="3" t="s">
        <v>53</v>
      </c>
      <c r="E11" s="35" t="s">
        <v>33</v>
      </c>
      <c r="F11" s="24">
        <v>375</v>
      </c>
      <c r="G11" s="24">
        <f t="shared" si="5"/>
        <v>4036.4624999999996</v>
      </c>
      <c r="H11" s="3">
        <v>2011</v>
      </c>
      <c r="I11" s="3">
        <v>2023</v>
      </c>
      <c r="J11" s="3">
        <f t="shared" ref="J11:J15" si="13">I11-H11</f>
        <v>12</v>
      </c>
      <c r="K11" s="3">
        <v>60</v>
      </c>
      <c r="L11" s="4">
        <v>0.1</v>
      </c>
      <c r="M11" s="5">
        <f t="shared" ref="M11:M15" si="14">(1-L11)/K11</f>
        <v>1.5000000000000001E-2</v>
      </c>
      <c r="N11" s="6">
        <v>1200</v>
      </c>
      <c r="O11" s="6">
        <f t="shared" ref="O11:O15" si="15">N11*G11</f>
        <v>4843755</v>
      </c>
      <c r="P11" s="6">
        <f t="shared" ref="P11:P15" si="16">O11*M11*J11</f>
        <v>871875.90000000014</v>
      </c>
      <c r="Q11" s="6">
        <f t="shared" ref="Q11:Q15" si="17">MAX(O11-P11,0)</f>
        <v>3971879.0999999996</v>
      </c>
      <c r="R11" s="22">
        <v>0</v>
      </c>
      <c r="S11" s="23">
        <f t="shared" ref="S11:S15" si="18">IF(Q11&gt;L11*O11,Q11*(1-R11),O11*L11)</f>
        <v>3971879.0999999996</v>
      </c>
    </row>
    <row r="12" spans="1:26" ht="30" customHeight="1" x14ac:dyDescent="0.25">
      <c r="A12" s="3">
        <v>10</v>
      </c>
      <c r="B12" s="3" t="s">
        <v>50</v>
      </c>
      <c r="C12" s="3" t="s">
        <v>48</v>
      </c>
      <c r="D12" s="3" t="s">
        <v>53</v>
      </c>
      <c r="E12" s="36"/>
      <c r="F12" s="24">
        <v>2448</v>
      </c>
      <c r="G12" s="24">
        <f t="shared" si="5"/>
        <v>26350.0272</v>
      </c>
      <c r="H12" s="3">
        <v>2011</v>
      </c>
      <c r="I12" s="3">
        <v>2023</v>
      </c>
      <c r="J12" s="3">
        <f t="shared" si="13"/>
        <v>12</v>
      </c>
      <c r="K12" s="3">
        <v>60</v>
      </c>
      <c r="L12" s="4">
        <v>0.1</v>
      </c>
      <c r="M12" s="5">
        <f t="shared" si="14"/>
        <v>1.5000000000000001E-2</v>
      </c>
      <c r="N12" s="6">
        <v>1200</v>
      </c>
      <c r="O12" s="6">
        <f t="shared" si="15"/>
        <v>31620032.640000001</v>
      </c>
      <c r="P12" s="6">
        <f t="shared" si="16"/>
        <v>5691605.8752000006</v>
      </c>
      <c r="Q12" s="6">
        <f t="shared" si="17"/>
        <v>25928426.764800001</v>
      </c>
      <c r="R12" s="22">
        <v>0</v>
      </c>
      <c r="S12" s="23">
        <f t="shared" si="18"/>
        <v>25928426.764800001</v>
      </c>
    </row>
    <row r="13" spans="1:26" ht="30" customHeight="1" x14ac:dyDescent="0.25">
      <c r="A13" s="3">
        <v>11</v>
      </c>
      <c r="B13" s="3" t="s">
        <v>51</v>
      </c>
      <c r="C13" s="3" t="s">
        <v>48</v>
      </c>
      <c r="D13" s="3" t="s">
        <v>53</v>
      </c>
      <c r="E13" s="36"/>
      <c r="F13" s="24">
        <v>672</v>
      </c>
      <c r="G13" s="24">
        <f t="shared" si="5"/>
        <v>7233.3407999999999</v>
      </c>
      <c r="H13" s="3">
        <v>2011</v>
      </c>
      <c r="I13" s="3">
        <v>2023</v>
      </c>
      <c r="J13" s="3">
        <f t="shared" si="13"/>
        <v>12</v>
      </c>
      <c r="K13" s="3">
        <v>60</v>
      </c>
      <c r="L13" s="4">
        <v>0.1</v>
      </c>
      <c r="M13" s="5">
        <f t="shared" si="14"/>
        <v>1.5000000000000001E-2</v>
      </c>
      <c r="N13" s="6">
        <v>1200</v>
      </c>
      <c r="O13" s="6">
        <f t="shared" si="15"/>
        <v>8680008.959999999</v>
      </c>
      <c r="P13" s="6">
        <f t="shared" si="16"/>
        <v>1562401.6128</v>
      </c>
      <c r="Q13" s="6">
        <f t="shared" si="17"/>
        <v>7117607.3471999988</v>
      </c>
      <c r="R13" s="22">
        <v>0</v>
      </c>
      <c r="S13" s="23">
        <f t="shared" si="18"/>
        <v>7117607.3471999988</v>
      </c>
    </row>
    <row r="14" spans="1:26" ht="30" customHeight="1" x14ac:dyDescent="0.25">
      <c r="A14" s="3">
        <v>12</v>
      </c>
      <c r="B14" s="3" t="s">
        <v>52</v>
      </c>
      <c r="C14" s="3" t="s">
        <v>48</v>
      </c>
      <c r="D14" s="3" t="s">
        <v>53</v>
      </c>
      <c r="E14" s="36"/>
      <c r="F14" s="24">
        <v>2856</v>
      </c>
      <c r="G14" s="24">
        <f t="shared" si="5"/>
        <v>30741.698399999997</v>
      </c>
      <c r="H14" s="3">
        <v>2011</v>
      </c>
      <c r="I14" s="3">
        <v>2023</v>
      </c>
      <c r="J14" s="3">
        <f t="shared" si="13"/>
        <v>12</v>
      </c>
      <c r="K14" s="3">
        <v>60</v>
      </c>
      <c r="L14" s="4">
        <v>0.1</v>
      </c>
      <c r="M14" s="5">
        <f t="shared" si="14"/>
        <v>1.5000000000000001E-2</v>
      </c>
      <c r="N14" s="6">
        <v>1200</v>
      </c>
      <c r="O14" s="6">
        <f t="shared" si="15"/>
        <v>36890038.079999998</v>
      </c>
      <c r="P14" s="6">
        <f t="shared" si="16"/>
        <v>6640206.8543999996</v>
      </c>
      <c r="Q14" s="6">
        <f t="shared" si="17"/>
        <v>30249831.225599997</v>
      </c>
      <c r="R14" s="22">
        <v>0</v>
      </c>
      <c r="S14" s="23">
        <f t="shared" si="18"/>
        <v>30249831.225599997</v>
      </c>
    </row>
    <row r="15" spans="1:26" ht="30" customHeight="1" x14ac:dyDescent="0.25">
      <c r="A15" s="3">
        <v>13</v>
      </c>
      <c r="B15" s="3" t="s">
        <v>40</v>
      </c>
      <c r="C15" s="3" t="s">
        <v>48</v>
      </c>
      <c r="D15" s="3" t="s">
        <v>53</v>
      </c>
      <c r="E15" s="37"/>
      <c r="F15" s="24">
        <v>504</v>
      </c>
      <c r="G15" s="24">
        <f t="shared" si="5"/>
        <v>5425.0055999999995</v>
      </c>
      <c r="H15" s="3">
        <v>2011</v>
      </c>
      <c r="I15" s="3">
        <v>2023</v>
      </c>
      <c r="J15" s="3">
        <f t="shared" si="13"/>
        <v>12</v>
      </c>
      <c r="K15" s="3">
        <v>60</v>
      </c>
      <c r="L15" s="4">
        <v>0.1</v>
      </c>
      <c r="M15" s="5">
        <f t="shared" si="14"/>
        <v>1.5000000000000001E-2</v>
      </c>
      <c r="N15" s="6">
        <v>1200</v>
      </c>
      <c r="O15" s="6">
        <f t="shared" si="15"/>
        <v>6510006.7199999997</v>
      </c>
      <c r="P15" s="6">
        <f t="shared" si="16"/>
        <v>1171801.2095999999</v>
      </c>
      <c r="Q15" s="6">
        <f t="shared" si="17"/>
        <v>5338205.5104</v>
      </c>
      <c r="R15" s="22">
        <v>0</v>
      </c>
      <c r="S15" s="23">
        <f t="shared" si="18"/>
        <v>5338205.5104</v>
      </c>
    </row>
    <row r="16" spans="1:26" x14ac:dyDescent="0.25">
      <c r="A16" s="3"/>
      <c r="B16" s="3"/>
      <c r="C16" s="3"/>
      <c r="D16" s="3"/>
      <c r="E16" s="3"/>
      <c r="F16" s="13"/>
      <c r="G16" s="24"/>
      <c r="H16" s="3"/>
      <c r="I16" s="3"/>
      <c r="J16" s="3"/>
      <c r="K16" s="3"/>
      <c r="L16" s="4"/>
      <c r="M16" s="5"/>
      <c r="N16" s="6"/>
      <c r="O16" s="6"/>
      <c r="P16" s="6"/>
      <c r="Q16" s="6"/>
      <c r="R16" s="7"/>
      <c r="S16" s="6"/>
    </row>
    <row r="17" spans="1:22" x14ac:dyDescent="0.25">
      <c r="A17" s="33" t="s">
        <v>12</v>
      </c>
      <c r="B17" s="33"/>
      <c r="C17" s="33"/>
      <c r="D17" s="33"/>
      <c r="E17" s="33"/>
      <c r="F17" s="26">
        <f>SUM(F3:F16)</f>
        <v>22096.905999999999</v>
      </c>
      <c r="G17" s="25">
        <f>SUM(G3:G16)</f>
        <v>237848.8864934</v>
      </c>
      <c r="H17" s="33"/>
      <c r="I17" s="33"/>
      <c r="J17" s="33"/>
      <c r="K17" s="33"/>
      <c r="L17" s="33"/>
      <c r="M17" s="33"/>
      <c r="N17" s="33"/>
      <c r="O17" s="8">
        <f>SUM(O3:O16)</f>
        <v>325414859.87009996</v>
      </c>
      <c r="P17" s="8"/>
      <c r="Q17" s="8">
        <f>SUM(Q3:Q16)</f>
        <v>264626782.80868196</v>
      </c>
      <c r="R17" s="9"/>
      <c r="S17" s="8">
        <f>SUM(S3:S16)</f>
        <v>264626782.80868196</v>
      </c>
      <c r="U17" t="e">
        <f>S17/#REF!</f>
        <v>#REF!</v>
      </c>
    </row>
    <row r="18" spans="1:22" x14ac:dyDescent="0.25">
      <c r="A18" s="34" t="s">
        <v>13</v>
      </c>
      <c r="B18" s="34"/>
      <c r="C18" s="34"/>
      <c r="D18" s="34"/>
      <c r="E18" s="34"/>
      <c r="F18" s="34"/>
      <c r="G18" s="34"/>
      <c r="H18" s="34"/>
      <c r="I18" s="34"/>
      <c r="J18" s="34"/>
      <c r="K18" s="34"/>
      <c r="L18" s="34"/>
      <c r="M18" s="34"/>
      <c r="N18" s="34"/>
      <c r="O18" s="34"/>
      <c r="P18" s="34"/>
      <c r="Q18" s="34"/>
      <c r="R18" s="34"/>
      <c r="S18" s="34"/>
    </row>
    <row r="19" spans="1:22" x14ac:dyDescent="0.25">
      <c r="A19" s="29" t="s">
        <v>54</v>
      </c>
      <c r="B19" s="29"/>
      <c r="C19" s="29"/>
      <c r="D19" s="29"/>
      <c r="E19" s="29"/>
      <c r="F19" s="29"/>
      <c r="G19" s="29"/>
      <c r="H19" s="29"/>
      <c r="I19" s="29"/>
      <c r="J19" s="29"/>
      <c r="K19" s="29"/>
      <c r="L19" s="29"/>
      <c r="M19" s="29"/>
      <c r="N19" s="29"/>
      <c r="O19" s="29"/>
      <c r="P19" s="29"/>
      <c r="Q19" s="29"/>
      <c r="R19" s="29"/>
      <c r="S19" s="29"/>
    </row>
    <row r="20" spans="1:22" x14ac:dyDescent="0.25">
      <c r="A20" s="29" t="s">
        <v>20</v>
      </c>
      <c r="B20" s="29"/>
      <c r="C20" s="29"/>
      <c r="D20" s="29"/>
      <c r="E20" s="29"/>
      <c r="F20" s="29"/>
      <c r="G20" s="29"/>
      <c r="H20" s="29"/>
      <c r="I20" s="29"/>
      <c r="J20" s="29"/>
      <c r="K20" s="29"/>
      <c r="L20" s="29"/>
      <c r="M20" s="29"/>
      <c r="N20" s="29"/>
      <c r="O20" s="29"/>
      <c r="P20" s="29"/>
      <c r="Q20" s="29"/>
      <c r="R20" s="29"/>
      <c r="S20" s="29"/>
    </row>
    <row r="21" spans="1:22" x14ac:dyDescent="0.25">
      <c r="A21" s="29" t="s">
        <v>14</v>
      </c>
      <c r="B21" s="29"/>
      <c r="C21" s="29"/>
      <c r="D21" s="29"/>
      <c r="E21" s="29"/>
      <c r="F21" s="29"/>
      <c r="G21" s="29"/>
      <c r="H21" s="29"/>
      <c r="I21" s="29"/>
      <c r="J21" s="29"/>
      <c r="K21" s="29"/>
      <c r="L21" s="29"/>
      <c r="M21" s="29"/>
      <c r="N21" s="29"/>
      <c r="O21" s="29"/>
      <c r="P21" s="29"/>
      <c r="Q21" s="29"/>
      <c r="R21" s="29"/>
      <c r="S21" s="29"/>
    </row>
    <row r="22" spans="1:22" x14ac:dyDescent="0.25">
      <c r="A22" s="29" t="s">
        <v>17</v>
      </c>
      <c r="B22" s="29"/>
      <c r="C22" s="29"/>
      <c r="D22" s="29"/>
      <c r="E22" s="29"/>
      <c r="F22" s="29"/>
      <c r="G22" s="29"/>
      <c r="H22" s="29"/>
      <c r="I22" s="29"/>
      <c r="J22" s="29"/>
      <c r="K22" s="29"/>
      <c r="L22" s="29"/>
      <c r="M22" s="29"/>
      <c r="N22" s="29"/>
      <c r="O22" s="29"/>
      <c r="P22" s="29"/>
      <c r="Q22" s="29"/>
      <c r="R22" s="29"/>
      <c r="S22" s="29"/>
    </row>
    <row r="23" spans="1:22" x14ac:dyDescent="0.25">
      <c r="A23" s="30" t="s">
        <v>28</v>
      </c>
      <c r="B23" s="31"/>
      <c r="C23" s="31"/>
      <c r="D23" s="31"/>
      <c r="E23" s="31"/>
      <c r="F23" s="31"/>
      <c r="G23" s="31"/>
      <c r="H23" s="31"/>
      <c r="I23" s="31"/>
      <c r="J23" s="31"/>
      <c r="K23" s="31"/>
      <c r="L23" s="31"/>
      <c r="M23" s="31"/>
      <c r="N23" s="31"/>
      <c r="O23" s="31"/>
      <c r="P23" s="31"/>
      <c r="Q23" s="31"/>
      <c r="R23" s="31"/>
      <c r="S23" s="32"/>
    </row>
    <row r="24" spans="1:22" x14ac:dyDescent="0.25">
      <c r="A24" s="29" t="s">
        <v>55</v>
      </c>
      <c r="B24" s="29"/>
      <c r="C24" s="29"/>
      <c r="D24" s="29"/>
      <c r="E24" s="29"/>
      <c r="F24" s="29"/>
      <c r="G24" s="29"/>
      <c r="H24" s="29"/>
      <c r="I24" s="29"/>
      <c r="J24" s="29"/>
      <c r="K24" s="29"/>
      <c r="L24" s="29"/>
      <c r="M24" s="29"/>
      <c r="N24" s="29"/>
      <c r="O24" s="29"/>
      <c r="P24" s="29"/>
      <c r="Q24" s="29"/>
      <c r="R24" s="29"/>
      <c r="S24" s="29"/>
      <c r="T24" s="10"/>
      <c r="U24" s="10"/>
      <c r="V24" s="10"/>
    </row>
    <row r="26" spans="1:22" x14ac:dyDescent="0.25">
      <c r="G26" s="12"/>
    </row>
    <row r="28" spans="1:22" x14ac:dyDescent="0.25">
      <c r="F28">
        <f>338*12500</f>
        <v>4225000</v>
      </c>
    </row>
    <row r="29" spans="1:22" x14ac:dyDescent="0.25">
      <c r="L29" s="11"/>
    </row>
    <row r="30" spans="1:22" x14ac:dyDescent="0.25">
      <c r="F30" s="14">
        <f>9730*6000</f>
        <v>58380000</v>
      </c>
    </row>
    <row r="31" spans="1:22" x14ac:dyDescent="0.25">
      <c r="F31" s="27">
        <f>SUM(F28:F30)</f>
        <v>62605000</v>
      </c>
    </row>
  </sheetData>
  <mergeCells count="13">
    <mergeCell ref="A1:S1"/>
    <mergeCell ref="A24:S24"/>
    <mergeCell ref="A21:S21"/>
    <mergeCell ref="A22:S22"/>
    <mergeCell ref="A23:S23"/>
    <mergeCell ref="A17:E17"/>
    <mergeCell ref="H17:N17"/>
    <mergeCell ref="A18:S18"/>
    <mergeCell ref="A19:S19"/>
    <mergeCell ref="A20:S20"/>
    <mergeCell ref="E3:E5"/>
    <mergeCell ref="E7:E10"/>
    <mergeCell ref="E11:E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5"/>
  <sheetViews>
    <sheetView workbookViewId="0">
      <selection activeCell="C3" sqref="C3:I7"/>
    </sheetView>
  </sheetViews>
  <sheetFormatPr defaultRowHeight="15" x14ac:dyDescent="0.25"/>
  <cols>
    <col min="2" max="2" width="12.42578125" bestFit="1" customWidth="1"/>
    <col min="3" max="3" width="14.28515625" bestFit="1" customWidth="1"/>
    <col min="5" max="5" width="14.28515625" bestFit="1" customWidth="1"/>
  </cols>
  <sheetData>
    <row r="5" spans="3:5" x14ac:dyDescent="0.25">
      <c r="C5" s="14"/>
      <c r="E5"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workbookViewId="0">
      <selection activeCell="Q4" sqref="Q4"/>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7" ht="15.75" x14ac:dyDescent="0.25">
      <c r="A1" s="28" t="s">
        <v>21</v>
      </c>
      <c r="B1" s="28"/>
      <c r="C1" s="28"/>
      <c r="D1" s="28"/>
      <c r="E1" s="28"/>
      <c r="F1" s="28"/>
      <c r="G1" s="28"/>
      <c r="H1" s="28"/>
      <c r="I1" s="28"/>
      <c r="J1" s="28"/>
      <c r="K1" s="28"/>
      <c r="L1" s="28"/>
      <c r="M1" s="28"/>
    </row>
    <row r="2" spans="1:17" ht="105" x14ac:dyDescent="0.25">
      <c r="A2" s="15" t="s">
        <v>22</v>
      </c>
      <c r="B2" s="15" t="s">
        <v>23</v>
      </c>
      <c r="C2" s="15" t="s">
        <v>2</v>
      </c>
      <c r="D2" s="15" t="s">
        <v>24</v>
      </c>
      <c r="E2" s="15" t="s">
        <v>25</v>
      </c>
      <c r="F2" s="15" t="s">
        <v>5</v>
      </c>
      <c r="G2" s="15" t="s">
        <v>6</v>
      </c>
      <c r="H2" s="15" t="s">
        <v>26</v>
      </c>
      <c r="I2" s="15" t="s">
        <v>8</v>
      </c>
      <c r="J2" s="15" t="s">
        <v>9</v>
      </c>
      <c r="K2" s="15" t="s">
        <v>10</v>
      </c>
      <c r="L2" s="15" t="s">
        <v>27</v>
      </c>
      <c r="M2" s="15" t="s">
        <v>11</v>
      </c>
    </row>
    <row r="3" spans="1:17" x14ac:dyDescent="0.25">
      <c r="A3" s="16">
        <f>450*3.28</f>
        <v>1476</v>
      </c>
      <c r="B3" s="17">
        <v>2021</v>
      </c>
      <c r="C3" s="17">
        <v>2022</v>
      </c>
      <c r="D3" s="17">
        <f>C3-B3</f>
        <v>1</v>
      </c>
      <c r="E3" s="17">
        <v>60</v>
      </c>
      <c r="F3" s="18">
        <v>0.1</v>
      </c>
      <c r="G3" s="19">
        <f>(1-F3)/E3</f>
        <v>1.5000000000000001E-2</v>
      </c>
      <c r="H3" s="20">
        <v>1400</v>
      </c>
      <c r="I3" s="20">
        <f>H3*A3</f>
        <v>2066400</v>
      </c>
      <c r="J3" s="20">
        <f>I3*G3*D3</f>
        <v>30996.000000000004</v>
      </c>
      <c r="K3" s="20">
        <f>MAX(I3-J3,0)</f>
        <v>2035404</v>
      </c>
      <c r="L3" s="21">
        <v>0</v>
      </c>
      <c r="M3" s="20">
        <f>IF(K3&gt;F3*I3,K3*(1-L3),I3*F3)</f>
        <v>2035404</v>
      </c>
    </row>
    <row r="4" spans="1:17" x14ac:dyDescent="0.25">
      <c r="Q4" s="38" t="s">
        <v>57</v>
      </c>
    </row>
    <row r="10" spans="1:17" x14ac:dyDescent="0.25">
      <c r="K10">
        <f>78*0.75</f>
        <v>58.5</v>
      </c>
      <c r="O10">
        <f>33*12300</f>
        <v>405900</v>
      </c>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K14"/>
  <sheetViews>
    <sheetView workbookViewId="0">
      <selection activeCell="K14" sqref="K14"/>
    </sheetView>
  </sheetViews>
  <sheetFormatPr defaultRowHeight="15" x14ac:dyDescent="0.25"/>
  <cols>
    <col min="4" max="4" width="15.140625" bestFit="1" customWidth="1"/>
    <col min="6" max="6" width="10" bestFit="1" customWidth="1"/>
    <col min="9" max="9" width="10" bestFit="1" customWidth="1"/>
    <col min="11" max="11" width="10" bestFit="1" customWidth="1"/>
  </cols>
  <sheetData>
    <row r="3" spans="4:11" x14ac:dyDescent="0.25">
      <c r="D3" t="s">
        <v>34</v>
      </c>
      <c r="E3">
        <v>12300</v>
      </c>
    </row>
    <row r="5" spans="4:11" x14ac:dyDescent="0.25">
      <c r="D5" t="s">
        <v>35</v>
      </c>
      <c r="E5" t="s">
        <v>36</v>
      </c>
    </row>
    <row r="7" spans="4:11" x14ac:dyDescent="0.25">
      <c r="D7" t="s">
        <v>37</v>
      </c>
      <c r="E7">
        <v>70597326</v>
      </c>
    </row>
    <row r="12" spans="4:11" x14ac:dyDescent="0.25">
      <c r="K12">
        <f>320000000</f>
        <v>320000000</v>
      </c>
    </row>
    <row r="13" spans="4:11" x14ac:dyDescent="0.25">
      <c r="K13">
        <v>5.62</v>
      </c>
    </row>
    <row r="14" spans="4:11" x14ac:dyDescent="0.25">
      <c r="K14">
        <f>K12/K13</f>
        <v>56939501.77935943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2023-01-18T11:55:05Z</dcterms:modified>
</cp:coreProperties>
</file>