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7520" windowHeight="13140" activeTab="5"/>
  </bookViews>
  <sheets>
    <sheet name="Project Cost" sheetId="1" r:id="rId1"/>
    <sheet name="Project Details" sheetId="4" r:id="rId2"/>
    <sheet name="Dep" sheetId="3" r:id="rId3"/>
    <sheet name="Bank Interest" sheetId="2" r:id="rId4"/>
    <sheet name="Other Assets" sheetId="5" r:id="rId5"/>
    <sheet name="Plant &amp; Machinery" sheetId="6" r:id="rId6"/>
    <sheet name="BS Proj." sheetId="9" r:id="rId7"/>
    <sheet name="Sheet1" sheetId="10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1" i="4" l="1"/>
  <c r="E111" i="4"/>
  <c r="F111" i="4"/>
  <c r="G111" i="4"/>
  <c r="H111" i="4"/>
  <c r="I111" i="4"/>
  <c r="J111" i="4"/>
  <c r="K111" i="4"/>
  <c r="L111" i="4"/>
  <c r="C111" i="4"/>
  <c r="E18" i="2" l="1"/>
  <c r="C24" i="1"/>
  <c r="C23" i="1"/>
  <c r="J17" i="1"/>
  <c r="K14" i="1"/>
  <c r="K11" i="1"/>
  <c r="K12" i="1"/>
  <c r="K15" i="1" s="1"/>
  <c r="K13" i="1"/>
  <c r="I15" i="1"/>
  <c r="J15" i="1"/>
  <c r="E5" i="2"/>
  <c r="F16" i="1" l="1"/>
  <c r="B17" i="1"/>
  <c r="K24" i="1"/>
  <c r="M24" i="1" s="1"/>
  <c r="K23" i="1"/>
  <c r="M23" i="1" s="1"/>
  <c r="M25" i="1" l="1"/>
  <c r="K25" i="1"/>
  <c r="C19" i="9"/>
  <c r="B12" i="9"/>
  <c r="B38" i="4"/>
  <c r="L39" i="4" s="1"/>
  <c r="B32" i="4"/>
  <c r="I33" i="4" s="1"/>
  <c r="B25" i="4"/>
  <c r="K26" i="4" s="1"/>
  <c r="K12" i="9"/>
  <c r="B19" i="9"/>
  <c r="B18" i="4"/>
  <c r="I19" i="4" s="1"/>
  <c r="B12" i="4"/>
  <c r="L13" i="4" s="1"/>
  <c r="K4" i="9"/>
  <c r="L3" i="3"/>
  <c r="K3" i="3"/>
  <c r="L137" i="2"/>
  <c r="L80" i="4" s="1"/>
  <c r="J137" i="2"/>
  <c r="G139" i="2"/>
  <c r="C13" i="6"/>
  <c r="C12" i="9"/>
  <c r="L129" i="2"/>
  <c r="K80" i="4" s="1"/>
  <c r="J129" i="2"/>
  <c r="L117" i="2"/>
  <c r="J80" i="4" s="1"/>
  <c r="J117" i="2"/>
  <c r="L105" i="2"/>
  <c r="I80" i="4" s="1"/>
  <c r="J105" i="2"/>
  <c r="L93" i="2"/>
  <c r="H80" i="4" s="1"/>
  <c r="J93" i="2"/>
  <c r="L81" i="2"/>
  <c r="G80" i="4" s="1"/>
  <c r="G98" i="4" s="1"/>
  <c r="J81" i="2"/>
  <c r="L69" i="2"/>
  <c r="F80" i="4" s="1"/>
  <c r="J69" i="2"/>
  <c r="L57" i="2"/>
  <c r="E80" i="4" s="1"/>
  <c r="J57" i="2"/>
  <c r="L45" i="2"/>
  <c r="D80" i="4" s="1"/>
  <c r="J45" i="2"/>
  <c r="L33" i="2"/>
  <c r="J33" i="2"/>
  <c r="L21" i="2"/>
  <c r="J21" i="2"/>
  <c r="B26" i="1"/>
  <c r="J10" i="9" l="1"/>
  <c r="L98" i="4"/>
  <c r="C10" i="9"/>
  <c r="E98" i="4"/>
  <c r="G10" i="9"/>
  <c r="I98" i="4"/>
  <c r="I10" i="9"/>
  <c r="K98" i="4"/>
  <c r="B10" i="9"/>
  <c r="B9" i="9" s="1"/>
  <c r="C106" i="4" s="1"/>
  <c r="D98" i="4"/>
  <c r="D10" i="9"/>
  <c r="F98" i="4"/>
  <c r="F10" i="9"/>
  <c r="H98" i="4"/>
  <c r="H10" i="9"/>
  <c r="J98" i="4"/>
  <c r="L33" i="4"/>
  <c r="D33" i="4"/>
  <c r="E10" i="9"/>
  <c r="G152" i="4"/>
  <c r="G33" i="4"/>
  <c r="J33" i="4"/>
  <c r="L139" i="2"/>
  <c r="D39" i="4"/>
  <c r="H39" i="4"/>
  <c r="E39" i="4"/>
  <c r="I39" i="4"/>
  <c r="J39" i="4"/>
  <c r="F39" i="4"/>
  <c r="C39" i="4"/>
  <c r="G39" i="4"/>
  <c r="K39" i="4"/>
  <c r="F33" i="4"/>
  <c r="K33" i="4"/>
  <c r="C33" i="4"/>
  <c r="H33" i="4"/>
  <c r="E33" i="4"/>
  <c r="G26" i="4"/>
  <c r="D26" i="4"/>
  <c r="H26" i="4"/>
  <c r="E26" i="4"/>
  <c r="I26" i="4"/>
  <c r="L26" i="4"/>
  <c r="F26" i="4"/>
  <c r="J26" i="4"/>
  <c r="C26" i="4"/>
  <c r="H19" i="4"/>
  <c r="J19" i="4"/>
  <c r="D19" i="4"/>
  <c r="L19" i="4"/>
  <c r="F19" i="4"/>
  <c r="C19" i="4"/>
  <c r="G19" i="4"/>
  <c r="K19" i="4"/>
  <c r="E19" i="4"/>
  <c r="K19" i="9"/>
  <c r="C80" i="4"/>
  <c r="C4" i="9"/>
  <c r="D4" i="9"/>
  <c r="E4" i="9"/>
  <c r="F4" i="9"/>
  <c r="G4" i="9"/>
  <c r="H4" i="9"/>
  <c r="I4" i="9"/>
  <c r="J4" i="9"/>
  <c r="B4" i="9"/>
  <c r="H71" i="4"/>
  <c r="D3" i="3"/>
  <c r="E3" i="3"/>
  <c r="F3" i="3"/>
  <c r="G3" i="3"/>
  <c r="H3" i="3"/>
  <c r="I3" i="3"/>
  <c r="J3" i="3"/>
  <c r="C3" i="3"/>
  <c r="C9" i="9" l="1"/>
  <c r="D106" i="4" s="1"/>
  <c r="M80" i="4"/>
  <c r="N80" i="4" s="1"/>
  <c r="C98" i="4"/>
  <c r="H152" i="4"/>
  <c r="J152" i="4" s="1"/>
  <c r="I152" i="4"/>
  <c r="K152" i="4" s="1"/>
  <c r="L41" i="4"/>
  <c r="L48" i="4" s="1"/>
  <c r="A7" i="6"/>
  <c r="A8" i="6" s="1"/>
  <c r="A9" i="6" s="1"/>
  <c r="A10" i="6" s="1"/>
  <c r="A11" i="6" s="1"/>
  <c r="C26" i="1"/>
  <c r="D25" i="1"/>
  <c r="B11" i="9" s="1"/>
  <c r="D14" i="1"/>
  <c r="C13" i="4"/>
  <c r="C41" i="4" s="1"/>
  <c r="C112" i="4" s="1"/>
  <c r="C125" i="4" s="1"/>
  <c r="L47" i="4" l="1"/>
  <c r="B22" i="9"/>
  <c r="F14" i="1"/>
  <c r="L49" i="4"/>
  <c r="D9" i="9"/>
  <c r="E106" i="4" s="1"/>
  <c r="L50" i="4"/>
  <c r="K18" i="9"/>
  <c r="L112" i="4"/>
  <c r="C49" i="4"/>
  <c r="B18" i="9"/>
  <c r="J13" i="4"/>
  <c r="J41" i="4" s="1"/>
  <c r="F13" i="4"/>
  <c r="F41" i="4" s="1"/>
  <c r="I13" i="4"/>
  <c r="I41" i="4" s="1"/>
  <c r="E13" i="4"/>
  <c r="E41" i="4" s="1"/>
  <c r="H13" i="4"/>
  <c r="H41" i="4" s="1"/>
  <c r="D13" i="4"/>
  <c r="D41" i="4" s="1"/>
  <c r="K13" i="4"/>
  <c r="K41" i="4" s="1"/>
  <c r="G13" i="4"/>
  <c r="G41" i="4" s="1"/>
  <c r="C11" i="9"/>
  <c r="D22" i="9" l="1"/>
  <c r="C22" i="9"/>
  <c r="E9" i="9"/>
  <c r="F106" i="4" s="1"/>
  <c r="I18" i="9"/>
  <c r="J112" i="4"/>
  <c r="L125" i="4"/>
  <c r="C18" i="9"/>
  <c r="D112" i="4"/>
  <c r="J18" i="9"/>
  <c r="K112" i="4"/>
  <c r="H18" i="9"/>
  <c r="I112" i="4"/>
  <c r="F18" i="9"/>
  <c r="G112" i="4"/>
  <c r="D18" i="9"/>
  <c r="E112" i="4"/>
  <c r="F9" i="9"/>
  <c r="G18" i="9"/>
  <c r="H112" i="4"/>
  <c r="E18" i="9"/>
  <c r="F112" i="4"/>
  <c r="J19" i="9"/>
  <c r="J12" i="9"/>
  <c r="H19" i="9"/>
  <c r="H12" i="9"/>
  <c r="F19" i="9"/>
  <c r="F12" i="9"/>
  <c r="E19" i="9"/>
  <c r="E12" i="9"/>
  <c r="D19" i="9"/>
  <c r="D12" i="9"/>
  <c r="G19" i="9"/>
  <c r="G12" i="9"/>
  <c r="I19" i="9"/>
  <c r="I12" i="9"/>
  <c r="K49" i="4"/>
  <c r="D11" i="9"/>
  <c r="A6" i="5"/>
  <c r="F18" i="2"/>
  <c r="L11" i="1" s="1"/>
  <c r="F22" i="9" l="1"/>
  <c r="E22" i="9"/>
  <c r="G138" i="4"/>
  <c r="G125" i="4"/>
  <c r="J125" i="4"/>
  <c r="H125" i="4"/>
  <c r="E125" i="4"/>
  <c r="I125" i="4"/>
  <c r="G9" i="9"/>
  <c r="G106" i="4"/>
  <c r="F125" i="4"/>
  <c r="K125" i="4"/>
  <c r="D125" i="4"/>
  <c r="C47" i="4"/>
  <c r="C50" i="4"/>
  <c r="G47" i="4"/>
  <c r="G49" i="4"/>
  <c r="D49" i="4"/>
  <c r="D47" i="4"/>
  <c r="H47" i="4"/>
  <c r="H49" i="4"/>
  <c r="I49" i="4"/>
  <c r="I47" i="4"/>
  <c r="F49" i="4"/>
  <c r="F47" i="4"/>
  <c r="J49" i="4"/>
  <c r="J47" i="4"/>
  <c r="E49" i="4"/>
  <c r="E47" i="4"/>
  <c r="K47" i="4"/>
  <c r="H50" i="4"/>
  <c r="H48" i="4"/>
  <c r="E46" i="4"/>
  <c r="F46" i="4" s="1"/>
  <c r="G46" i="4" s="1"/>
  <c r="H46" i="4" s="1"/>
  <c r="I46" i="4" s="1"/>
  <c r="J46" i="4" s="1"/>
  <c r="K46" i="4" s="1"/>
  <c r="L46" i="4" s="1"/>
  <c r="E48" i="4"/>
  <c r="E50" i="4"/>
  <c r="K50" i="4"/>
  <c r="K48" i="4"/>
  <c r="G50" i="4"/>
  <c r="G48" i="4"/>
  <c r="F50" i="4"/>
  <c r="F48" i="4"/>
  <c r="I48" i="4"/>
  <c r="I50" i="4"/>
  <c r="J50" i="4"/>
  <c r="J48" i="4"/>
  <c r="D50" i="4"/>
  <c r="D46" i="4"/>
  <c r="D48" i="4"/>
  <c r="B7" i="9"/>
  <c r="C7" i="9" s="1"/>
  <c r="E11" i="9"/>
  <c r="D26" i="1"/>
  <c r="C8" i="5"/>
  <c r="G22" i="9" l="1"/>
  <c r="H22" i="9"/>
  <c r="H138" i="4"/>
  <c r="I138" i="4" s="1"/>
  <c r="J138" i="4" s="1"/>
  <c r="K138" i="4"/>
  <c r="L138" i="4"/>
  <c r="H9" i="9"/>
  <c r="H106" i="4"/>
  <c r="D7" i="9"/>
  <c r="F11" i="9"/>
  <c r="I22" i="9" l="1"/>
  <c r="J22" i="9"/>
  <c r="K22" i="9" s="1"/>
  <c r="I106" i="4"/>
  <c r="I9" i="9"/>
  <c r="E7" i="9"/>
  <c r="G11" i="9"/>
  <c r="J9" i="9" l="1"/>
  <c r="J106" i="4"/>
  <c r="F7" i="9"/>
  <c r="H11" i="9"/>
  <c r="I11" i="9" s="1"/>
  <c r="J11" i="9" s="1"/>
  <c r="K11" i="9" s="1"/>
  <c r="D12" i="1"/>
  <c r="F12" i="1" s="1"/>
  <c r="D11" i="1"/>
  <c r="F11" i="1" s="1"/>
  <c r="K9" i="9" l="1"/>
  <c r="L106" i="4" s="1"/>
  <c r="K106" i="4"/>
  <c r="G7" i="9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H7" i="9" l="1"/>
  <c r="I7" i="9" s="1"/>
  <c r="J7" i="9" l="1"/>
  <c r="K7" i="9" s="1"/>
  <c r="H18" i="2" l="1"/>
  <c r="C19" i="2" s="1"/>
  <c r="H19" i="2" s="1"/>
  <c r="D10" i="1"/>
  <c r="D9" i="1"/>
  <c r="F9" i="1" s="1"/>
  <c r="D8" i="1"/>
  <c r="C6" i="3" l="1"/>
  <c r="C13" i="3" s="1"/>
  <c r="F10" i="1"/>
  <c r="H8" i="1"/>
  <c r="F8" i="1"/>
  <c r="C13" i="1"/>
  <c r="D13" i="1" s="1"/>
  <c r="E6" i="3"/>
  <c r="D6" i="3"/>
  <c r="C7" i="3"/>
  <c r="C14" i="3" s="1"/>
  <c r="C20" i="2"/>
  <c r="H20" i="2" s="1"/>
  <c r="E19" i="2"/>
  <c r="E8" i="2"/>
  <c r="I18" i="2"/>
  <c r="C8" i="3" l="1"/>
  <c r="C15" i="3" s="1"/>
  <c r="F13" i="1"/>
  <c r="C21" i="3"/>
  <c r="D14" i="3" s="1"/>
  <c r="D21" i="3" s="1"/>
  <c r="E14" i="3" s="1"/>
  <c r="E21" i="3" s="1"/>
  <c r="F14" i="3" s="1"/>
  <c r="F21" i="3" s="1"/>
  <c r="G14" i="3" s="1"/>
  <c r="G21" i="3" s="1"/>
  <c r="H14" i="3" s="1"/>
  <c r="H21" i="3" s="1"/>
  <c r="I14" i="3" s="1"/>
  <c r="I21" i="3" s="1"/>
  <c r="J14" i="3" s="1"/>
  <c r="J21" i="3" s="1"/>
  <c r="E20" i="2"/>
  <c r="F20" i="2" s="1"/>
  <c r="C21" i="2"/>
  <c r="H21" i="2" s="1"/>
  <c r="E21" i="2" s="1"/>
  <c r="L14" i="1" s="1"/>
  <c r="E8" i="3"/>
  <c r="D8" i="3"/>
  <c r="C22" i="3"/>
  <c r="D15" i="3" s="1"/>
  <c r="D22" i="3" s="1"/>
  <c r="E15" i="3" s="1"/>
  <c r="E22" i="3" s="1"/>
  <c r="F15" i="3" s="1"/>
  <c r="F22" i="3" s="1"/>
  <c r="G15" i="3" s="1"/>
  <c r="G22" i="3" s="1"/>
  <c r="H15" i="3" s="1"/>
  <c r="H22" i="3" s="1"/>
  <c r="I15" i="3" s="1"/>
  <c r="I22" i="3" s="1"/>
  <c r="E7" i="3"/>
  <c r="D7" i="3"/>
  <c r="G6" i="3"/>
  <c r="F6" i="3"/>
  <c r="F19" i="2"/>
  <c r="L12" i="1" s="1"/>
  <c r="I20" i="2" l="1"/>
  <c r="L13" i="1"/>
  <c r="L15" i="1"/>
  <c r="J18" i="1" s="1"/>
  <c r="J19" i="1" s="1"/>
  <c r="K21" i="2"/>
  <c r="M21" i="2" s="1"/>
  <c r="J15" i="3"/>
  <c r="J22" i="3" s="1"/>
  <c r="K14" i="3"/>
  <c r="K21" i="3" s="1"/>
  <c r="H6" i="3"/>
  <c r="I6" i="3"/>
  <c r="F7" i="3"/>
  <c r="G7" i="3"/>
  <c r="G8" i="3"/>
  <c r="F8" i="3"/>
  <c r="I19" i="2"/>
  <c r="F21" i="2"/>
  <c r="C22" i="2"/>
  <c r="H22" i="2" s="1"/>
  <c r="L14" i="3" l="1"/>
  <c r="L21" i="3" s="1"/>
  <c r="K15" i="3"/>
  <c r="K22" i="3" s="1"/>
  <c r="H7" i="3"/>
  <c r="I7" i="3"/>
  <c r="J6" i="3"/>
  <c r="L6" i="3" s="1"/>
  <c r="K6" i="3"/>
  <c r="H8" i="3"/>
  <c r="I8" i="3"/>
  <c r="C23" i="2"/>
  <c r="H23" i="2" s="1"/>
  <c r="I21" i="2"/>
  <c r="E22" i="2"/>
  <c r="L15" i="3" l="1"/>
  <c r="L22" i="3" s="1"/>
  <c r="J8" i="3"/>
  <c r="L8" i="3" s="1"/>
  <c r="K8" i="3"/>
  <c r="J7" i="3"/>
  <c r="L7" i="3" s="1"/>
  <c r="K7" i="3"/>
  <c r="E23" i="2"/>
  <c r="F23" i="2" s="1"/>
  <c r="I23" i="2" s="1"/>
  <c r="C24" i="2"/>
  <c r="H24" i="2" s="1"/>
  <c r="C25" i="2" s="1"/>
  <c r="H25" i="2" s="1"/>
  <c r="F22" i="2"/>
  <c r="E24" i="2" l="1"/>
  <c r="F24" i="2" s="1"/>
  <c r="I22" i="2"/>
  <c r="C20" i="3"/>
  <c r="C26" i="2"/>
  <c r="H26" i="2" s="1"/>
  <c r="E25" i="2"/>
  <c r="F25" i="2" s="1"/>
  <c r="D13" i="3" l="1"/>
  <c r="I25" i="2"/>
  <c r="I24" i="2"/>
  <c r="C27" i="2"/>
  <c r="H27" i="2" s="1"/>
  <c r="E26" i="2"/>
  <c r="F26" i="2" s="1"/>
  <c r="D20" i="3" l="1"/>
  <c r="I26" i="2"/>
  <c r="C28" i="2"/>
  <c r="H28" i="2" s="1"/>
  <c r="E27" i="2"/>
  <c r="F27" i="2" s="1"/>
  <c r="E13" i="3" l="1"/>
  <c r="I27" i="2"/>
  <c r="C29" i="2"/>
  <c r="H29" i="2" s="1"/>
  <c r="E28" i="2"/>
  <c r="F28" i="2" s="1"/>
  <c r="E20" i="3" l="1"/>
  <c r="F13" i="3" s="1"/>
  <c r="I28" i="2"/>
  <c r="E29" i="2"/>
  <c r="C30" i="2"/>
  <c r="H30" i="2" s="1"/>
  <c r="F29" i="2" l="1"/>
  <c r="I29" i="2" s="1"/>
  <c r="F20" i="3"/>
  <c r="G13" i="3" s="1"/>
  <c r="E30" i="2"/>
  <c r="C31" i="2"/>
  <c r="H31" i="2" s="1"/>
  <c r="F30" i="2" l="1"/>
  <c r="I30" i="2" s="1"/>
  <c r="G20" i="3"/>
  <c r="H13" i="3" s="1"/>
  <c r="E31" i="2"/>
  <c r="F31" i="2" s="1"/>
  <c r="C32" i="2"/>
  <c r="H32" i="2" s="1"/>
  <c r="H20" i="3" l="1"/>
  <c r="E32" i="2"/>
  <c r="C33" i="2"/>
  <c r="H33" i="2" s="1"/>
  <c r="I31" i="2"/>
  <c r="F32" i="2" l="1"/>
  <c r="I32" i="2" s="1"/>
  <c r="I13" i="3"/>
  <c r="E33" i="2"/>
  <c r="C66" i="4" s="1"/>
  <c r="C34" i="2"/>
  <c r="H34" i="2" s="1"/>
  <c r="F33" i="2" l="1"/>
  <c r="I33" i="2" s="1"/>
  <c r="K33" i="2"/>
  <c r="M33" i="2" s="1"/>
  <c r="I20" i="3"/>
  <c r="E34" i="2"/>
  <c r="C35" i="2"/>
  <c r="H35" i="2" s="1"/>
  <c r="N33" i="2" l="1"/>
  <c r="C15" i="1" s="1"/>
  <c r="C17" i="1" s="1"/>
  <c r="F34" i="2"/>
  <c r="I34" i="2" s="1"/>
  <c r="J13" i="3"/>
  <c r="J20" i="3" s="1"/>
  <c r="E35" i="2"/>
  <c r="C36" i="2"/>
  <c r="F35" i="2" l="1"/>
  <c r="I35" i="2" s="1"/>
  <c r="K13" i="3"/>
  <c r="K20" i="3" s="1"/>
  <c r="E36" i="2"/>
  <c r="H36" i="2"/>
  <c r="L13" i="3" l="1"/>
  <c r="D15" i="1"/>
  <c r="F36" i="2"/>
  <c r="I36" i="2" s="1"/>
  <c r="C37" i="2"/>
  <c r="E37" i="2" s="1"/>
  <c r="F37" i="2" s="1"/>
  <c r="F15" i="1" l="1"/>
  <c r="F17" i="1" s="1"/>
  <c r="D17" i="1"/>
  <c r="B32" i="1" s="1"/>
  <c r="B34" i="1" s="1"/>
  <c r="L20" i="3"/>
  <c r="C5" i="3"/>
  <c r="C12" i="3" s="1"/>
  <c r="E3" i="2"/>
  <c r="H37" i="2"/>
  <c r="C38" i="2" s="1"/>
  <c r="H38" i="2" s="1"/>
  <c r="C39" i="2" s="1"/>
  <c r="I37" i="2"/>
  <c r="B35" i="1" l="1"/>
  <c r="E4" i="2" s="1"/>
  <c r="B36" i="1"/>
  <c r="C53" i="4"/>
  <c r="G17" i="1"/>
  <c r="E38" i="2"/>
  <c r="F38" i="2" s="1"/>
  <c r="I38" i="2" s="1"/>
  <c r="E5" i="3"/>
  <c r="D5" i="3"/>
  <c r="C9" i="3"/>
  <c r="B30" i="9" s="1"/>
  <c r="E39" i="2"/>
  <c r="F39" i="2" s="1"/>
  <c r="H39" i="2"/>
  <c r="C19" i="3" l="1"/>
  <c r="D12" i="3" s="1"/>
  <c r="C16" i="3"/>
  <c r="G5" i="3"/>
  <c r="E53" i="4"/>
  <c r="E9" i="3"/>
  <c r="D30" i="9" s="1"/>
  <c r="F5" i="3"/>
  <c r="D9" i="3"/>
  <c r="C30" i="9" s="1"/>
  <c r="D53" i="4"/>
  <c r="C40" i="2"/>
  <c r="E40" i="2" s="1"/>
  <c r="F40" i="2" s="1"/>
  <c r="I39" i="2"/>
  <c r="C69" i="4" l="1"/>
  <c r="B31" i="9"/>
  <c r="G53" i="4"/>
  <c r="G9" i="3"/>
  <c r="F30" i="9" s="1"/>
  <c r="I5" i="3"/>
  <c r="H5" i="3"/>
  <c r="F9" i="3"/>
  <c r="E30" i="9" s="1"/>
  <c r="F53" i="4"/>
  <c r="D16" i="3"/>
  <c r="D69" i="4" s="1"/>
  <c r="D94" i="4" s="1"/>
  <c r="C23" i="3"/>
  <c r="C52" i="4" s="1"/>
  <c r="H40" i="2"/>
  <c r="C41" i="2" s="1"/>
  <c r="E41" i="2" s="1"/>
  <c r="F41" i="2" s="1"/>
  <c r="I41" i="2" s="1"/>
  <c r="I40" i="2"/>
  <c r="C116" i="4" l="1"/>
  <c r="C127" i="4" s="1"/>
  <c r="C94" i="4"/>
  <c r="C31" i="9"/>
  <c r="B32" i="9"/>
  <c r="C105" i="4" s="1"/>
  <c r="H9" i="3"/>
  <c r="G30" i="9" s="1"/>
  <c r="H53" i="4"/>
  <c r="I9" i="3"/>
  <c r="H30" i="9" s="1"/>
  <c r="I53" i="4"/>
  <c r="K5" i="3"/>
  <c r="J5" i="3"/>
  <c r="L5" i="3" s="1"/>
  <c r="B17" i="9"/>
  <c r="D19" i="3"/>
  <c r="H41" i="2"/>
  <c r="C42" i="2" s="1"/>
  <c r="E42" i="2" s="1"/>
  <c r="F42" i="2" s="1"/>
  <c r="C109" i="4" l="1"/>
  <c r="C107" i="4"/>
  <c r="C108" i="4" s="1"/>
  <c r="C32" i="9"/>
  <c r="D105" i="4" s="1"/>
  <c r="B24" i="9"/>
  <c r="B33" i="9"/>
  <c r="L53" i="4"/>
  <c r="L9" i="3"/>
  <c r="K30" i="9" s="1"/>
  <c r="E12" i="3"/>
  <c r="E16" i="3" s="1"/>
  <c r="E69" i="4" s="1"/>
  <c r="E94" i="4" s="1"/>
  <c r="D23" i="3"/>
  <c r="D52" i="4" s="1"/>
  <c r="J53" i="4"/>
  <c r="J9" i="3"/>
  <c r="I30" i="9" s="1"/>
  <c r="C56" i="4"/>
  <c r="C115" i="4" s="1"/>
  <c r="K9" i="3"/>
  <c r="J30" i="9" s="1"/>
  <c r="K53" i="4"/>
  <c r="H42" i="2"/>
  <c r="C43" i="2" s="1"/>
  <c r="E43" i="2" s="1"/>
  <c r="F43" i="2" s="1"/>
  <c r="I42" i="2"/>
  <c r="D109" i="4" l="1"/>
  <c r="D107" i="4"/>
  <c r="D108" i="4" s="1"/>
  <c r="C126" i="4"/>
  <c r="C128" i="4" s="1"/>
  <c r="C114" i="4"/>
  <c r="C57" i="4"/>
  <c r="C117" i="4"/>
  <c r="D31" i="9"/>
  <c r="E19" i="3"/>
  <c r="F12" i="3" s="1"/>
  <c r="F16" i="3" s="1"/>
  <c r="F69" i="4" s="1"/>
  <c r="F94" i="4" s="1"/>
  <c r="C17" i="9"/>
  <c r="C60" i="4"/>
  <c r="C137" i="4" s="1"/>
  <c r="C58" i="4"/>
  <c r="H43" i="2"/>
  <c r="C44" i="2" s="1"/>
  <c r="E44" i="2" s="1"/>
  <c r="F44" i="2" s="1"/>
  <c r="I43" i="2"/>
  <c r="C129" i="4" l="1"/>
  <c r="C130" i="4"/>
  <c r="C131" i="4" s="1"/>
  <c r="C120" i="4"/>
  <c r="C118" i="4"/>
  <c r="C119" i="4"/>
  <c r="C24" i="9"/>
  <c r="C33" i="9"/>
  <c r="E31" i="9"/>
  <c r="D32" i="9"/>
  <c r="E105" i="4" s="1"/>
  <c r="E23" i="3"/>
  <c r="E52" i="4" s="1"/>
  <c r="F19" i="3"/>
  <c r="G12" i="3" s="1"/>
  <c r="G16" i="3" s="1"/>
  <c r="G69" i="4" s="1"/>
  <c r="C64" i="4"/>
  <c r="C68" i="4" s="1"/>
  <c r="C62" i="4"/>
  <c r="D56" i="4"/>
  <c r="H44" i="2"/>
  <c r="C45" i="2" s="1"/>
  <c r="H45" i="2" s="1"/>
  <c r="C46" i="2" s="1"/>
  <c r="I44" i="2"/>
  <c r="E107" i="4" l="1"/>
  <c r="E108" i="4" s="1"/>
  <c r="E109" i="4"/>
  <c r="G146" i="4"/>
  <c r="G94" i="4"/>
  <c r="D57" i="4"/>
  <c r="D115" i="4"/>
  <c r="F31" i="9"/>
  <c r="E32" i="9"/>
  <c r="F105" i="4" s="1"/>
  <c r="D58" i="4"/>
  <c r="E56" i="4"/>
  <c r="D17" i="9"/>
  <c r="F23" i="3"/>
  <c r="F52" i="4" s="1"/>
  <c r="G19" i="3"/>
  <c r="H12" i="3" s="1"/>
  <c r="D60" i="4"/>
  <c r="D137" i="4" s="1"/>
  <c r="E45" i="2"/>
  <c r="H46" i="2"/>
  <c r="C47" i="2" s="1"/>
  <c r="E46" i="2"/>
  <c r="F109" i="4" l="1"/>
  <c r="F107" i="4"/>
  <c r="F108" i="4" s="1"/>
  <c r="E57" i="4"/>
  <c r="E115" i="4"/>
  <c r="D114" i="4"/>
  <c r="D126" i="4"/>
  <c r="D117" i="4"/>
  <c r="D24" i="9"/>
  <c r="D33" i="9"/>
  <c r="F32" i="9"/>
  <c r="G105" i="4" s="1"/>
  <c r="F56" i="4"/>
  <c r="E17" i="9"/>
  <c r="G23" i="3"/>
  <c r="F45" i="2"/>
  <c r="I45" i="2" s="1"/>
  <c r="K45" i="2"/>
  <c r="F46" i="2"/>
  <c r="I46" i="2" s="1"/>
  <c r="H16" i="3"/>
  <c r="H69" i="4" s="1"/>
  <c r="H94" i="4" s="1"/>
  <c r="H19" i="3"/>
  <c r="H23" i="3" s="1"/>
  <c r="H52" i="4" s="1"/>
  <c r="E58" i="4"/>
  <c r="E60" i="4"/>
  <c r="E137" i="4" s="1"/>
  <c r="D64" i="4"/>
  <c r="D62" i="4"/>
  <c r="H47" i="2"/>
  <c r="C48" i="2" s="1"/>
  <c r="E47" i="2"/>
  <c r="G109" i="4" l="1"/>
  <c r="G107" i="4"/>
  <c r="G108" i="4" s="1"/>
  <c r="E114" i="4"/>
  <c r="E126" i="4"/>
  <c r="E117" i="4"/>
  <c r="F57" i="4"/>
  <c r="F115" i="4"/>
  <c r="E24" i="9"/>
  <c r="E33" i="9"/>
  <c r="G31" i="9"/>
  <c r="F17" i="9"/>
  <c r="G52" i="4"/>
  <c r="I12" i="3"/>
  <c r="I16" i="3" s="1"/>
  <c r="I69" i="4" s="1"/>
  <c r="I94" i="4" s="1"/>
  <c r="M45" i="2"/>
  <c r="D66" i="4"/>
  <c r="D116" i="4" s="1"/>
  <c r="E62" i="4"/>
  <c r="E64" i="4"/>
  <c r="F47" i="2"/>
  <c r="I47" i="2" s="1"/>
  <c r="F58" i="4"/>
  <c r="F60" i="4"/>
  <c r="F137" i="4" s="1"/>
  <c r="G17" i="9"/>
  <c r="H48" i="2"/>
  <c r="E48" i="2"/>
  <c r="F114" i="4" l="1"/>
  <c r="F126" i="4"/>
  <c r="F117" i="4"/>
  <c r="D127" i="4"/>
  <c r="D128" i="4" s="1"/>
  <c r="D119" i="4"/>
  <c r="D120" i="4"/>
  <c r="D118" i="4"/>
  <c r="G24" i="9"/>
  <c r="H31" i="9"/>
  <c r="G32" i="9"/>
  <c r="H105" i="4" s="1"/>
  <c r="F24" i="9"/>
  <c r="F33" i="9"/>
  <c r="I19" i="3"/>
  <c r="J12" i="3" s="1"/>
  <c r="G56" i="4"/>
  <c r="H56" i="4"/>
  <c r="F48" i="2"/>
  <c r="I48" i="2" s="1"/>
  <c r="F64" i="4"/>
  <c r="F62" i="4"/>
  <c r="C49" i="2"/>
  <c r="E49" i="2" s="1"/>
  <c r="F49" i="2" s="1"/>
  <c r="D129" i="4" l="1"/>
  <c r="D130" i="4"/>
  <c r="D131" i="4" s="1"/>
  <c r="H109" i="4"/>
  <c r="H107" i="4"/>
  <c r="H108" i="4" s="1"/>
  <c r="G33" i="9"/>
  <c r="H57" i="4"/>
  <c r="H115" i="4"/>
  <c r="G57" i="4"/>
  <c r="G115" i="4"/>
  <c r="H32" i="9"/>
  <c r="I105" i="4" s="1"/>
  <c r="I23" i="3"/>
  <c r="H17" i="9" s="1"/>
  <c r="G60" i="4"/>
  <c r="H60" i="4"/>
  <c r="G58" i="4"/>
  <c r="H58" i="4"/>
  <c r="C82" i="4"/>
  <c r="C96" i="4" s="1"/>
  <c r="C70" i="4"/>
  <c r="C72" i="4" s="1"/>
  <c r="J19" i="3"/>
  <c r="J16" i="3"/>
  <c r="J69" i="4" s="1"/>
  <c r="J94" i="4" s="1"/>
  <c r="H49" i="2"/>
  <c r="C50" i="2" s="1"/>
  <c r="H50" i="2" s="1"/>
  <c r="C51" i="2" s="1"/>
  <c r="I49" i="2"/>
  <c r="I109" i="4" l="1"/>
  <c r="I107" i="4"/>
  <c r="I108" i="4" s="1"/>
  <c r="I31" i="9"/>
  <c r="I32" i="9" s="1"/>
  <c r="J105" i="4" s="1"/>
  <c r="C99" i="4"/>
  <c r="C132" i="4"/>
  <c r="G62" i="4"/>
  <c r="G137" i="4"/>
  <c r="H62" i="4"/>
  <c r="H137" i="4"/>
  <c r="H114" i="4"/>
  <c r="H126" i="4"/>
  <c r="H117" i="4"/>
  <c r="G114" i="4"/>
  <c r="G126" i="4"/>
  <c r="G139" i="4"/>
  <c r="H139" i="4" s="1"/>
  <c r="G117" i="4"/>
  <c r="C113" i="4"/>
  <c r="C89" i="4"/>
  <c r="H24" i="9"/>
  <c r="H33" i="9"/>
  <c r="H64" i="4"/>
  <c r="C73" i="4"/>
  <c r="B28" i="9" s="1"/>
  <c r="I52" i="4"/>
  <c r="I56" i="4" s="1"/>
  <c r="G64" i="4"/>
  <c r="K12" i="3"/>
  <c r="K16" i="3" s="1"/>
  <c r="K69" i="4" s="1"/>
  <c r="K94" i="4" s="1"/>
  <c r="J23" i="3"/>
  <c r="E50" i="2"/>
  <c r="H51" i="2"/>
  <c r="E51" i="2"/>
  <c r="F51" i="2" s="1"/>
  <c r="J109" i="4" l="1"/>
  <c r="J107" i="4"/>
  <c r="J108" i="4" s="1"/>
  <c r="J31" i="9"/>
  <c r="C134" i="4"/>
  <c r="C133" i="4"/>
  <c r="I139" i="4"/>
  <c r="H140" i="4"/>
  <c r="I57" i="4"/>
  <c r="I115" i="4"/>
  <c r="G140" i="4"/>
  <c r="J32" i="9"/>
  <c r="K105" i="4" s="1"/>
  <c r="I60" i="4"/>
  <c r="I58" i="4"/>
  <c r="C74" i="4"/>
  <c r="C93" i="4" s="1"/>
  <c r="C95" i="4" s="1"/>
  <c r="I17" i="9"/>
  <c r="J52" i="4"/>
  <c r="F50" i="2"/>
  <c r="I50" i="2" s="1"/>
  <c r="K19" i="3"/>
  <c r="C52" i="2"/>
  <c r="E52" i="2" s="1"/>
  <c r="F52" i="2" s="1"/>
  <c r="I51" i="2"/>
  <c r="K107" i="4" l="1"/>
  <c r="K108" i="4" s="1"/>
  <c r="K109" i="4"/>
  <c r="C135" i="4"/>
  <c r="C102" i="4"/>
  <c r="C97" i="4"/>
  <c r="C100" i="4" s="1"/>
  <c r="I140" i="4"/>
  <c r="J139" i="4"/>
  <c r="I114" i="4"/>
  <c r="I126" i="4"/>
  <c r="I117" i="4"/>
  <c r="I64" i="4"/>
  <c r="I137" i="4"/>
  <c r="C76" i="4"/>
  <c r="B8" i="9" s="1"/>
  <c r="B15" i="9" s="1"/>
  <c r="B26" i="9" s="1"/>
  <c r="C90" i="4"/>
  <c r="I24" i="9"/>
  <c r="I33" i="9"/>
  <c r="I62" i="4"/>
  <c r="K23" i="3"/>
  <c r="K52" i="4" s="1"/>
  <c r="L12" i="3"/>
  <c r="L16" i="3" s="1"/>
  <c r="J56" i="4"/>
  <c r="H52" i="2"/>
  <c r="C53" i="2" s="1"/>
  <c r="H53" i="2" s="1"/>
  <c r="C54" i="2" s="1"/>
  <c r="I52" i="2"/>
  <c r="J140" i="4" l="1"/>
  <c r="K139" i="4"/>
  <c r="K140" i="4" s="1"/>
  <c r="J57" i="4"/>
  <c r="J115" i="4"/>
  <c r="B27" i="9"/>
  <c r="C78" i="4"/>
  <c r="C86" i="4" s="1"/>
  <c r="L69" i="4"/>
  <c r="L94" i="4" s="1"/>
  <c r="K31" i="9"/>
  <c r="K32" i="9" s="1"/>
  <c r="L105" i="4" s="1"/>
  <c r="J58" i="4"/>
  <c r="J17" i="9"/>
  <c r="L19" i="3"/>
  <c r="L23" i="3" s="1"/>
  <c r="J60" i="4"/>
  <c r="K56" i="4"/>
  <c r="E53" i="2"/>
  <c r="H54" i="2"/>
  <c r="C55" i="2" s="1"/>
  <c r="E54" i="2"/>
  <c r="F54" i="2" s="1"/>
  <c r="L109" i="4" l="1"/>
  <c r="L107" i="4"/>
  <c r="L108" i="4" s="1"/>
  <c r="J64" i="4"/>
  <c r="J137" i="4"/>
  <c r="J114" i="4"/>
  <c r="J126" i="4"/>
  <c r="J117" i="4"/>
  <c r="K57" i="4"/>
  <c r="K115" i="4"/>
  <c r="C84" i="4"/>
  <c r="J24" i="9"/>
  <c r="J33" i="9"/>
  <c r="K17" i="9"/>
  <c r="L52" i="4"/>
  <c r="J62" i="4"/>
  <c r="F53" i="2"/>
  <c r="I53" i="2" s="1"/>
  <c r="K58" i="4"/>
  <c r="K60" i="4"/>
  <c r="K137" i="4" s="1"/>
  <c r="H55" i="2"/>
  <c r="C56" i="2" s="1"/>
  <c r="E55" i="2"/>
  <c r="F55" i="2" s="1"/>
  <c r="I54" i="2"/>
  <c r="K114" i="4" l="1"/>
  <c r="K126" i="4"/>
  <c r="K117" i="4"/>
  <c r="K24" i="9"/>
  <c r="K33" i="9"/>
  <c r="L56" i="4"/>
  <c r="K64" i="4"/>
  <c r="K62" i="4"/>
  <c r="H56" i="2"/>
  <c r="C57" i="2" s="1"/>
  <c r="E56" i="2"/>
  <c r="F56" i="2" s="1"/>
  <c r="I55" i="2"/>
  <c r="L57" i="4" l="1"/>
  <c r="L115" i="4"/>
  <c r="L60" i="4"/>
  <c r="L137" i="4" s="1"/>
  <c r="M137" i="4" s="1"/>
  <c r="N137" i="4" s="1"/>
  <c r="L58" i="4"/>
  <c r="I56" i="2"/>
  <c r="H57" i="2"/>
  <c r="C58" i="2" s="1"/>
  <c r="E57" i="2"/>
  <c r="L114" i="4" l="1"/>
  <c r="L126" i="4"/>
  <c r="L117" i="4"/>
  <c r="L62" i="4"/>
  <c r="L64" i="4"/>
  <c r="F57" i="2"/>
  <c r="I57" i="2" s="1"/>
  <c r="K57" i="2"/>
  <c r="H58" i="2"/>
  <c r="C59" i="2" s="1"/>
  <c r="E58" i="2"/>
  <c r="F58" i="2" l="1"/>
  <c r="I58" i="2" s="1"/>
  <c r="E66" i="4"/>
  <c r="E116" i="4" s="1"/>
  <c r="M57" i="2"/>
  <c r="H59" i="2"/>
  <c r="C60" i="2" s="1"/>
  <c r="E59" i="2"/>
  <c r="E119" i="4" l="1"/>
  <c r="E120" i="4"/>
  <c r="E118" i="4"/>
  <c r="E127" i="4"/>
  <c r="E128" i="4" s="1"/>
  <c r="F59" i="2"/>
  <c r="I59" i="2" s="1"/>
  <c r="H60" i="2"/>
  <c r="E60" i="2"/>
  <c r="E129" i="4" l="1"/>
  <c r="E130" i="4"/>
  <c r="E131" i="4" s="1"/>
  <c r="F60" i="2"/>
  <c r="I60" i="2" s="1"/>
  <c r="C61" i="2"/>
  <c r="H61" i="2" s="1"/>
  <c r="C62" i="2" s="1"/>
  <c r="D82" i="4" l="1"/>
  <c r="D96" i="4" s="1"/>
  <c r="D68" i="4"/>
  <c r="D70" i="4" s="1"/>
  <c r="D72" i="4" s="1"/>
  <c r="D113" i="4" s="1"/>
  <c r="E61" i="2"/>
  <c r="H62" i="2"/>
  <c r="C63" i="2" s="1"/>
  <c r="E62" i="2"/>
  <c r="F62" i="2" s="1"/>
  <c r="D99" i="4" l="1"/>
  <c r="D132" i="4"/>
  <c r="D73" i="4"/>
  <c r="D89" i="4"/>
  <c r="F61" i="2"/>
  <c r="I61" i="2" s="1"/>
  <c r="I62" i="2"/>
  <c r="H63" i="2"/>
  <c r="E63" i="2"/>
  <c r="F63" i="2" s="1"/>
  <c r="D134" i="4" l="1"/>
  <c r="D133" i="4"/>
  <c r="D135" i="4" s="1"/>
  <c r="D74" i="4"/>
  <c r="D93" i="4" s="1"/>
  <c r="D95" i="4" s="1"/>
  <c r="C28" i="9"/>
  <c r="C64" i="2"/>
  <c r="E64" i="2" s="1"/>
  <c r="F64" i="2" s="1"/>
  <c r="I63" i="2"/>
  <c r="D102" i="4" l="1"/>
  <c r="D97" i="4"/>
  <c r="D100" i="4" s="1"/>
  <c r="D76" i="4"/>
  <c r="D78" i="4" s="1"/>
  <c r="D84" i="4" s="1"/>
  <c r="D90" i="4"/>
  <c r="H64" i="2"/>
  <c r="C65" i="2" s="1"/>
  <c r="H65" i="2" s="1"/>
  <c r="C66" i="2" s="1"/>
  <c r="I64" i="2"/>
  <c r="D86" i="4" l="1"/>
  <c r="C8" i="9"/>
  <c r="C27" i="9" s="1"/>
  <c r="E65" i="2"/>
  <c r="H66" i="2"/>
  <c r="C67" i="2" s="1"/>
  <c r="E66" i="2"/>
  <c r="F66" i="2" s="1"/>
  <c r="C15" i="9" l="1"/>
  <c r="C26" i="9" s="1"/>
  <c r="F65" i="2"/>
  <c r="I65" i="2" s="1"/>
  <c r="H67" i="2"/>
  <c r="C68" i="2" s="1"/>
  <c r="E67" i="2"/>
  <c r="F67" i="2" s="1"/>
  <c r="I66" i="2"/>
  <c r="H68" i="2" l="1"/>
  <c r="C69" i="2" s="1"/>
  <c r="E68" i="2"/>
  <c r="F68" i="2" s="1"/>
  <c r="I67" i="2"/>
  <c r="I68" i="2" l="1"/>
  <c r="H69" i="2"/>
  <c r="C70" i="2" s="1"/>
  <c r="E69" i="2"/>
  <c r="F69" i="2" l="1"/>
  <c r="K69" i="2"/>
  <c r="H70" i="2"/>
  <c r="C71" i="2" s="1"/>
  <c r="E70" i="2"/>
  <c r="I69" i="2"/>
  <c r="F66" i="4" l="1"/>
  <c r="F116" i="4" s="1"/>
  <c r="M69" i="2"/>
  <c r="F70" i="2"/>
  <c r="I70" i="2" s="1"/>
  <c r="H71" i="2"/>
  <c r="C72" i="2" s="1"/>
  <c r="E71" i="2"/>
  <c r="F118" i="4" l="1"/>
  <c r="F127" i="4"/>
  <c r="F128" i="4" s="1"/>
  <c r="F119" i="4"/>
  <c r="F120" i="4"/>
  <c r="F71" i="2"/>
  <c r="I71" i="2" s="1"/>
  <c r="H72" i="2"/>
  <c r="E72" i="2"/>
  <c r="F129" i="4" l="1"/>
  <c r="F130" i="4"/>
  <c r="F131" i="4" s="1"/>
  <c r="F72" i="2"/>
  <c r="I72" i="2" s="1"/>
  <c r="C73" i="2"/>
  <c r="H73" i="2" s="1"/>
  <c r="C74" i="2" s="1"/>
  <c r="E82" i="4" l="1"/>
  <c r="E96" i="4" s="1"/>
  <c r="E68" i="4"/>
  <c r="E70" i="4" s="1"/>
  <c r="E72" i="4" s="1"/>
  <c r="E113" i="4" s="1"/>
  <c r="E73" i="2"/>
  <c r="H74" i="2"/>
  <c r="C75" i="2" s="1"/>
  <c r="E74" i="2"/>
  <c r="F74" i="2" s="1"/>
  <c r="E99" i="4" l="1"/>
  <c r="E132" i="4"/>
  <c r="E73" i="4"/>
  <c r="E89" i="4"/>
  <c r="F73" i="2"/>
  <c r="I73" i="2" s="1"/>
  <c r="I74" i="2"/>
  <c r="H75" i="2"/>
  <c r="E75" i="2"/>
  <c r="F75" i="2" s="1"/>
  <c r="E134" i="4" l="1"/>
  <c r="E133" i="4"/>
  <c r="E135" i="4" s="1"/>
  <c r="E74" i="4"/>
  <c r="E93" i="4" s="1"/>
  <c r="E95" i="4" s="1"/>
  <c r="D28" i="9"/>
  <c r="C76" i="2"/>
  <c r="E76" i="2" s="1"/>
  <c r="F76" i="2" s="1"/>
  <c r="I75" i="2"/>
  <c r="E102" i="4" l="1"/>
  <c r="E97" i="4"/>
  <c r="E100" i="4" s="1"/>
  <c r="D8" i="9"/>
  <c r="D27" i="9" s="1"/>
  <c r="E90" i="4"/>
  <c r="E76" i="4"/>
  <c r="E78" i="4" s="1"/>
  <c r="E86" i="4" s="1"/>
  <c r="H76" i="2"/>
  <c r="C77" i="2" s="1"/>
  <c r="H77" i="2" s="1"/>
  <c r="I76" i="2"/>
  <c r="D15" i="9" l="1"/>
  <c r="D26" i="9" s="1"/>
  <c r="E84" i="4"/>
  <c r="E77" i="2"/>
  <c r="H78" i="2"/>
  <c r="C79" i="2" s="1"/>
  <c r="E79" i="2" s="1"/>
  <c r="C78" i="2"/>
  <c r="E78" i="2" l="1"/>
  <c r="F78" i="2" s="1"/>
  <c r="I78" i="2" s="1"/>
  <c r="F77" i="2"/>
  <c r="I77" i="2" s="1"/>
  <c r="H79" i="2"/>
  <c r="C80" i="2" s="1"/>
  <c r="E80" i="2" s="1"/>
  <c r="F79" i="2"/>
  <c r="H80" i="2" l="1"/>
  <c r="F80" i="2"/>
  <c r="I79" i="2"/>
  <c r="I80" i="2" l="1"/>
  <c r="C81" i="2"/>
  <c r="E81" i="2" s="1"/>
  <c r="H81" i="2"/>
  <c r="C82" i="2" s="1"/>
  <c r="E82" i="2" s="1"/>
  <c r="F81" i="2" l="1"/>
  <c r="K81" i="2"/>
  <c r="H82" i="2"/>
  <c r="C83" i="2" s="1"/>
  <c r="E83" i="2" s="1"/>
  <c r="I81" i="2" l="1"/>
  <c r="M81" i="2"/>
  <c r="G66" i="4"/>
  <c r="G116" i="4" s="1"/>
  <c r="F82" i="2"/>
  <c r="I82" i="2" s="1"/>
  <c r="H83" i="2"/>
  <c r="G118" i="4" l="1"/>
  <c r="G143" i="4" s="1"/>
  <c r="G127" i="4"/>
  <c r="G128" i="4" s="1"/>
  <c r="G119" i="4"/>
  <c r="G120" i="4"/>
  <c r="G141" i="4"/>
  <c r="K141" i="4" s="1"/>
  <c r="K142" i="4" s="1"/>
  <c r="F83" i="2"/>
  <c r="H84" i="2"/>
  <c r="C84" i="2"/>
  <c r="E84" i="2" s="1"/>
  <c r="G129" i="4" l="1"/>
  <c r="G130" i="4"/>
  <c r="G131" i="4" s="1"/>
  <c r="K144" i="4"/>
  <c r="K145" i="4" s="1"/>
  <c r="K149" i="4" s="1"/>
  <c r="G142" i="4"/>
  <c r="H141" i="4"/>
  <c r="I83" i="2"/>
  <c r="F84" i="2"/>
  <c r="I84" i="2" s="1"/>
  <c r="C85" i="2"/>
  <c r="K156" i="4" l="1"/>
  <c r="G144" i="4"/>
  <c r="G145" i="4" s="1"/>
  <c r="G149" i="4" s="1"/>
  <c r="H143" i="4"/>
  <c r="I141" i="4"/>
  <c r="J141" i="4" s="1"/>
  <c r="H142" i="4"/>
  <c r="E85" i="2"/>
  <c r="F85" i="2" s="1"/>
  <c r="I85" i="2" s="1"/>
  <c r="F82" i="4"/>
  <c r="F96" i="4" s="1"/>
  <c r="F68" i="4"/>
  <c r="F70" i="4" s="1"/>
  <c r="F72" i="4" s="1"/>
  <c r="F113" i="4" s="1"/>
  <c r="H85" i="2"/>
  <c r="C86" i="2" s="1"/>
  <c r="F99" i="4" l="1"/>
  <c r="F132" i="4"/>
  <c r="J143" i="4"/>
  <c r="J142" i="4"/>
  <c r="H144" i="4"/>
  <c r="H145" i="4" s="1"/>
  <c r="H149" i="4" s="1"/>
  <c r="I142" i="4"/>
  <c r="I143" i="4"/>
  <c r="F73" i="4"/>
  <c r="F89" i="4"/>
  <c r="H86" i="2"/>
  <c r="C87" i="2" s="1"/>
  <c r="E86" i="2"/>
  <c r="F134" i="4" l="1"/>
  <c r="F133" i="4"/>
  <c r="F135" i="4" s="1"/>
  <c r="J144" i="4"/>
  <c r="J145" i="4" s="1"/>
  <c r="J149" i="4" s="1"/>
  <c r="H156" i="4"/>
  <c r="I144" i="4"/>
  <c r="I145" i="4" s="1"/>
  <c r="I149" i="4" s="1"/>
  <c r="H87" i="2"/>
  <c r="C88" i="2" s="1"/>
  <c r="E87" i="2"/>
  <c r="F87" i="2" s="1"/>
  <c r="I87" i="2" s="1"/>
  <c r="F74" i="4"/>
  <c r="F93" i="4" s="1"/>
  <c r="F95" i="4" s="1"/>
  <c r="F86" i="2"/>
  <c r="E28" i="9"/>
  <c r="J156" i="4" l="1"/>
  <c r="F102" i="4"/>
  <c r="F97" i="4"/>
  <c r="F100" i="4" s="1"/>
  <c r="I156" i="4"/>
  <c r="F76" i="4"/>
  <c r="F78" i="4" s="1"/>
  <c r="F84" i="4" s="1"/>
  <c r="F90" i="4"/>
  <c r="E88" i="2"/>
  <c r="F88" i="2" s="1"/>
  <c r="I88" i="2" s="1"/>
  <c r="I86" i="2"/>
  <c r="E8" i="9"/>
  <c r="E15" i="9" s="1"/>
  <c r="E26" i="9" s="1"/>
  <c r="H88" i="2"/>
  <c r="C89" i="2" s="1"/>
  <c r="F86" i="4" l="1"/>
  <c r="H89" i="2"/>
  <c r="H90" i="2" s="1"/>
  <c r="E89" i="2"/>
  <c r="E27" i="9"/>
  <c r="C90" i="2" l="1"/>
  <c r="F89" i="2"/>
  <c r="C91" i="2"/>
  <c r="H91" i="2"/>
  <c r="E90" i="2" l="1"/>
  <c r="F90" i="2" s="1"/>
  <c r="I90" i="2" s="1"/>
  <c r="E91" i="2"/>
  <c r="F91" i="2" s="1"/>
  <c r="I91" i="2" s="1"/>
  <c r="I89" i="2"/>
  <c r="C92" i="2"/>
  <c r="H92" i="2"/>
  <c r="E92" i="2" l="1"/>
  <c r="F92" i="2" s="1"/>
  <c r="I92" i="2" s="1"/>
  <c r="H93" i="2"/>
  <c r="C93" i="2"/>
  <c r="E93" i="2" s="1"/>
  <c r="F93" i="2" l="1"/>
  <c r="K93" i="2"/>
  <c r="C94" i="2"/>
  <c r="E94" i="2" s="1"/>
  <c r="H94" i="2"/>
  <c r="I93" i="2" l="1"/>
  <c r="M93" i="2"/>
  <c r="H66" i="4"/>
  <c r="H116" i="4" s="1"/>
  <c r="F94" i="2"/>
  <c r="I94" i="2" s="1"/>
  <c r="C95" i="2"/>
  <c r="E95" i="2" s="1"/>
  <c r="H95" i="2"/>
  <c r="H127" i="4" l="1"/>
  <c r="H128" i="4" s="1"/>
  <c r="H119" i="4"/>
  <c r="H120" i="4"/>
  <c r="H118" i="4"/>
  <c r="F95" i="2"/>
  <c r="C96" i="2"/>
  <c r="E96" i="2" s="1"/>
  <c r="H96" i="2"/>
  <c r="H129" i="4" l="1"/>
  <c r="H130" i="4"/>
  <c r="H131" i="4" s="1"/>
  <c r="I95" i="2"/>
  <c r="H97" i="2"/>
  <c r="C97" i="2"/>
  <c r="E97" i="2" l="1"/>
  <c r="F97" i="2" s="1"/>
  <c r="I97" i="2" s="1"/>
  <c r="F96" i="2"/>
  <c r="I96" i="2" s="1"/>
  <c r="G82" i="4"/>
  <c r="G96" i="4" s="1"/>
  <c r="G68" i="4"/>
  <c r="G70" i="4" s="1"/>
  <c r="G72" i="4" s="1"/>
  <c r="G113" i="4" s="1"/>
  <c r="H98" i="2"/>
  <c r="C98" i="2"/>
  <c r="G99" i="4" l="1"/>
  <c r="G132" i="4"/>
  <c r="G150" i="4"/>
  <c r="G159" i="4" s="1"/>
  <c r="G160" i="4" s="1"/>
  <c r="G73" i="4"/>
  <c r="G89" i="4"/>
  <c r="E98" i="2"/>
  <c r="F98" i="2" s="1"/>
  <c r="I98" i="2" s="1"/>
  <c r="C99" i="2"/>
  <c r="H99" i="2"/>
  <c r="G153" i="4" l="1"/>
  <c r="G134" i="4"/>
  <c r="G133" i="4"/>
  <c r="G135" i="4" s="1"/>
  <c r="H150" i="4"/>
  <c r="J150" i="4" s="1"/>
  <c r="I150" i="4"/>
  <c r="K150" i="4" s="1"/>
  <c r="E99" i="2"/>
  <c r="F99" i="2" s="1"/>
  <c r="I99" i="2" s="1"/>
  <c r="G74" i="4"/>
  <c r="G93" i="4" s="1"/>
  <c r="G95" i="4" s="1"/>
  <c r="F28" i="9"/>
  <c r="H100" i="2"/>
  <c r="C100" i="2"/>
  <c r="G102" i="4" l="1"/>
  <c r="G97" i="4"/>
  <c r="G100" i="4" s="1"/>
  <c r="J153" i="4"/>
  <c r="J151" i="4"/>
  <c r="K153" i="4"/>
  <c r="K151" i="4"/>
  <c r="H153" i="4"/>
  <c r="H151" i="4"/>
  <c r="I153" i="4"/>
  <c r="I151" i="4"/>
  <c r="G76" i="4"/>
  <c r="G78" i="4" s="1"/>
  <c r="G90" i="4"/>
  <c r="E100" i="2"/>
  <c r="F100" i="2" s="1"/>
  <c r="I100" i="2" s="1"/>
  <c r="F8" i="9"/>
  <c r="F27" i="9" s="1"/>
  <c r="C101" i="2"/>
  <c r="H101" i="2"/>
  <c r="K154" i="4" l="1"/>
  <c r="J154" i="4"/>
  <c r="I154" i="4"/>
  <c r="H154" i="4"/>
  <c r="G86" i="4"/>
  <c r="G84" i="4"/>
  <c r="E101" i="2"/>
  <c r="F101" i="2" s="1"/>
  <c r="I101" i="2" s="1"/>
  <c r="F15" i="9"/>
  <c r="F26" i="9" s="1"/>
  <c r="H102" i="2"/>
  <c r="C102" i="2"/>
  <c r="G156" i="4" l="1"/>
  <c r="G151" i="4"/>
  <c r="G154" i="4" s="1"/>
  <c r="E102" i="2"/>
  <c r="F102" i="2" s="1"/>
  <c r="I102" i="2" s="1"/>
  <c r="H103" i="2"/>
  <c r="C103" i="2"/>
  <c r="E103" i="2" s="1"/>
  <c r="F103" i="2" l="1"/>
  <c r="I103" i="2" s="1"/>
  <c r="H104" i="2"/>
  <c r="C104" i="2"/>
  <c r="F104" i="2" l="1"/>
  <c r="I104" i="2" s="1"/>
  <c r="E104" i="2"/>
  <c r="H105" i="2"/>
  <c r="C105" i="2"/>
  <c r="E105" i="2" s="1"/>
  <c r="F105" i="2" l="1"/>
  <c r="I105" i="2" s="1"/>
  <c r="K105" i="2"/>
  <c r="H106" i="2"/>
  <c r="C106" i="2"/>
  <c r="E106" i="2" s="1"/>
  <c r="F106" i="2" l="1"/>
  <c r="I106" i="2" s="1"/>
  <c r="I66" i="4"/>
  <c r="I116" i="4" s="1"/>
  <c r="M105" i="2"/>
  <c r="H107" i="2"/>
  <c r="C107" i="2"/>
  <c r="I120" i="4" l="1"/>
  <c r="I118" i="4"/>
  <c r="I127" i="4"/>
  <c r="I128" i="4" s="1"/>
  <c r="I119" i="4"/>
  <c r="E107" i="2"/>
  <c r="F107" i="2" s="1"/>
  <c r="I107" i="2" s="1"/>
  <c r="H108" i="2"/>
  <c r="C108" i="2"/>
  <c r="E108" i="2" s="1"/>
  <c r="I129" i="4" l="1"/>
  <c r="I130" i="4"/>
  <c r="I131" i="4" s="1"/>
  <c r="H109" i="2"/>
  <c r="C109" i="2"/>
  <c r="E109" i="2" l="1"/>
  <c r="F109" i="2" s="1"/>
  <c r="I109" i="2" s="1"/>
  <c r="F108" i="2"/>
  <c r="I108" i="2" s="1"/>
  <c r="H82" i="4"/>
  <c r="H96" i="4" s="1"/>
  <c r="H68" i="4"/>
  <c r="H70" i="4" s="1"/>
  <c r="H72" i="4" s="1"/>
  <c r="H113" i="4" s="1"/>
  <c r="H110" i="2"/>
  <c r="C110" i="2"/>
  <c r="H99" i="4" l="1"/>
  <c r="H132" i="4"/>
  <c r="H73" i="4"/>
  <c r="H74" i="4" s="1"/>
  <c r="H93" i="4" s="1"/>
  <c r="H95" i="4" s="1"/>
  <c r="H89" i="4"/>
  <c r="E110" i="2"/>
  <c r="F110" i="2" s="1"/>
  <c r="I110" i="2" s="1"/>
  <c r="H111" i="2"/>
  <c r="C111" i="2"/>
  <c r="H134" i="4" l="1"/>
  <c r="H133" i="4"/>
  <c r="H102" i="4"/>
  <c r="H97" i="4"/>
  <c r="H100" i="4" s="1"/>
  <c r="E111" i="2"/>
  <c r="F111" i="2" s="1"/>
  <c r="I111" i="2" s="1"/>
  <c r="H112" i="2"/>
  <c r="C112" i="2"/>
  <c r="E112" i="2" s="1"/>
  <c r="G28" i="9"/>
  <c r="H135" i="4" l="1"/>
  <c r="H76" i="4"/>
  <c r="H78" i="4" s="1"/>
  <c r="H84" i="4" s="1"/>
  <c r="H90" i="4"/>
  <c r="G8" i="9"/>
  <c r="G15" i="9" s="1"/>
  <c r="G26" i="9" s="1"/>
  <c r="H113" i="2"/>
  <c r="C113" i="2"/>
  <c r="H86" i="4" l="1"/>
  <c r="E113" i="2"/>
  <c r="F113" i="2" s="1"/>
  <c r="I113" i="2" s="1"/>
  <c r="G27" i="9"/>
  <c r="F112" i="2"/>
  <c r="I112" i="2" s="1"/>
  <c r="H114" i="2"/>
  <c r="C114" i="2"/>
  <c r="E114" i="2" l="1"/>
  <c r="F114" i="2" s="1"/>
  <c r="I114" i="2" s="1"/>
  <c r="H115" i="2"/>
  <c r="C115" i="2"/>
  <c r="E115" i="2" l="1"/>
  <c r="F115" i="2" s="1"/>
  <c r="I115" i="2" s="1"/>
  <c r="H116" i="2"/>
  <c r="C116" i="2"/>
  <c r="E116" i="2" s="1"/>
  <c r="F116" i="2" l="1"/>
  <c r="I116" i="2" s="1"/>
  <c r="H117" i="2"/>
  <c r="C117" i="2"/>
  <c r="E117" i="2" s="1"/>
  <c r="F117" i="2" l="1"/>
  <c r="I117" i="2" s="1"/>
  <c r="K117" i="2"/>
  <c r="H118" i="2"/>
  <c r="C118" i="2"/>
  <c r="E118" i="2" s="1"/>
  <c r="J66" i="4" l="1"/>
  <c r="J116" i="4" s="1"/>
  <c r="M117" i="2"/>
  <c r="F118" i="2"/>
  <c r="I118" i="2" s="1"/>
  <c r="H119" i="2"/>
  <c r="C119" i="2"/>
  <c r="E119" i="2" s="1"/>
  <c r="J118" i="4" l="1"/>
  <c r="J127" i="4"/>
  <c r="J128" i="4" s="1"/>
  <c r="J119" i="4"/>
  <c r="J120" i="4"/>
  <c r="F119" i="2"/>
  <c r="I119" i="2" s="1"/>
  <c r="H120" i="2"/>
  <c r="C120" i="2"/>
  <c r="E120" i="2" s="1"/>
  <c r="J129" i="4" l="1"/>
  <c r="J130" i="4"/>
  <c r="J131" i="4" s="1"/>
  <c r="H121" i="2"/>
  <c r="C121" i="2"/>
  <c r="E121" i="2" l="1"/>
  <c r="F121" i="2" s="1"/>
  <c r="I121" i="2" s="1"/>
  <c r="F120" i="2"/>
  <c r="I120" i="2" s="1"/>
  <c r="I82" i="4"/>
  <c r="I96" i="4" s="1"/>
  <c r="I68" i="4"/>
  <c r="I70" i="4" s="1"/>
  <c r="I72" i="4" s="1"/>
  <c r="H122" i="2"/>
  <c r="C122" i="2"/>
  <c r="I99" i="4" l="1"/>
  <c r="I132" i="4"/>
  <c r="I113" i="4"/>
  <c r="I73" i="4"/>
  <c r="I74" i="4" s="1"/>
  <c r="I93" i="4" s="1"/>
  <c r="I95" i="4" s="1"/>
  <c r="I89" i="4"/>
  <c r="E122" i="2"/>
  <c r="F122" i="2" s="1"/>
  <c r="I122" i="2" s="1"/>
  <c r="H123" i="2"/>
  <c r="C123" i="2"/>
  <c r="I134" i="4" l="1"/>
  <c r="I133" i="4"/>
  <c r="I135" i="4" s="1"/>
  <c r="I102" i="4"/>
  <c r="I97" i="4"/>
  <c r="I100" i="4" s="1"/>
  <c r="E123" i="2"/>
  <c r="F123" i="2" s="1"/>
  <c r="I123" i="2" s="1"/>
  <c r="H124" i="2"/>
  <c r="C124" i="2"/>
  <c r="E124" i="2" s="1"/>
  <c r="H28" i="9"/>
  <c r="I76" i="4" l="1"/>
  <c r="I78" i="4" s="1"/>
  <c r="I86" i="4" s="1"/>
  <c r="I90" i="4"/>
  <c r="H8" i="9"/>
  <c r="H27" i="9" s="1"/>
  <c r="F124" i="2"/>
  <c r="I124" i="2" s="1"/>
  <c r="H125" i="2"/>
  <c r="H126" i="2" s="1"/>
  <c r="C125" i="2"/>
  <c r="I84" i="4" l="1"/>
  <c r="H127" i="2"/>
  <c r="C127" i="2"/>
  <c r="E127" i="2" s="1"/>
  <c r="E125" i="2"/>
  <c r="F125" i="2" s="1"/>
  <c r="I125" i="2" s="1"/>
  <c r="H15" i="9"/>
  <c r="H26" i="9" s="1"/>
  <c r="C126" i="2"/>
  <c r="E126" i="2" l="1"/>
  <c r="F126" i="2" s="1"/>
  <c r="I126" i="2" s="1"/>
  <c r="F127" i="2"/>
  <c r="I127" i="2" s="1"/>
  <c r="H128" i="2"/>
  <c r="C128" i="2"/>
  <c r="E128" i="2" s="1"/>
  <c r="F128" i="2" l="1"/>
  <c r="I128" i="2" s="1"/>
  <c r="H129" i="2"/>
  <c r="C129" i="2"/>
  <c r="E129" i="2" s="1"/>
  <c r="H130" i="2" l="1"/>
  <c r="C130" i="2"/>
  <c r="E130" i="2" s="1"/>
  <c r="K129" i="2"/>
  <c r="J82" i="4"/>
  <c r="J96" i="4" s="1"/>
  <c r="J68" i="4"/>
  <c r="J70" i="4" s="1"/>
  <c r="J99" i="4" l="1"/>
  <c r="J132" i="4"/>
  <c r="J72" i="4"/>
  <c r="J113" i="4" s="1"/>
  <c r="K66" i="4"/>
  <c r="K116" i="4" s="1"/>
  <c r="F130" i="2"/>
  <c r="I130" i="2" s="1"/>
  <c r="H131" i="2"/>
  <c r="C131" i="2"/>
  <c r="E131" i="2" s="1"/>
  <c r="M129" i="2"/>
  <c r="F129" i="2"/>
  <c r="J134" i="4" l="1"/>
  <c r="J133" i="4"/>
  <c r="J135" i="4" s="1"/>
  <c r="J73" i="4"/>
  <c r="J74" i="4" s="1"/>
  <c r="J89" i="4"/>
  <c r="K118" i="4"/>
  <c r="K127" i="4"/>
  <c r="K128" i="4" s="1"/>
  <c r="K119" i="4"/>
  <c r="K120" i="4"/>
  <c r="I28" i="9"/>
  <c r="F131" i="2"/>
  <c r="I131" i="2" s="1"/>
  <c r="C132" i="2"/>
  <c r="E132" i="2" s="1"/>
  <c r="H132" i="2"/>
  <c r="I129" i="2"/>
  <c r="K129" i="4" l="1"/>
  <c r="K130" i="4"/>
  <c r="K131" i="4" s="1"/>
  <c r="J93" i="4"/>
  <c r="J95" i="4" s="1"/>
  <c r="J90" i="4"/>
  <c r="J76" i="4"/>
  <c r="J78" i="4" s="1"/>
  <c r="J86" i="4" s="1"/>
  <c r="F132" i="2"/>
  <c r="I132" i="2" s="1"/>
  <c r="C133" i="2"/>
  <c r="E133" i="2" s="1"/>
  <c r="H133" i="2"/>
  <c r="I8" i="9"/>
  <c r="I27" i="9" s="1"/>
  <c r="J84" i="4" l="1"/>
  <c r="J102" i="4"/>
  <c r="J97" i="4"/>
  <c r="J100" i="4" s="1"/>
  <c r="F133" i="2"/>
  <c r="I133" i="2" s="1"/>
  <c r="H134" i="2"/>
  <c r="C134" i="2"/>
  <c r="E134" i="2" s="1"/>
  <c r="I15" i="9"/>
  <c r="I26" i="9" s="1"/>
  <c r="F134" i="2" l="1"/>
  <c r="I134" i="2" s="1"/>
  <c r="H135" i="2"/>
  <c r="C135" i="2"/>
  <c r="E135" i="2" s="1"/>
  <c r="F135" i="2" l="1"/>
  <c r="I135" i="2" s="1"/>
  <c r="C136" i="2"/>
  <c r="E136" i="2" s="1"/>
  <c r="H136" i="2"/>
  <c r="K82" i="4"/>
  <c r="K96" i="4" s="1"/>
  <c r="K68" i="4"/>
  <c r="K70" i="4" s="1"/>
  <c r="K99" i="4" l="1"/>
  <c r="K132" i="4"/>
  <c r="K72" i="4"/>
  <c r="K113" i="4" s="1"/>
  <c r="F136" i="2"/>
  <c r="I136" i="2" s="1"/>
  <c r="C137" i="2"/>
  <c r="E137" i="2" s="1"/>
  <c r="K137" i="2" s="1"/>
  <c r="H137" i="2"/>
  <c r="K134" i="4" l="1"/>
  <c r="K133" i="4"/>
  <c r="K135" i="4" s="1"/>
  <c r="K73" i="4"/>
  <c r="K74" i="4" s="1"/>
  <c r="K89" i="4"/>
  <c r="M137" i="2"/>
  <c r="M139" i="2" s="1"/>
  <c r="L66" i="4"/>
  <c r="L116" i="4" s="1"/>
  <c r="K139" i="2"/>
  <c r="F137" i="2"/>
  <c r="J28" i="9"/>
  <c r="K93" i="4" l="1"/>
  <c r="K95" i="4" s="1"/>
  <c r="K90" i="4"/>
  <c r="L127" i="4"/>
  <c r="L128" i="4" s="1"/>
  <c r="L119" i="4"/>
  <c r="L120" i="4"/>
  <c r="L118" i="4"/>
  <c r="K76" i="4"/>
  <c r="K78" i="4" s="1"/>
  <c r="K84" i="4" s="1"/>
  <c r="L82" i="4"/>
  <c r="L68" i="4"/>
  <c r="L70" i="4" s="1"/>
  <c r="I137" i="2"/>
  <c r="I139" i="2" s="1"/>
  <c r="F139" i="2"/>
  <c r="J8" i="9"/>
  <c r="L129" i="4" l="1"/>
  <c r="L130" i="4"/>
  <c r="L131" i="4" s="1"/>
  <c r="L72" i="4"/>
  <c r="L89" i="4" s="1"/>
  <c r="K102" i="4"/>
  <c r="K97" i="4"/>
  <c r="K100" i="4" s="1"/>
  <c r="M82" i="4"/>
  <c r="N82" i="4" s="1"/>
  <c r="L96" i="4"/>
  <c r="M78" i="4"/>
  <c r="K86" i="4"/>
  <c r="K28" i="9"/>
  <c r="J15" i="9"/>
  <c r="J26" i="9" s="1"/>
  <c r="J27" i="9"/>
  <c r="L99" i="4" l="1"/>
  <c r="L132" i="4"/>
  <c r="L134" i="4" s="1"/>
  <c r="L113" i="4"/>
  <c r="L133" i="4"/>
  <c r="L135" i="4" s="1"/>
  <c r="L73" i="4"/>
  <c r="L74" i="4" s="1"/>
  <c r="M86" i="4"/>
  <c r="M84" i="4"/>
  <c r="N84" i="4" s="1"/>
  <c r="L93" i="4" l="1"/>
  <c r="L95" i="4" s="1"/>
  <c r="L90" i="4"/>
  <c r="L76" i="4"/>
  <c r="L78" i="4" s="1"/>
  <c r="N77" i="4" s="1"/>
  <c r="N78" i="4" s="1"/>
  <c r="N86" i="4" s="1"/>
  <c r="K8" i="9"/>
  <c r="K15" i="9" s="1"/>
  <c r="K26" i="9" s="1"/>
  <c r="L102" i="4" l="1"/>
  <c r="L97" i="4"/>
  <c r="L100" i="4" s="1"/>
  <c r="K27" i="9"/>
  <c r="L84" i="4"/>
  <c r="L86" i="4"/>
</calcChain>
</file>

<file path=xl/sharedStrings.xml><?xml version="1.0" encoding="utf-8"?>
<sst xmlns="http://schemas.openxmlformats.org/spreadsheetml/2006/main" count="452" uniqueCount="386">
  <si>
    <t>Cost of Project</t>
  </si>
  <si>
    <t>Particulars</t>
  </si>
  <si>
    <t>Already Incurred</t>
  </si>
  <si>
    <t>To be Incurred</t>
  </si>
  <si>
    <t>Total Cost</t>
  </si>
  <si>
    <t>Contingencies @ 2%</t>
  </si>
  <si>
    <t xml:space="preserve">Construction period Interest </t>
  </si>
  <si>
    <t>Total Project Cost</t>
  </si>
  <si>
    <t>Means of Finance</t>
  </si>
  <si>
    <t>Already Done</t>
  </si>
  <si>
    <t>Proposed</t>
  </si>
  <si>
    <t>Total</t>
  </si>
  <si>
    <t>Promoters Contribution</t>
  </si>
  <si>
    <t>Bank Finance (TL)</t>
  </si>
  <si>
    <t>TERM LOAN DISBURSEMENT, REPAYMENT SCHEDULE &amp; INTEREST CALCULATION</t>
  </si>
  <si>
    <t>COP</t>
  </si>
  <si>
    <t>Debt-Equity Ratio</t>
  </si>
  <si>
    <t>Term Loan</t>
  </si>
  <si>
    <t>Loan Sanctioned</t>
  </si>
  <si>
    <t>No. of Installment</t>
  </si>
  <si>
    <t>Rate of Interest</t>
  </si>
  <si>
    <t xml:space="preserve">No. of </t>
  </si>
  <si>
    <t>Month</t>
  </si>
  <si>
    <t>Op. Bal</t>
  </si>
  <si>
    <t>Disbursement</t>
  </si>
  <si>
    <t xml:space="preserve">Interest </t>
  </si>
  <si>
    <t>Interest</t>
  </si>
  <si>
    <t>TL Repaid</t>
  </si>
  <si>
    <t>TL</t>
  </si>
  <si>
    <t xml:space="preserve">Total </t>
  </si>
  <si>
    <t>Year Ending</t>
  </si>
  <si>
    <t xml:space="preserve">Intt. Exp. </t>
  </si>
  <si>
    <t>Repay of</t>
  </si>
  <si>
    <t>Instl.</t>
  </si>
  <si>
    <t>Due</t>
  </si>
  <si>
    <t>Paid</t>
  </si>
  <si>
    <t>Outstanding</t>
  </si>
  <si>
    <t>Monthly</t>
  </si>
  <si>
    <t>Yearly</t>
  </si>
  <si>
    <t>Principal</t>
  </si>
  <si>
    <t>Repayment</t>
  </si>
  <si>
    <t>Calculation of Depriciations (As per Income Tax Act )</t>
  </si>
  <si>
    <t xml:space="preserve">Gross Block </t>
  </si>
  <si>
    <t>Building and other civil work</t>
  </si>
  <si>
    <t>Plant and Machinery</t>
  </si>
  <si>
    <t>Land</t>
  </si>
  <si>
    <t>Depreciation</t>
  </si>
  <si>
    <t>Plant and machinery</t>
  </si>
  <si>
    <t>Net Block</t>
  </si>
  <si>
    <t>Building &amp; other civil work</t>
  </si>
  <si>
    <t>PARTICULARS</t>
  </si>
  <si>
    <t>Months</t>
  </si>
  <si>
    <t>Total Revenue</t>
  </si>
  <si>
    <t>Operating Cost</t>
  </si>
  <si>
    <t>Repair &amp; Maintenance (% of Building, P&amp;M)</t>
  </si>
  <si>
    <t>Rent Rates &amp; Taxes (% of Building , P&amp;M,MFA)</t>
  </si>
  <si>
    <t>0.2%</t>
  </si>
  <si>
    <t>Insurance (of Net Block)</t>
  </si>
  <si>
    <t>Total Cost of Operation</t>
  </si>
  <si>
    <t>OPERATING COST/SALES</t>
  </si>
  <si>
    <t>Gross Operating Profit B Intt, Tax &amp; Deprn</t>
  </si>
  <si>
    <t>PBDIT/SALES</t>
  </si>
  <si>
    <t>EBIDTA</t>
  </si>
  <si>
    <t>Financial Expenses : Interest on Term Loan</t>
  </si>
  <si>
    <t>Profit before Depreciation</t>
  </si>
  <si>
    <t>Profit after Depreciation</t>
  </si>
  <si>
    <t>Prel. Expenses W/Off</t>
  </si>
  <si>
    <t>Profit Before Tax</t>
  </si>
  <si>
    <t>Income Tax</t>
  </si>
  <si>
    <t>Profit After Tax</t>
  </si>
  <si>
    <t>Dividend</t>
  </si>
  <si>
    <t>Retaind Profit</t>
  </si>
  <si>
    <t>Net Cash Accurals</t>
  </si>
  <si>
    <t>Repayment of Term Loan</t>
  </si>
  <si>
    <t>Interest on Term Loan</t>
  </si>
  <si>
    <t>DSCR (Net)</t>
  </si>
  <si>
    <t>DSCR (Gross)</t>
  </si>
  <si>
    <t>Furniture &amp; Fixtures</t>
  </si>
  <si>
    <t>Other Assets</t>
  </si>
  <si>
    <t>Lacs</t>
  </si>
  <si>
    <t>Monthly Sale</t>
  </si>
  <si>
    <t xml:space="preserve">Power &amp; Fuel </t>
  </si>
  <si>
    <t>Administration &amp; Misc. Exp</t>
  </si>
  <si>
    <t>Salary &amp; Wages</t>
  </si>
  <si>
    <t>Other Operating Expenses</t>
  </si>
  <si>
    <t>Descripton</t>
  </si>
  <si>
    <t>Indegeniuos:</t>
  </si>
  <si>
    <t>Supplier Name</t>
  </si>
  <si>
    <t>Details of Other Assets</t>
  </si>
  <si>
    <t>S.No.</t>
  </si>
  <si>
    <t>Details of Plant &amp; Machinery</t>
  </si>
  <si>
    <t xml:space="preserve">Liabilities:   </t>
  </si>
  <si>
    <t>Reserve &amp; Surplus</t>
  </si>
  <si>
    <t>Assets:</t>
  </si>
  <si>
    <t>Fixed Assets</t>
  </si>
  <si>
    <t>Sundry Debtors</t>
  </si>
  <si>
    <t>Cash &amp; Bank Balances</t>
  </si>
  <si>
    <t>Sundry Creditors</t>
  </si>
  <si>
    <t>Capital</t>
  </si>
  <si>
    <t>Projected</t>
  </si>
  <si>
    <t>Projected Balance Sheet</t>
  </si>
  <si>
    <t>Long Term Borrowing</t>
  </si>
  <si>
    <t>Provision for Tax</t>
  </si>
  <si>
    <t>TOL/TNW</t>
  </si>
  <si>
    <t>Current Ratio</t>
  </si>
  <si>
    <t>Office Equipments, Computers, Printers etc.</t>
  </si>
  <si>
    <t>Amounts in Lacs</t>
  </si>
  <si>
    <t>Working Capital Loan</t>
  </si>
  <si>
    <t xml:space="preserve">Capacity utilisation </t>
  </si>
  <si>
    <t>Financial Expenses : Interest on WC</t>
  </si>
  <si>
    <t>Gestation Period</t>
  </si>
  <si>
    <t>Difference in B/S</t>
  </si>
  <si>
    <t>Dec-22</t>
  </si>
  <si>
    <t>Jan-23</t>
  </si>
  <si>
    <t>Feb-23</t>
  </si>
  <si>
    <t>March-23</t>
  </si>
  <si>
    <t>April-23</t>
  </si>
  <si>
    <t>May-23</t>
  </si>
  <si>
    <t>June-23</t>
  </si>
  <si>
    <t>July-23</t>
  </si>
  <si>
    <t>Aug-23</t>
  </si>
  <si>
    <t>Sep-23</t>
  </si>
  <si>
    <t>Oct-23</t>
  </si>
  <si>
    <t>Nov-23</t>
  </si>
  <si>
    <t>Dec-23</t>
  </si>
  <si>
    <t>Jan-24</t>
  </si>
  <si>
    <t>Feb-24</t>
  </si>
  <si>
    <t>March-24</t>
  </si>
  <si>
    <t>Preliminary Ex.</t>
  </si>
  <si>
    <t>Trade Deposits, Govt. Deposits and other Advances</t>
  </si>
  <si>
    <t xml:space="preserve">Deposits with Govt. /private </t>
  </si>
  <si>
    <t>Short Term Liab.(Part of Long Term Liab)</t>
  </si>
  <si>
    <t>Advance Taxes / Loans and advances, Advance to suppliers etc.</t>
  </si>
  <si>
    <t>(Values in Crs.)</t>
  </si>
  <si>
    <t>Purchase of Land + Stamp Duty+ Sanction of Map</t>
  </si>
  <si>
    <t>Construction of Building + Devlp. of Land</t>
  </si>
  <si>
    <t>Amounts in Crs.</t>
  </si>
  <si>
    <t>April-24</t>
  </si>
  <si>
    <t>May-24</t>
  </si>
  <si>
    <t>June-24</t>
  </si>
  <si>
    <t>July-24</t>
  </si>
  <si>
    <t>Aug-24</t>
  </si>
  <si>
    <t>Sep-24</t>
  </si>
  <si>
    <t>Oct-24</t>
  </si>
  <si>
    <t>Nov-24</t>
  </si>
  <si>
    <t>Dec-24</t>
  </si>
  <si>
    <t>Jan-25</t>
  </si>
  <si>
    <t>Feb-25</t>
  </si>
  <si>
    <t>March-25</t>
  </si>
  <si>
    <t>April-25</t>
  </si>
  <si>
    <t>May-25</t>
  </si>
  <si>
    <t>June-25</t>
  </si>
  <si>
    <t>July-25</t>
  </si>
  <si>
    <t>Aug-25</t>
  </si>
  <si>
    <t>Sep-25</t>
  </si>
  <si>
    <t>Oct-25</t>
  </si>
  <si>
    <t>Nov-25</t>
  </si>
  <si>
    <t>Dec-25</t>
  </si>
  <si>
    <t>Jan-26</t>
  </si>
  <si>
    <t>Feb-26</t>
  </si>
  <si>
    <t>March-26</t>
  </si>
  <si>
    <t>April-26</t>
  </si>
  <si>
    <t>May-26</t>
  </si>
  <si>
    <t>June-26</t>
  </si>
  <si>
    <t>July-26</t>
  </si>
  <si>
    <t>Aug-26</t>
  </si>
  <si>
    <t>Sep-26</t>
  </si>
  <si>
    <t>Oct-26</t>
  </si>
  <si>
    <t>Nov-26</t>
  </si>
  <si>
    <t>Dec-26</t>
  </si>
  <si>
    <t>Jan-27</t>
  </si>
  <si>
    <t>Feb-27</t>
  </si>
  <si>
    <t>March-27</t>
  </si>
  <si>
    <t>April-27</t>
  </si>
  <si>
    <t>May-27</t>
  </si>
  <si>
    <t>June-27</t>
  </si>
  <si>
    <t>July-27</t>
  </si>
  <si>
    <t>Aug-27</t>
  </si>
  <si>
    <t>Sep-27</t>
  </si>
  <si>
    <t>Oct-27</t>
  </si>
  <si>
    <t>Nov-27</t>
  </si>
  <si>
    <t>Dec-27</t>
  </si>
  <si>
    <t>Jan-28</t>
  </si>
  <si>
    <t>Feb-28</t>
  </si>
  <si>
    <t>March-28</t>
  </si>
  <si>
    <t>April-28</t>
  </si>
  <si>
    <t>May-28</t>
  </si>
  <si>
    <t>June-28</t>
  </si>
  <si>
    <t>July-28</t>
  </si>
  <si>
    <t>Aug-28</t>
  </si>
  <si>
    <t>Sep-28</t>
  </si>
  <si>
    <t>Oct-28</t>
  </si>
  <si>
    <t>Nov-28</t>
  </si>
  <si>
    <t>Dec-28</t>
  </si>
  <si>
    <t>Jan-29</t>
  </si>
  <si>
    <t>Feb-29</t>
  </si>
  <si>
    <t>March-29</t>
  </si>
  <si>
    <t>April-29</t>
  </si>
  <si>
    <t>May-29</t>
  </si>
  <si>
    <t>June-29</t>
  </si>
  <si>
    <t>July-29</t>
  </si>
  <si>
    <t>Aug-29</t>
  </si>
  <si>
    <t>Sep-29</t>
  </si>
  <si>
    <t>Oct-29</t>
  </si>
  <si>
    <t>Nov-29</t>
  </si>
  <si>
    <t>Dec-29</t>
  </si>
  <si>
    <t>Jan-30</t>
  </si>
  <si>
    <t>Feb-30</t>
  </si>
  <si>
    <t>March-30</t>
  </si>
  <si>
    <t>April-30</t>
  </si>
  <si>
    <t>May-30</t>
  </si>
  <si>
    <t>June-30</t>
  </si>
  <si>
    <t>July-30</t>
  </si>
  <si>
    <t>Aug-30</t>
  </si>
  <si>
    <t>Sep-30</t>
  </si>
  <si>
    <t>Oct-30</t>
  </si>
  <si>
    <t>Nov-30</t>
  </si>
  <si>
    <t>Dec-30</t>
  </si>
  <si>
    <t>Jan-31</t>
  </si>
  <si>
    <t>Feb-31</t>
  </si>
  <si>
    <t>March-31</t>
  </si>
  <si>
    <t>April-31</t>
  </si>
  <si>
    <t>May-31</t>
  </si>
  <si>
    <t>June-31</t>
  </si>
  <si>
    <t>July-31</t>
  </si>
  <si>
    <t>Aug-31</t>
  </si>
  <si>
    <t>Sep-31</t>
  </si>
  <si>
    <t>Oct-31</t>
  </si>
  <si>
    <t>Nov-31</t>
  </si>
  <si>
    <t>Dec-31</t>
  </si>
  <si>
    <t>Jan-32</t>
  </si>
  <si>
    <t>Feb-32</t>
  </si>
  <si>
    <t>March-32</t>
  </si>
  <si>
    <t>.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</si>
  <si>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</si>
  <si>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</si>
  <si>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</si>
  <si>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</si>
  <si>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</si>
  <si>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</si>
  <si>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</si>
  <si>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</si>
  <si>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Furniture &amp; Fixtures &amp; others</t>
  </si>
  <si>
    <t xml:space="preserve">                                                                   (Amounts in Crs)</t>
  </si>
  <si>
    <t xml:space="preserve">Closing Stock </t>
  </si>
  <si>
    <t>(Amts in crs)</t>
  </si>
  <si>
    <t>(Figures in crs)</t>
  </si>
  <si>
    <t>2023-24</t>
  </si>
  <si>
    <t>Electricals Fitting &amp; Installation, Fire Fighting Systems, Security Equipments, Office Equipments, Air Conditioners etc</t>
  </si>
  <si>
    <t>Project : MRI &amp; CT SCAN CENTRE at Commercial Plot Number- 41, 42 &amp; 58, Sector-53, Urban Estate, Gurgaon-II, Haryana</t>
  </si>
  <si>
    <t>M/s DIXITAL TECHNOLOGIES INDIA PRIVATE LIMITED</t>
  </si>
  <si>
    <t>Projected Profitability Statement     M/S DIXITAL TECHNOLOGIES INDIA PRIVATE LIMITED</t>
  </si>
  <si>
    <t>M/S DIXITAL TECHNOLOGIES INDIA PVT LTD.</t>
  </si>
  <si>
    <t xml:space="preserve">Purchase of Plant and Machinery </t>
  </si>
  <si>
    <t>1st- 5 years</t>
  </si>
  <si>
    <t>2nd-5 years</t>
  </si>
  <si>
    <t>April-32</t>
  </si>
  <si>
    <t>May-32</t>
  </si>
  <si>
    <t>June-32</t>
  </si>
  <si>
    <t>July-32</t>
  </si>
  <si>
    <t>Aug-32</t>
  </si>
  <si>
    <t>Sep-32</t>
  </si>
  <si>
    <t>Oct-32</t>
  </si>
  <si>
    <t>Nov-32</t>
  </si>
  <si>
    <t>MRI &amp; CT-SCAN CENTRE:</t>
  </si>
  <si>
    <t>2032-33</t>
  </si>
  <si>
    <t>MRI SCAN:-</t>
  </si>
  <si>
    <t>Maximum Capacity of MRI SCAN Tests /Pday</t>
  </si>
  <si>
    <t>Selling Price per test</t>
  </si>
  <si>
    <t>Revenue from MRI SCAN TESTS -Sales (PA)</t>
  </si>
  <si>
    <t>Cost of Transportation for patients from Hospitals</t>
  </si>
  <si>
    <t>CMC Cost for Machinery Maintenance company/ PA</t>
  </si>
  <si>
    <t>40 Lacs</t>
  </si>
  <si>
    <t>Maximum Capacity of CT SCAN Tests /Pday</t>
  </si>
  <si>
    <t>CT SCAN:-</t>
  </si>
  <si>
    <t>Revenue from CT SCAN TESTS -Sales (PA)</t>
  </si>
  <si>
    <t>Cost of Stationery and Medicines @ Rs. 500000 P. Month @ Full Capacity</t>
  </si>
  <si>
    <t>X-RAY SCAN:-</t>
  </si>
  <si>
    <t>Maximum Capacity of X-RAY SCAN Tests /Pday</t>
  </si>
  <si>
    <t>Revenue from X-RAY SCAN TESTS -Sales (PA)</t>
  </si>
  <si>
    <t>Maximum Capacity of COLR DOPPLER SCAN Tests /Pday</t>
  </si>
  <si>
    <t>Revenue from COLOR DOPPLER SCAN TESTS -Sales (PA)</t>
  </si>
  <si>
    <t>LAB TESTS:-</t>
  </si>
  <si>
    <t>Maximum Capacity of LAB TESTS Tests /Pday</t>
  </si>
  <si>
    <t>Revenue from LAB TESTS TESTS -Sales (PA)</t>
  </si>
  <si>
    <t>Color Doppler/ Ultra Sound SCAN:-</t>
  </si>
  <si>
    <t>Fixed X-Ray Machine, Make: Kiram Medical, Model-ULTISYS20</t>
  </si>
  <si>
    <t>Unique Xray House</t>
  </si>
  <si>
    <t>DC-70, X-Insight High End Color Dopplar System</t>
  </si>
  <si>
    <t>Apex Systems</t>
  </si>
  <si>
    <t>Lab Test Equipments</t>
  </si>
  <si>
    <t>TRANASIA</t>
  </si>
  <si>
    <t>Pre-Owned Toshiba Aquilion 64 Slice CT Scanner</t>
  </si>
  <si>
    <t>Biomex</t>
  </si>
  <si>
    <t>Pre-Owned Philips Achieva 3.0T 16 Channel MRI with complete equipments, tables, UPS etc</t>
  </si>
  <si>
    <t>DG Set- 60 KVA</t>
  </si>
  <si>
    <t>SUDHIR GENSETS</t>
  </si>
  <si>
    <t>* Deposits required for Electrification, Registrations and tax purposes to the Government agencies</t>
  </si>
  <si>
    <t>Margin</t>
  </si>
  <si>
    <t xml:space="preserve">Stock </t>
  </si>
  <si>
    <t xml:space="preserve">Book Debts </t>
  </si>
  <si>
    <t>Margin Amount</t>
  </si>
  <si>
    <t xml:space="preserve">DP </t>
  </si>
  <si>
    <t>Working Capital Margin</t>
  </si>
  <si>
    <t xml:space="preserve">Total Project Cost </t>
  </si>
  <si>
    <t>Debt</t>
  </si>
  <si>
    <t>Equity</t>
  </si>
  <si>
    <t>Bank Finance (WC )</t>
  </si>
  <si>
    <t>D/E</t>
  </si>
  <si>
    <t>Promoters Margin</t>
  </si>
  <si>
    <t>Surcharge</t>
  </si>
  <si>
    <t>Cess</t>
  </si>
  <si>
    <t xml:space="preserve">Refurbished Machinery </t>
  </si>
  <si>
    <t>PAT/Net Sales</t>
  </si>
  <si>
    <t>PBT/Net Sales</t>
  </si>
  <si>
    <t>Empannlement to all CGHS ,SBI,SGHS etc.</t>
  </si>
  <si>
    <t>Dec</t>
  </si>
  <si>
    <t xml:space="preserve">TL </t>
  </si>
  <si>
    <t>Asset</t>
  </si>
  <si>
    <t>Jan</t>
  </si>
  <si>
    <t>Development</t>
  </si>
  <si>
    <t>Feb</t>
  </si>
  <si>
    <t>Nature of Assets</t>
  </si>
  <si>
    <t>March</t>
  </si>
  <si>
    <t>Total Asset</t>
  </si>
  <si>
    <t>WDV</t>
  </si>
  <si>
    <t>Book Value</t>
  </si>
  <si>
    <t>DSCR</t>
  </si>
  <si>
    <t>PAT</t>
  </si>
  <si>
    <t>Cash Accruals (A)</t>
  </si>
  <si>
    <t>TL Interest (B)</t>
  </si>
  <si>
    <t>Total (A+B)</t>
  </si>
  <si>
    <t>TL Repayment (C)</t>
  </si>
  <si>
    <t>Total (B+C)</t>
  </si>
  <si>
    <t>Gross DSCR (A+B)/(B+C)</t>
  </si>
  <si>
    <t>Average Gross DSCR</t>
  </si>
  <si>
    <t>Net DSCR (A/C)</t>
  </si>
  <si>
    <t>Average Net DSCR</t>
  </si>
  <si>
    <t>Security Margin</t>
  </si>
  <si>
    <t>WDV of Fixed Assets</t>
  </si>
  <si>
    <t>Aggregate TL Outstanding</t>
  </si>
  <si>
    <t>Security Margin avaliable</t>
  </si>
  <si>
    <t>% Margin</t>
  </si>
  <si>
    <t>Fixed asset coverage ratio (FACR)</t>
  </si>
  <si>
    <t>Breakeven analysis</t>
  </si>
  <si>
    <t>Utilization(U) (%)</t>
  </si>
  <si>
    <t>Sales (S)</t>
  </si>
  <si>
    <t>PBT</t>
  </si>
  <si>
    <t>% of VC</t>
  </si>
  <si>
    <t>VC (V)</t>
  </si>
  <si>
    <t>FC (F)</t>
  </si>
  <si>
    <t>Contribution (S-V)</t>
  </si>
  <si>
    <t>Breakeven installed capacity (F/C*U)</t>
  </si>
  <si>
    <t>Cash Breakeven Installed capacity (F-Depreciation/C*U)</t>
  </si>
  <si>
    <t>Sensitivity analysis</t>
  </si>
  <si>
    <t>Sales % Variation</t>
  </si>
  <si>
    <t>Variation expense %</t>
  </si>
  <si>
    <t>Fixed expense % Variation</t>
  </si>
  <si>
    <t>Sales (with Variation)</t>
  </si>
  <si>
    <t>VC (with variation)</t>
  </si>
  <si>
    <t>FC (with variation)</t>
  </si>
  <si>
    <t>PBT %</t>
  </si>
  <si>
    <t>COST-VOLUME PRICE OR SENSITIVITY ANALYSIS</t>
  </si>
  <si>
    <t xml:space="preserve">Operating Profit Before Interest </t>
  </si>
  <si>
    <t>1.Sales</t>
  </si>
  <si>
    <t>2. Variable expenses</t>
  </si>
  <si>
    <t>3. Contribution</t>
  </si>
  <si>
    <t>4. Fixed Expenses</t>
  </si>
  <si>
    <t>5. Operating profit (3- 4)</t>
  </si>
  <si>
    <t>6. Break-even sales</t>
  </si>
  <si>
    <t>Breakeven Sales (F/C*S)</t>
  </si>
  <si>
    <t>10% increase in variable cost</t>
  </si>
  <si>
    <t>10% decrease in volume of sales</t>
  </si>
  <si>
    <t>10% decrease in selling price</t>
  </si>
  <si>
    <t>Sensitivity Condition</t>
  </si>
  <si>
    <t>Base Case Scenario</t>
  </si>
  <si>
    <t>Decrease in Revenue by 10%</t>
  </si>
  <si>
    <t>Increase in Opex by 10%</t>
  </si>
  <si>
    <t>Increase in Interest rate by 1%</t>
  </si>
  <si>
    <t>Decrease in Revenue by 5% and Increase in Opex by 5% and Interest Rate Increase by 1%</t>
  </si>
  <si>
    <t>Tax</t>
  </si>
  <si>
    <t>Minimum DSCR</t>
  </si>
  <si>
    <t>Average DSCR</t>
  </si>
  <si>
    <t>Increase in Interest Rate by 1.00%</t>
  </si>
  <si>
    <t>Gross DSCR</t>
  </si>
  <si>
    <t>PAT72.18%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</si>
</sst>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C0000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u/>
      <sz val="8"/>
      <color theme="1"/>
      <name val="Tahoma"/>
      <family val="2"/>
    </font>
    <font>
      <sz val="8"/>
      <color theme="1"/>
      <name val="Tahoma"/>
      <family val="2"/>
    </font>
    <font>
      <b/>
      <u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  <font>
      <b/>
      <sz val="10"/>
      <color rgb="FF222222"/>
      <name val="Verdana"/>
      <family val="2"/>
    </font>
    <font>
      <sz val="10"/>
      <color rgb="FF22222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2" fontId="0" fillId="0" borderId="6" xfId="0" applyNumberFormat="1" applyBorder="1" applyAlignment="1">
      <alignment horizontal="center"/>
    </xf>
    <xf numFmtId="0" fontId="2" fillId="0" borderId="6" xfId="0" applyFont="1" applyBorder="1"/>
    <xf numFmtId="2" fontId="2" fillId="0" borderId="7" xfId="0" applyNumberFormat="1" applyFont="1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2" fontId="4" fillId="0" borderId="0" xfId="0" applyNumberFormat="1" applyFont="1"/>
    <xf numFmtId="2" fontId="4" fillId="0" borderId="0" xfId="0" applyNumberFormat="1" applyFont="1" applyFill="1"/>
    <xf numFmtId="1" fontId="4" fillId="0" borderId="0" xfId="0" applyNumberFormat="1" applyFont="1"/>
    <xf numFmtId="10" fontId="4" fillId="0" borderId="0" xfId="0" applyNumberFormat="1" applyFont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/>
    <xf numFmtId="16" fontId="4" fillId="0" borderId="0" xfId="0" applyNumberFormat="1" applyFont="1" applyBorder="1"/>
    <xf numFmtId="0" fontId="5" fillId="0" borderId="0" xfId="0" applyFont="1" applyAlignment="1">
      <alignment horizontal="center"/>
    </xf>
    <xf numFmtId="49" fontId="4" fillId="0" borderId="0" xfId="0" applyNumberFormat="1" applyFont="1"/>
    <xf numFmtId="2" fontId="0" fillId="0" borderId="6" xfId="0" applyNumberForma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2" fontId="7" fillId="0" borderId="0" xfId="0" applyNumberFormat="1" applyFont="1"/>
    <xf numFmtId="0" fontId="4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9" fontId="4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/>
    <xf numFmtId="0" fontId="7" fillId="3" borderId="1" xfId="0" applyFont="1" applyFill="1" applyBorder="1"/>
    <xf numFmtId="0" fontId="4" fillId="3" borderId="1" xfId="0" applyFont="1" applyFill="1" applyBorder="1"/>
    <xf numFmtId="9" fontId="7" fillId="3" borderId="1" xfId="0" applyNumberFormat="1" applyFont="1" applyFill="1" applyBorder="1"/>
    <xf numFmtId="2" fontId="4" fillId="3" borderId="1" xfId="0" applyNumberFormat="1" applyFont="1" applyFill="1" applyBorder="1"/>
    <xf numFmtId="2" fontId="4" fillId="0" borderId="1" xfId="0" applyNumberFormat="1" applyFont="1" applyBorder="1"/>
    <xf numFmtId="0" fontId="7" fillId="4" borderId="1" xfId="0" applyFont="1" applyFill="1" applyBorder="1"/>
    <xf numFmtId="2" fontId="7" fillId="4" borderId="1" xfId="0" applyNumberFormat="1" applyFont="1" applyFill="1" applyBorder="1"/>
    <xf numFmtId="0" fontId="6" fillId="3" borderId="1" xfId="0" applyFont="1" applyFill="1" applyBorder="1"/>
    <xf numFmtId="2" fontId="4" fillId="3" borderId="1" xfId="1" applyNumberFormat="1" applyFont="1" applyFill="1" applyBorder="1"/>
    <xf numFmtId="9" fontId="7" fillId="3" borderId="1" xfId="0" applyNumberFormat="1" applyFont="1" applyFill="1" applyBorder="1" applyAlignment="1">
      <alignment horizontal="right"/>
    </xf>
    <xf numFmtId="0" fontId="4" fillId="4" borderId="1" xfId="0" applyFont="1" applyFill="1" applyBorder="1"/>
    <xf numFmtId="2" fontId="4" fillId="4" borderId="1" xfId="0" applyNumberFormat="1" applyFont="1" applyFill="1" applyBorder="1"/>
    <xf numFmtId="9" fontId="4" fillId="2" borderId="1" xfId="0" applyNumberFormat="1" applyFont="1" applyFill="1" applyBorder="1"/>
    <xf numFmtId="2" fontId="4" fillId="2" borderId="1" xfId="0" applyNumberFormat="1" applyFont="1" applyFill="1" applyBorder="1"/>
    <xf numFmtId="2" fontId="4" fillId="5" borderId="1" xfId="0" applyNumberFormat="1" applyFont="1" applyFill="1" applyBorder="1"/>
    <xf numFmtId="0" fontId="7" fillId="6" borderId="1" xfId="0" applyFont="1" applyFill="1" applyBorder="1"/>
    <xf numFmtId="0" fontId="4" fillId="6" borderId="1" xfId="0" applyFont="1" applyFill="1" applyBorder="1"/>
    <xf numFmtId="2" fontId="4" fillId="6" borderId="1" xfId="0" applyNumberFormat="1" applyFont="1" applyFill="1" applyBorder="1"/>
    <xf numFmtId="0" fontId="6" fillId="0" borderId="0" xfId="0" applyFont="1" applyAlignment="1">
      <alignment horizontal="right"/>
    </xf>
    <xf numFmtId="9" fontId="7" fillId="3" borderId="1" xfId="2" applyFont="1" applyFill="1" applyBorder="1"/>
    <xf numFmtId="164" fontId="0" fillId="0" borderId="0" xfId="1" applyFont="1"/>
    <xf numFmtId="0" fontId="2" fillId="0" borderId="0" xfId="0" applyFont="1" applyAlignment="1">
      <alignment horizontal="right"/>
    </xf>
    <xf numFmtId="164" fontId="2" fillId="0" borderId="12" xfId="0" applyNumberFormat="1" applyFont="1" applyBorder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164" fontId="3" fillId="0" borderId="0" xfId="1" applyFont="1"/>
    <xf numFmtId="164" fontId="2" fillId="0" borderId="13" xfId="1" applyFont="1" applyBorder="1"/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2" fontId="0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64" fontId="0" fillId="0" borderId="0" xfId="1" applyFont="1" applyAlignment="1">
      <alignment wrapText="1"/>
    </xf>
    <xf numFmtId="164" fontId="0" fillId="0" borderId="0" xfId="1" applyFont="1" applyAlignment="1"/>
    <xf numFmtId="0" fontId="0" fillId="0" borderId="0" xfId="0" applyAlignme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9" fontId="7" fillId="3" borderId="1" xfId="2" applyFont="1" applyFill="1" applyBorder="1" applyAlignment="1">
      <alignment horizontal="right"/>
    </xf>
    <xf numFmtId="9" fontId="0" fillId="0" borderId="0" xfId="0" applyNumberFormat="1"/>
    <xf numFmtId="2" fontId="2" fillId="0" borderId="0" xfId="0" applyNumberFormat="1" applyFont="1"/>
    <xf numFmtId="2" fontId="4" fillId="4" borderId="6" xfId="0" applyNumberFormat="1" applyFont="1" applyFill="1" applyBorder="1"/>
    <xf numFmtId="0" fontId="7" fillId="7" borderId="1" xfId="0" applyFont="1" applyFill="1" applyBorder="1"/>
    <xf numFmtId="0" fontId="4" fillId="7" borderId="1" xfId="0" applyFont="1" applyFill="1" applyBorder="1"/>
    <xf numFmtId="2" fontId="4" fillId="7" borderId="1" xfId="0" applyNumberFormat="1" applyFont="1" applyFill="1" applyBorder="1"/>
    <xf numFmtId="0" fontId="0" fillId="7" borderId="0" xfId="0" applyFill="1"/>
    <xf numFmtId="0" fontId="7" fillId="8" borderId="1" xfId="0" applyFont="1" applyFill="1" applyBorder="1"/>
    <xf numFmtId="2" fontId="4" fillId="8" borderId="1" xfId="0" applyNumberFormat="1" applyFont="1" applyFill="1" applyBorder="1"/>
    <xf numFmtId="0" fontId="0" fillId="8" borderId="0" xfId="0" applyFill="1"/>
    <xf numFmtId="9" fontId="7" fillId="8" borderId="1" xfId="2" applyFont="1" applyFill="1" applyBorder="1"/>
    <xf numFmtId="2" fontId="4" fillId="8" borderId="1" xfId="1" applyNumberFormat="1" applyFont="1" applyFill="1" applyBorder="1"/>
    <xf numFmtId="0" fontId="5" fillId="8" borderId="0" xfId="0" applyFont="1" applyFill="1" applyAlignment="1">
      <alignment horizontal="center"/>
    </xf>
    <xf numFmtId="49" fontId="4" fillId="8" borderId="0" xfId="0" applyNumberFormat="1" applyFont="1" applyFill="1"/>
    <xf numFmtId="2" fontId="4" fillId="8" borderId="0" xfId="0" applyNumberFormat="1" applyFont="1" applyFill="1"/>
    <xf numFmtId="0" fontId="4" fillId="8" borderId="0" xfId="0" applyFont="1" applyFill="1"/>
    <xf numFmtId="0" fontId="0" fillId="9" borderId="0" xfId="0" applyFill="1"/>
    <xf numFmtId="0" fontId="4" fillId="8" borderId="1" xfId="0" applyFont="1" applyFill="1" applyBorder="1"/>
    <xf numFmtId="0" fontId="5" fillId="10" borderId="0" xfId="0" applyFont="1" applyFill="1" applyAlignment="1">
      <alignment horizontal="center"/>
    </xf>
    <xf numFmtId="49" fontId="4" fillId="10" borderId="0" xfId="0" applyNumberFormat="1" applyFont="1" applyFill="1"/>
    <xf numFmtId="2" fontId="4" fillId="10" borderId="0" xfId="0" applyNumberFormat="1" applyFont="1" applyFill="1"/>
    <xf numFmtId="0" fontId="4" fillId="10" borderId="0" xfId="0" applyFont="1" applyFill="1"/>
    <xf numFmtId="0" fontId="0" fillId="10" borderId="0" xfId="0" applyFill="1"/>
    <xf numFmtId="164" fontId="0" fillId="10" borderId="0" xfId="0" applyNumberFormat="1" applyFill="1"/>
    <xf numFmtId="0" fontId="16" fillId="0" borderId="0" xfId="0" applyFont="1"/>
    <xf numFmtId="0" fontId="17" fillId="0" borderId="0" xfId="0" applyFont="1"/>
    <xf numFmtId="0" fontId="17" fillId="0" borderId="0" xfId="0" applyFont="1" applyFill="1"/>
    <xf numFmtId="0" fontId="17" fillId="0" borderId="14" xfId="0" applyFont="1" applyFill="1" applyBorder="1" applyAlignment="1">
      <alignment horizontal="left" vertical="center" wrapText="1"/>
    </xf>
    <xf numFmtId="165" fontId="0" fillId="0" borderId="0" xfId="0" applyNumberFormat="1"/>
    <xf numFmtId="2" fontId="0" fillId="10" borderId="0" xfId="0" applyNumberFormat="1" applyFill="1"/>
    <xf numFmtId="0" fontId="7" fillId="10" borderId="1" xfId="0" applyFont="1" applyFill="1" applyBorder="1"/>
    <xf numFmtId="0" fontId="4" fillId="10" borderId="1" xfId="0" applyFont="1" applyFill="1" applyBorder="1"/>
    <xf numFmtId="2" fontId="4" fillId="10" borderId="1" xfId="0" applyNumberFormat="1" applyFont="1" applyFill="1" applyBorder="1"/>
    <xf numFmtId="0" fontId="17" fillId="10" borderId="0" xfId="0" applyFont="1" applyFill="1"/>
    <xf numFmtId="0" fontId="6" fillId="8" borderId="1" xfId="0" applyFont="1" applyFill="1" applyBorder="1"/>
    <xf numFmtId="9" fontId="4" fillId="8" borderId="1" xfId="0" applyNumberFormat="1" applyFont="1" applyFill="1" applyBorder="1" applyAlignment="1">
      <alignment horizontal="center"/>
    </xf>
    <xf numFmtId="2" fontId="7" fillId="8" borderId="1" xfId="0" applyNumberFormat="1" applyFont="1" applyFill="1" applyBorder="1"/>
    <xf numFmtId="9" fontId="4" fillId="8" borderId="1" xfId="0" applyNumberFormat="1" applyFont="1" applyFill="1" applyBorder="1"/>
    <xf numFmtId="2" fontId="0" fillId="8" borderId="0" xfId="0" applyNumberFormat="1" applyFill="1"/>
    <xf numFmtId="164" fontId="0" fillId="8" borderId="0" xfId="0" applyNumberFormat="1" applyFill="1"/>
    <xf numFmtId="9" fontId="0" fillId="8" borderId="0" xfId="0" applyNumberFormat="1" applyFill="1"/>
    <xf numFmtId="0" fontId="18" fillId="0" borderId="0" xfId="0" applyFont="1"/>
    <xf numFmtId="0" fontId="19" fillId="0" borderId="0" xfId="0" applyFont="1"/>
    <xf numFmtId="2" fontId="19" fillId="8" borderId="0" xfId="0" applyNumberFormat="1" applyFont="1" applyFill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B36" sqref="B36"/>
    </sheetView>
  </sheetViews>
  <sheetFormatPr defaultRowHeight="15" x14ac:dyDescent="0.25"/>
  <cols>
    <col min="1" max="1" width="46.28515625" customWidth="1"/>
    <col min="2" max="2" width="16" customWidth="1"/>
    <col min="3" max="3" width="14" customWidth="1"/>
    <col min="4" max="4" width="11.85546875" customWidth="1"/>
    <col min="5" max="5" width="7.7109375" customWidth="1"/>
    <col min="6" max="6" width="7.5703125" customWidth="1"/>
    <col min="7" max="7" width="15.28515625" bestFit="1" customWidth="1"/>
    <col min="8" max="8" width="13.28515625" bestFit="1" customWidth="1"/>
    <col min="12" max="12" width="8.85546875" customWidth="1"/>
  </cols>
  <sheetData>
    <row r="1" spans="1:16" x14ac:dyDescent="0.25">
      <c r="A1" s="1" t="s">
        <v>250</v>
      </c>
    </row>
    <row r="3" spans="1:16" x14ac:dyDescent="0.25">
      <c r="A3" s="2" t="s">
        <v>249</v>
      </c>
      <c r="B3" s="2"/>
      <c r="C3" s="2"/>
      <c r="D3" s="2"/>
    </row>
    <row r="4" spans="1:16" x14ac:dyDescent="0.25">
      <c r="A4" s="2"/>
      <c r="B4" s="2"/>
      <c r="C4" s="2"/>
      <c r="D4" s="2"/>
    </row>
    <row r="6" spans="1:16" x14ac:dyDescent="0.25">
      <c r="A6" s="3" t="s">
        <v>0</v>
      </c>
      <c r="B6" s="4"/>
      <c r="C6" s="5" t="s">
        <v>133</v>
      </c>
      <c r="D6" s="6"/>
      <c r="E6" t="s">
        <v>298</v>
      </c>
    </row>
    <row r="7" spans="1:16" x14ac:dyDescent="0.25">
      <c r="A7" s="3" t="s">
        <v>1</v>
      </c>
      <c r="B7" s="7" t="s">
        <v>2</v>
      </c>
      <c r="C7" s="7" t="s">
        <v>3</v>
      </c>
      <c r="D7" s="7" t="s">
        <v>4</v>
      </c>
    </row>
    <row r="8" spans="1:16" x14ac:dyDescent="0.25">
      <c r="A8" s="8" t="s">
        <v>134</v>
      </c>
      <c r="B8" s="33">
        <v>4.38</v>
      </c>
      <c r="C8" s="33">
        <v>14.4</v>
      </c>
      <c r="D8" s="9">
        <f t="shared" ref="D8:D15" si="0">B8+C8</f>
        <v>18.78</v>
      </c>
      <c r="E8" s="97">
        <v>0.25</v>
      </c>
      <c r="F8" s="83">
        <f>D8*E8</f>
        <v>4.6950000000000003</v>
      </c>
      <c r="G8" s="15">
        <v>6.5</v>
      </c>
      <c r="H8" s="16">
        <f>D8-G8</f>
        <v>12.280000000000001</v>
      </c>
    </row>
    <row r="9" spans="1:16" x14ac:dyDescent="0.25">
      <c r="A9" s="8" t="s">
        <v>135</v>
      </c>
      <c r="B9" s="33">
        <v>0</v>
      </c>
      <c r="C9" s="33">
        <v>3.46</v>
      </c>
      <c r="D9" s="9">
        <f t="shared" si="0"/>
        <v>3.46</v>
      </c>
      <c r="E9" s="97">
        <v>0.25</v>
      </c>
      <c r="F9" s="83">
        <f t="shared" ref="F9:F16" si="1">D9*E9</f>
        <v>0.86499999999999999</v>
      </c>
      <c r="G9" s="15"/>
    </row>
    <row r="10" spans="1:16" ht="20.25" customHeight="1" x14ac:dyDescent="0.25">
      <c r="A10" s="8" t="s">
        <v>253</v>
      </c>
      <c r="B10" s="33">
        <v>0</v>
      </c>
      <c r="C10" s="33">
        <v>7.41</v>
      </c>
      <c r="D10" s="9">
        <f t="shared" si="0"/>
        <v>7.41</v>
      </c>
      <c r="E10" s="97">
        <v>0.25</v>
      </c>
      <c r="F10" s="83">
        <f t="shared" si="1"/>
        <v>1.8525</v>
      </c>
      <c r="I10" t="s">
        <v>317</v>
      </c>
      <c r="J10" t="s">
        <v>306</v>
      </c>
      <c r="K10" t="s">
        <v>318</v>
      </c>
      <c r="L10" t="s">
        <v>25</v>
      </c>
      <c r="M10" s="85" t="s">
        <v>322</v>
      </c>
    </row>
    <row r="11" spans="1:16" x14ac:dyDescent="0.25">
      <c r="A11" s="8" t="s">
        <v>77</v>
      </c>
      <c r="B11" s="33">
        <v>0</v>
      </c>
      <c r="C11" s="33">
        <v>1.77</v>
      </c>
      <c r="D11" s="9">
        <f t="shared" si="0"/>
        <v>1.77</v>
      </c>
      <c r="E11" s="97">
        <v>0.25</v>
      </c>
      <c r="F11" s="83">
        <f t="shared" si="1"/>
        <v>0.4425</v>
      </c>
      <c r="G11" s="16"/>
      <c r="H11" t="s">
        <v>316</v>
      </c>
      <c r="I11">
        <v>12.28</v>
      </c>
      <c r="J11">
        <v>6.5</v>
      </c>
      <c r="K11">
        <f>I11+J11</f>
        <v>18.78</v>
      </c>
      <c r="L11" s="83">
        <f>'Bank Interest'!F18</f>
        <v>1.3559166666666666E-2</v>
      </c>
      <c r="M11" t="s">
        <v>45</v>
      </c>
    </row>
    <row r="12" spans="1:16" x14ac:dyDescent="0.25">
      <c r="A12" s="8" t="s">
        <v>78</v>
      </c>
      <c r="B12" s="33">
        <v>0</v>
      </c>
      <c r="C12" s="33">
        <v>0.45</v>
      </c>
      <c r="D12" s="9">
        <f t="shared" si="0"/>
        <v>0.45</v>
      </c>
      <c r="E12" s="97">
        <v>0.25</v>
      </c>
      <c r="F12" s="83">
        <f t="shared" si="1"/>
        <v>0.1125</v>
      </c>
      <c r="G12" s="16"/>
      <c r="H12" s="16" t="s">
        <v>319</v>
      </c>
      <c r="I12">
        <v>0.22</v>
      </c>
      <c r="J12">
        <v>0</v>
      </c>
      <c r="K12">
        <f>I12+J12</f>
        <v>0.22</v>
      </c>
      <c r="L12" s="83">
        <f>'Bank Interest'!F19</f>
        <v>8.2812499999999997E-2</v>
      </c>
      <c r="M12" t="s">
        <v>320</v>
      </c>
    </row>
    <row r="13" spans="1:16" x14ac:dyDescent="0.25">
      <c r="A13" s="8" t="s">
        <v>5</v>
      </c>
      <c r="B13" s="33">
        <v>0</v>
      </c>
      <c r="C13" s="33">
        <f>SUM(D9:D12)*2%</f>
        <v>0.26179999999999998</v>
      </c>
      <c r="D13" s="9">
        <f t="shared" si="0"/>
        <v>0.26179999999999998</v>
      </c>
      <c r="E13" s="97">
        <v>0.25</v>
      </c>
      <c r="F13" s="83">
        <f t="shared" si="1"/>
        <v>6.5449999999999994E-2</v>
      </c>
      <c r="H13" t="s">
        <v>321</v>
      </c>
      <c r="I13">
        <v>1</v>
      </c>
      <c r="J13">
        <v>0.1</v>
      </c>
      <c r="K13">
        <f>I13+J13</f>
        <v>1.1000000000000001</v>
      </c>
      <c r="L13" s="83">
        <f>'Bank Interest'!F20</f>
        <v>8.9437500000000003E-2</v>
      </c>
      <c r="P13">
        <v>135</v>
      </c>
    </row>
    <row r="14" spans="1:16" x14ac:dyDescent="0.25">
      <c r="A14" s="8" t="s">
        <v>129</v>
      </c>
      <c r="B14" s="33">
        <v>0</v>
      </c>
      <c r="C14" s="33">
        <v>0.15</v>
      </c>
      <c r="D14" s="9">
        <f t="shared" si="0"/>
        <v>0.15</v>
      </c>
      <c r="E14" s="97">
        <v>0.25</v>
      </c>
      <c r="F14" s="83">
        <f t="shared" si="1"/>
        <v>3.7499999999999999E-2</v>
      </c>
      <c r="H14" t="s">
        <v>323</v>
      </c>
      <c r="I14">
        <v>0</v>
      </c>
      <c r="J14">
        <v>0</v>
      </c>
      <c r="K14">
        <f>I14+J14</f>
        <v>0</v>
      </c>
      <c r="L14" s="83">
        <f>'Bank Interest'!E21</f>
        <v>9.6062499999999995E-2</v>
      </c>
    </row>
    <row r="15" spans="1:16" x14ac:dyDescent="0.25">
      <c r="A15" s="8" t="s">
        <v>6</v>
      </c>
      <c r="B15" s="33">
        <v>0</v>
      </c>
      <c r="C15" s="33">
        <f>'Bank Interest'!N33</f>
        <v>1.7479841666666665</v>
      </c>
      <c r="D15" s="9">
        <f t="shared" si="0"/>
        <v>1.7479841666666665</v>
      </c>
      <c r="E15" s="97">
        <v>0.25</v>
      </c>
      <c r="F15" s="83">
        <f t="shared" si="1"/>
        <v>0.43699604166666661</v>
      </c>
      <c r="I15">
        <f>SUM(I11:I14)</f>
        <v>13.5</v>
      </c>
      <c r="J15">
        <f>J11+J12+J13+J14</f>
        <v>6.6</v>
      </c>
      <c r="K15">
        <f>SUM(K11:K14)</f>
        <v>20.100000000000001</v>
      </c>
      <c r="L15" s="83">
        <f>SUM(L11:L14)</f>
        <v>0.28187166666666663</v>
      </c>
    </row>
    <row r="16" spans="1:16" x14ac:dyDescent="0.25">
      <c r="A16" s="8" t="s">
        <v>303</v>
      </c>
      <c r="B16" s="33">
        <v>0</v>
      </c>
      <c r="C16" s="33">
        <v>0.31</v>
      </c>
      <c r="D16" s="9">
        <v>0.32</v>
      </c>
      <c r="E16" s="97">
        <v>0.25</v>
      </c>
      <c r="F16" s="83">
        <f t="shared" si="1"/>
        <v>0.08</v>
      </c>
    </row>
    <row r="17" spans="1:13" ht="15.75" thickBot="1" x14ac:dyDescent="0.3">
      <c r="A17" s="10" t="s">
        <v>7</v>
      </c>
      <c r="B17" s="34">
        <f>SUM(B8:B16)</f>
        <v>4.38</v>
      </c>
      <c r="C17" s="34">
        <f>SUM(C8:C16)</f>
        <v>29.959784166666662</v>
      </c>
      <c r="D17" s="11">
        <f>SUM(D8:D16)</f>
        <v>34.349784166666666</v>
      </c>
      <c r="F17" s="98">
        <f>SUM(F8:F16)</f>
        <v>8.5874460416666665</v>
      </c>
      <c r="G17" s="83">
        <f>D17-F17</f>
        <v>25.762338124999999</v>
      </c>
      <c r="I17" t="s">
        <v>305</v>
      </c>
      <c r="J17">
        <f>I15</f>
        <v>13.5</v>
      </c>
    </row>
    <row r="18" spans="1:13" ht="15.75" thickTop="1" x14ac:dyDescent="0.25">
      <c r="A18" s="12"/>
      <c r="B18" s="35"/>
      <c r="C18" s="35"/>
      <c r="D18" s="13"/>
      <c r="I18" t="s">
        <v>306</v>
      </c>
      <c r="J18" s="83">
        <f>J15+L15</f>
        <v>6.8818716666666662</v>
      </c>
    </row>
    <row r="19" spans="1:13" x14ac:dyDescent="0.25">
      <c r="B19" s="36"/>
      <c r="C19" s="36"/>
      <c r="I19" t="s">
        <v>324</v>
      </c>
      <c r="J19" s="83">
        <f>J17+J18</f>
        <v>20.381871666666665</v>
      </c>
    </row>
    <row r="20" spans="1:13" x14ac:dyDescent="0.25">
      <c r="B20" s="36"/>
      <c r="C20" s="36"/>
    </row>
    <row r="21" spans="1:13" x14ac:dyDescent="0.25">
      <c r="A21" s="2" t="s">
        <v>8</v>
      </c>
      <c r="B21" s="36"/>
      <c r="C21" s="37" t="s">
        <v>245</v>
      </c>
    </row>
    <row r="22" spans="1:13" ht="20.25" customHeight="1" x14ac:dyDescent="0.25">
      <c r="A22" s="3" t="s">
        <v>1</v>
      </c>
      <c r="B22" s="38" t="s">
        <v>9</v>
      </c>
      <c r="C22" s="38" t="s">
        <v>10</v>
      </c>
      <c r="D22" s="3" t="s">
        <v>11</v>
      </c>
      <c r="J22" t="s">
        <v>298</v>
      </c>
      <c r="K22" s="85" t="s">
        <v>301</v>
      </c>
      <c r="L22" s="85"/>
      <c r="M22" t="s">
        <v>302</v>
      </c>
    </row>
    <row r="23" spans="1:13" x14ac:dyDescent="0.25">
      <c r="A23" s="8" t="s">
        <v>12</v>
      </c>
      <c r="B23" s="33">
        <v>4.38</v>
      </c>
      <c r="C23" s="33">
        <f>D23-B23</f>
        <v>4.87</v>
      </c>
      <c r="D23" s="9">
        <v>9.25</v>
      </c>
      <c r="G23" s="1">
        <v>6.63</v>
      </c>
      <c r="H23" t="s">
        <v>299</v>
      </c>
      <c r="I23">
        <v>0.2</v>
      </c>
      <c r="J23" s="97">
        <v>0.25</v>
      </c>
      <c r="K23">
        <f>I23*J23</f>
        <v>0.05</v>
      </c>
      <c r="M23">
        <f>I23-K23</f>
        <v>0.15000000000000002</v>
      </c>
    </row>
    <row r="24" spans="1:13" x14ac:dyDescent="0.25">
      <c r="A24" s="8" t="s">
        <v>13</v>
      </c>
      <c r="B24" s="33">
        <v>0</v>
      </c>
      <c r="C24" s="33">
        <f>D24-B24</f>
        <v>25.1</v>
      </c>
      <c r="D24" s="9">
        <v>25.1</v>
      </c>
      <c r="H24" t="s">
        <v>300</v>
      </c>
      <c r="I24">
        <v>0.6</v>
      </c>
      <c r="J24" s="97">
        <v>0.4</v>
      </c>
      <c r="K24">
        <f>I24*J24</f>
        <v>0.24</v>
      </c>
      <c r="M24">
        <f>I24-K24</f>
        <v>0.36</v>
      </c>
    </row>
    <row r="25" spans="1:13" x14ac:dyDescent="0.25">
      <c r="A25" s="8" t="s">
        <v>307</v>
      </c>
      <c r="B25" s="33">
        <v>0</v>
      </c>
      <c r="C25" s="33">
        <v>0.5</v>
      </c>
      <c r="D25" s="9">
        <f>SUM(B25:C25)</f>
        <v>0.5</v>
      </c>
      <c r="K25">
        <f>K23+K24</f>
        <v>0.28999999999999998</v>
      </c>
      <c r="M25">
        <f>M23+M24</f>
        <v>0.51</v>
      </c>
    </row>
    <row r="26" spans="1:13" ht="15.75" thickBot="1" x14ac:dyDescent="0.3">
      <c r="A26" s="8" t="s">
        <v>11</v>
      </c>
      <c r="B26" s="14">
        <f>SUM(B23:B25)</f>
        <v>4.38</v>
      </c>
      <c r="C26" s="14">
        <f>SUM(C23:C25)</f>
        <v>30.470000000000002</v>
      </c>
      <c r="D26" s="14">
        <f>SUM(D23:D25)</f>
        <v>34.85</v>
      </c>
    </row>
    <row r="27" spans="1:13" ht="15.75" thickTop="1" x14ac:dyDescent="0.25">
      <c r="A27" s="8"/>
      <c r="B27" s="8"/>
      <c r="C27" s="8"/>
      <c r="D27" s="8"/>
    </row>
    <row r="28" spans="1:13" x14ac:dyDescent="0.25">
      <c r="A28" s="12"/>
      <c r="B28" s="12"/>
      <c r="C28" s="12"/>
      <c r="D28" s="12"/>
    </row>
    <row r="30" spans="1:13" x14ac:dyDescent="0.25">
      <c r="A30" t="s">
        <v>297</v>
      </c>
    </row>
    <row r="32" spans="1:13" x14ac:dyDescent="0.25">
      <c r="A32" t="s">
        <v>304</v>
      </c>
      <c r="B32" s="83">
        <f>D17</f>
        <v>34.349784166666666</v>
      </c>
    </row>
    <row r="33" spans="1:7" x14ac:dyDescent="0.25">
      <c r="A33" t="s">
        <v>305</v>
      </c>
      <c r="B33" s="83">
        <v>25.1</v>
      </c>
      <c r="G33" s="113" t="s">
        <v>312</v>
      </c>
    </row>
    <row r="34" spans="1:7" x14ac:dyDescent="0.25">
      <c r="A34" t="s">
        <v>306</v>
      </c>
      <c r="B34" s="83">
        <f>B32-B33</f>
        <v>9.2497841666666645</v>
      </c>
    </row>
    <row r="35" spans="1:7" x14ac:dyDescent="0.25">
      <c r="A35" t="s">
        <v>308</v>
      </c>
      <c r="B35" s="83">
        <f>B33/B34</f>
        <v>2.7135768303062213</v>
      </c>
    </row>
    <row r="36" spans="1:7" x14ac:dyDescent="0.25">
      <c r="A36" t="s">
        <v>309</v>
      </c>
      <c r="B36" s="83">
        <f>(B34/B32)*100</f>
        <v>26.928216264143916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7"/>
  <sheetViews>
    <sheetView workbookViewId="0">
      <pane ySplit="6" topLeftCell="A7" activePane="bottomLeft" state="frozen"/>
      <selection pane="bottomLeft" activeCell="L41" sqref="L41"/>
    </sheetView>
  </sheetViews>
  <sheetFormatPr defaultRowHeight="15" x14ac:dyDescent="0.25"/>
  <cols>
    <col min="1" max="1" width="62.7109375" customWidth="1"/>
    <col min="2" max="2" width="10" bestFit="1" customWidth="1"/>
    <col min="3" max="3" width="8.28515625" style="106" customWidth="1"/>
    <col min="4" max="4" width="9.42578125" customWidth="1"/>
    <col min="7" max="7" width="10.28515625" customWidth="1"/>
    <col min="11" max="12" width="11.28515625" customWidth="1"/>
    <col min="13" max="13" width="7.28515625" customWidth="1"/>
  </cols>
  <sheetData>
    <row r="1" spans="1:12" x14ac:dyDescent="0.25">
      <c r="A1" s="141" t="s">
        <v>251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94"/>
    </row>
    <row r="2" spans="1:12" x14ac:dyDescent="0.25">
      <c r="A2" s="17"/>
      <c r="B2" s="17"/>
      <c r="C2" s="112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43" t="s">
        <v>50</v>
      </c>
      <c r="B3" s="43"/>
      <c r="C3" s="131" t="s">
        <v>247</v>
      </c>
      <c r="D3" s="44" t="s">
        <v>234</v>
      </c>
      <c r="E3" s="44" t="s">
        <v>235</v>
      </c>
      <c r="F3" s="44" t="s">
        <v>236</v>
      </c>
      <c r="G3" s="44" t="s">
        <v>237</v>
      </c>
      <c r="H3" s="44" t="s">
        <v>238</v>
      </c>
      <c r="I3" s="44" t="s">
        <v>239</v>
      </c>
      <c r="J3" s="44" t="s">
        <v>240</v>
      </c>
      <c r="K3" s="44" t="s">
        <v>241</v>
      </c>
      <c r="L3" s="44" t="s">
        <v>265</v>
      </c>
    </row>
    <row r="4" spans="1:12" x14ac:dyDescent="0.25">
      <c r="A4" s="45" t="s">
        <v>51</v>
      </c>
      <c r="B4" s="43"/>
      <c r="C4" s="114">
        <v>2</v>
      </c>
      <c r="D4" s="43">
        <v>12</v>
      </c>
      <c r="E4" s="43">
        <v>12</v>
      </c>
      <c r="F4" s="43">
        <v>12</v>
      </c>
      <c r="G4" s="43">
        <v>12</v>
      </c>
      <c r="H4" s="43">
        <v>12</v>
      </c>
      <c r="I4" s="43">
        <v>12</v>
      </c>
      <c r="J4" s="43">
        <v>12</v>
      </c>
      <c r="K4" s="43">
        <v>12</v>
      </c>
      <c r="L4" s="43">
        <v>12</v>
      </c>
    </row>
    <row r="5" spans="1:12" x14ac:dyDescent="0.25">
      <c r="A5" s="45"/>
      <c r="B5" s="43"/>
      <c r="C5" s="114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45" t="s">
        <v>108</v>
      </c>
      <c r="B6" s="43"/>
      <c r="C6" s="132">
        <v>0.4</v>
      </c>
      <c r="D6" s="46">
        <v>0.5</v>
      </c>
      <c r="E6" s="46">
        <v>0.6</v>
      </c>
      <c r="F6" s="46">
        <v>0.65</v>
      </c>
      <c r="G6" s="46">
        <v>0.7</v>
      </c>
      <c r="H6" s="46">
        <v>0.75</v>
      </c>
      <c r="I6" s="46">
        <v>0.8</v>
      </c>
      <c r="J6" s="46">
        <v>0.82</v>
      </c>
      <c r="K6" s="46">
        <v>0.84</v>
      </c>
      <c r="L6" s="46">
        <v>0.85</v>
      </c>
    </row>
    <row r="7" spans="1:12" x14ac:dyDescent="0.25">
      <c r="A7" s="47"/>
      <c r="B7" s="48"/>
      <c r="C7" s="114"/>
      <c r="D7" s="48"/>
      <c r="E7" s="48"/>
      <c r="F7" s="48"/>
      <c r="G7" s="48"/>
      <c r="H7" s="48"/>
      <c r="I7" s="48"/>
      <c r="J7" s="48"/>
      <c r="K7" s="48"/>
      <c r="L7" s="48"/>
    </row>
    <row r="8" spans="1:12" x14ac:dyDescent="0.25">
      <c r="A8" s="56" t="s">
        <v>264</v>
      </c>
      <c r="B8" s="49"/>
      <c r="C8" s="104"/>
      <c r="D8" s="49"/>
      <c r="E8" s="49"/>
      <c r="F8" s="49"/>
      <c r="G8" s="49"/>
      <c r="H8" s="49"/>
      <c r="I8" s="49"/>
      <c r="J8" s="49"/>
      <c r="K8" s="49"/>
      <c r="L8" s="49"/>
    </row>
    <row r="9" spans="1:12" x14ac:dyDescent="0.25">
      <c r="A9" s="56" t="s">
        <v>266</v>
      </c>
      <c r="B9" s="49"/>
      <c r="C9" s="104"/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25">
      <c r="A10" s="49" t="s">
        <v>267</v>
      </c>
      <c r="B10" s="49">
        <v>40</v>
      </c>
      <c r="C10" s="114"/>
      <c r="D10" s="50"/>
      <c r="E10" s="50"/>
      <c r="F10" s="50"/>
      <c r="G10" s="50"/>
      <c r="H10" s="50"/>
      <c r="I10" s="50"/>
      <c r="J10" s="50"/>
      <c r="K10" s="50"/>
      <c r="L10" s="50"/>
    </row>
    <row r="11" spans="1:12" x14ac:dyDescent="0.25">
      <c r="A11" s="49" t="s">
        <v>268</v>
      </c>
      <c r="B11" s="49">
        <v>5000</v>
      </c>
      <c r="C11" s="114"/>
      <c r="D11" s="50"/>
      <c r="E11" s="50"/>
      <c r="F11" s="50"/>
      <c r="G11" s="50"/>
      <c r="H11" s="50"/>
      <c r="I11" s="50"/>
      <c r="J11" s="50"/>
      <c r="K11" s="50"/>
      <c r="L11" s="50"/>
    </row>
    <row r="12" spans="1:12" x14ac:dyDescent="0.25">
      <c r="A12" s="49" t="s">
        <v>80</v>
      </c>
      <c r="B12" s="49">
        <f>B10*B11*30</f>
        <v>6000000</v>
      </c>
      <c r="C12" s="114"/>
      <c r="D12" s="50"/>
      <c r="E12" s="50"/>
      <c r="F12" s="50"/>
      <c r="G12" s="50"/>
      <c r="H12" s="50"/>
      <c r="I12" s="50"/>
      <c r="J12" s="50"/>
      <c r="K12" s="50"/>
      <c r="L12" s="50"/>
    </row>
    <row r="13" spans="1:12" x14ac:dyDescent="0.25">
      <c r="A13" s="49" t="s">
        <v>269</v>
      </c>
      <c r="B13" s="49"/>
      <c r="C13" s="105">
        <f>B12*C4*C6/10000000</f>
        <v>0.48</v>
      </c>
      <c r="D13" s="52">
        <f>(B12*D4)*D6/10000000</f>
        <v>3.6</v>
      </c>
      <c r="E13" s="52">
        <f>(E4*B12)*E6/10000000</f>
        <v>4.32</v>
      </c>
      <c r="F13" s="52">
        <f>(F4*B12)*F6/10000000</f>
        <v>4.68</v>
      </c>
      <c r="G13" s="52">
        <f>(B12*G4*G6/10000000)</f>
        <v>5.04</v>
      </c>
      <c r="H13" s="52">
        <f>(H4*B12*H6/10000000)</f>
        <v>5.4</v>
      </c>
      <c r="I13" s="52">
        <f>(B12*I4*I6/10000000)</f>
        <v>5.76</v>
      </c>
      <c r="J13" s="52">
        <f>(J4*B12*J6/10000000)</f>
        <v>5.9039999999999999</v>
      </c>
      <c r="K13" s="52">
        <f>(B12*K4*K6/10000000)</f>
        <v>6.048</v>
      </c>
      <c r="L13" s="52">
        <f>(B12*L4*L6/10000000)</f>
        <v>6.12</v>
      </c>
    </row>
    <row r="14" spans="1:12" x14ac:dyDescent="0.25">
      <c r="A14" s="49"/>
      <c r="B14" s="49"/>
      <c r="C14" s="105"/>
      <c r="D14" s="52"/>
      <c r="E14" s="52"/>
      <c r="F14" s="52"/>
      <c r="G14" s="52"/>
      <c r="H14" s="52"/>
      <c r="I14" s="52"/>
      <c r="J14" s="52"/>
      <c r="K14" s="52"/>
      <c r="L14" s="52"/>
    </row>
    <row r="15" spans="1:12" x14ac:dyDescent="0.25">
      <c r="A15" s="56" t="s">
        <v>274</v>
      </c>
      <c r="B15" s="49"/>
      <c r="C15" s="104"/>
      <c r="D15" s="49"/>
      <c r="E15" s="49"/>
      <c r="F15" s="49"/>
      <c r="G15" s="52"/>
      <c r="H15" s="49"/>
      <c r="I15" s="49"/>
      <c r="J15" s="49"/>
      <c r="K15" s="49"/>
      <c r="L15" s="49"/>
    </row>
    <row r="16" spans="1:12" x14ac:dyDescent="0.25">
      <c r="A16" s="49" t="s">
        <v>273</v>
      </c>
      <c r="B16" s="49">
        <v>40</v>
      </c>
      <c r="C16" s="114"/>
      <c r="D16" s="50"/>
      <c r="E16" s="50"/>
      <c r="F16" s="50"/>
      <c r="G16" s="50"/>
      <c r="H16" s="50"/>
      <c r="I16" s="50"/>
      <c r="J16" s="50"/>
      <c r="K16" s="50"/>
      <c r="L16" s="50"/>
    </row>
    <row r="17" spans="1:12" x14ac:dyDescent="0.25">
      <c r="A17" s="49" t="s">
        <v>268</v>
      </c>
      <c r="B17" s="49">
        <v>4000</v>
      </c>
      <c r="C17" s="114"/>
      <c r="D17" s="50"/>
      <c r="E17" s="50"/>
      <c r="F17" s="50"/>
      <c r="G17" s="50"/>
      <c r="H17" s="50"/>
      <c r="I17" s="50"/>
      <c r="J17" s="50"/>
      <c r="K17" s="50"/>
      <c r="L17" s="50"/>
    </row>
    <row r="18" spans="1:12" x14ac:dyDescent="0.25">
      <c r="A18" s="49" t="s">
        <v>80</v>
      </c>
      <c r="B18" s="49">
        <f>B16*B17*30</f>
        <v>4800000</v>
      </c>
      <c r="C18" s="114"/>
      <c r="D18" s="50"/>
      <c r="E18" s="50"/>
      <c r="F18" s="50"/>
      <c r="G18" s="50"/>
      <c r="H18" s="50"/>
      <c r="I18" s="50"/>
      <c r="J18" s="50"/>
      <c r="K18" s="50"/>
      <c r="L18" s="50"/>
    </row>
    <row r="19" spans="1:12" x14ac:dyDescent="0.25">
      <c r="A19" s="49" t="s">
        <v>275</v>
      </c>
      <c r="B19" s="49"/>
      <c r="C19" s="105">
        <f>B18*C4*C6/10000000</f>
        <v>0.38400000000000001</v>
      </c>
      <c r="D19" s="52">
        <f>B18*D4*D6/10000000</f>
        <v>2.88</v>
      </c>
      <c r="E19" s="52">
        <f>B18*E4*E6/10000000</f>
        <v>3.456</v>
      </c>
      <c r="F19" s="52">
        <f>B18*F4*F6/10000000</f>
        <v>3.7440000000000002</v>
      </c>
      <c r="G19" s="52">
        <f>B18*G4*G6/10000000</f>
        <v>4.032</v>
      </c>
      <c r="H19" s="52">
        <f>B18*H4*H6/10000000</f>
        <v>4.32</v>
      </c>
      <c r="I19" s="52">
        <f>B18*I4*I6/10000000</f>
        <v>4.6079999999999997</v>
      </c>
      <c r="J19" s="52">
        <f>B18*J4*J6/10000000</f>
        <v>4.7232000000000003</v>
      </c>
      <c r="K19" s="52">
        <f>B18*K4*K6/10000000</f>
        <v>4.8384</v>
      </c>
      <c r="L19" s="52">
        <f>B18*L4*L6/10000000</f>
        <v>4.8959999999999999</v>
      </c>
    </row>
    <row r="20" spans="1:12" x14ac:dyDescent="0.25">
      <c r="A20" s="49"/>
      <c r="B20" s="49"/>
      <c r="C20" s="105"/>
      <c r="D20" s="52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49"/>
      <c r="B21" s="49"/>
      <c r="C21" s="105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56" t="s">
        <v>285</v>
      </c>
      <c r="B22" s="49"/>
      <c r="C22" s="104"/>
      <c r="D22" s="49"/>
      <c r="E22" s="49"/>
      <c r="F22" s="49"/>
      <c r="G22" s="49"/>
      <c r="H22" s="49"/>
      <c r="I22" s="49"/>
      <c r="J22" s="49"/>
      <c r="K22" s="49"/>
      <c r="L22" s="49"/>
    </row>
    <row r="23" spans="1:12" x14ac:dyDescent="0.25">
      <c r="A23" s="49" t="s">
        <v>280</v>
      </c>
      <c r="B23" s="49">
        <v>120</v>
      </c>
      <c r="C23" s="114"/>
      <c r="D23" s="50"/>
      <c r="E23" s="50"/>
      <c r="F23" s="50"/>
      <c r="G23" s="50"/>
      <c r="H23" s="50"/>
      <c r="I23" s="50"/>
      <c r="J23" s="50"/>
      <c r="K23" s="50"/>
      <c r="L23" s="50"/>
    </row>
    <row r="24" spans="1:12" x14ac:dyDescent="0.25">
      <c r="A24" s="49" t="s">
        <v>268</v>
      </c>
      <c r="B24" s="49">
        <v>1500</v>
      </c>
      <c r="C24" s="114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5">
      <c r="A25" s="49" t="s">
        <v>80</v>
      </c>
      <c r="B25" s="49">
        <f>B23*B24*30</f>
        <v>5400000</v>
      </c>
      <c r="C25" s="114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5">
      <c r="A26" s="49" t="s">
        <v>281</v>
      </c>
      <c r="B26" s="49"/>
      <c r="C26" s="105">
        <f>B25*C4*C6/10000000</f>
        <v>0.432</v>
      </c>
      <c r="D26" s="52">
        <f>B25*D4*D6/10000000</f>
        <v>3.24</v>
      </c>
      <c r="E26" s="52">
        <f>B25*E4*E6/10000000</f>
        <v>3.8879999999999999</v>
      </c>
      <c r="F26" s="52">
        <f>B25*F4*F6/10000000</f>
        <v>4.2119999999999997</v>
      </c>
      <c r="G26" s="52">
        <f>B25*G4*G6/10000000</f>
        <v>4.5359999999999996</v>
      </c>
      <c r="H26" s="52">
        <f>B25*H4*H6/10000000</f>
        <v>4.8600000000000003</v>
      </c>
      <c r="I26" s="52">
        <f>B25*I4*I6/10000000</f>
        <v>5.1840000000000002</v>
      </c>
      <c r="J26" s="52">
        <f>B25*J4*J6/10000000</f>
        <v>5.3136000000000001</v>
      </c>
      <c r="K26" s="52">
        <f>B25*K4*K6/10000000</f>
        <v>5.4432</v>
      </c>
      <c r="L26" s="52">
        <f>B25*L4*L6/10000000</f>
        <v>5.508</v>
      </c>
    </row>
    <row r="27" spans="1:12" x14ac:dyDescent="0.25">
      <c r="A27" s="49"/>
      <c r="B27" s="49"/>
      <c r="C27" s="105"/>
      <c r="D27" s="52"/>
      <c r="E27" s="52"/>
      <c r="F27" s="52"/>
      <c r="G27" s="52"/>
      <c r="H27" s="52"/>
      <c r="I27" s="52"/>
      <c r="J27" s="52"/>
      <c r="K27" s="52"/>
      <c r="L27" s="52"/>
    </row>
    <row r="28" spans="1:12" x14ac:dyDescent="0.25">
      <c r="A28" s="49"/>
      <c r="B28" s="49"/>
      <c r="C28" s="105"/>
      <c r="D28" s="52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56" t="s">
        <v>277</v>
      </c>
      <c r="B29" s="49"/>
      <c r="C29" s="104"/>
      <c r="D29" s="49"/>
      <c r="E29" s="49"/>
      <c r="F29" s="49"/>
      <c r="G29" s="49"/>
      <c r="H29" s="49"/>
      <c r="I29" s="49"/>
      <c r="J29" s="49"/>
      <c r="K29" s="49"/>
      <c r="L29" s="49"/>
    </row>
    <row r="30" spans="1:12" x14ac:dyDescent="0.25">
      <c r="A30" s="49" t="s">
        <v>278</v>
      </c>
      <c r="B30" s="49">
        <v>60</v>
      </c>
      <c r="C30" s="114"/>
      <c r="D30" s="50"/>
      <c r="E30" s="50"/>
      <c r="F30" s="50"/>
      <c r="G30" s="50"/>
      <c r="H30" s="50"/>
      <c r="I30" s="50"/>
      <c r="J30" s="50"/>
      <c r="K30" s="50"/>
      <c r="L30" s="50"/>
    </row>
    <row r="31" spans="1:12" x14ac:dyDescent="0.25">
      <c r="A31" s="49" t="s">
        <v>268</v>
      </c>
      <c r="B31" s="49">
        <v>500</v>
      </c>
      <c r="C31" s="114"/>
      <c r="D31" s="50"/>
      <c r="E31" s="50"/>
      <c r="F31" s="50"/>
      <c r="G31" s="50"/>
      <c r="H31" s="50"/>
      <c r="I31" s="50"/>
      <c r="J31" s="50"/>
      <c r="K31" s="50"/>
      <c r="L31" s="50"/>
    </row>
    <row r="32" spans="1:12" x14ac:dyDescent="0.25">
      <c r="A32" s="49" t="s">
        <v>80</v>
      </c>
      <c r="B32" s="49">
        <f>B30*B31*30</f>
        <v>900000</v>
      </c>
      <c r="C32" s="114"/>
      <c r="D32" s="50"/>
      <c r="E32" s="50"/>
      <c r="F32" s="50"/>
      <c r="G32" s="50"/>
      <c r="H32" s="50"/>
      <c r="I32" s="50"/>
      <c r="J32" s="50"/>
      <c r="K32" s="50"/>
      <c r="L32" s="50"/>
    </row>
    <row r="33" spans="1:12" x14ac:dyDescent="0.25">
      <c r="A33" s="49" t="s">
        <v>279</v>
      </c>
      <c r="B33" s="49"/>
      <c r="C33" s="105">
        <f>B32*C4*C6/10000000</f>
        <v>7.1999999999999995E-2</v>
      </c>
      <c r="D33" s="52">
        <f>B32*D4*D6/10000000</f>
        <v>0.54</v>
      </c>
      <c r="E33" s="52">
        <f>B32*E4*E6/10000000</f>
        <v>0.64800000000000002</v>
      </c>
      <c r="F33" s="52">
        <f>B32*F4*F6/10000000</f>
        <v>0.70199999999999996</v>
      </c>
      <c r="G33" s="52">
        <f>B32*G4*G6/10000000</f>
        <v>0.75599999999999989</v>
      </c>
      <c r="H33" s="52">
        <f>B32*H4*H6/10000000</f>
        <v>0.81</v>
      </c>
      <c r="I33" s="52">
        <f>B32*I4*I6/10000000</f>
        <v>0.86399999999999999</v>
      </c>
      <c r="J33" s="52">
        <f>B32*J4*J6/10000000</f>
        <v>0.88560000000000005</v>
      </c>
      <c r="K33" s="52">
        <f>B32*K4*K6/10000000</f>
        <v>0.90720000000000001</v>
      </c>
      <c r="L33" s="52">
        <f>B32*L4*L6/10000000</f>
        <v>0.91800000000000004</v>
      </c>
    </row>
    <row r="34" spans="1:12" x14ac:dyDescent="0.25">
      <c r="A34" s="49"/>
      <c r="B34" s="49"/>
      <c r="C34" s="105"/>
      <c r="D34" s="52"/>
      <c r="E34" s="52"/>
      <c r="F34" s="52"/>
      <c r="G34" s="52"/>
      <c r="H34" s="52"/>
      <c r="I34" s="52"/>
      <c r="J34" s="52"/>
      <c r="K34" s="52"/>
      <c r="L34" s="52"/>
    </row>
    <row r="35" spans="1:12" x14ac:dyDescent="0.25">
      <c r="A35" s="56" t="s">
        <v>282</v>
      </c>
      <c r="B35" s="49"/>
      <c r="C35" s="104"/>
      <c r="D35" s="49"/>
      <c r="E35" s="49"/>
      <c r="F35" s="49"/>
      <c r="G35" s="49"/>
      <c r="H35" s="49"/>
      <c r="I35" s="49"/>
      <c r="J35" s="49"/>
      <c r="K35" s="49"/>
      <c r="L35" s="49"/>
    </row>
    <row r="36" spans="1:12" x14ac:dyDescent="0.25">
      <c r="A36" s="49" t="s">
        <v>283</v>
      </c>
      <c r="B36" s="49">
        <v>60</v>
      </c>
      <c r="C36" s="114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49" t="s">
        <v>268</v>
      </c>
      <c r="B37" s="49">
        <v>500</v>
      </c>
      <c r="C37" s="114"/>
      <c r="D37" s="50"/>
      <c r="E37" s="50"/>
      <c r="F37" s="50"/>
      <c r="G37" s="50"/>
      <c r="H37" s="50"/>
      <c r="I37" s="50"/>
      <c r="J37" s="50"/>
      <c r="K37" s="50"/>
      <c r="L37" s="50"/>
    </row>
    <row r="38" spans="1:12" x14ac:dyDescent="0.25">
      <c r="A38" s="49" t="s">
        <v>80</v>
      </c>
      <c r="B38" s="49">
        <f>B36*B37*30</f>
        <v>900000</v>
      </c>
      <c r="C38" s="114"/>
      <c r="D38" s="50"/>
      <c r="E38" s="50"/>
      <c r="F38" s="50"/>
      <c r="G38" s="50"/>
      <c r="H38" s="50"/>
      <c r="I38" s="50"/>
      <c r="J38" s="50"/>
      <c r="K38" s="50"/>
      <c r="L38" s="50"/>
    </row>
    <row r="39" spans="1:12" x14ac:dyDescent="0.25">
      <c r="A39" s="49" t="s">
        <v>284</v>
      </c>
      <c r="B39" s="49"/>
      <c r="C39" s="105">
        <f>B38*C4*C6/10000000</f>
        <v>7.1999999999999995E-2</v>
      </c>
      <c r="D39" s="52">
        <f>B38*D4*D6/10000000</f>
        <v>0.54</v>
      </c>
      <c r="E39" s="52">
        <f>B38*E4*E6/10000000</f>
        <v>0.64800000000000002</v>
      </c>
      <c r="F39" s="52">
        <f>B38*F4*F6/10000000</f>
        <v>0.70199999999999996</v>
      </c>
      <c r="G39" s="52">
        <f>B38*G4*G6/10000000</f>
        <v>0.75599999999999989</v>
      </c>
      <c r="H39" s="52">
        <f>B38*H4*H6/10000000</f>
        <v>0.81</v>
      </c>
      <c r="I39" s="52">
        <f>B38*I4*I6/10000000</f>
        <v>0.86399999999999999</v>
      </c>
      <c r="J39" s="52">
        <f>B38*J4*J6/10000000</f>
        <v>0.88560000000000005</v>
      </c>
      <c r="K39" s="52">
        <f>B38*K4*K6/10000000</f>
        <v>0.90720000000000001</v>
      </c>
      <c r="L39" s="52">
        <f>B38*L4*L6/10000000</f>
        <v>0.91800000000000004</v>
      </c>
    </row>
    <row r="40" spans="1:12" x14ac:dyDescent="0.25">
      <c r="A40" s="47"/>
      <c r="B40" s="47"/>
      <c r="C40" s="105"/>
      <c r="D40" s="53"/>
      <c r="E40" s="53"/>
      <c r="F40" s="53"/>
      <c r="G40" s="53"/>
      <c r="H40" s="53"/>
      <c r="I40" s="53"/>
      <c r="J40" s="53"/>
      <c r="K40" s="53"/>
      <c r="L40" s="53"/>
    </row>
    <row r="41" spans="1:12" x14ac:dyDescent="0.25">
      <c r="A41" s="54" t="s">
        <v>52</v>
      </c>
      <c r="B41" s="54"/>
      <c r="C41" s="133">
        <f>SUM(C13:C39)</f>
        <v>1.4400000000000002</v>
      </c>
      <c r="D41" s="55">
        <f t="shared" ref="D41:L41" si="0">SUM(D13:D39)</f>
        <v>10.8</v>
      </c>
      <c r="E41" s="55">
        <f t="shared" si="0"/>
        <v>12.959999999999999</v>
      </c>
      <c r="F41" s="55">
        <f t="shared" si="0"/>
        <v>14.04</v>
      </c>
      <c r="G41" s="55">
        <f t="shared" si="0"/>
        <v>15.12</v>
      </c>
      <c r="H41" s="55">
        <f t="shared" si="0"/>
        <v>16.200000000000003</v>
      </c>
      <c r="I41" s="55">
        <f t="shared" si="0"/>
        <v>17.28</v>
      </c>
      <c r="J41" s="55">
        <f t="shared" si="0"/>
        <v>17.712</v>
      </c>
      <c r="K41" s="55">
        <f t="shared" si="0"/>
        <v>18.143999999999998</v>
      </c>
      <c r="L41" s="55">
        <f t="shared" si="0"/>
        <v>18.36</v>
      </c>
    </row>
    <row r="42" spans="1:12" x14ac:dyDescent="0.25">
      <c r="A42" s="47"/>
      <c r="B42" s="47"/>
      <c r="C42" s="105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25">
      <c r="A43" s="56" t="s">
        <v>53</v>
      </c>
      <c r="B43" s="49"/>
      <c r="C43" s="105"/>
      <c r="D43" s="52"/>
      <c r="E43" s="52"/>
      <c r="F43" s="52"/>
      <c r="G43" s="52"/>
      <c r="H43" s="52"/>
      <c r="I43" s="52"/>
      <c r="J43" s="52"/>
      <c r="K43" s="52"/>
      <c r="L43" s="52"/>
    </row>
    <row r="44" spans="1:12" x14ac:dyDescent="0.25">
      <c r="A44" s="56"/>
      <c r="B44" s="49"/>
      <c r="C44" s="105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106" customFormat="1" x14ac:dyDescent="0.25">
      <c r="A45" s="104" t="s">
        <v>276</v>
      </c>
      <c r="B45" s="104"/>
      <c r="C45" s="105">
        <v>0.16</v>
      </c>
      <c r="D45" s="105">
        <v>0.52</v>
      </c>
      <c r="E45" s="105">
        <v>0.55000000000000004</v>
      </c>
      <c r="F45" s="105">
        <v>0.56999999999999995</v>
      </c>
      <c r="G45" s="105">
        <v>0.6</v>
      </c>
      <c r="H45" s="105">
        <v>0.63</v>
      </c>
      <c r="I45" s="105">
        <v>0.66</v>
      </c>
      <c r="J45" s="105">
        <v>0.67</v>
      </c>
      <c r="K45" s="105">
        <v>0.69</v>
      </c>
      <c r="L45" s="105">
        <v>0.72</v>
      </c>
    </row>
    <row r="46" spans="1:12" s="106" customFormat="1" x14ac:dyDescent="0.25">
      <c r="A46" s="104" t="s">
        <v>81</v>
      </c>
      <c r="B46" s="107">
        <v>0.08</v>
      </c>
      <c r="C46" s="108">
        <v>0.15</v>
      </c>
      <c r="D46" s="108">
        <f>D41*B46</f>
        <v>0.8640000000000001</v>
      </c>
      <c r="E46" s="108">
        <f>E41*B46</f>
        <v>1.0367999999999999</v>
      </c>
      <c r="F46" s="108">
        <f>E46+0.03</f>
        <v>1.0668</v>
      </c>
      <c r="G46" s="108">
        <f t="shared" ref="G46:L46" si="1">F46+0.03</f>
        <v>1.0968</v>
      </c>
      <c r="H46" s="108">
        <f t="shared" si="1"/>
        <v>1.1268</v>
      </c>
      <c r="I46" s="108">
        <f t="shared" si="1"/>
        <v>1.1568000000000001</v>
      </c>
      <c r="J46" s="108">
        <f t="shared" si="1"/>
        <v>1.1868000000000001</v>
      </c>
      <c r="K46" s="108">
        <f t="shared" si="1"/>
        <v>1.2168000000000001</v>
      </c>
      <c r="L46" s="108">
        <f t="shared" si="1"/>
        <v>1.2468000000000001</v>
      </c>
    </row>
    <row r="47" spans="1:12" x14ac:dyDescent="0.25">
      <c r="A47" s="49" t="s">
        <v>82</v>
      </c>
      <c r="B47" s="68">
        <v>0.08</v>
      </c>
      <c r="C47" s="108">
        <f>C41*B47</f>
        <v>0.11520000000000001</v>
      </c>
      <c r="D47" s="57">
        <f>D41*B47</f>
        <v>0.8640000000000001</v>
      </c>
      <c r="E47" s="57">
        <f>E41*B47</f>
        <v>1.0367999999999999</v>
      </c>
      <c r="F47" s="57">
        <f>F41*B47</f>
        <v>1.1232</v>
      </c>
      <c r="G47" s="57">
        <f>G41*B47</f>
        <v>1.2096</v>
      </c>
      <c r="H47" s="57">
        <f>H41*B47</f>
        <v>1.2960000000000003</v>
      </c>
      <c r="I47" s="57">
        <f>I41*B47</f>
        <v>1.3824000000000001</v>
      </c>
      <c r="J47" s="57">
        <f>J41*B47</f>
        <v>1.41696</v>
      </c>
      <c r="K47" s="57">
        <f>K41*B47</f>
        <v>1.4515199999999999</v>
      </c>
      <c r="L47" s="57">
        <f>L41*B47</f>
        <v>1.4687999999999999</v>
      </c>
    </row>
    <row r="48" spans="1:12" x14ac:dyDescent="0.25">
      <c r="A48" s="49" t="s">
        <v>270</v>
      </c>
      <c r="B48" s="68">
        <v>0.01</v>
      </c>
      <c r="C48" s="108">
        <v>0.02</v>
      </c>
      <c r="D48" s="57">
        <f t="shared" ref="D48:K48" si="2">D41*1%</f>
        <v>0.10800000000000001</v>
      </c>
      <c r="E48" s="57">
        <f t="shared" si="2"/>
        <v>0.12959999999999999</v>
      </c>
      <c r="F48" s="57">
        <f t="shared" si="2"/>
        <v>0.1404</v>
      </c>
      <c r="G48" s="57">
        <f t="shared" si="2"/>
        <v>0.1512</v>
      </c>
      <c r="H48" s="57">
        <f t="shared" si="2"/>
        <v>0.16200000000000003</v>
      </c>
      <c r="I48" s="57">
        <f t="shared" si="2"/>
        <v>0.17280000000000001</v>
      </c>
      <c r="J48" s="57">
        <f t="shared" si="2"/>
        <v>0.17712</v>
      </c>
      <c r="K48" s="57">
        <f t="shared" si="2"/>
        <v>0.18143999999999999</v>
      </c>
      <c r="L48" s="57">
        <f t="shared" ref="L48" si="3">L41*1%</f>
        <v>0.18359999999999999</v>
      </c>
    </row>
    <row r="49" spans="1:15" s="106" customFormat="1" x14ac:dyDescent="0.25">
      <c r="A49" s="104" t="s">
        <v>83</v>
      </c>
      <c r="B49" s="107">
        <v>0.12</v>
      </c>
      <c r="C49" s="108">
        <f>C41*B49</f>
        <v>0.17280000000000001</v>
      </c>
      <c r="D49" s="108">
        <f>D41*B49</f>
        <v>1.296</v>
      </c>
      <c r="E49" s="108">
        <f>E41*B49</f>
        <v>1.5551999999999999</v>
      </c>
      <c r="F49" s="108">
        <f>F41*B49</f>
        <v>1.6847999999999999</v>
      </c>
      <c r="G49" s="108">
        <f>G41*B49</f>
        <v>1.8143999999999998</v>
      </c>
      <c r="H49" s="108">
        <f>H41*B49</f>
        <v>1.9440000000000002</v>
      </c>
      <c r="I49" s="108">
        <f>I41*B49</f>
        <v>2.0735999999999999</v>
      </c>
      <c r="J49" s="108">
        <f>J41*B49</f>
        <v>2.1254399999999998</v>
      </c>
      <c r="K49" s="108">
        <f>K41*B49</f>
        <v>2.1772799999999997</v>
      </c>
      <c r="L49" s="108">
        <f>L41*B49</f>
        <v>2.2031999999999998</v>
      </c>
    </row>
    <row r="50" spans="1:15" x14ac:dyDescent="0.25">
      <c r="A50" s="49" t="s">
        <v>84</v>
      </c>
      <c r="B50" s="68">
        <v>0.01</v>
      </c>
      <c r="C50" s="108">
        <f>C41*B50</f>
        <v>1.4400000000000001E-2</v>
      </c>
      <c r="D50" s="57">
        <f>D41*B50</f>
        <v>0.10800000000000001</v>
      </c>
      <c r="E50" s="57">
        <f>E41*B50</f>
        <v>0.12959999999999999</v>
      </c>
      <c r="F50" s="57">
        <f>F41*B50</f>
        <v>0.1404</v>
      </c>
      <c r="G50" s="57">
        <f>G41*B50</f>
        <v>0.1512</v>
      </c>
      <c r="H50" s="57">
        <f>H41*B50</f>
        <v>0.16200000000000003</v>
      </c>
      <c r="I50" s="57">
        <f>I41*B50</f>
        <v>0.17280000000000001</v>
      </c>
      <c r="J50" s="57">
        <f>J41*B50</f>
        <v>0.17712</v>
      </c>
      <c r="K50" s="57">
        <f>K41*B50</f>
        <v>0.18143999999999999</v>
      </c>
      <c r="L50" s="57">
        <f>L41*B50</f>
        <v>0.18359999999999999</v>
      </c>
    </row>
    <row r="51" spans="1:15" x14ac:dyDescent="0.25">
      <c r="A51" s="49" t="s">
        <v>271</v>
      </c>
      <c r="B51" s="96" t="s">
        <v>272</v>
      </c>
      <c r="C51" s="108">
        <v>0.02</v>
      </c>
      <c r="D51" s="57">
        <v>0.4</v>
      </c>
      <c r="E51" s="57">
        <v>0.4</v>
      </c>
      <c r="F51" s="57">
        <v>0.4</v>
      </c>
      <c r="G51" s="57">
        <v>0.4</v>
      </c>
      <c r="H51" s="57">
        <v>0.4</v>
      </c>
      <c r="I51" s="57">
        <v>0.4</v>
      </c>
      <c r="J51" s="57">
        <v>0.4</v>
      </c>
      <c r="K51" s="57">
        <v>0.4</v>
      </c>
      <c r="L51" s="57">
        <v>0.4</v>
      </c>
    </row>
    <row r="52" spans="1:15" x14ac:dyDescent="0.25">
      <c r="A52" s="49" t="s">
        <v>54</v>
      </c>
      <c r="B52" s="51">
        <v>0.01</v>
      </c>
      <c r="C52" s="108">
        <f>Dep!C23*'Project Details'!B52/12*4-0.11</f>
        <v>1.8879036574074165E-3</v>
      </c>
      <c r="D52" s="57">
        <f>Dep!D23*'Project Details'!B52/2</f>
        <v>0.1586324824375</v>
      </c>
      <c r="E52" s="57">
        <f>Dep!E23*'Project Details'!B52*60%</f>
        <v>0.18074876978250001</v>
      </c>
      <c r="F52" s="57">
        <f>Dep!F23*'Project Details'!B52*70%</f>
        <v>0.20110524961537499</v>
      </c>
      <c r="G52" s="57">
        <f>Dep!G23*'Project Details'!B52*80%</f>
        <v>0.22010035405260001</v>
      </c>
      <c r="H52" s="57">
        <f>Dep!H23*'Project Details'!B52*90%</f>
        <v>0.23805649438364812</v>
      </c>
      <c r="I52" s="57">
        <f>Dep!I23*'Project Details'!B52</f>
        <v>0.2552336644054059</v>
      </c>
      <c r="J52" s="57">
        <f>Dep!J23*'Project Details'!B52</f>
        <v>0.24712789248335948</v>
      </c>
      <c r="K52" s="57">
        <f>Dep!K23*'Project Details'!B52</f>
        <v>0.24003705857574353</v>
      </c>
      <c r="L52" s="57">
        <f>Dep!L23*'Project Details'!B52</f>
        <v>0.23382901475778123</v>
      </c>
    </row>
    <row r="53" spans="1:15" x14ac:dyDescent="0.25">
      <c r="A53" s="49" t="s">
        <v>55</v>
      </c>
      <c r="B53" s="58" t="s">
        <v>56</v>
      </c>
      <c r="C53" s="108">
        <f>(Dep!C5+Dep!C7)*B53/12*4</f>
        <v>1.5991989444444445E-2</v>
      </c>
      <c r="D53" s="57">
        <f>(Dep!D5+Dep!D7)*B53</f>
        <v>4.7975968333333334E-2</v>
      </c>
      <c r="E53" s="57">
        <f>(Dep!E5+Dep!E7)*B53</f>
        <v>4.7975968333333334E-2</v>
      </c>
      <c r="F53" s="57">
        <f>(Dep!F5+Dep!F7)*B53</f>
        <v>4.7975968333333334E-2</v>
      </c>
      <c r="G53" s="57">
        <f>(Dep!G5+Dep!G7)*B53</f>
        <v>4.7975968333333334E-2</v>
      </c>
      <c r="H53" s="57">
        <f>(Dep!H5+Dep!H7)*B53</f>
        <v>4.7975968333333334E-2</v>
      </c>
      <c r="I53" s="57">
        <f>(Dep!I5+Dep!I7)*B53</f>
        <v>4.7975968333333334E-2</v>
      </c>
      <c r="J53" s="57">
        <f>(Dep!J5+Dep!J7)*B53</f>
        <v>4.7975968333333334E-2</v>
      </c>
      <c r="K53" s="57">
        <f>(Dep!K5+Dep!K7)*B53</f>
        <v>4.7975968333333334E-2</v>
      </c>
      <c r="L53" s="57">
        <f>(Dep!L5+Dep!L7)*B53</f>
        <v>4.7975968333333334E-2</v>
      </c>
    </row>
    <row r="54" spans="1:15" x14ac:dyDescent="0.25">
      <c r="A54" s="49" t="s">
        <v>57</v>
      </c>
      <c r="B54" s="51">
        <v>0.01</v>
      </c>
      <c r="C54" s="108">
        <v>0.03</v>
      </c>
      <c r="D54" s="57">
        <v>0.15</v>
      </c>
      <c r="E54" s="57">
        <v>0.14000000000000001</v>
      </c>
      <c r="F54" s="57">
        <v>0.13</v>
      </c>
      <c r="G54" s="57">
        <v>0.12</v>
      </c>
      <c r="H54" s="57">
        <v>0.11</v>
      </c>
      <c r="I54" s="57">
        <v>0.1</v>
      </c>
      <c r="J54" s="57">
        <v>0.09</v>
      </c>
      <c r="K54" s="57">
        <v>0.09</v>
      </c>
      <c r="L54" s="57">
        <v>0.08</v>
      </c>
      <c r="O54" t="s">
        <v>315</v>
      </c>
    </row>
    <row r="55" spans="1:15" x14ac:dyDescent="0.25">
      <c r="A55" s="47"/>
      <c r="B55" s="48"/>
      <c r="C55" s="105"/>
      <c r="D55" s="53"/>
      <c r="E55" s="53"/>
      <c r="F55" s="53"/>
      <c r="G55" s="53"/>
      <c r="H55" s="53"/>
      <c r="I55" s="53"/>
      <c r="J55" s="53"/>
      <c r="K55" s="53"/>
      <c r="L55" s="53"/>
    </row>
    <row r="56" spans="1:15" x14ac:dyDescent="0.25">
      <c r="A56" s="54" t="s">
        <v>58</v>
      </c>
      <c r="B56" s="59"/>
      <c r="C56" s="105">
        <f t="shared" ref="C56:K56" si="4">SUM(C45:C54)</f>
        <v>0.70027989310185201</v>
      </c>
      <c r="D56" s="60">
        <f t="shared" si="4"/>
        <v>4.5166084507708337</v>
      </c>
      <c r="E56" s="60">
        <f t="shared" si="4"/>
        <v>5.2067247381158337</v>
      </c>
      <c r="F56" s="60">
        <f t="shared" si="4"/>
        <v>5.5046812179487077</v>
      </c>
      <c r="G56" s="60">
        <f t="shared" si="4"/>
        <v>5.8112763223859343</v>
      </c>
      <c r="H56" s="60">
        <f t="shared" si="4"/>
        <v>6.1168324627169826</v>
      </c>
      <c r="I56" s="60">
        <f t="shared" si="4"/>
        <v>6.4216096327387397</v>
      </c>
      <c r="J56" s="60">
        <f t="shared" si="4"/>
        <v>6.5385438608166933</v>
      </c>
      <c r="K56" s="60">
        <f t="shared" si="4"/>
        <v>6.6764930269090765</v>
      </c>
      <c r="L56" s="60">
        <f t="shared" ref="L56" si="5">SUM(L45:L54)</f>
        <v>6.7678049830911151</v>
      </c>
    </row>
    <row r="57" spans="1:15" x14ac:dyDescent="0.25">
      <c r="A57" s="47"/>
      <c r="B57" s="48"/>
      <c r="C57" s="105">
        <f>C56-C46-C49-C45</f>
        <v>0.21747989310185198</v>
      </c>
      <c r="D57" s="53">
        <f t="shared" ref="D57:L57" si="6">D56-D46-D49-D45</f>
        <v>1.8366084507708336</v>
      </c>
      <c r="E57" s="53">
        <f t="shared" si="6"/>
        <v>2.0647247381158333</v>
      </c>
      <c r="F57" s="53">
        <f t="shared" si="6"/>
        <v>2.183081217948708</v>
      </c>
      <c r="G57" s="53">
        <f t="shared" si="6"/>
        <v>2.3000763223859342</v>
      </c>
      <c r="H57" s="53">
        <f t="shared" si="6"/>
        <v>2.4160324627169825</v>
      </c>
      <c r="I57" s="53">
        <f t="shared" si="6"/>
        <v>2.5312096327387392</v>
      </c>
      <c r="J57" s="53">
        <f t="shared" si="6"/>
        <v>2.5563038608166937</v>
      </c>
      <c r="K57" s="53">
        <f t="shared" si="6"/>
        <v>2.5924130269090768</v>
      </c>
      <c r="L57" s="53">
        <f t="shared" si="6"/>
        <v>2.5978049830911152</v>
      </c>
    </row>
    <row r="58" spans="1:15" x14ac:dyDescent="0.25">
      <c r="A58" s="45" t="s">
        <v>59</v>
      </c>
      <c r="B58" s="43"/>
      <c r="C58" s="134">
        <f t="shared" ref="C58:K58" si="7">C56/C41</f>
        <v>0.48630548132073048</v>
      </c>
      <c r="D58" s="61">
        <f t="shared" si="7"/>
        <v>0.41820448618248457</v>
      </c>
      <c r="E58" s="61">
        <f t="shared" si="7"/>
        <v>0.40175345201511065</v>
      </c>
      <c r="F58" s="61">
        <f t="shared" si="7"/>
        <v>0.39207131181970856</v>
      </c>
      <c r="G58" s="61">
        <f t="shared" si="7"/>
        <v>0.38434367211547188</v>
      </c>
      <c r="H58" s="61">
        <f t="shared" si="7"/>
        <v>0.37758225078499885</v>
      </c>
      <c r="I58" s="61">
        <f t="shared" si="7"/>
        <v>0.37162092782052891</v>
      </c>
      <c r="J58" s="61">
        <f t="shared" si="7"/>
        <v>0.36915898039841311</v>
      </c>
      <c r="K58" s="61">
        <f t="shared" si="7"/>
        <v>0.36797249927849851</v>
      </c>
      <c r="L58" s="61">
        <f t="shared" ref="L58" si="8">L56/L41</f>
        <v>0.36861682914439625</v>
      </c>
    </row>
    <row r="59" spans="1:15" x14ac:dyDescent="0.25">
      <c r="A59" s="45"/>
      <c r="B59" s="43"/>
      <c r="C59" s="105"/>
      <c r="D59" s="62"/>
      <c r="E59" s="62"/>
      <c r="F59" s="62"/>
      <c r="G59" s="62"/>
      <c r="H59" s="62"/>
      <c r="I59" s="62"/>
      <c r="J59" s="62"/>
      <c r="K59" s="62"/>
      <c r="L59" s="62"/>
    </row>
    <row r="60" spans="1:15" x14ac:dyDescent="0.25">
      <c r="A60" s="45" t="s">
        <v>60</v>
      </c>
      <c r="B60" s="43"/>
      <c r="C60" s="105">
        <f t="shared" ref="C60:K60" si="9">C41-C56</f>
        <v>0.73972010689814816</v>
      </c>
      <c r="D60" s="62">
        <f t="shared" si="9"/>
        <v>6.283391549229167</v>
      </c>
      <c r="E60" s="62">
        <f t="shared" si="9"/>
        <v>7.7532752618841654</v>
      </c>
      <c r="F60" s="62">
        <f t="shared" si="9"/>
        <v>8.5353187820512915</v>
      </c>
      <c r="G60" s="62">
        <f t="shared" si="9"/>
        <v>9.3087236776140649</v>
      </c>
      <c r="H60" s="62">
        <f t="shared" si="9"/>
        <v>10.083167537283021</v>
      </c>
      <c r="I60" s="62">
        <f t="shared" si="9"/>
        <v>10.858390367261261</v>
      </c>
      <c r="J60" s="62">
        <f t="shared" si="9"/>
        <v>11.173456139183306</v>
      </c>
      <c r="K60" s="62">
        <f t="shared" si="9"/>
        <v>11.467506973090922</v>
      </c>
      <c r="L60" s="62">
        <f t="shared" ref="L60" si="10">L41-L56</f>
        <v>11.592195016908885</v>
      </c>
    </row>
    <row r="61" spans="1:15" x14ac:dyDescent="0.25">
      <c r="A61" s="45"/>
      <c r="B61" s="43"/>
      <c r="C61" s="105"/>
      <c r="D61" s="62"/>
      <c r="E61" s="62"/>
      <c r="F61" s="62"/>
      <c r="G61" s="62"/>
      <c r="H61" s="62"/>
      <c r="I61" s="62"/>
      <c r="J61" s="62"/>
      <c r="K61" s="62"/>
      <c r="L61" s="62"/>
    </row>
    <row r="62" spans="1:15" x14ac:dyDescent="0.25">
      <c r="A62" s="45" t="s">
        <v>61</v>
      </c>
      <c r="B62" s="43"/>
      <c r="C62" s="134">
        <f t="shared" ref="C62:K62" si="11">C60/C41</f>
        <v>0.51369451867926952</v>
      </c>
      <c r="D62" s="61">
        <f t="shared" si="11"/>
        <v>0.58179551381751538</v>
      </c>
      <c r="E62" s="61">
        <f t="shared" si="11"/>
        <v>0.5982465479848893</v>
      </c>
      <c r="F62" s="61">
        <f t="shared" si="11"/>
        <v>0.60792868818029144</v>
      </c>
      <c r="G62" s="61">
        <f t="shared" si="11"/>
        <v>0.61565632788452818</v>
      </c>
      <c r="H62" s="61">
        <f t="shared" si="11"/>
        <v>0.62241774921500115</v>
      </c>
      <c r="I62" s="61">
        <f t="shared" si="11"/>
        <v>0.62837907217947109</v>
      </c>
      <c r="J62" s="61">
        <f t="shared" si="11"/>
        <v>0.63084101960158689</v>
      </c>
      <c r="K62" s="61">
        <f t="shared" si="11"/>
        <v>0.63202750072150149</v>
      </c>
      <c r="L62" s="61">
        <f t="shared" ref="L62" si="12">L60/L41</f>
        <v>0.6313831708556038</v>
      </c>
    </row>
    <row r="63" spans="1:15" x14ac:dyDescent="0.25">
      <c r="A63" s="45"/>
      <c r="B63" s="43"/>
      <c r="C63" s="105"/>
      <c r="D63" s="62"/>
      <c r="E63" s="62"/>
      <c r="F63" s="62"/>
      <c r="G63" s="62"/>
      <c r="H63" s="62"/>
      <c r="I63" s="62"/>
      <c r="J63" s="62"/>
      <c r="K63" s="62"/>
      <c r="L63" s="62"/>
    </row>
    <row r="64" spans="1:15" x14ac:dyDescent="0.25">
      <c r="A64" s="45" t="s">
        <v>62</v>
      </c>
      <c r="B64" s="43"/>
      <c r="C64" s="105">
        <f>C60</f>
        <v>0.73972010689814816</v>
      </c>
      <c r="D64" s="62">
        <f t="shared" ref="D64:H64" si="13">D60</f>
        <v>6.283391549229167</v>
      </c>
      <c r="E64" s="62">
        <f t="shared" si="13"/>
        <v>7.7532752618841654</v>
      </c>
      <c r="F64" s="62">
        <f t="shared" si="13"/>
        <v>8.5353187820512915</v>
      </c>
      <c r="G64" s="62">
        <f t="shared" si="13"/>
        <v>9.3087236776140649</v>
      </c>
      <c r="H64" s="62">
        <f t="shared" si="13"/>
        <v>10.083167537283021</v>
      </c>
      <c r="I64" s="62">
        <f t="shared" ref="I64:K64" si="14">I60</f>
        <v>10.858390367261261</v>
      </c>
      <c r="J64" s="62">
        <f t="shared" si="14"/>
        <v>11.173456139183306</v>
      </c>
      <c r="K64" s="62">
        <f t="shared" si="14"/>
        <v>11.467506973090922</v>
      </c>
      <c r="L64" s="62">
        <f t="shared" ref="L64" si="15">L60</f>
        <v>11.592195016908885</v>
      </c>
    </row>
    <row r="65" spans="1:18" x14ac:dyDescent="0.25">
      <c r="A65" s="47"/>
      <c r="B65" s="48"/>
      <c r="C65" s="105"/>
      <c r="D65" s="63"/>
      <c r="E65" s="63"/>
      <c r="F65" s="63"/>
      <c r="G65" s="63"/>
      <c r="H65" s="63"/>
      <c r="I65" s="63"/>
      <c r="J65" s="63"/>
      <c r="K65" s="63"/>
      <c r="L65" s="63"/>
    </row>
    <row r="66" spans="1:18" x14ac:dyDescent="0.25">
      <c r="A66" s="49" t="s">
        <v>63</v>
      </c>
      <c r="B66" s="50"/>
      <c r="C66" s="105">
        <f>SUM('Bank Interest'!E32:E33)</f>
        <v>0.33257500000000001</v>
      </c>
      <c r="D66" s="52">
        <f>'Bank Interest'!K45</f>
        <v>1.9566937500000003</v>
      </c>
      <c r="E66" s="52">
        <f>'Bank Interest'!K57</f>
        <v>1.822140000000001</v>
      </c>
      <c r="F66" s="52">
        <f>'Bank Interest'!K69</f>
        <v>1.6520100000000011</v>
      </c>
      <c r="G66" s="52">
        <f>'Bank Interest'!K81</f>
        <v>1.6346016666666678</v>
      </c>
      <c r="H66" s="52">
        <f>'Bank Interest'!K93</f>
        <v>1.7143500000000009</v>
      </c>
      <c r="I66" s="52">
        <f>'Bank Interest'!K105</f>
        <v>1.3843500000000009</v>
      </c>
      <c r="J66" s="52">
        <f>'Bank Interest'!K117</f>
        <v>1.0241000000000005</v>
      </c>
      <c r="K66" s="52">
        <f>'Bank Interest'!K129</f>
        <v>0.60995000000000021</v>
      </c>
      <c r="L66" s="52">
        <f>'Bank Interest'!K137</f>
        <v>0.14153333333333346</v>
      </c>
    </row>
    <row r="67" spans="1:18" x14ac:dyDescent="0.25">
      <c r="A67" s="49" t="s">
        <v>109</v>
      </c>
      <c r="B67" s="50"/>
      <c r="C67" s="105">
        <v>0.01</v>
      </c>
      <c r="D67" s="52">
        <v>0.03</v>
      </c>
      <c r="E67" s="52">
        <v>0.03</v>
      </c>
      <c r="F67" s="52">
        <v>0.03</v>
      </c>
      <c r="G67" s="52">
        <v>0.03</v>
      </c>
      <c r="H67" s="52">
        <v>0.03</v>
      </c>
      <c r="I67" s="52">
        <v>0.03</v>
      </c>
      <c r="J67" s="52">
        <v>0.03</v>
      </c>
      <c r="K67" s="52">
        <v>0.03</v>
      </c>
      <c r="L67" s="52">
        <v>0.03</v>
      </c>
    </row>
    <row r="68" spans="1:18" s="106" customFormat="1" x14ac:dyDescent="0.25">
      <c r="A68" s="104" t="s">
        <v>64</v>
      </c>
      <c r="B68" s="114"/>
      <c r="C68" s="105">
        <f>C64-C66-C67</f>
        <v>0.39714510689814814</v>
      </c>
      <c r="D68" s="105">
        <f t="shared" ref="D68:H68" si="16">D64-D66-D67</f>
        <v>4.2966977992291664</v>
      </c>
      <c r="E68" s="105">
        <f t="shared" si="16"/>
        <v>5.9011352618841642</v>
      </c>
      <c r="F68" s="105">
        <f t="shared" si="16"/>
        <v>6.8533087820512906</v>
      </c>
      <c r="G68" s="105">
        <f t="shared" si="16"/>
        <v>7.6441220109473971</v>
      </c>
      <c r="H68" s="105">
        <f t="shared" si="16"/>
        <v>8.3388175372830204</v>
      </c>
      <c r="I68" s="105">
        <f>I64-I66-I67</f>
        <v>9.4440403672612607</v>
      </c>
      <c r="J68" s="105">
        <f t="shared" ref="J68" si="17">J64-J66-J67</f>
        <v>10.119356139183306</v>
      </c>
      <c r="K68" s="105">
        <f t="shared" ref="K68" si="18">K64-K66-K67</f>
        <v>10.827556973090923</v>
      </c>
      <c r="L68" s="105">
        <f>L64-L66-L67</f>
        <v>11.420661683575553</v>
      </c>
    </row>
    <row r="69" spans="1:18" s="103" customFormat="1" x14ac:dyDescent="0.25">
      <c r="A69" s="100" t="s">
        <v>46</v>
      </c>
      <c r="B69" s="101"/>
      <c r="C69" s="105">
        <f>(Dep!C16)</f>
        <v>0.31341306944444447</v>
      </c>
      <c r="D69" s="102">
        <f>Dep!D16</f>
        <v>1.8398746097222225</v>
      </c>
      <c r="E69" s="102">
        <f>Dep!E16</f>
        <v>1.6017015237500001</v>
      </c>
      <c r="F69" s="102">
        <f>Dep!F16</f>
        <v>1.3954735901249999</v>
      </c>
      <c r="G69" s="102">
        <f>Dep!G16</f>
        <v>1.2167771170499999</v>
      </c>
      <c r="H69" s="102">
        <f>Dep!H16</f>
        <v>1.0618226583918751</v>
      </c>
      <c r="I69" s="102">
        <f>Dep!I16</f>
        <v>0.9273551576425314</v>
      </c>
      <c r="J69" s="102">
        <f>Dep!J16</f>
        <v>0.8105771922046453</v>
      </c>
      <c r="K69" s="102">
        <f>Dep!K16</f>
        <v>0.70908339076159299</v>
      </c>
      <c r="L69" s="102">
        <f>Dep!L16</f>
        <v>0.62080438179623387</v>
      </c>
    </row>
    <row r="70" spans="1:18" s="119" customFormat="1" x14ac:dyDescent="0.25">
      <c r="A70" s="127" t="s">
        <v>65</v>
      </c>
      <c r="B70" s="128"/>
      <c r="C70" s="105">
        <f t="shared" ref="C70:E70" si="19">C68-C69</f>
        <v>8.3732037453703667E-2</v>
      </c>
      <c r="D70" s="129">
        <f t="shared" si="19"/>
        <v>2.4568231895069439</v>
      </c>
      <c r="E70" s="129">
        <f t="shared" si="19"/>
        <v>4.2994337381341641</v>
      </c>
      <c r="F70" s="129">
        <f>F68-F69</f>
        <v>5.4578351919262911</v>
      </c>
      <c r="G70" s="129">
        <f t="shared" ref="G70:K70" si="20">G68-G69</f>
        <v>6.4273448938973967</v>
      </c>
      <c r="H70" s="129">
        <f t="shared" si="20"/>
        <v>7.2769948788911449</v>
      </c>
      <c r="I70" s="129">
        <f t="shared" si="20"/>
        <v>8.5166852096187284</v>
      </c>
      <c r="J70" s="129">
        <f t="shared" si="20"/>
        <v>9.308778946978661</v>
      </c>
      <c r="K70" s="129">
        <f t="shared" si="20"/>
        <v>10.118473582329329</v>
      </c>
      <c r="L70" s="129">
        <f t="shared" ref="L70" si="21">L68-L69</f>
        <v>10.799857301779319</v>
      </c>
    </row>
    <row r="71" spans="1:18" x14ac:dyDescent="0.25">
      <c r="A71" s="49" t="s">
        <v>66</v>
      </c>
      <c r="B71" s="50"/>
      <c r="C71" s="105">
        <v>0</v>
      </c>
      <c r="D71" s="52">
        <v>0</v>
      </c>
      <c r="E71" s="52">
        <v>0</v>
      </c>
      <c r="F71" s="52">
        <v>0</v>
      </c>
      <c r="G71" s="52">
        <v>0</v>
      </c>
      <c r="H71" s="52">
        <f>Dep!H18</f>
        <v>0</v>
      </c>
      <c r="I71" s="52">
        <v>0</v>
      </c>
      <c r="J71" s="52">
        <v>0</v>
      </c>
      <c r="K71" s="52">
        <v>0</v>
      </c>
      <c r="L71" s="52">
        <v>0</v>
      </c>
    </row>
    <row r="72" spans="1:18" s="36" customFormat="1" x14ac:dyDescent="0.25">
      <c r="A72" s="104" t="s">
        <v>67</v>
      </c>
      <c r="B72" s="114"/>
      <c r="C72" s="105">
        <f>C70-C71</f>
        <v>8.3732037453703667E-2</v>
      </c>
      <c r="D72" s="105">
        <f t="shared" ref="D72:L72" si="22">D70-D71</f>
        <v>2.4568231895069439</v>
      </c>
      <c r="E72" s="105">
        <f t="shared" si="22"/>
        <v>4.2994337381341641</v>
      </c>
      <c r="F72" s="105">
        <f t="shared" si="22"/>
        <v>5.4578351919262911</v>
      </c>
      <c r="G72" s="105">
        <f t="shared" si="22"/>
        <v>6.4273448938973967</v>
      </c>
      <c r="H72" s="105">
        <f t="shared" si="22"/>
        <v>7.2769948788911449</v>
      </c>
      <c r="I72" s="105">
        <f t="shared" si="22"/>
        <v>8.5166852096187284</v>
      </c>
      <c r="J72" s="105">
        <f t="shared" si="22"/>
        <v>9.308778946978661</v>
      </c>
      <c r="K72" s="105">
        <f t="shared" si="22"/>
        <v>10.118473582329329</v>
      </c>
      <c r="L72" s="105">
        <f t="shared" si="22"/>
        <v>10.799857301779319</v>
      </c>
    </row>
    <row r="73" spans="1:18" s="36" customFormat="1" x14ac:dyDescent="0.25">
      <c r="A73" s="104" t="s">
        <v>68</v>
      </c>
      <c r="B73" s="114"/>
      <c r="C73" s="105">
        <f>C72*27.82%</f>
        <v>2.3294252819620359E-2</v>
      </c>
      <c r="D73" s="105">
        <f t="shared" ref="D73:L73" si="23">D72*27.82%</f>
        <v>0.68348821132083182</v>
      </c>
      <c r="E73" s="105">
        <f t="shared" si="23"/>
        <v>1.1961024659489246</v>
      </c>
      <c r="F73" s="105">
        <f t="shared" si="23"/>
        <v>1.5183697503938942</v>
      </c>
      <c r="G73" s="105">
        <f t="shared" si="23"/>
        <v>1.7880873494822558</v>
      </c>
      <c r="H73" s="105">
        <f t="shared" si="23"/>
        <v>2.0244599753075168</v>
      </c>
      <c r="I73" s="105">
        <f t="shared" si="23"/>
        <v>2.3693418253159302</v>
      </c>
      <c r="J73" s="105">
        <f t="shared" si="23"/>
        <v>2.5897023030494637</v>
      </c>
      <c r="K73" s="105">
        <f t="shared" si="23"/>
        <v>2.8149593506040196</v>
      </c>
      <c r="L73" s="105">
        <f t="shared" si="23"/>
        <v>3.0045203013550066</v>
      </c>
    </row>
    <row r="74" spans="1:18" s="36" customFormat="1" x14ac:dyDescent="0.25">
      <c r="A74" s="104" t="s">
        <v>69</v>
      </c>
      <c r="B74" s="114"/>
      <c r="C74" s="105">
        <f t="shared" ref="C74:D74" si="24">C72-C73</f>
        <v>6.0437784634083308E-2</v>
      </c>
      <c r="D74" s="105">
        <f t="shared" si="24"/>
        <v>1.7733349781861121</v>
      </c>
      <c r="E74" s="105">
        <f t="shared" ref="E74" si="25">E72-E73</f>
        <v>3.1033312721852395</v>
      </c>
      <c r="F74" s="105">
        <f t="shared" ref="F74" si="26">F72-F73</f>
        <v>3.9394654415323966</v>
      </c>
      <c r="G74" s="105">
        <f t="shared" ref="G74:L74" si="27">G72-G73</f>
        <v>4.6392575444151412</v>
      </c>
      <c r="H74" s="105">
        <f t="shared" si="27"/>
        <v>5.2525349035836282</v>
      </c>
      <c r="I74" s="105">
        <f t="shared" si="27"/>
        <v>6.1473433843027987</v>
      </c>
      <c r="J74" s="105">
        <f t="shared" si="27"/>
        <v>6.7190766439291973</v>
      </c>
      <c r="K74" s="105">
        <f t="shared" si="27"/>
        <v>7.3035142317253099</v>
      </c>
      <c r="L74" s="105">
        <f t="shared" si="27"/>
        <v>7.795337000424313</v>
      </c>
    </row>
    <row r="75" spans="1:18" x14ac:dyDescent="0.25">
      <c r="A75" s="49" t="s">
        <v>70</v>
      </c>
      <c r="B75" s="50"/>
      <c r="C75" s="105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</row>
    <row r="76" spans="1:18" x14ac:dyDescent="0.25">
      <c r="A76" s="49" t="s">
        <v>71</v>
      </c>
      <c r="B76" s="50"/>
      <c r="C76" s="105">
        <f t="shared" ref="C76:K76" si="28">C74</f>
        <v>6.0437784634083308E-2</v>
      </c>
      <c r="D76" s="52">
        <f t="shared" si="28"/>
        <v>1.7733349781861121</v>
      </c>
      <c r="E76" s="52">
        <f t="shared" si="28"/>
        <v>3.1033312721852395</v>
      </c>
      <c r="F76" s="52">
        <f t="shared" si="28"/>
        <v>3.9394654415323966</v>
      </c>
      <c r="G76" s="52">
        <f t="shared" si="28"/>
        <v>4.6392575444151412</v>
      </c>
      <c r="H76" s="52">
        <f t="shared" si="28"/>
        <v>5.2525349035836282</v>
      </c>
      <c r="I76" s="52">
        <f t="shared" si="28"/>
        <v>6.1473433843027987</v>
      </c>
      <c r="J76" s="52">
        <f t="shared" si="28"/>
        <v>6.7190766439291973</v>
      </c>
      <c r="K76" s="52">
        <f t="shared" si="28"/>
        <v>7.3035142317253099</v>
      </c>
      <c r="L76" s="52">
        <f t="shared" ref="L76" si="29">L74</f>
        <v>7.795337000424313</v>
      </c>
    </row>
    <row r="77" spans="1:18" x14ac:dyDescent="0.25">
      <c r="A77" s="47"/>
      <c r="B77" s="48"/>
      <c r="C77" s="105"/>
      <c r="D77" s="53"/>
      <c r="E77" s="53"/>
      <c r="F77" s="53"/>
      <c r="G77" s="53"/>
      <c r="H77" s="53"/>
      <c r="I77" s="53"/>
      <c r="J77" s="53"/>
      <c r="K77" s="53"/>
      <c r="L77" s="53"/>
      <c r="N77" s="83">
        <f>(L78/12)*8</f>
        <v>5.610760921480364</v>
      </c>
    </row>
    <row r="78" spans="1:18" x14ac:dyDescent="0.25">
      <c r="A78" s="54" t="s">
        <v>72</v>
      </c>
      <c r="B78" s="59"/>
      <c r="C78" s="105">
        <f>C76+C69</f>
        <v>0.37385085407852781</v>
      </c>
      <c r="D78" s="60">
        <f t="shared" ref="D78:K78" si="30">D76+D69</f>
        <v>3.6132095879083348</v>
      </c>
      <c r="E78" s="60">
        <f t="shared" si="30"/>
        <v>4.7050327959352396</v>
      </c>
      <c r="F78" s="60">
        <f t="shared" si="30"/>
        <v>5.334939031657397</v>
      </c>
      <c r="G78" s="60">
        <f t="shared" si="30"/>
        <v>5.8560346614651415</v>
      </c>
      <c r="H78" s="60">
        <f t="shared" si="30"/>
        <v>6.3143575619755037</v>
      </c>
      <c r="I78" s="60">
        <f t="shared" si="30"/>
        <v>7.0746985419453301</v>
      </c>
      <c r="J78" s="60">
        <f t="shared" si="30"/>
        <v>7.5296538361338428</v>
      </c>
      <c r="K78" s="60">
        <f t="shared" si="30"/>
        <v>8.0125976224869024</v>
      </c>
      <c r="L78" s="60">
        <f t="shared" ref="L78" si="31">L76+L69</f>
        <v>8.4161413822205464</v>
      </c>
      <c r="M78" s="60">
        <f>SUM(C78:K78)</f>
        <v>48.814374493586222</v>
      </c>
      <c r="N78" s="99">
        <f>M78+N77</f>
        <v>54.425135415066585</v>
      </c>
    </row>
    <row r="79" spans="1:18" x14ac:dyDescent="0.25">
      <c r="A79" s="47"/>
      <c r="B79" s="48"/>
      <c r="C79" s="105"/>
      <c r="D79" s="53"/>
      <c r="E79" s="53"/>
      <c r="F79" s="53"/>
      <c r="G79" s="53"/>
      <c r="H79" s="53"/>
      <c r="I79" s="53"/>
      <c r="J79" s="53"/>
      <c r="K79" s="53"/>
      <c r="L79" s="53"/>
      <c r="M79" s="17"/>
    </row>
    <row r="80" spans="1:18" x14ac:dyDescent="0.25">
      <c r="A80" s="64" t="s">
        <v>73</v>
      </c>
      <c r="B80" s="65"/>
      <c r="C80" s="105">
        <f>'Bank Interest'!L47</f>
        <v>0</v>
      </c>
      <c r="D80" s="66">
        <f>'Bank Interest'!L45</f>
        <v>1.2999999999999998</v>
      </c>
      <c r="E80" s="66">
        <f>'Bank Interest'!L57</f>
        <v>1.9199999999999997</v>
      </c>
      <c r="F80" s="66">
        <f>'Bank Interest'!L69</f>
        <v>2.4</v>
      </c>
      <c r="G80" s="66">
        <f>'Bank Interest'!L81</f>
        <v>2.52</v>
      </c>
      <c r="H80" s="66">
        <f>'Bank Interest'!L93</f>
        <v>3</v>
      </c>
      <c r="I80" s="66">
        <f>'Bank Interest'!L105</f>
        <v>3</v>
      </c>
      <c r="J80" s="66">
        <f>'Bank Interest'!L117</f>
        <v>3.5999999999999992</v>
      </c>
      <c r="K80" s="66">
        <f>'Bank Interest'!L129</f>
        <v>3.9600000000000004</v>
      </c>
      <c r="L80" s="66">
        <f>'Bank Interest'!L137</f>
        <v>3.4</v>
      </c>
      <c r="M80" s="66">
        <f>SUM(C80:L80)</f>
        <v>25.099999999999998</v>
      </c>
      <c r="N80" s="83">
        <f>M80</f>
        <v>25.099999999999998</v>
      </c>
      <c r="Q80" t="s">
        <v>68</v>
      </c>
      <c r="R80">
        <v>25</v>
      </c>
    </row>
    <row r="81" spans="1:18" x14ac:dyDescent="0.25">
      <c r="A81" s="64"/>
      <c r="B81" s="65"/>
      <c r="C81" s="105"/>
      <c r="D81" s="66"/>
      <c r="E81" s="66"/>
      <c r="F81" s="66"/>
      <c r="G81" s="66"/>
      <c r="H81" s="66"/>
      <c r="I81" s="66"/>
      <c r="J81" s="66"/>
      <c r="K81" s="66"/>
      <c r="L81" s="66"/>
      <c r="M81" s="65"/>
      <c r="Q81" t="s">
        <v>310</v>
      </c>
      <c r="R81">
        <v>1.75</v>
      </c>
    </row>
    <row r="82" spans="1:18" x14ac:dyDescent="0.25">
      <c r="A82" s="64" t="s">
        <v>74</v>
      </c>
      <c r="B82" s="65"/>
      <c r="C82" s="105">
        <f t="shared" ref="C82:K82" si="32">C66</f>
        <v>0.33257500000000001</v>
      </c>
      <c r="D82" s="66">
        <f t="shared" si="32"/>
        <v>1.9566937500000003</v>
      </c>
      <c r="E82" s="66">
        <f t="shared" si="32"/>
        <v>1.822140000000001</v>
      </c>
      <c r="F82" s="66">
        <f t="shared" si="32"/>
        <v>1.6520100000000011</v>
      </c>
      <c r="G82" s="66">
        <f t="shared" si="32"/>
        <v>1.6346016666666678</v>
      </c>
      <c r="H82" s="66">
        <f t="shared" si="32"/>
        <v>1.7143500000000009</v>
      </c>
      <c r="I82" s="66">
        <f t="shared" si="32"/>
        <v>1.3843500000000009</v>
      </c>
      <c r="J82" s="66">
        <f t="shared" si="32"/>
        <v>1.0241000000000005</v>
      </c>
      <c r="K82" s="66">
        <f t="shared" si="32"/>
        <v>0.60995000000000021</v>
      </c>
      <c r="L82" s="66">
        <f t="shared" ref="L82" si="33">L66</f>
        <v>0.14153333333333346</v>
      </c>
      <c r="M82" s="66">
        <f>SUM(C82:L82)</f>
        <v>12.272303750000004</v>
      </c>
      <c r="N82" s="83">
        <f>M82</f>
        <v>12.272303750000004</v>
      </c>
      <c r="Q82" t="s">
        <v>311</v>
      </c>
      <c r="R82">
        <v>1.07</v>
      </c>
    </row>
    <row r="83" spans="1:18" x14ac:dyDescent="0.25">
      <c r="A83" s="64"/>
      <c r="B83" s="65"/>
      <c r="C83" s="105"/>
      <c r="D83" s="66"/>
      <c r="E83" s="66"/>
      <c r="F83" s="66"/>
      <c r="G83" s="66"/>
      <c r="H83" s="66"/>
      <c r="I83" s="66"/>
      <c r="J83" s="66"/>
      <c r="K83" s="66"/>
      <c r="L83" s="66"/>
      <c r="M83" s="65"/>
      <c r="R83">
        <v>27.82</v>
      </c>
    </row>
    <row r="84" spans="1:18" x14ac:dyDescent="0.25">
      <c r="A84" s="64" t="s">
        <v>75</v>
      </c>
      <c r="B84" s="65"/>
      <c r="C84" s="105" t="e">
        <f>C78/C80</f>
        <v>#DIV/0!</v>
      </c>
      <c r="D84" s="66">
        <f>D78/D80</f>
        <v>2.7793919906987195</v>
      </c>
      <c r="E84" s="66">
        <f t="shared" ref="E84:F84" si="34">E78/E80</f>
        <v>2.4505379145496042</v>
      </c>
      <c r="F84" s="66">
        <f t="shared" si="34"/>
        <v>2.2228912631905824</v>
      </c>
      <c r="G84" s="66">
        <f>G78/G80</f>
        <v>2.3238232783591832</v>
      </c>
      <c r="H84" s="66">
        <f>H78/H80</f>
        <v>2.1047858539918347</v>
      </c>
      <c r="I84" s="66">
        <f t="shared" ref="I84:J84" si="35">I78/I80</f>
        <v>2.3582328473151102</v>
      </c>
      <c r="J84" s="66">
        <f t="shared" si="35"/>
        <v>2.0915705100371791</v>
      </c>
      <c r="K84" s="66">
        <f>K78/K80</f>
        <v>2.0233832380017427</v>
      </c>
      <c r="L84" s="66">
        <f>L78/L80</f>
        <v>2.475335700653102</v>
      </c>
      <c r="M84" s="66">
        <f>M78/M80</f>
        <v>1.9447957965572202</v>
      </c>
      <c r="N84" s="83">
        <f>M84</f>
        <v>1.9447957965572202</v>
      </c>
    </row>
    <row r="85" spans="1:18" x14ac:dyDescent="0.25">
      <c r="A85" s="64"/>
      <c r="B85" s="65"/>
      <c r="C85" s="105"/>
      <c r="D85" s="66"/>
      <c r="E85" s="66"/>
      <c r="F85" s="66"/>
      <c r="G85" s="66"/>
      <c r="H85" s="66"/>
      <c r="I85" s="66"/>
      <c r="J85" s="66"/>
      <c r="K85" s="66"/>
      <c r="L85" s="66"/>
      <c r="M85" s="65"/>
    </row>
    <row r="86" spans="1:18" x14ac:dyDescent="0.25">
      <c r="A86" s="64" t="s">
        <v>76</v>
      </c>
      <c r="B86" s="65"/>
      <c r="C86" s="105">
        <f t="shared" ref="C86:G86" si="36">(C78+C82)/(C80+C82)</f>
        <v>2.1241099122860341</v>
      </c>
      <c r="D86" s="66">
        <f t="shared" si="36"/>
        <v>1.7102938641093701</v>
      </c>
      <c r="E86" s="66">
        <f t="shared" si="36"/>
        <v>1.744235329500029</v>
      </c>
      <c r="F86" s="66">
        <f t="shared" si="36"/>
        <v>1.7243168283536803</v>
      </c>
      <c r="G86" s="66">
        <f t="shared" si="36"/>
        <v>1.802973408553441</v>
      </c>
      <c r="H86" s="66">
        <f>(H78+H82)/(H80+H82)</f>
        <v>1.7030359565953954</v>
      </c>
      <c r="I86" s="66">
        <f t="shared" ref="I86:J86" si="37">(I78+I82)/(I80+I82)</f>
        <v>1.9293734628725645</v>
      </c>
      <c r="J86" s="66">
        <f t="shared" si="37"/>
        <v>1.8498202539161879</v>
      </c>
      <c r="K86" s="66">
        <f>(K78+K82)/(K80+K82)</f>
        <v>1.8867925518850099</v>
      </c>
      <c r="L86" s="66">
        <f>(L78+L82)/(L80+L82)</f>
        <v>2.4163755950023194</v>
      </c>
      <c r="M86" s="66">
        <f>(M78+M82)/(M80+M82)</f>
        <v>1.6345440905174657</v>
      </c>
      <c r="N86" s="66">
        <f>(N78+N82)/(N80+N82)</f>
        <v>1.7846756146272247</v>
      </c>
    </row>
    <row r="89" spans="1:18" x14ac:dyDescent="0.25">
      <c r="A89" t="s">
        <v>314</v>
      </c>
      <c r="C89" s="135">
        <f>(C72/C41)*100</f>
        <v>5.8147248231738651</v>
      </c>
      <c r="D89" s="83">
        <f>(D72/D41)*100</f>
        <v>22.748362865805035</v>
      </c>
      <c r="E89" s="83">
        <f t="shared" ref="E89:L89" si="38">(E72/E41)*100</f>
        <v>33.174643041158674</v>
      </c>
      <c r="F89" s="83">
        <f t="shared" si="38"/>
        <v>38.873470027965041</v>
      </c>
      <c r="G89" s="83">
        <f t="shared" si="38"/>
        <v>42.508894800908706</v>
      </c>
      <c r="H89" s="83">
        <f t="shared" si="38"/>
        <v>44.919721474636688</v>
      </c>
      <c r="I89" s="83">
        <f t="shared" si="38"/>
        <v>49.286372740849124</v>
      </c>
      <c r="J89" s="83">
        <f t="shared" si="38"/>
        <v>52.556340034884045</v>
      </c>
      <c r="K89" s="83">
        <f t="shared" si="38"/>
        <v>55.767601313543494</v>
      </c>
      <c r="L89" s="83">
        <f t="shared" si="38"/>
        <v>58.822752188340523</v>
      </c>
    </row>
    <row r="90" spans="1:18" x14ac:dyDescent="0.25">
      <c r="A90" t="s">
        <v>313</v>
      </c>
      <c r="C90" s="135">
        <f>(C74/C41)*100</f>
        <v>4.1970683773668958</v>
      </c>
      <c r="D90" s="83">
        <f>(D74/D41)*100</f>
        <v>16.419768316538075</v>
      </c>
      <c r="E90" s="83">
        <f t="shared" ref="E90:L90" si="39">(E74/E41)*100</f>
        <v>23.945457347108331</v>
      </c>
      <c r="F90" s="83">
        <f t="shared" si="39"/>
        <v>28.058870666185165</v>
      </c>
      <c r="G90" s="83">
        <f t="shared" si="39"/>
        <v>30.682920267295909</v>
      </c>
      <c r="H90" s="83">
        <f t="shared" si="39"/>
        <v>32.423054960392761</v>
      </c>
      <c r="I90" s="83">
        <f t="shared" si="39"/>
        <v>35.574903844344895</v>
      </c>
      <c r="J90" s="83">
        <f t="shared" si="39"/>
        <v>37.935166237179295</v>
      </c>
      <c r="K90" s="83">
        <f t="shared" si="39"/>
        <v>40.253054628115684</v>
      </c>
      <c r="L90" s="83">
        <f t="shared" si="39"/>
        <v>42.458262529544186</v>
      </c>
    </row>
    <row r="92" spans="1:18" x14ac:dyDescent="0.25">
      <c r="A92" s="121" t="s">
        <v>327</v>
      </c>
    </row>
    <row r="93" spans="1:18" x14ac:dyDescent="0.25">
      <c r="A93" s="122" t="s">
        <v>328</v>
      </c>
      <c r="C93" s="135">
        <f>C74</f>
        <v>6.0437784634083308E-2</v>
      </c>
      <c r="D93" s="83">
        <f t="shared" ref="D93:L93" si="40">D74</f>
        <v>1.7733349781861121</v>
      </c>
      <c r="E93" s="83">
        <f t="shared" si="40"/>
        <v>3.1033312721852395</v>
      </c>
      <c r="F93" s="83">
        <f t="shared" si="40"/>
        <v>3.9394654415323966</v>
      </c>
      <c r="G93" s="83">
        <f t="shared" si="40"/>
        <v>4.6392575444151412</v>
      </c>
      <c r="H93" s="83">
        <f t="shared" si="40"/>
        <v>5.2525349035836282</v>
      </c>
      <c r="I93" s="83">
        <f t="shared" si="40"/>
        <v>6.1473433843027987</v>
      </c>
      <c r="J93" s="83">
        <f t="shared" si="40"/>
        <v>6.7190766439291973</v>
      </c>
      <c r="K93" s="83">
        <f t="shared" si="40"/>
        <v>7.3035142317253099</v>
      </c>
      <c r="L93" s="83">
        <f t="shared" si="40"/>
        <v>7.795337000424313</v>
      </c>
    </row>
    <row r="94" spans="1:18" x14ac:dyDescent="0.25">
      <c r="A94" s="122" t="s">
        <v>46</v>
      </c>
      <c r="C94" s="135">
        <f>C69</f>
        <v>0.31341306944444447</v>
      </c>
      <c r="D94" s="83">
        <f t="shared" ref="D94:L94" si="41">D69</f>
        <v>1.8398746097222225</v>
      </c>
      <c r="E94" s="83">
        <f t="shared" si="41"/>
        <v>1.6017015237500001</v>
      </c>
      <c r="F94" s="83">
        <f t="shared" si="41"/>
        <v>1.3954735901249999</v>
      </c>
      <c r="G94" s="83">
        <f t="shared" si="41"/>
        <v>1.2167771170499999</v>
      </c>
      <c r="H94" s="83">
        <f t="shared" si="41"/>
        <v>1.0618226583918751</v>
      </c>
      <c r="I94" s="83">
        <f t="shared" si="41"/>
        <v>0.9273551576425314</v>
      </c>
      <c r="J94" s="83">
        <f t="shared" si="41"/>
        <v>0.8105771922046453</v>
      </c>
      <c r="K94" s="83">
        <f t="shared" si="41"/>
        <v>0.70908339076159299</v>
      </c>
      <c r="L94" s="83">
        <f t="shared" si="41"/>
        <v>0.62080438179623387</v>
      </c>
    </row>
    <row r="95" spans="1:18" s="119" customFormat="1" x14ac:dyDescent="0.25">
      <c r="A95" s="130" t="s">
        <v>329</v>
      </c>
      <c r="C95" s="135">
        <f>C93+C94</f>
        <v>0.37385085407852781</v>
      </c>
      <c r="D95" s="126">
        <f t="shared" ref="D95:L95" si="42">D93+D94</f>
        <v>3.6132095879083348</v>
      </c>
      <c r="E95" s="126">
        <f t="shared" si="42"/>
        <v>4.7050327959352396</v>
      </c>
      <c r="F95" s="126">
        <f t="shared" si="42"/>
        <v>5.334939031657397</v>
      </c>
      <c r="G95" s="126">
        <f t="shared" si="42"/>
        <v>5.8560346614651415</v>
      </c>
      <c r="H95" s="126">
        <f t="shared" si="42"/>
        <v>6.3143575619755037</v>
      </c>
      <c r="I95" s="126">
        <f t="shared" si="42"/>
        <v>7.0746985419453301</v>
      </c>
      <c r="J95" s="126">
        <f t="shared" si="42"/>
        <v>7.5296538361338428</v>
      </c>
      <c r="K95" s="126">
        <f t="shared" si="42"/>
        <v>8.0125976224869024</v>
      </c>
      <c r="L95" s="126">
        <f t="shared" si="42"/>
        <v>8.4161413822205464</v>
      </c>
    </row>
    <row r="96" spans="1:18" x14ac:dyDescent="0.25">
      <c r="A96" s="122" t="s">
        <v>330</v>
      </c>
      <c r="C96" s="135">
        <f>C82</f>
        <v>0.33257500000000001</v>
      </c>
      <c r="D96" s="83">
        <f t="shared" ref="D96:L96" si="43">D82</f>
        <v>1.9566937500000003</v>
      </c>
      <c r="E96" s="83">
        <f t="shared" si="43"/>
        <v>1.822140000000001</v>
      </c>
      <c r="F96" s="83">
        <f t="shared" si="43"/>
        <v>1.6520100000000011</v>
      </c>
      <c r="G96" s="83">
        <f t="shared" si="43"/>
        <v>1.6346016666666678</v>
      </c>
      <c r="H96" s="83">
        <f t="shared" si="43"/>
        <v>1.7143500000000009</v>
      </c>
      <c r="I96" s="83">
        <f t="shared" si="43"/>
        <v>1.3843500000000009</v>
      </c>
      <c r="J96" s="83">
        <f t="shared" si="43"/>
        <v>1.0241000000000005</v>
      </c>
      <c r="K96" s="83">
        <f t="shared" si="43"/>
        <v>0.60995000000000021</v>
      </c>
      <c r="L96" s="83">
        <f t="shared" si="43"/>
        <v>0.14153333333333346</v>
      </c>
    </row>
    <row r="97" spans="1:12" x14ac:dyDescent="0.25">
      <c r="A97" s="122" t="s">
        <v>331</v>
      </c>
      <c r="C97" s="135">
        <f>C95+C96</f>
        <v>0.70642585407852776</v>
      </c>
      <c r="D97" s="83">
        <f t="shared" ref="D97:L97" si="44">D95+D96</f>
        <v>5.5699033379083351</v>
      </c>
      <c r="E97" s="83">
        <f t="shared" si="44"/>
        <v>6.5271727959352406</v>
      </c>
      <c r="F97" s="83">
        <f t="shared" si="44"/>
        <v>6.9869490316573977</v>
      </c>
      <c r="G97" s="83">
        <f t="shared" si="44"/>
        <v>7.4906363281318091</v>
      </c>
      <c r="H97" s="83">
        <f t="shared" si="44"/>
        <v>8.0287075619755051</v>
      </c>
      <c r="I97" s="83">
        <f t="shared" si="44"/>
        <v>8.4590485419453305</v>
      </c>
      <c r="J97" s="83">
        <f t="shared" si="44"/>
        <v>8.5537538361338434</v>
      </c>
      <c r="K97" s="83">
        <f t="shared" si="44"/>
        <v>8.622547622486902</v>
      </c>
      <c r="L97" s="83">
        <f t="shared" si="44"/>
        <v>8.5576747155538797</v>
      </c>
    </row>
    <row r="98" spans="1:12" s="119" customFormat="1" x14ac:dyDescent="0.25">
      <c r="A98" s="130" t="s">
        <v>332</v>
      </c>
      <c r="C98" s="135">
        <f>C80</f>
        <v>0</v>
      </c>
      <c r="D98" s="126">
        <f t="shared" ref="D98:L98" si="45">D80</f>
        <v>1.2999999999999998</v>
      </c>
      <c r="E98" s="126">
        <f t="shared" si="45"/>
        <v>1.9199999999999997</v>
      </c>
      <c r="F98" s="126">
        <f t="shared" si="45"/>
        <v>2.4</v>
      </c>
      <c r="G98" s="126">
        <f t="shared" si="45"/>
        <v>2.52</v>
      </c>
      <c r="H98" s="126">
        <f t="shared" si="45"/>
        <v>3</v>
      </c>
      <c r="I98" s="126">
        <f t="shared" si="45"/>
        <v>3</v>
      </c>
      <c r="J98" s="126">
        <f t="shared" si="45"/>
        <v>3.5999999999999992</v>
      </c>
      <c r="K98" s="126">
        <f t="shared" si="45"/>
        <v>3.9600000000000004</v>
      </c>
      <c r="L98" s="126">
        <f t="shared" si="45"/>
        <v>3.4</v>
      </c>
    </row>
    <row r="99" spans="1:12" x14ac:dyDescent="0.25">
      <c r="A99" s="122" t="s">
        <v>333</v>
      </c>
      <c r="C99" s="135">
        <f>C96+C98</f>
        <v>0.33257500000000001</v>
      </c>
      <c r="D99" s="83">
        <f t="shared" ref="D99:L99" si="46">D96+D98</f>
        <v>3.2566937500000002</v>
      </c>
      <c r="E99" s="83">
        <f t="shared" si="46"/>
        <v>3.7421400000000009</v>
      </c>
      <c r="F99" s="83">
        <f t="shared" si="46"/>
        <v>4.052010000000001</v>
      </c>
      <c r="G99" s="83">
        <f t="shared" si="46"/>
        <v>4.1546016666666681</v>
      </c>
      <c r="H99" s="83">
        <f t="shared" si="46"/>
        <v>4.7143500000000014</v>
      </c>
      <c r="I99" s="83">
        <f t="shared" si="46"/>
        <v>4.3843500000000013</v>
      </c>
      <c r="J99" s="83">
        <f t="shared" si="46"/>
        <v>4.6240999999999994</v>
      </c>
      <c r="K99" s="83">
        <f t="shared" si="46"/>
        <v>4.5699500000000004</v>
      </c>
      <c r="L99" s="83">
        <f t="shared" si="46"/>
        <v>3.5415333333333332</v>
      </c>
    </row>
    <row r="100" spans="1:12" x14ac:dyDescent="0.25">
      <c r="A100" s="122" t="s">
        <v>334</v>
      </c>
      <c r="C100" s="135">
        <f>C97/C99</f>
        <v>2.1241099122860341</v>
      </c>
      <c r="D100" s="83">
        <f t="shared" ref="D100:L100" si="47">D97/D99</f>
        <v>1.7102938641093701</v>
      </c>
      <c r="E100" s="83">
        <f t="shared" si="47"/>
        <v>1.744235329500029</v>
      </c>
      <c r="F100" s="83">
        <f t="shared" si="47"/>
        <v>1.7243168283536803</v>
      </c>
      <c r="G100" s="83">
        <f t="shared" si="47"/>
        <v>1.802973408553441</v>
      </c>
      <c r="H100" s="83">
        <f t="shared" si="47"/>
        <v>1.7030359565953954</v>
      </c>
      <c r="I100" s="83">
        <f t="shared" si="47"/>
        <v>1.9293734628725645</v>
      </c>
      <c r="J100" s="83">
        <f t="shared" si="47"/>
        <v>1.8498202539161879</v>
      </c>
      <c r="K100" s="83">
        <f t="shared" si="47"/>
        <v>1.8867925518850099</v>
      </c>
      <c r="L100" s="83">
        <f t="shared" si="47"/>
        <v>2.4163755950023194</v>
      </c>
    </row>
    <row r="101" spans="1:12" x14ac:dyDescent="0.25">
      <c r="A101" s="122" t="s">
        <v>335</v>
      </c>
    </row>
    <row r="102" spans="1:12" x14ac:dyDescent="0.25">
      <c r="A102" s="122" t="s">
        <v>336</v>
      </c>
      <c r="C102" s="106" t="e">
        <f>C95/C98</f>
        <v>#DIV/0!</v>
      </c>
      <c r="D102" s="83">
        <f t="shared" ref="D102:L102" si="48">D95/D98</f>
        <v>2.7793919906987195</v>
      </c>
      <c r="E102" s="83">
        <f t="shared" si="48"/>
        <v>2.4505379145496042</v>
      </c>
      <c r="F102" s="83">
        <f t="shared" si="48"/>
        <v>2.2228912631905824</v>
      </c>
      <c r="G102" s="83">
        <f t="shared" si="48"/>
        <v>2.3238232783591832</v>
      </c>
      <c r="H102" s="83">
        <f t="shared" si="48"/>
        <v>2.1047858539918347</v>
      </c>
      <c r="I102" s="83">
        <f t="shared" si="48"/>
        <v>2.3582328473151102</v>
      </c>
      <c r="J102" s="83">
        <f t="shared" si="48"/>
        <v>2.0915705100371791</v>
      </c>
      <c r="K102" s="83">
        <f t="shared" si="48"/>
        <v>2.0233832380017427</v>
      </c>
      <c r="L102" s="83">
        <f t="shared" si="48"/>
        <v>2.475335700653102</v>
      </c>
    </row>
    <row r="103" spans="1:12" x14ac:dyDescent="0.25">
      <c r="A103" s="122" t="s">
        <v>337</v>
      </c>
    </row>
    <row r="104" spans="1:12" x14ac:dyDescent="0.25">
      <c r="A104" s="121" t="s">
        <v>338</v>
      </c>
    </row>
    <row r="105" spans="1:12" x14ac:dyDescent="0.25">
      <c r="A105" s="122" t="s">
        <v>339</v>
      </c>
      <c r="C105" s="135">
        <f>'BS Proj.'!B32</f>
        <v>33.566371097222223</v>
      </c>
      <c r="D105" s="83">
        <f>'BS Proj.'!C32</f>
        <v>31.7264964875</v>
      </c>
      <c r="E105" s="83">
        <f>'BS Proj.'!D32</f>
        <v>30.124794963749999</v>
      </c>
      <c r="F105" s="83">
        <f>'BS Proj.'!E32</f>
        <v>28.729321373624998</v>
      </c>
      <c r="G105" s="83">
        <f>'BS Proj.'!F32</f>
        <v>27.512544256574998</v>
      </c>
      <c r="H105" s="83">
        <f>'BS Proj.'!G32</f>
        <v>26.450721598183122</v>
      </c>
      <c r="I105" s="83">
        <f>'BS Proj.'!H32</f>
        <v>25.523366440540592</v>
      </c>
      <c r="J105" s="83">
        <f>'BS Proj.'!I32</f>
        <v>24.712789248335945</v>
      </c>
      <c r="K105" s="83">
        <f>'BS Proj.'!J32</f>
        <v>24.003705857574353</v>
      </c>
      <c r="L105" s="83">
        <f>'BS Proj.'!K32</f>
        <v>23.38290147577812</v>
      </c>
    </row>
    <row r="106" spans="1:12" x14ac:dyDescent="0.25">
      <c r="A106" s="122" t="s">
        <v>340</v>
      </c>
      <c r="C106" s="136">
        <f>'BS Proj.'!B9</f>
        <v>23.8</v>
      </c>
      <c r="D106" s="16">
        <f>'BS Proj.'!C9</f>
        <v>21.880000000000003</v>
      </c>
      <c r="E106" s="16">
        <f>'BS Proj.'!D9</f>
        <v>19.480000000000004</v>
      </c>
      <c r="F106" s="16">
        <f>'BS Proj.'!E9</f>
        <v>16.960000000000004</v>
      </c>
      <c r="G106" s="16">
        <f>'BS Proj.'!F9</f>
        <v>13.960000000000004</v>
      </c>
      <c r="H106" s="16">
        <f>'BS Proj.'!G9</f>
        <v>10.960000000000004</v>
      </c>
      <c r="I106" s="16">
        <f>'BS Proj.'!H9</f>
        <v>7.3600000000000048</v>
      </c>
      <c r="J106" s="16">
        <f>'BS Proj.'!I9</f>
        <v>3.4000000000000044</v>
      </c>
      <c r="K106" s="16">
        <f>'BS Proj.'!J9</f>
        <v>4.4408920985006262E-15</v>
      </c>
      <c r="L106" s="16">
        <f>'BS Proj.'!K9</f>
        <v>4.4408920985006262E-15</v>
      </c>
    </row>
    <row r="107" spans="1:12" x14ac:dyDescent="0.25">
      <c r="A107" s="122" t="s">
        <v>341</v>
      </c>
      <c r="C107" s="136">
        <f>C105-C106</f>
        <v>9.7663710972222226</v>
      </c>
      <c r="D107" s="16">
        <f t="shared" ref="D107:L107" si="49">D105-D106</f>
        <v>9.8464964874999978</v>
      </c>
      <c r="E107" s="16">
        <f t="shared" si="49"/>
        <v>10.644794963749995</v>
      </c>
      <c r="F107" s="16">
        <f t="shared" si="49"/>
        <v>11.769321373624994</v>
      </c>
      <c r="G107" s="16">
        <f t="shared" si="49"/>
        <v>13.552544256574993</v>
      </c>
      <c r="H107" s="16">
        <f t="shared" si="49"/>
        <v>15.490721598183118</v>
      </c>
      <c r="I107" s="16">
        <f t="shared" si="49"/>
        <v>18.163366440540585</v>
      </c>
      <c r="J107" s="16">
        <f t="shared" si="49"/>
        <v>21.312789248335939</v>
      </c>
      <c r="K107" s="16">
        <f t="shared" si="49"/>
        <v>24.003705857574349</v>
      </c>
      <c r="L107" s="16">
        <f t="shared" si="49"/>
        <v>23.382901475778116</v>
      </c>
    </row>
    <row r="108" spans="1:12" x14ac:dyDescent="0.25">
      <c r="A108" s="122" t="s">
        <v>342</v>
      </c>
      <c r="C108" s="135">
        <f>(C107/C105)*100</f>
        <v>29.09570137604311</v>
      </c>
      <c r="D108" s="83">
        <f t="shared" ref="D108:L108" si="50">(D107/D105)*100</f>
        <v>31.03556199903586</v>
      </c>
      <c r="E108" s="83">
        <f t="shared" si="50"/>
        <v>35.335659467754624</v>
      </c>
      <c r="F108" s="83">
        <f t="shared" si="50"/>
        <v>40.966235229036215</v>
      </c>
      <c r="G108" s="83">
        <f t="shared" si="50"/>
        <v>49.259509154033189</v>
      </c>
      <c r="H108" s="83">
        <f t="shared" si="50"/>
        <v>58.564457459819032</v>
      </c>
      <c r="I108" s="83">
        <f t="shared" si="50"/>
        <v>71.163678517307218</v>
      </c>
      <c r="J108" s="83">
        <f t="shared" si="50"/>
        <v>86.241941507153228</v>
      </c>
      <c r="K108" s="83">
        <f t="shared" si="50"/>
        <v>99.999999999999986</v>
      </c>
      <c r="L108" s="83">
        <f t="shared" si="50"/>
        <v>99.999999999999986</v>
      </c>
    </row>
    <row r="109" spans="1:12" x14ac:dyDescent="0.25">
      <c r="A109" s="122" t="s">
        <v>343</v>
      </c>
      <c r="C109" s="136">
        <f>C105/C106</f>
        <v>1.4103517267740429</v>
      </c>
      <c r="D109" s="16">
        <f t="shared" ref="D109:L109" si="51">D105/D106</f>
        <v>1.4500226913848262</v>
      </c>
      <c r="E109" s="16">
        <f t="shared" si="51"/>
        <v>1.5464473800693015</v>
      </c>
      <c r="F109" s="16">
        <f t="shared" si="51"/>
        <v>1.6939458357090207</v>
      </c>
      <c r="G109" s="16">
        <f t="shared" si="51"/>
        <v>1.9708126258291538</v>
      </c>
      <c r="H109" s="16">
        <f t="shared" si="51"/>
        <v>2.4133870071334957</v>
      </c>
      <c r="I109" s="16">
        <f t="shared" si="51"/>
        <v>3.4678487011604044</v>
      </c>
      <c r="J109" s="16">
        <f t="shared" si="51"/>
        <v>7.268467425981151</v>
      </c>
      <c r="K109" s="16">
        <f t="shared" si="51"/>
        <v>5405154037784142</v>
      </c>
      <c r="L109" s="16">
        <f t="shared" si="51"/>
        <v>5265361318657768</v>
      </c>
    </row>
    <row r="110" spans="1:12" x14ac:dyDescent="0.25">
      <c r="A110" s="121" t="s">
        <v>344</v>
      </c>
    </row>
    <row r="111" spans="1:12" x14ac:dyDescent="0.25">
      <c r="A111" s="122" t="s">
        <v>345</v>
      </c>
      <c r="C111" s="137">
        <f>C6</f>
        <v>0.4</v>
      </c>
      <c r="D111" s="97">
        <f t="shared" ref="D111:L111" si="52">D6</f>
        <v>0.5</v>
      </c>
      <c r="E111" s="97">
        <f t="shared" si="52"/>
        <v>0.6</v>
      </c>
      <c r="F111" s="97">
        <f t="shared" si="52"/>
        <v>0.65</v>
      </c>
      <c r="G111" s="97">
        <f t="shared" si="52"/>
        <v>0.7</v>
      </c>
      <c r="H111" s="97">
        <f t="shared" si="52"/>
        <v>0.75</v>
      </c>
      <c r="I111" s="97">
        <f t="shared" si="52"/>
        <v>0.8</v>
      </c>
      <c r="J111" s="97">
        <f t="shared" si="52"/>
        <v>0.82</v>
      </c>
      <c r="K111" s="97">
        <f t="shared" si="52"/>
        <v>0.84</v>
      </c>
      <c r="L111" s="97">
        <f t="shared" si="52"/>
        <v>0.85</v>
      </c>
    </row>
    <row r="112" spans="1:12" x14ac:dyDescent="0.25">
      <c r="A112" s="122" t="s">
        <v>346</v>
      </c>
      <c r="C112" s="135">
        <f>C41</f>
        <v>1.4400000000000002</v>
      </c>
      <c r="D112" s="83">
        <f t="shared" ref="D112:L112" si="53">D41</f>
        <v>10.8</v>
      </c>
      <c r="E112" s="83">
        <f t="shared" si="53"/>
        <v>12.959999999999999</v>
      </c>
      <c r="F112" s="83">
        <f t="shared" si="53"/>
        <v>14.04</v>
      </c>
      <c r="G112" s="83">
        <f t="shared" si="53"/>
        <v>15.12</v>
      </c>
      <c r="H112" s="83">
        <f t="shared" si="53"/>
        <v>16.200000000000003</v>
      </c>
      <c r="I112" s="83">
        <f t="shared" si="53"/>
        <v>17.28</v>
      </c>
      <c r="J112" s="83">
        <f t="shared" si="53"/>
        <v>17.712</v>
      </c>
      <c r="K112" s="83">
        <f t="shared" si="53"/>
        <v>18.143999999999998</v>
      </c>
      <c r="L112" s="83">
        <f t="shared" si="53"/>
        <v>18.36</v>
      </c>
    </row>
    <row r="113" spans="1:12" x14ac:dyDescent="0.25">
      <c r="A113" s="122" t="s">
        <v>347</v>
      </c>
      <c r="C113" s="135">
        <f>C72</f>
        <v>8.3732037453703667E-2</v>
      </c>
      <c r="D113" s="83">
        <f t="shared" ref="D113:L113" si="54">D72</f>
        <v>2.4568231895069439</v>
      </c>
      <c r="E113" s="83">
        <f t="shared" si="54"/>
        <v>4.2994337381341641</v>
      </c>
      <c r="F113" s="83">
        <f t="shared" si="54"/>
        <v>5.4578351919262911</v>
      </c>
      <c r="G113" s="83">
        <f t="shared" si="54"/>
        <v>6.4273448938973967</v>
      </c>
      <c r="H113" s="83">
        <f t="shared" si="54"/>
        <v>7.2769948788911449</v>
      </c>
      <c r="I113" s="83">
        <f t="shared" si="54"/>
        <v>8.5166852096187284</v>
      </c>
      <c r="J113" s="83">
        <f t="shared" si="54"/>
        <v>9.308778946978661</v>
      </c>
      <c r="K113" s="83">
        <f t="shared" si="54"/>
        <v>10.118473582329329</v>
      </c>
      <c r="L113" s="83">
        <f t="shared" si="54"/>
        <v>10.799857301779319</v>
      </c>
    </row>
    <row r="114" spans="1:12" x14ac:dyDescent="0.25">
      <c r="A114" s="122" t="s">
        <v>348</v>
      </c>
      <c r="C114" s="135">
        <f>(C115/C112)*100</f>
        <v>37.324992576517502</v>
      </c>
      <c r="D114" s="83">
        <f t="shared" ref="D114:L114" si="55">(D115/D112)*100</f>
        <v>30.098226396026234</v>
      </c>
      <c r="E114" s="83">
        <f t="shared" si="55"/>
        <v>28.406826682992541</v>
      </c>
      <c r="F114" s="83">
        <f t="shared" si="55"/>
        <v>27.420806395646064</v>
      </c>
      <c r="G114" s="83">
        <f t="shared" si="55"/>
        <v>26.632779909959886</v>
      </c>
      <c r="H114" s="83">
        <f t="shared" si="55"/>
        <v>25.943410263685074</v>
      </c>
      <c r="I114" s="83">
        <f t="shared" si="55"/>
        <v>25.335703893164002</v>
      </c>
      <c r="J114" s="83">
        <f t="shared" si="55"/>
        <v>25.085274733608255</v>
      </c>
      <c r="K114" s="83">
        <f t="shared" si="55"/>
        <v>24.962593843193769</v>
      </c>
      <c r="L114" s="83">
        <f t="shared" si="55"/>
        <v>25.025081607250087</v>
      </c>
    </row>
    <row r="115" spans="1:12" x14ac:dyDescent="0.25">
      <c r="A115" s="122" t="s">
        <v>349</v>
      </c>
      <c r="C115" s="135">
        <f>C56-C49+C67</f>
        <v>0.53747989310185207</v>
      </c>
      <c r="D115" s="83">
        <f t="shared" ref="D115:L115" si="56">D56-D49+D67</f>
        <v>3.2506084507708333</v>
      </c>
      <c r="E115" s="83">
        <f t="shared" si="56"/>
        <v>3.6815247381158334</v>
      </c>
      <c r="F115" s="83">
        <f t="shared" si="56"/>
        <v>3.8498812179487074</v>
      </c>
      <c r="G115" s="83">
        <f t="shared" si="56"/>
        <v>4.0268763223859345</v>
      </c>
      <c r="H115" s="83">
        <f t="shared" si="56"/>
        <v>4.2028324627169829</v>
      </c>
      <c r="I115" s="83">
        <f t="shared" si="56"/>
        <v>4.3780096327387401</v>
      </c>
      <c r="J115" s="83">
        <f t="shared" si="56"/>
        <v>4.4431038608166942</v>
      </c>
      <c r="K115" s="83">
        <f t="shared" si="56"/>
        <v>4.5292130269090771</v>
      </c>
      <c r="L115" s="83">
        <f t="shared" si="56"/>
        <v>4.5946049830911155</v>
      </c>
    </row>
    <row r="116" spans="1:12" x14ac:dyDescent="0.25">
      <c r="A116" s="122" t="s">
        <v>350</v>
      </c>
      <c r="C116" s="135">
        <f>C66+C69+C49</f>
        <v>0.81878806944444449</v>
      </c>
      <c r="D116" s="83">
        <f t="shared" ref="D116:L116" si="57">D66+D69+D49</f>
        <v>5.0925683597222227</v>
      </c>
      <c r="E116" s="83">
        <f t="shared" si="57"/>
        <v>4.9790415237500012</v>
      </c>
      <c r="F116" s="83">
        <f t="shared" si="57"/>
        <v>4.7322835901250011</v>
      </c>
      <c r="G116" s="83">
        <f t="shared" si="57"/>
        <v>4.665778783716668</v>
      </c>
      <c r="H116" s="83">
        <f t="shared" si="57"/>
        <v>4.7201726583918759</v>
      </c>
      <c r="I116" s="83">
        <f t="shared" si="57"/>
        <v>4.3853051576425326</v>
      </c>
      <c r="J116" s="83">
        <f t="shared" si="57"/>
        <v>3.9601171922046454</v>
      </c>
      <c r="K116" s="83">
        <f t="shared" si="57"/>
        <v>3.4963133907615926</v>
      </c>
      <c r="L116" s="83">
        <f t="shared" si="57"/>
        <v>2.9655377151295674</v>
      </c>
    </row>
    <row r="117" spans="1:12" x14ac:dyDescent="0.25">
      <c r="A117" s="122" t="s">
        <v>351</v>
      </c>
      <c r="C117" s="135">
        <f>C112-C115</f>
        <v>0.9025201068981481</v>
      </c>
      <c r="D117" s="83">
        <f t="shared" ref="D117:L117" si="58">D112-D115</f>
        <v>7.549391549229167</v>
      </c>
      <c r="E117" s="83">
        <f t="shared" si="58"/>
        <v>9.2784752618841662</v>
      </c>
      <c r="F117" s="83">
        <f t="shared" si="58"/>
        <v>10.190118782051291</v>
      </c>
      <c r="G117" s="83">
        <f t="shared" si="58"/>
        <v>11.093123677614065</v>
      </c>
      <c r="H117" s="83">
        <f t="shared" si="58"/>
        <v>11.997167537283019</v>
      </c>
      <c r="I117" s="83">
        <f t="shared" si="58"/>
        <v>12.901990367261261</v>
      </c>
      <c r="J117" s="83">
        <f t="shared" si="58"/>
        <v>13.268896139183305</v>
      </c>
      <c r="K117" s="83">
        <f t="shared" si="58"/>
        <v>13.614786973090922</v>
      </c>
      <c r="L117" s="83">
        <f t="shared" si="58"/>
        <v>13.765395016908883</v>
      </c>
    </row>
    <row r="118" spans="1:12" x14ac:dyDescent="0.25">
      <c r="A118" s="122" t="s">
        <v>370</v>
      </c>
      <c r="C118" s="135">
        <f>(C116/C117)*C112</f>
        <v>1.3064028280237083</v>
      </c>
      <c r="D118" s="83">
        <f t="shared" ref="D118:L118" si="59">(D116/D117)*D112</f>
        <v>7.2853206680763263</v>
      </c>
      <c r="E118" s="83">
        <f t="shared" si="59"/>
        <v>6.9546316961022248</v>
      </c>
      <c r="F118" s="83">
        <f t="shared" si="59"/>
        <v>6.5201655669003156</v>
      </c>
      <c r="G118" s="83">
        <f t="shared" si="59"/>
        <v>6.3594869452469078</v>
      </c>
      <c r="H118" s="83">
        <f t="shared" si="59"/>
        <v>6.3737375366574014</v>
      </c>
      <c r="I118" s="83">
        <f t="shared" si="59"/>
        <v>5.8733630212861936</v>
      </c>
      <c r="J118" s="83">
        <f t="shared" si="59"/>
        <v>5.2861666089313335</v>
      </c>
      <c r="K118" s="83">
        <f t="shared" si="59"/>
        <v>4.6594273041039296</v>
      </c>
      <c r="L118" s="83">
        <f t="shared" si="59"/>
        <v>3.9553730483504408</v>
      </c>
    </row>
    <row r="119" spans="1:12" ht="15.75" thickBot="1" x14ac:dyDescent="0.3">
      <c r="A119" s="123" t="s">
        <v>352</v>
      </c>
      <c r="C119" s="135">
        <f>(C116/C117)*C6</f>
        <v>0.36288967445103004</v>
      </c>
      <c r="D119" s="83">
        <f t="shared" ref="D119:L119" si="60">(D116/D117)*D6</f>
        <v>0.33728336426279287</v>
      </c>
      <c r="E119" s="83">
        <f t="shared" si="60"/>
        <v>0.32197368963436229</v>
      </c>
      <c r="F119" s="83">
        <f t="shared" si="60"/>
        <v>0.30185951698612573</v>
      </c>
      <c r="G119" s="83">
        <f t="shared" si="60"/>
        <v>0.29442069190957909</v>
      </c>
      <c r="H119" s="83">
        <f t="shared" si="60"/>
        <v>0.29508044151191665</v>
      </c>
      <c r="I119" s="83">
        <f t="shared" si="60"/>
        <v>0.27191495468917565</v>
      </c>
      <c r="J119" s="83">
        <f t="shared" si="60"/>
        <v>0.24472993559867284</v>
      </c>
      <c r="K119" s="83">
        <f t="shared" si="60"/>
        <v>0.21571422704184859</v>
      </c>
      <c r="L119" s="83">
        <f t="shared" si="60"/>
        <v>0.18311912260881671</v>
      </c>
    </row>
    <row r="120" spans="1:12" ht="15.75" thickBot="1" x14ac:dyDescent="0.3">
      <c r="A120" s="124" t="s">
        <v>353</v>
      </c>
      <c r="C120" s="135">
        <f>(C116-C69)*C6/C117</f>
        <v>0.2239839295046456</v>
      </c>
      <c r="D120" s="83">
        <f t="shared" ref="D120:L120" si="61">(D116-D69)*D6/D117</f>
        <v>0.21542754331851535</v>
      </c>
      <c r="E120" s="83">
        <f t="shared" si="61"/>
        <v>0.21839838365732755</v>
      </c>
      <c r="F120" s="83">
        <f t="shared" si="61"/>
        <v>0.2128460468802692</v>
      </c>
      <c r="G120" s="83">
        <f t="shared" si="61"/>
        <v>0.21763943473728053</v>
      </c>
      <c r="H120" s="83">
        <f t="shared" si="61"/>
        <v>0.22870085722095174</v>
      </c>
      <c r="I120" s="83">
        <f t="shared" si="61"/>
        <v>0.2144134293434001</v>
      </c>
      <c r="J120" s="83">
        <f t="shared" si="61"/>
        <v>0.19463735135988178</v>
      </c>
      <c r="K120" s="83">
        <f t="shared" si="61"/>
        <v>0.171965467004914</v>
      </c>
      <c r="L120" s="83">
        <f t="shared" si="61"/>
        <v>0.14478504473610673</v>
      </c>
    </row>
    <row r="121" spans="1:12" x14ac:dyDescent="0.25">
      <c r="A121" s="121" t="s">
        <v>354</v>
      </c>
    </row>
    <row r="122" spans="1:12" x14ac:dyDescent="0.25">
      <c r="A122" s="122" t="s">
        <v>355</v>
      </c>
      <c r="C122" s="137">
        <v>0.05</v>
      </c>
      <c r="D122" s="97">
        <v>0.05</v>
      </c>
      <c r="E122" s="97">
        <v>0.05</v>
      </c>
      <c r="F122" s="97">
        <v>0.05</v>
      </c>
      <c r="G122" s="97">
        <v>0.05</v>
      </c>
      <c r="H122" s="97">
        <v>0.05</v>
      </c>
      <c r="I122" s="97">
        <v>0.05</v>
      </c>
      <c r="J122" s="97">
        <v>0.05</v>
      </c>
      <c r="K122" s="97">
        <v>0.05</v>
      </c>
      <c r="L122" s="97">
        <v>0.05</v>
      </c>
    </row>
    <row r="123" spans="1:12" x14ac:dyDescent="0.25">
      <c r="A123" s="122" t="s">
        <v>356</v>
      </c>
      <c r="C123" s="137">
        <v>0.05</v>
      </c>
      <c r="D123" s="97">
        <v>0.05</v>
      </c>
      <c r="E123" s="97">
        <v>0.05</v>
      </c>
      <c r="F123" s="97">
        <v>0.05</v>
      </c>
      <c r="G123" s="97">
        <v>0.05</v>
      </c>
      <c r="H123" s="97">
        <v>0.05</v>
      </c>
      <c r="I123" s="97">
        <v>0.05</v>
      </c>
      <c r="J123" s="97">
        <v>0.05</v>
      </c>
      <c r="K123" s="97">
        <v>0.05</v>
      </c>
      <c r="L123" s="97">
        <v>0.05</v>
      </c>
    </row>
    <row r="124" spans="1:12" x14ac:dyDescent="0.25">
      <c r="A124" s="122" t="s">
        <v>357</v>
      </c>
      <c r="C124" s="137">
        <v>0.05</v>
      </c>
      <c r="D124" s="97">
        <v>0.05</v>
      </c>
      <c r="E124" s="97">
        <v>0.05</v>
      </c>
      <c r="F124" s="97">
        <v>0.05</v>
      </c>
      <c r="G124" s="97">
        <v>0.05</v>
      </c>
      <c r="H124" s="97">
        <v>0.05</v>
      </c>
      <c r="I124" s="97">
        <v>0.05</v>
      </c>
      <c r="J124" s="97">
        <v>0.05</v>
      </c>
      <c r="K124" s="97">
        <v>0.05</v>
      </c>
      <c r="L124" s="97">
        <v>0.05</v>
      </c>
    </row>
    <row r="125" spans="1:12" x14ac:dyDescent="0.25">
      <c r="A125" s="122" t="s">
        <v>358</v>
      </c>
      <c r="C125" s="135">
        <f>C112*0.95</f>
        <v>1.3680000000000001</v>
      </c>
      <c r="D125" s="83">
        <f t="shared" ref="D125:L125" si="62">D112*0.95</f>
        <v>10.26</v>
      </c>
      <c r="E125" s="83">
        <f t="shared" si="62"/>
        <v>12.311999999999999</v>
      </c>
      <c r="F125" s="83">
        <f t="shared" si="62"/>
        <v>13.337999999999999</v>
      </c>
      <c r="G125" s="83">
        <f t="shared" si="62"/>
        <v>14.363999999999999</v>
      </c>
      <c r="H125" s="83">
        <f t="shared" si="62"/>
        <v>15.390000000000002</v>
      </c>
      <c r="I125" s="83">
        <f t="shared" si="62"/>
        <v>16.416</v>
      </c>
      <c r="J125" s="83">
        <f t="shared" si="62"/>
        <v>16.8264</v>
      </c>
      <c r="K125" s="83">
        <f t="shared" si="62"/>
        <v>17.236799999999999</v>
      </c>
      <c r="L125" s="83">
        <f t="shared" si="62"/>
        <v>17.442</v>
      </c>
    </row>
    <row r="126" spans="1:12" x14ac:dyDescent="0.25">
      <c r="A126" s="122" t="s">
        <v>359</v>
      </c>
      <c r="C126" s="135">
        <f>C115*0.95</f>
        <v>0.51060589844675941</v>
      </c>
      <c r="D126" s="83">
        <f t="shared" ref="D126:L126" si="63">D115*0.95</f>
        <v>3.0880780282322915</v>
      </c>
      <c r="E126" s="83">
        <f t="shared" si="63"/>
        <v>3.4974485012100414</v>
      </c>
      <c r="F126" s="83">
        <f t="shared" si="63"/>
        <v>3.6573871570512719</v>
      </c>
      <c r="G126" s="83">
        <f t="shared" si="63"/>
        <v>3.8255325062666374</v>
      </c>
      <c r="H126" s="83">
        <f t="shared" si="63"/>
        <v>3.9926908395811336</v>
      </c>
      <c r="I126" s="83">
        <f t="shared" si="63"/>
        <v>4.159109151101803</v>
      </c>
      <c r="J126" s="83">
        <f t="shared" si="63"/>
        <v>4.2209486677758594</v>
      </c>
      <c r="K126" s="83">
        <f t="shared" si="63"/>
        <v>4.3027523755636228</v>
      </c>
      <c r="L126" s="83">
        <f t="shared" si="63"/>
        <v>4.3648747339365599</v>
      </c>
    </row>
    <row r="127" spans="1:12" x14ac:dyDescent="0.25">
      <c r="A127" s="122" t="s">
        <v>360</v>
      </c>
      <c r="C127" s="135">
        <f>C116*0.95</f>
        <v>0.77784866597222224</v>
      </c>
      <c r="D127" s="83">
        <f t="shared" ref="D127:L127" si="64">D116*0.95</f>
        <v>4.8379399417361109</v>
      </c>
      <c r="E127" s="83">
        <f t="shared" si="64"/>
        <v>4.7300894475625013</v>
      </c>
      <c r="F127" s="83">
        <f t="shared" si="64"/>
        <v>4.4956694106187509</v>
      </c>
      <c r="G127" s="83">
        <f t="shared" si="64"/>
        <v>4.4324898445308341</v>
      </c>
      <c r="H127" s="83">
        <f t="shared" si="64"/>
        <v>4.4841640254722819</v>
      </c>
      <c r="I127" s="83">
        <f t="shared" si="64"/>
        <v>4.1660398997604053</v>
      </c>
      <c r="J127" s="83">
        <f t="shared" si="64"/>
        <v>3.7621113325944129</v>
      </c>
      <c r="K127" s="83">
        <f t="shared" si="64"/>
        <v>3.3214977212235128</v>
      </c>
      <c r="L127" s="83">
        <f t="shared" si="64"/>
        <v>2.817260829373089</v>
      </c>
    </row>
    <row r="128" spans="1:12" x14ac:dyDescent="0.25">
      <c r="A128" s="122" t="s">
        <v>347</v>
      </c>
      <c r="C128" s="135">
        <f>C125-C126-C127</f>
        <v>7.9545435581018453E-2</v>
      </c>
      <c r="D128" s="83">
        <f t="shared" ref="D128:L128" si="65">D125-D126-D127</f>
        <v>2.3339820300315974</v>
      </c>
      <c r="E128" s="83">
        <f t="shared" si="65"/>
        <v>4.0844620512274572</v>
      </c>
      <c r="F128" s="83">
        <f t="shared" si="65"/>
        <v>5.1849434323299768</v>
      </c>
      <c r="G128" s="83">
        <f t="shared" si="65"/>
        <v>6.1059776492025266</v>
      </c>
      <c r="H128" s="83">
        <f t="shared" si="65"/>
        <v>6.9131451349465873</v>
      </c>
      <c r="I128" s="83">
        <f t="shared" si="65"/>
        <v>8.090850949137792</v>
      </c>
      <c r="J128" s="83">
        <f t="shared" si="65"/>
        <v>8.8433399996297268</v>
      </c>
      <c r="K128" s="83">
        <f t="shared" si="65"/>
        <v>9.6125499032128623</v>
      </c>
      <c r="L128" s="83">
        <f t="shared" si="65"/>
        <v>10.259864436690352</v>
      </c>
    </row>
    <row r="129" spans="1:14" x14ac:dyDescent="0.25">
      <c r="A129" s="122" t="s">
        <v>361</v>
      </c>
      <c r="C129" s="135">
        <f>(C128/C125)*100</f>
        <v>5.8147248231738633</v>
      </c>
      <c r="D129" s="83">
        <f t="shared" ref="D129:L129" si="66">(D128/D125)*100</f>
        <v>22.748362865805046</v>
      </c>
      <c r="E129" s="83">
        <f t="shared" si="66"/>
        <v>33.174643041158689</v>
      </c>
      <c r="F129" s="83">
        <f t="shared" si="66"/>
        <v>38.873470027965041</v>
      </c>
      <c r="G129" s="83">
        <f t="shared" si="66"/>
        <v>42.508894800908706</v>
      </c>
      <c r="H129" s="83">
        <f t="shared" si="66"/>
        <v>44.919721474636688</v>
      </c>
      <c r="I129" s="83">
        <f t="shared" si="66"/>
        <v>49.286372740849124</v>
      </c>
      <c r="J129" s="83">
        <f t="shared" si="66"/>
        <v>52.55634003488403</v>
      </c>
      <c r="K129" s="83">
        <f t="shared" si="66"/>
        <v>55.76760131354348</v>
      </c>
      <c r="L129" s="83">
        <f t="shared" si="66"/>
        <v>58.822752188340509</v>
      </c>
    </row>
    <row r="130" spans="1:14" s="139" customFormat="1" x14ac:dyDescent="0.25">
      <c r="A130" s="138" t="s">
        <v>385</v>
      </c>
      <c r="C130" s="140">
        <f>C128*72.18%</f>
        <v>5.7415895402379132E-2</v>
      </c>
      <c r="D130" s="140">
        <f t="shared" ref="D130:L130" si="67">D128*72.18%</f>
        <v>1.6846682292768074</v>
      </c>
      <c r="E130" s="140">
        <f t="shared" si="67"/>
        <v>2.948164708575979</v>
      </c>
      <c r="F130" s="140">
        <f t="shared" si="67"/>
        <v>3.7424921694557778</v>
      </c>
      <c r="G130" s="140">
        <f t="shared" si="67"/>
        <v>4.4072946671943845</v>
      </c>
      <c r="H130" s="140">
        <f t="shared" si="67"/>
        <v>4.9899081584044476</v>
      </c>
      <c r="I130" s="140">
        <f t="shared" si="67"/>
        <v>5.8399762150876589</v>
      </c>
      <c r="J130" s="140">
        <f t="shared" si="67"/>
        <v>6.3831228117327381</v>
      </c>
      <c r="K130" s="140">
        <f t="shared" si="67"/>
        <v>6.9383385201390446</v>
      </c>
      <c r="L130" s="140">
        <f t="shared" si="67"/>
        <v>7.4055701504030971</v>
      </c>
    </row>
    <row r="131" spans="1:14" x14ac:dyDescent="0.25">
      <c r="A131" s="122" t="s">
        <v>329</v>
      </c>
      <c r="C131" s="135">
        <f>C130+C69*95%</f>
        <v>0.35515831137460135</v>
      </c>
      <c r="D131" s="135">
        <f t="shared" ref="D131:L131" si="68">D130+D69*95%</f>
        <v>3.4325491085129185</v>
      </c>
      <c r="E131" s="135">
        <f t="shared" si="68"/>
        <v>4.4697811561384793</v>
      </c>
      <c r="F131" s="135">
        <f t="shared" si="68"/>
        <v>5.0681920800745281</v>
      </c>
      <c r="G131" s="135">
        <f t="shared" si="68"/>
        <v>5.5632329283918844</v>
      </c>
      <c r="H131" s="135">
        <f t="shared" si="68"/>
        <v>5.9986396838767284</v>
      </c>
      <c r="I131" s="135">
        <f t="shared" si="68"/>
        <v>6.7209636148480634</v>
      </c>
      <c r="J131" s="135">
        <f t="shared" si="68"/>
        <v>7.1531711443271515</v>
      </c>
      <c r="K131" s="135">
        <f t="shared" si="68"/>
        <v>7.6119677413625579</v>
      </c>
      <c r="L131" s="135">
        <f t="shared" si="68"/>
        <v>7.9953343131095194</v>
      </c>
    </row>
    <row r="132" spans="1:14" x14ac:dyDescent="0.25">
      <c r="A132" s="122" t="s">
        <v>330</v>
      </c>
      <c r="C132" s="135">
        <f>C96*95%</f>
        <v>0.31594624999999998</v>
      </c>
      <c r="D132" s="135">
        <f t="shared" ref="D132:L132" si="69">D96*95%</f>
        <v>1.8588590625000003</v>
      </c>
      <c r="E132" s="135">
        <f t="shared" si="69"/>
        <v>1.7310330000000009</v>
      </c>
      <c r="F132" s="135">
        <f t="shared" si="69"/>
        <v>1.569409500000001</v>
      </c>
      <c r="G132" s="135">
        <f t="shared" si="69"/>
        <v>1.5528715833333344</v>
      </c>
      <c r="H132" s="135">
        <f t="shared" si="69"/>
        <v>1.6286325000000008</v>
      </c>
      <c r="I132" s="135">
        <f t="shared" si="69"/>
        <v>1.3151325000000007</v>
      </c>
      <c r="J132" s="135">
        <f t="shared" si="69"/>
        <v>0.9728950000000004</v>
      </c>
      <c r="K132" s="135">
        <f t="shared" si="69"/>
        <v>0.57945250000000015</v>
      </c>
      <c r="L132" s="135">
        <f t="shared" si="69"/>
        <v>0.13445666666666678</v>
      </c>
    </row>
    <row r="133" spans="1:14" x14ac:dyDescent="0.25">
      <c r="A133" s="122" t="s">
        <v>331</v>
      </c>
      <c r="C133" s="135">
        <f>C131+C132</f>
        <v>0.67110456137460139</v>
      </c>
      <c r="D133" s="135">
        <f t="shared" ref="D133:L133" si="70">D131+D132</f>
        <v>5.291408171012919</v>
      </c>
      <c r="E133" s="135">
        <f t="shared" si="70"/>
        <v>6.2008141561384802</v>
      </c>
      <c r="F133" s="135">
        <f t="shared" si="70"/>
        <v>6.6376015800745289</v>
      </c>
      <c r="G133" s="135">
        <f t="shared" si="70"/>
        <v>7.1161045117252186</v>
      </c>
      <c r="H133" s="135">
        <f t="shared" si="70"/>
        <v>7.6272721838767294</v>
      </c>
      <c r="I133" s="135">
        <f t="shared" si="70"/>
        <v>8.0360961148480641</v>
      </c>
      <c r="J133" s="135">
        <f t="shared" si="70"/>
        <v>8.1260661443271527</v>
      </c>
      <c r="K133" s="135">
        <f t="shared" si="70"/>
        <v>8.1914202413625574</v>
      </c>
      <c r="L133" s="135">
        <f t="shared" si="70"/>
        <v>8.1297909797761854</v>
      </c>
    </row>
    <row r="134" spans="1:14" x14ac:dyDescent="0.25">
      <c r="A134" s="122" t="s">
        <v>333</v>
      </c>
      <c r="C134" s="135">
        <f>C132+C98</f>
        <v>0.31594624999999998</v>
      </c>
      <c r="D134" s="135">
        <f t="shared" ref="D134:L134" si="71">D132+D98</f>
        <v>3.1588590625000004</v>
      </c>
      <c r="E134" s="135">
        <f t="shared" si="71"/>
        <v>3.6510330000000009</v>
      </c>
      <c r="F134" s="135">
        <f t="shared" si="71"/>
        <v>3.9694095000000011</v>
      </c>
      <c r="G134" s="135">
        <f t="shared" si="71"/>
        <v>4.0728715833333347</v>
      </c>
      <c r="H134" s="135">
        <f t="shared" si="71"/>
        <v>4.628632500000001</v>
      </c>
      <c r="I134" s="135">
        <f t="shared" si="71"/>
        <v>4.3151325000000007</v>
      </c>
      <c r="J134" s="135">
        <f t="shared" si="71"/>
        <v>4.5728949999999999</v>
      </c>
      <c r="K134" s="135">
        <f t="shared" si="71"/>
        <v>4.5394525000000003</v>
      </c>
      <c r="L134" s="135">
        <f t="shared" si="71"/>
        <v>3.5344566666666668</v>
      </c>
    </row>
    <row r="135" spans="1:14" x14ac:dyDescent="0.25">
      <c r="A135" s="122" t="s">
        <v>334</v>
      </c>
      <c r="C135" s="135">
        <f>C133/C134</f>
        <v>2.1241099122860341</v>
      </c>
      <c r="D135" s="135">
        <f t="shared" ref="D135:L135" si="72">D133/D134</f>
        <v>1.675101062225032</v>
      </c>
      <c r="E135" s="135">
        <f t="shared" si="72"/>
        <v>1.6983725307710116</v>
      </c>
      <c r="F135" s="135">
        <f t="shared" si="72"/>
        <v>1.6721886668721198</v>
      </c>
      <c r="G135" s="135">
        <f t="shared" si="72"/>
        <v>1.7471958951136952</v>
      </c>
      <c r="H135" s="135">
        <f t="shared" si="72"/>
        <v>1.6478457047252568</v>
      </c>
      <c r="I135" s="135">
        <f t="shared" si="72"/>
        <v>1.862305761143618</v>
      </c>
      <c r="J135" s="135">
        <f t="shared" si="72"/>
        <v>1.7770069385645533</v>
      </c>
      <c r="K135" s="135">
        <f t="shared" si="72"/>
        <v>1.8044951987849982</v>
      </c>
      <c r="L135" s="135">
        <f t="shared" si="72"/>
        <v>2.3001529645130327</v>
      </c>
    </row>
    <row r="136" spans="1:14" ht="63.75" customHeight="1" x14ac:dyDescent="0.25">
      <c r="A136" s="1" t="s">
        <v>362</v>
      </c>
      <c r="H136" s="85" t="s">
        <v>371</v>
      </c>
      <c r="I136" s="85" t="s">
        <v>372</v>
      </c>
      <c r="J136" s="85" t="s">
        <v>373</v>
      </c>
      <c r="K136" s="85" t="s">
        <v>379</v>
      </c>
    </row>
    <row r="137" spans="1:14" x14ac:dyDescent="0.25">
      <c r="A137" s="122" t="s">
        <v>363</v>
      </c>
      <c r="C137" s="135">
        <f>C60</f>
        <v>0.73972010689814816</v>
      </c>
      <c r="D137" s="83">
        <f t="shared" ref="D137:L137" si="73">D60</f>
        <v>6.283391549229167</v>
      </c>
      <c r="E137" s="83">
        <f t="shared" si="73"/>
        <v>7.7532752618841654</v>
      </c>
      <c r="F137" s="83">
        <f t="shared" si="73"/>
        <v>8.5353187820512915</v>
      </c>
      <c r="G137" s="126">
        <f t="shared" si="73"/>
        <v>9.3087236776140649</v>
      </c>
      <c r="H137" s="83">
        <f t="shared" si="73"/>
        <v>10.083167537283021</v>
      </c>
      <c r="I137" s="83">
        <f t="shared" si="73"/>
        <v>10.858390367261261</v>
      </c>
      <c r="J137" s="83">
        <f t="shared" si="73"/>
        <v>11.173456139183306</v>
      </c>
      <c r="K137" s="83">
        <f t="shared" si="73"/>
        <v>11.467506973090922</v>
      </c>
      <c r="L137" s="83">
        <f t="shared" si="73"/>
        <v>11.592195016908885</v>
      </c>
      <c r="M137" s="83">
        <f>SUM(C137:L137)</f>
        <v>87.795145411404235</v>
      </c>
      <c r="N137" s="83">
        <f>M137/10</f>
        <v>8.7795145411404238</v>
      </c>
    </row>
    <row r="138" spans="1:14" x14ac:dyDescent="0.25">
      <c r="A138" t="s">
        <v>364</v>
      </c>
      <c r="G138" s="83">
        <f>G112</f>
        <v>15.12</v>
      </c>
      <c r="H138" s="83">
        <f>G138</f>
        <v>15.12</v>
      </c>
      <c r="I138" s="83">
        <f>H138*90%</f>
        <v>13.607999999999999</v>
      </c>
      <c r="J138" s="83">
        <f>I138</f>
        <v>13.607999999999999</v>
      </c>
      <c r="K138" s="83">
        <f>G138*95%</f>
        <v>14.363999999999999</v>
      </c>
      <c r="L138" s="83">
        <f>G138*95%</f>
        <v>14.363999999999999</v>
      </c>
    </row>
    <row r="139" spans="1:14" x14ac:dyDescent="0.25">
      <c r="A139" t="s">
        <v>365</v>
      </c>
      <c r="G139" s="83">
        <f>G115</f>
        <v>4.0268763223859345</v>
      </c>
      <c r="H139" s="83">
        <f>G139*1.1</f>
        <v>4.4295639546245287</v>
      </c>
      <c r="I139" s="83">
        <f>H139</f>
        <v>4.4295639546245287</v>
      </c>
      <c r="J139" s="83">
        <f>I139</f>
        <v>4.4295639546245287</v>
      </c>
      <c r="K139" s="83">
        <f>J139*1.05</f>
        <v>4.651042152355755</v>
      </c>
    </row>
    <row r="140" spans="1:14" x14ac:dyDescent="0.25">
      <c r="A140" t="s">
        <v>366</v>
      </c>
      <c r="G140" s="83">
        <f>G117</f>
        <v>11.093123677614065</v>
      </c>
      <c r="H140" s="83">
        <f>H138-H139</f>
        <v>10.690436045375471</v>
      </c>
      <c r="I140" s="83">
        <f>I138-I139</f>
        <v>9.1784360453754701</v>
      </c>
      <c r="J140" s="83">
        <f>J138-J139</f>
        <v>9.1784360453754701</v>
      </c>
      <c r="K140" s="83">
        <f>K138-K139</f>
        <v>9.712957847644244</v>
      </c>
    </row>
    <row r="141" spans="1:14" x14ac:dyDescent="0.25">
      <c r="A141" t="s">
        <v>367</v>
      </c>
      <c r="G141" s="83">
        <f>G116</f>
        <v>4.665778783716668</v>
      </c>
      <c r="H141" s="83">
        <f>G141</f>
        <v>4.665778783716668</v>
      </c>
      <c r="I141" s="83">
        <f>H141</f>
        <v>4.665778783716668</v>
      </c>
      <c r="J141" s="83">
        <f>I141</f>
        <v>4.665778783716668</v>
      </c>
      <c r="K141" s="83">
        <f>G141</f>
        <v>4.665778783716668</v>
      </c>
    </row>
    <row r="142" spans="1:14" x14ac:dyDescent="0.25">
      <c r="A142" t="s">
        <v>368</v>
      </c>
      <c r="G142" s="83">
        <f>G140-G141</f>
        <v>6.4273448938973967</v>
      </c>
      <c r="H142" s="83">
        <f>H140-H141</f>
        <v>6.0246572616588026</v>
      </c>
      <c r="I142" s="83">
        <f>I140-I141</f>
        <v>4.5126572616588021</v>
      </c>
      <c r="J142" s="83">
        <f>J140-J141</f>
        <v>4.5126572616588021</v>
      </c>
      <c r="K142" s="83">
        <f>K140-K141</f>
        <v>5.047179063927576</v>
      </c>
    </row>
    <row r="143" spans="1:14" x14ac:dyDescent="0.25">
      <c r="A143" t="s">
        <v>369</v>
      </c>
      <c r="G143" s="83">
        <f>G118</f>
        <v>6.3594869452469078</v>
      </c>
      <c r="H143" s="83">
        <f>(H141*H138/H140)</f>
        <v>6.5990362703973569</v>
      </c>
      <c r="I143" s="83">
        <f>(I141/I140)*I138</f>
        <v>6.9175094073686596</v>
      </c>
      <c r="J143" s="83">
        <f>(J141/J140)*J138</f>
        <v>6.9175094073686596</v>
      </c>
    </row>
    <row r="144" spans="1:14" x14ac:dyDescent="0.25">
      <c r="A144" t="s">
        <v>380</v>
      </c>
      <c r="G144" s="83">
        <f>G142*27.82%</f>
        <v>1.7880873494822558</v>
      </c>
      <c r="H144" s="83">
        <f t="shared" ref="H144:J144" si="74">H142*27.82%</f>
        <v>1.6760596501934788</v>
      </c>
      <c r="I144" s="83">
        <f t="shared" si="74"/>
        <v>1.2554212501934787</v>
      </c>
      <c r="J144" s="83">
        <f t="shared" si="74"/>
        <v>1.2554212501934787</v>
      </c>
      <c r="K144" s="83">
        <f>K142*27.82%</f>
        <v>1.4041252155846518</v>
      </c>
    </row>
    <row r="145" spans="1:11" x14ac:dyDescent="0.25">
      <c r="A145" t="s">
        <v>328</v>
      </c>
      <c r="G145" s="83">
        <f>G142-G144</f>
        <v>4.6392575444151412</v>
      </c>
      <c r="H145" s="83">
        <f>H142-H144</f>
        <v>4.3485976114653235</v>
      </c>
      <c r="I145" s="83">
        <f>I142-I144</f>
        <v>3.2572360114653236</v>
      </c>
      <c r="J145" s="83">
        <f>J142-J144</f>
        <v>3.2572360114653236</v>
      </c>
      <c r="K145" s="83">
        <f>K142-K144</f>
        <v>3.643053848342924</v>
      </c>
    </row>
    <row r="146" spans="1:11" x14ac:dyDescent="0.25">
      <c r="A146" t="s">
        <v>46</v>
      </c>
      <c r="G146" s="83">
        <f>G69</f>
        <v>1.2167771170499999</v>
      </c>
      <c r="H146">
        <v>1.22</v>
      </c>
      <c r="I146">
        <v>1.22</v>
      </c>
      <c r="J146">
        <v>1.22</v>
      </c>
      <c r="K146">
        <v>1.22</v>
      </c>
    </row>
    <row r="149" spans="1:11" x14ac:dyDescent="0.25">
      <c r="A149" s="122" t="s">
        <v>329</v>
      </c>
      <c r="G149" s="83">
        <f>G146+G145</f>
        <v>5.8560346614651415</v>
      </c>
      <c r="H149" s="83">
        <f t="shared" ref="H149:K149" si="75">H146+H145</f>
        <v>5.5685976114653233</v>
      </c>
      <c r="I149" s="83">
        <f t="shared" si="75"/>
        <v>4.4772360114653234</v>
      </c>
      <c r="J149" s="83">
        <f t="shared" si="75"/>
        <v>4.4772360114653234</v>
      </c>
      <c r="K149" s="83">
        <f t="shared" si="75"/>
        <v>4.8630538483429238</v>
      </c>
    </row>
    <row r="150" spans="1:11" x14ac:dyDescent="0.25">
      <c r="A150" s="122" t="s">
        <v>330</v>
      </c>
      <c r="G150" s="83">
        <f>G82</f>
        <v>1.6346016666666678</v>
      </c>
      <c r="H150" s="83">
        <f>G150</f>
        <v>1.6346016666666678</v>
      </c>
      <c r="I150" s="83">
        <f>G150</f>
        <v>1.6346016666666678</v>
      </c>
      <c r="J150" s="83">
        <f t="shared" ref="J150:K150" si="76">H150</f>
        <v>1.6346016666666678</v>
      </c>
      <c r="K150" s="83">
        <f t="shared" si="76"/>
        <v>1.6346016666666678</v>
      </c>
    </row>
    <row r="151" spans="1:11" x14ac:dyDescent="0.25">
      <c r="A151" s="122" t="s">
        <v>331</v>
      </c>
      <c r="G151" s="83">
        <f>G149+G150</f>
        <v>7.4906363281318091</v>
      </c>
      <c r="H151" s="83">
        <f t="shared" ref="H151:I151" si="77">H149+H150</f>
        <v>7.2031992781319909</v>
      </c>
      <c r="I151" s="83">
        <f t="shared" si="77"/>
        <v>6.111837678131991</v>
      </c>
      <c r="J151" s="83">
        <f t="shared" ref="J151" si="78">J149+J150</f>
        <v>6.111837678131991</v>
      </c>
      <c r="K151" s="83">
        <f t="shared" ref="K151" si="79">K149+K150</f>
        <v>6.4976555150095914</v>
      </c>
    </row>
    <row r="152" spans="1:11" x14ac:dyDescent="0.25">
      <c r="A152" s="122" t="s">
        <v>332</v>
      </c>
      <c r="G152" s="83">
        <f>G80</f>
        <v>2.52</v>
      </c>
      <c r="H152" s="83">
        <f>G152</f>
        <v>2.52</v>
      </c>
      <c r="I152" s="83">
        <f>G152</f>
        <v>2.52</v>
      </c>
      <c r="J152" s="83">
        <f t="shared" ref="J152:K152" si="80">H152</f>
        <v>2.52</v>
      </c>
      <c r="K152" s="83">
        <f t="shared" si="80"/>
        <v>2.52</v>
      </c>
    </row>
    <row r="153" spans="1:11" x14ac:dyDescent="0.25">
      <c r="A153" s="122" t="s">
        <v>333</v>
      </c>
      <c r="G153" s="83">
        <f>G150+G152</f>
        <v>4.1546016666666681</v>
      </c>
      <c r="H153" s="83">
        <f t="shared" ref="H153:I153" si="81">H150+H152</f>
        <v>4.1546016666666681</v>
      </c>
      <c r="I153" s="83">
        <f t="shared" si="81"/>
        <v>4.1546016666666681</v>
      </c>
      <c r="J153" s="83">
        <f t="shared" ref="J153" si="82">J150+J152</f>
        <v>4.1546016666666681</v>
      </c>
      <c r="K153" s="83">
        <f t="shared" ref="K153" si="83">K150+K152</f>
        <v>4.1546016666666681</v>
      </c>
    </row>
    <row r="154" spans="1:11" x14ac:dyDescent="0.25">
      <c r="A154" s="122" t="s">
        <v>334</v>
      </c>
      <c r="G154" s="83">
        <f>G151/G153</f>
        <v>1.802973408553441</v>
      </c>
      <c r="H154" s="83">
        <f t="shared" ref="H154:I154" si="84">H151/H153</f>
        <v>1.733788183816737</v>
      </c>
      <c r="I154" s="83">
        <f t="shared" si="84"/>
        <v>1.4711007621184675</v>
      </c>
      <c r="J154" s="83">
        <f t="shared" ref="J154" si="85">J151/J153</f>
        <v>1.4711007621184675</v>
      </c>
      <c r="K154" s="83">
        <f t="shared" ref="K154" si="86">K151/K153</f>
        <v>1.5639659433879756</v>
      </c>
    </row>
    <row r="155" spans="1:11" x14ac:dyDescent="0.25">
      <c r="A155" s="122" t="s">
        <v>335</v>
      </c>
    </row>
    <row r="156" spans="1:11" x14ac:dyDescent="0.25">
      <c r="A156" s="122" t="s">
        <v>336</v>
      </c>
      <c r="G156" s="83">
        <f>G149/G152</f>
        <v>2.3238232783591832</v>
      </c>
      <c r="H156" s="83">
        <f t="shared" ref="H156:K156" si="87">H149/H152</f>
        <v>2.2097609569306838</v>
      </c>
      <c r="I156" s="83">
        <f t="shared" si="87"/>
        <v>1.7766809569306838</v>
      </c>
      <c r="J156" s="83">
        <f t="shared" si="87"/>
        <v>1.7766809569306838</v>
      </c>
      <c r="K156" s="83">
        <f t="shared" si="87"/>
        <v>1.9297832731519537</v>
      </c>
    </row>
    <row r="157" spans="1:11" x14ac:dyDescent="0.25">
      <c r="A157" s="122" t="s">
        <v>337</v>
      </c>
    </row>
    <row r="158" spans="1:11" x14ac:dyDescent="0.25">
      <c r="A158" s="122"/>
    </row>
    <row r="159" spans="1:11" x14ac:dyDescent="0.25">
      <c r="A159" s="122" t="s">
        <v>383</v>
      </c>
      <c r="G159" s="83">
        <f>G150*1.01</f>
        <v>1.6509476833333345</v>
      </c>
    </row>
    <row r="160" spans="1:11" x14ac:dyDescent="0.25">
      <c r="A160" s="122" t="s">
        <v>384</v>
      </c>
      <c r="G160" s="125">
        <f>(G149+G159)/(G159+G152)</f>
        <v>1.799826541770251</v>
      </c>
    </row>
    <row r="161" spans="1:8" ht="30" x14ac:dyDescent="0.25">
      <c r="A161" s="122"/>
      <c r="G161" s="85" t="s">
        <v>381</v>
      </c>
      <c r="H161" s="85" t="s">
        <v>382</v>
      </c>
    </row>
    <row r="162" spans="1:8" x14ac:dyDescent="0.25">
      <c r="A162" s="1" t="s">
        <v>374</v>
      </c>
    </row>
    <row r="163" spans="1:8" x14ac:dyDescent="0.25">
      <c r="A163" t="s">
        <v>375</v>
      </c>
      <c r="G163">
        <v>1.8</v>
      </c>
    </row>
    <row r="164" spans="1:8" x14ac:dyDescent="0.25">
      <c r="A164" t="s">
        <v>376</v>
      </c>
      <c r="G164">
        <v>1.47</v>
      </c>
    </row>
    <row r="165" spans="1:8" x14ac:dyDescent="0.25">
      <c r="A165" t="s">
        <v>377</v>
      </c>
      <c r="G165">
        <v>1.73</v>
      </c>
    </row>
    <row r="166" spans="1:8" x14ac:dyDescent="0.25">
      <c r="A166" t="s">
        <v>378</v>
      </c>
      <c r="G166">
        <v>1.79</v>
      </c>
    </row>
    <row r="167" spans="1:8" ht="30" x14ac:dyDescent="0.25">
      <c r="A167" s="85" t="s">
        <v>379</v>
      </c>
      <c r="G167">
        <v>1.93</v>
      </c>
    </row>
  </sheetData>
  <mergeCells count="1">
    <mergeCell ref="A1:K1"/>
  </mergeCells>
  <phoneticPr fontId="15" type="noConversion"/>
  <pageMargins left="0.7" right="0.7" top="0.75" bottom="0.75" header="0.3" footer="0.3"/>
  <pageSetup scale="87" orientation="landscape" r:id="rId1"/>
  <ignoredErrors>
    <ignoredError sqref="B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C5" sqref="C5"/>
    </sheetView>
  </sheetViews>
  <sheetFormatPr defaultRowHeight="15" x14ac:dyDescent="0.25"/>
  <cols>
    <col min="1" max="1" width="27.42578125" customWidth="1"/>
  </cols>
  <sheetData>
    <row r="1" spans="1:12" x14ac:dyDescent="0.25">
      <c r="A1" s="142" t="s">
        <v>41</v>
      </c>
      <c r="B1" s="142"/>
      <c r="C1" s="142"/>
      <c r="D1" s="142"/>
      <c r="E1" s="142"/>
      <c r="F1" s="142"/>
      <c r="G1" s="142"/>
      <c r="H1" s="142"/>
      <c r="I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12" x14ac:dyDescent="0.25">
      <c r="A3" s="17"/>
      <c r="B3" s="17"/>
      <c r="C3" s="67" t="str">
        <f>'Project Details'!C3</f>
        <v>2023-24</v>
      </c>
      <c r="D3" s="67" t="str">
        <f>'Project Details'!D3</f>
        <v>2024-25</v>
      </c>
      <c r="E3" s="67" t="str">
        <f>'Project Details'!E3</f>
        <v>2025-26</v>
      </c>
      <c r="F3" s="67" t="str">
        <f>'Project Details'!F3</f>
        <v>2026-27</v>
      </c>
      <c r="G3" s="67" t="str">
        <f>'Project Details'!G3</f>
        <v>2027-28</v>
      </c>
      <c r="H3" s="67" t="str">
        <f>'Project Details'!H3</f>
        <v>2028-29</v>
      </c>
      <c r="I3" s="67" t="str">
        <f>'Project Details'!I3</f>
        <v>2029-30</v>
      </c>
      <c r="J3" s="67" t="str">
        <f>'Project Details'!J3</f>
        <v>2030-31</v>
      </c>
      <c r="K3" s="67" t="str">
        <f>'Project Details'!K3</f>
        <v>2031-32</v>
      </c>
      <c r="L3" s="67" t="str">
        <f>'Project Details'!L3</f>
        <v>2032-33</v>
      </c>
    </row>
    <row r="4" spans="1:12" x14ac:dyDescent="0.25">
      <c r="A4" s="40" t="s">
        <v>42</v>
      </c>
      <c r="B4" s="17"/>
      <c r="C4" s="17"/>
      <c r="D4" s="17"/>
      <c r="E4" s="17"/>
      <c r="F4" s="17"/>
      <c r="G4" s="17"/>
      <c r="H4" s="17"/>
      <c r="I4" s="17"/>
    </row>
    <row r="5" spans="1:12" x14ac:dyDescent="0.25">
      <c r="A5" s="17" t="s">
        <v>43</v>
      </c>
      <c r="B5" s="17"/>
      <c r="C5" s="18">
        <f>'Project Cost'!D9+'Project Cost'!D15</f>
        <v>5.207984166666666</v>
      </c>
      <c r="D5" s="18">
        <f>C5</f>
        <v>5.207984166666666</v>
      </c>
      <c r="E5" s="18">
        <f>C5</f>
        <v>5.207984166666666</v>
      </c>
      <c r="F5" s="18">
        <f t="shared" ref="F5" si="0">E5</f>
        <v>5.207984166666666</v>
      </c>
      <c r="G5" s="18">
        <f t="shared" ref="G5:G8" si="1">E5</f>
        <v>5.207984166666666</v>
      </c>
      <c r="H5" s="18">
        <f t="shared" ref="H5" si="2">G5</f>
        <v>5.207984166666666</v>
      </c>
      <c r="I5" s="18">
        <f t="shared" ref="I5:I8" si="3">G5</f>
        <v>5.207984166666666</v>
      </c>
      <c r="J5" s="18">
        <f t="shared" ref="J5" si="4">I5</f>
        <v>5.207984166666666</v>
      </c>
      <c r="K5" s="18">
        <f t="shared" ref="K5:L8" si="5">I5</f>
        <v>5.207984166666666</v>
      </c>
      <c r="L5" s="18">
        <f t="shared" si="5"/>
        <v>5.207984166666666</v>
      </c>
    </row>
    <row r="6" spans="1:12" x14ac:dyDescent="0.25">
      <c r="A6" s="17" t="s">
        <v>44</v>
      </c>
      <c r="B6" s="17"/>
      <c r="C6" s="18">
        <f>'Project Cost'!D10</f>
        <v>7.41</v>
      </c>
      <c r="D6" s="18">
        <f>C6</f>
        <v>7.41</v>
      </c>
      <c r="E6" s="18">
        <f>C6</f>
        <v>7.41</v>
      </c>
      <c r="F6" s="18">
        <f t="shared" ref="F6" si="6">E6</f>
        <v>7.41</v>
      </c>
      <c r="G6" s="18">
        <f t="shared" si="1"/>
        <v>7.41</v>
      </c>
      <c r="H6" s="18">
        <f t="shared" ref="H6" si="7">G6</f>
        <v>7.41</v>
      </c>
      <c r="I6" s="18">
        <f t="shared" si="3"/>
        <v>7.41</v>
      </c>
      <c r="J6" s="18">
        <f t="shared" ref="J6" si="8">I6</f>
        <v>7.41</v>
      </c>
      <c r="K6" s="18">
        <f t="shared" si="5"/>
        <v>7.41</v>
      </c>
      <c r="L6" s="18">
        <f t="shared" si="5"/>
        <v>7.41</v>
      </c>
    </row>
    <row r="7" spans="1:12" x14ac:dyDescent="0.25">
      <c r="A7" s="17" t="s">
        <v>45</v>
      </c>
      <c r="B7" s="17"/>
      <c r="C7" s="18">
        <f>'Project Cost'!D8</f>
        <v>18.78</v>
      </c>
      <c r="D7" s="18">
        <f>C7</f>
        <v>18.78</v>
      </c>
      <c r="E7" s="18">
        <f>C7</f>
        <v>18.78</v>
      </c>
      <c r="F7" s="18">
        <f t="shared" ref="F7" si="9">E7</f>
        <v>18.78</v>
      </c>
      <c r="G7" s="18">
        <f t="shared" si="1"/>
        <v>18.78</v>
      </c>
      <c r="H7" s="18">
        <f t="shared" ref="H7" si="10">G7</f>
        <v>18.78</v>
      </c>
      <c r="I7" s="18">
        <f t="shared" si="3"/>
        <v>18.78</v>
      </c>
      <c r="J7" s="18">
        <f t="shared" ref="J7" si="11">I7</f>
        <v>18.78</v>
      </c>
      <c r="K7" s="18">
        <f t="shared" si="5"/>
        <v>18.78</v>
      </c>
      <c r="L7" s="18">
        <f t="shared" si="5"/>
        <v>18.78</v>
      </c>
    </row>
    <row r="8" spans="1:12" x14ac:dyDescent="0.25">
      <c r="A8" s="17" t="s">
        <v>242</v>
      </c>
      <c r="B8" s="17"/>
      <c r="C8" s="18">
        <f>'Project Cost'!D11+'Project Cost'!D12+'Project Cost'!D13</f>
        <v>2.4818000000000002</v>
      </c>
      <c r="D8" s="18">
        <f>C8</f>
        <v>2.4818000000000002</v>
      </c>
      <c r="E8" s="18">
        <f>C8</f>
        <v>2.4818000000000002</v>
      </c>
      <c r="F8" s="18">
        <f t="shared" ref="F8" si="12">E8</f>
        <v>2.4818000000000002</v>
      </c>
      <c r="G8" s="18">
        <f t="shared" si="1"/>
        <v>2.4818000000000002</v>
      </c>
      <c r="H8" s="18">
        <f t="shared" ref="H8" si="13">G8</f>
        <v>2.4818000000000002</v>
      </c>
      <c r="I8" s="18">
        <f t="shared" si="3"/>
        <v>2.4818000000000002</v>
      </c>
      <c r="J8" s="18">
        <f t="shared" ref="J8" si="14">I8</f>
        <v>2.4818000000000002</v>
      </c>
      <c r="K8" s="18">
        <f t="shared" si="5"/>
        <v>2.4818000000000002</v>
      </c>
      <c r="L8" s="18">
        <f t="shared" si="5"/>
        <v>2.4818000000000002</v>
      </c>
    </row>
    <row r="9" spans="1:12" x14ac:dyDescent="0.25">
      <c r="A9" s="41" t="s">
        <v>11</v>
      </c>
      <c r="B9" s="41"/>
      <c r="C9" s="42">
        <f>SUM(C5:C8)</f>
        <v>33.879784166666667</v>
      </c>
      <c r="D9" s="42">
        <f t="shared" ref="D9:K9" si="15">SUM(D5:D8)</f>
        <v>33.879784166666667</v>
      </c>
      <c r="E9" s="42">
        <f t="shared" si="15"/>
        <v>33.879784166666667</v>
      </c>
      <c r="F9" s="42">
        <f t="shared" si="15"/>
        <v>33.879784166666667</v>
      </c>
      <c r="G9" s="42">
        <f t="shared" si="15"/>
        <v>33.879784166666667</v>
      </c>
      <c r="H9" s="42">
        <f t="shared" si="15"/>
        <v>33.879784166666667</v>
      </c>
      <c r="I9" s="42">
        <f t="shared" si="15"/>
        <v>33.879784166666667</v>
      </c>
      <c r="J9" s="42">
        <f t="shared" si="15"/>
        <v>33.879784166666667</v>
      </c>
      <c r="K9" s="42">
        <f t="shared" si="15"/>
        <v>33.879784166666667</v>
      </c>
      <c r="L9" s="42">
        <f t="shared" ref="L9" si="16">SUM(L5:L8)</f>
        <v>33.879784166666667</v>
      </c>
    </row>
    <row r="10" spans="1:12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12" x14ac:dyDescent="0.25">
      <c r="A11" s="39" t="s">
        <v>46</v>
      </c>
      <c r="B11" s="17"/>
      <c r="C11" s="17"/>
      <c r="D11" s="17"/>
      <c r="E11" s="17"/>
      <c r="F11" s="17"/>
      <c r="G11" s="17"/>
      <c r="H11" s="17"/>
      <c r="I11" s="17"/>
    </row>
    <row r="12" spans="1:12" x14ac:dyDescent="0.25">
      <c r="A12" s="17" t="s">
        <v>43</v>
      </c>
      <c r="B12" s="21">
        <v>0.1</v>
      </c>
      <c r="C12" s="18">
        <f>(C5*B12)*2/12</f>
        <v>8.6799736111111095E-2</v>
      </c>
      <c r="D12" s="18">
        <f>C19*B12</f>
        <v>0.51211844305555554</v>
      </c>
      <c r="E12" s="18">
        <f>D19*B12</f>
        <v>0.46090659874999995</v>
      </c>
      <c r="F12" s="18">
        <f>E19*B12</f>
        <v>0.4148159388749999</v>
      </c>
      <c r="G12" s="18">
        <f>F19*B12</f>
        <v>0.37333434498749996</v>
      </c>
      <c r="H12" s="18">
        <f>G19*B12</f>
        <v>0.33600091048874997</v>
      </c>
      <c r="I12" s="18">
        <f>H19*B12</f>
        <v>0.30240081943987496</v>
      </c>
      <c r="J12" s="18">
        <f>I19*B12</f>
        <v>0.27216073749588743</v>
      </c>
      <c r="K12" s="18">
        <f>J19*B12</f>
        <v>0.2449446637462987</v>
      </c>
      <c r="L12" s="18">
        <f>K19*B12</f>
        <v>0.22045019737166882</v>
      </c>
    </row>
    <row r="13" spans="1:12" x14ac:dyDescent="0.25">
      <c r="A13" s="17" t="s">
        <v>47</v>
      </c>
      <c r="B13" s="21">
        <v>0.15</v>
      </c>
      <c r="C13" s="18">
        <f t="shared" ref="C13:C15" si="17">(C6*B13)*2/12</f>
        <v>0.18525</v>
      </c>
      <c r="D13" s="18">
        <f>C20*B13</f>
        <v>1.0837125000000001</v>
      </c>
      <c r="E13" s="18">
        <f>D20*B13</f>
        <v>0.92115562500000003</v>
      </c>
      <c r="F13" s="18">
        <f>E20*B13</f>
        <v>0.78298228125000002</v>
      </c>
      <c r="G13" s="18">
        <f>F20*B13</f>
        <v>0.66553493906250005</v>
      </c>
      <c r="H13" s="18">
        <f>G20*B13</f>
        <v>0.56570469820312508</v>
      </c>
      <c r="I13" s="18">
        <f>H20*B13</f>
        <v>0.48084899347265636</v>
      </c>
      <c r="J13" s="18">
        <f t="shared" ref="J13:J15" si="18">I20*B13</f>
        <v>0.4087216444517579</v>
      </c>
      <c r="K13" s="18">
        <f t="shared" ref="K13:K15" si="19">J20*B13</f>
        <v>0.34741339778399422</v>
      </c>
      <c r="L13" s="18">
        <f>K20*B13</f>
        <v>0.29530138811639506</v>
      </c>
    </row>
    <row r="14" spans="1:12" x14ac:dyDescent="0.25">
      <c r="A14" s="17" t="s">
        <v>45</v>
      </c>
      <c r="B14" s="21">
        <v>0</v>
      </c>
      <c r="C14" s="18">
        <f t="shared" si="17"/>
        <v>0</v>
      </c>
      <c r="D14" s="18">
        <f>C21*B14</f>
        <v>0</v>
      </c>
      <c r="E14" s="18">
        <f>D21*B14</f>
        <v>0</v>
      </c>
      <c r="F14" s="18">
        <f>E21*B14</f>
        <v>0</v>
      </c>
      <c r="G14" s="18">
        <f>F21*B14</f>
        <v>0</v>
      </c>
      <c r="H14" s="18">
        <f>G21*B14</f>
        <v>0</v>
      </c>
      <c r="I14" s="18">
        <f>H21*B14</f>
        <v>0</v>
      </c>
      <c r="J14" s="18">
        <f t="shared" si="18"/>
        <v>0</v>
      </c>
      <c r="K14" s="18">
        <f t="shared" si="19"/>
        <v>0</v>
      </c>
      <c r="L14" s="18">
        <f>K21*B14</f>
        <v>0</v>
      </c>
    </row>
    <row r="15" spans="1:12" x14ac:dyDescent="0.25">
      <c r="A15" s="17" t="s">
        <v>242</v>
      </c>
      <c r="B15" s="21">
        <v>0.1</v>
      </c>
      <c r="C15" s="18">
        <f t="shared" si="17"/>
        <v>4.1363333333333342E-2</v>
      </c>
      <c r="D15" s="18">
        <f>C22*B15</f>
        <v>0.24404366666666669</v>
      </c>
      <c r="E15" s="18">
        <f>D22*B15</f>
        <v>0.21963930000000001</v>
      </c>
      <c r="F15" s="18">
        <f>E22*B15</f>
        <v>0.19767537000000002</v>
      </c>
      <c r="G15" s="18">
        <f>F22*B15</f>
        <v>0.17790783300000002</v>
      </c>
      <c r="H15" s="18">
        <f>G22*B15</f>
        <v>0.16011704970000001</v>
      </c>
      <c r="I15" s="18">
        <f>H22*B15</f>
        <v>0.14410534473</v>
      </c>
      <c r="J15" s="18">
        <f t="shared" si="18"/>
        <v>0.129694810257</v>
      </c>
      <c r="K15" s="18">
        <f t="shared" si="19"/>
        <v>0.11672532923130002</v>
      </c>
      <c r="L15" s="18">
        <f>K22*B15</f>
        <v>0.10505279630817002</v>
      </c>
    </row>
    <row r="16" spans="1:12" x14ac:dyDescent="0.25">
      <c r="A16" s="41" t="s">
        <v>11</v>
      </c>
      <c r="B16" s="41"/>
      <c r="C16" s="42">
        <f>SUM(C12:C15)</f>
        <v>0.31341306944444447</v>
      </c>
      <c r="D16" s="42">
        <f t="shared" ref="D16:I16" si="20">SUM(D12:D15)</f>
        <v>1.8398746097222225</v>
      </c>
      <c r="E16" s="42">
        <f t="shared" si="20"/>
        <v>1.6017015237500001</v>
      </c>
      <c r="F16" s="42">
        <f t="shared" si="20"/>
        <v>1.3954735901249999</v>
      </c>
      <c r="G16" s="42">
        <f t="shared" si="20"/>
        <v>1.2167771170499999</v>
      </c>
      <c r="H16" s="42">
        <f t="shared" si="20"/>
        <v>1.0618226583918751</v>
      </c>
      <c r="I16" s="42">
        <f t="shared" si="20"/>
        <v>0.9273551576425314</v>
      </c>
      <c r="J16" s="42">
        <f t="shared" ref="J16:K16" si="21">SUM(J12:J15)</f>
        <v>0.8105771922046453</v>
      </c>
      <c r="K16" s="42">
        <f t="shared" si="21"/>
        <v>0.70908339076159299</v>
      </c>
      <c r="L16" s="42">
        <f t="shared" ref="L16" si="22">SUM(L12:L15)</f>
        <v>0.62080438179623387</v>
      </c>
    </row>
    <row r="17" spans="1:12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12" x14ac:dyDescent="0.25">
      <c r="A18" s="39" t="s">
        <v>48</v>
      </c>
      <c r="B18" s="17"/>
      <c r="C18" s="17"/>
      <c r="D18" s="17"/>
      <c r="E18" s="17"/>
      <c r="F18" s="17"/>
      <c r="G18" s="17"/>
      <c r="H18" s="17"/>
      <c r="I18" s="17"/>
    </row>
    <row r="19" spans="1:12" x14ac:dyDescent="0.25">
      <c r="A19" s="17" t="s">
        <v>49</v>
      </c>
      <c r="B19" s="17"/>
      <c r="C19" s="18">
        <f>C5-C12</f>
        <v>5.1211844305555552</v>
      </c>
      <c r="D19" s="18">
        <f>C19-D12</f>
        <v>4.6090659874999993</v>
      </c>
      <c r="E19" s="18">
        <f t="shared" ref="D19:I21" si="23">D19-E12</f>
        <v>4.148159388749999</v>
      </c>
      <c r="F19" s="18">
        <f t="shared" si="23"/>
        <v>3.7333434498749991</v>
      </c>
      <c r="G19" s="18">
        <f t="shared" si="23"/>
        <v>3.3600091048874994</v>
      </c>
      <c r="H19" s="18">
        <f t="shared" si="23"/>
        <v>3.0240081943987493</v>
      </c>
      <c r="I19" s="18">
        <f t="shared" si="23"/>
        <v>2.7216073749588743</v>
      </c>
      <c r="J19" s="18">
        <f>I19-J12</f>
        <v>2.4494466374629869</v>
      </c>
      <c r="K19" s="18">
        <f>J19-K12</f>
        <v>2.2045019737166882</v>
      </c>
      <c r="L19" s="18">
        <f>K19-L12</f>
        <v>1.9840517763450194</v>
      </c>
    </row>
    <row r="20" spans="1:12" x14ac:dyDescent="0.25">
      <c r="A20" s="17" t="s">
        <v>44</v>
      </c>
      <c r="B20" s="17"/>
      <c r="C20" s="18">
        <f>C6-C13</f>
        <v>7.2247500000000002</v>
      </c>
      <c r="D20" s="18">
        <f t="shared" si="23"/>
        <v>6.1410375000000004</v>
      </c>
      <c r="E20" s="18">
        <f t="shared" si="23"/>
        <v>5.2198818750000004</v>
      </c>
      <c r="F20" s="18">
        <f t="shared" si="23"/>
        <v>4.4368995937500006</v>
      </c>
      <c r="G20" s="18">
        <f t="shared" si="23"/>
        <v>3.7713646546875008</v>
      </c>
      <c r="H20" s="18">
        <f t="shared" si="23"/>
        <v>3.205659956484376</v>
      </c>
      <c r="I20" s="18">
        <f t="shared" si="23"/>
        <v>2.7248109630117194</v>
      </c>
      <c r="J20" s="18">
        <f t="shared" ref="J20:J21" si="24">I20-J13</f>
        <v>2.3160893185599614</v>
      </c>
      <c r="K20" s="18">
        <f t="shared" ref="K20:L21" si="25">J20-K13</f>
        <v>1.9686759207759672</v>
      </c>
      <c r="L20" s="18">
        <f t="shared" si="25"/>
        <v>1.6733745326595721</v>
      </c>
    </row>
    <row r="21" spans="1:12" x14ac:dyDescent="0.25">
      <c r="A21" s="17" t="s">
        <v>45</v>
      </c>
      <c r="B21" s="17"/>
      <c r="C21" s="18">
        <f>C7-C14</f>
        <v>18.78</v>
      </c>
      <c r="D21" s="18">
        <f t="shared" si="23"/>
        <v>18.78</v>
      </c>
      <c r="E21" s="18">
        <f t="shared" si="23"/>
        <v>18.78</v>
      </c>
      <c r="F21" s="18">
        <f t="shared" si="23"/>
        <v>18.78</v>
      </c>
      <c r="G21" s="18">
        <f t="shared" si="23"/>
        <v>18.78</v>
      </c>
      <c r="H21" s="18">
        <f t="shared" si="23"/>
        <v>18.78</v>
      </c>
      <c r="I21" s="18">
        <f t="shared" si="23"/>
        <v>18.78</v>
      </c>
      <c r="J21" s="18">
        <f t="shared" si="24"/>
        <v>18.78</v>
      </c>
      <c r="K21" s="18">
        <f t="shared" si="25"/>
        <v>18.78</v>
      </c>
      <c r="L21" s="18">
        <f t="shared" si="25"/>
        <v>18.78</v>
      </c>
    </row>
    <row r="22" spans="1:12" x14ac:dyDescent="0.25">
      <c r="A22" s="17" t="s">
        <v>242</v>
      </c>
      <c r="B22" s="17"/>
      <c r="C22" s="18">
        <f>C8-C15</f>
        <v>2.4404366666666668</v>
      </c>
      <c r="D22" s="18">
        <f t="shared" ref="D22:I22" si="26">C22-D15</f>
        <v>2.196393</v>
      </c>
      <c r="E22" s="18">
        <f t="shared" si="26"/>
        <v>1.9767536999999999</v>
      </c>
      <c r="F22" s="18">
        <f t="shared" si="26"/>
        <v>1.7790783299999999</v>
      </c>
      <c r="G22" s="18">
        <f t="shared" si="26"/>
        <v>1.601170497</v>
      </c>
      <c r="H22" s="18">
        <f t="shared" si="26"/>
        <v>1.4410534473000001</v>
      </c>
      <c r="I22" s="18">
        <f t="shared" si="26"/>
        <v>1.29694810257</v>
      </c>
      <c r="J22" s="18">
        <f t="shared" ref="J22:L22" si="27">I22-J15</f>
        <v>1.1672532923130001</v>
      </c>
      <c r="K22" s="18">
        <f t="shared" si="27"/>
        <v>1.0505279630817002</v>
      </c>
      <c r="L22" s="18">
        <f t="shared" si="27"/>
        <v>0.94547516677353016</v>
      </c>
    </row>
    <row r="23" spans="1:12" x14ac:dyDescent="0.25">
      <c r="A23" s="41" t="s">
        <v>11</v>
      </c>
      <c r="B23" s="41"/>
      <c r="C23" s="42">
        <f>SUM(C19:C22)</f>
        <v>33.566371097222223</v>
      </c>
      <c r="D23" s="42">
        <f t="shared" ref="D23:I23" si="28">SUM(D19:D22)</f>
        <v>31.7264964875</v>
      </c>
      <c r="E23" s="42">
        <f t="shared" si="28"/>
        <v>30.124794963750002</v>
      </c>
      <c r="F23" s="42">
        <f t="shared" si="28"/>
        <v>28.729321373625002</v>
      </c>
      <c r="G23" s="42">
        <f t="shared" si="28"/>
        <v>27.512544256574998</v>
      </c>
      <c r="H23" s="42">
        <f t="shared" si="28"/>
        <v>26.450721598183126</v>
      </c>
      <c r="I23" s="42">
        <f t="shared" si="28"/>
        <v>25.523366440540592</v>
      </c>
      <c r="J23" s="42">
        <f t="shared" ref="J23:K23" si="29">SUM(J19:J22)</f>
        <v>24.712789248335948</v>
      </c>
      <c r="K23" s="42">
        <f t="shared" si="29"/>
        <v>24.003705857574353</v>
      </c>
      <c r="L23" s="42">
        <f t="shared" ref="L23" si="30">SUM(L19:L22)</f>
        <v>23.382901475778123</v>
      </c>
    </row>
  </sheetData>
  <mergeCells count="1">
    <mergeCell ref="A1:H1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opLeftCell="A13" workbookViewId="0">
      <selection activeCell="B28" sqref="B28"/>
    </sheetView>
  </sheetViews>
  <sheetFormatPr defaultRowHeight="15" x14ac:dyDescent="0.25"/>
  <cols>
    <col min="4" max="4" width="13.140625" customWidth="1"/>
    <col min="8" max="8" width="11.140625" customWidth="1"/>
    <col min="9" max="9" width="10.140625" customWidth="1"/>
    <col min="10" max="10" width="10.7109375" customWidth="1"/>
    <col min="13" max="13" width="10.7109375" customWidth="1"/>
  </cols>
  <sheetData>
    <row r="1" spans="1:13" x14ac:dyDescent="0.25">
      <c r="A1" s="17"/>
      <c r="B1" s="143" t="s">
        <v>14</v>
      </c>
      <c r="C1" s="143"/>
      <c r="D1" s="143"/>
      <c r="E1" s="143"/>
      <c r="F1" s="143"/>
      <c r="G1" s="143"/>
      <c r="H1" s="143"/>
      <c r="I1" s="143"/>
      <c r="J1" s="143"/>
      <c r="K1" s="143"/>
      <c r="L1" s="17"/>
      <c r="M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/>
      <c r="B3" s="142" t="s">
        <v>15</v>
      </c>
      <c r="C3" s="142"/>
      <c r="D3" s="17"/>
      <c r="E3" s="18">
        <f>'Project Cost'!D17</f>
        <v>34.349784166666666</v>
      </c>
      <c r="F3" s="17"/>
      <c r="G3" s="17"/>
      <c r="H3" s="17"/>
      <c r="I3" s="17"/>
      <c r="J3" s="17"/>
      <c r="K3" s="17"/>
      <c r="L3" s="17"/>
      <c r="M3" s="17"/>
    </row>
    <row r="4" spans="1:13" x14ac:dyDescent="0.25">
      <c r="A4" s="17"/>
      <c r="B4" s="142" t="s">
        <v>16</v>
      </c>
      <c r="C4" s="142"/>
      <c r="D4" s="17"/>
      <c r="E4" s="19">
        <f>'Project Cost'!B35</f>
        <v>2.7135768303062213</v>
      </c>
      <c r="F4" s="17"/>
      <c r="G4" s="17"/>
      <c r="H4" s="17"/>
      <c r="I4" s="17"/>
      <c r="J4" s="17"/>
      <c r="K4" s="17"/>
      <c r="L4" s="17"/>
      <c r="M4" s="17"/>
    </row>
    <row r="5" spans="1:13" x14ac:dyDescent="0.25">
      <c r="A5" s="17"/>
      <c r="B5" s="142" t="s">
        <v>17</v>
      </c>
      <c r="C5" s="142"/>
      <c r="D5" s="17"/>
      <c r="E5" s="18">
        <f>'Project Cost'!B33</f>
        <v>25.1</v>
      </c>
      <c r="F5" s="17"/>
      <c r="G5" s="17"/>
      <c r="H5" s="17"/>
      <c r="I5" s="17"/>
      <c r="J5" s="17"/>
      <c r="K5" s="17"/>
      <c r="L5" s="17"/>
      <c r="M5" s="17"/>
    </row>
    <row r="6" spans="1:1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x14ac:dyDescent="0.25">
      <c r="A7" s="17"/>
      <c r="B7" s="142"/>
      <c r="C7" s="142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25">
      <c r="A8" s="17"/>
      <c r="B8" s="142" t="s">
        <v>18</v>
      </c>
      <c r="C8" s="142"/>
      <c r="D8" s="17"/>
      <c r="E8" s="18">
        <f>E5</f>
        <v>25.1</v>
      </c>
      <c r="F8" s="17" t="s">
        <v>79</v>
      </c>
      <c r="G8" s="17"/>
      <c r="H8" s="17"/>
      <c r="I8" s="17"/>
      <c r="J8" s="17"/>
      <c r="K8" s="17"/>
      <c r="L8" s="17"/>
      <c r="M8" s="17"/>
    </row>
    <row r="9" spans="1:13" x14ac:dyDescent="0.25">
      <c r="A9" s="17"/>
      <c r="B9" s="142" t="s">
        <v>19</v>
      </c>
      <c r="C9" s="142"/>
      <c r="D9" s="17"/>
      <c r="E9" s="20">
        <v>104</v>
      </c>
      <c r="F9" s="17"/>
      <c r="G9" s="17"/>
      <c r="H9" s="17"/>
      <c r="I9" s="17"/>
      <c r="J9" s="17"/>
      <c r="K9" s="17"/>
      <c r="L9" s="17"/>
      <c r="M9" s="17"/>
    </row>
    <row r="10" spans="1:13" x14ac:dyDescent="0.25">
      <c r="A10" s="17"/>
      <c r="B10" s="142" t="s">
        <v>110</v>
      </c>
      <c r="C10" s="142"/>
      <c r="D10" s="17"/>
      <c r="E10" s="20">
        <v>18</v>
      </c>
      <c r="F10" s="17"/>
      <c r="G10" s="17"/>
      <c r="H10" s="17"/>
      <c r="I10" s="17"/>
      <c r="J10" s="17"/>
      <c r="K10" s="17"/>
      <c r="L10" s="17"/>
      <c r="M10" s="17"/>
    </row>
    <row r="11" spans="1:13" x14ac:dyDescent="0.25">
      <c r="A11" s="17"/>
      <c r="B11" s="142" t="s">
        <v>20</v>
      </c>
      <c r="C11" s="142"/>
      <c r="D11" s="17" t="s">
        <v>254</v>
      </c>
      <c r="E11" s="21">
        <v>7.9500000000000001E-2</v>
      </c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17"/>
      <c r="B12" s="95"/>
      <c r="C12" s="95"/>
      <c r="D12" s="17" t="s">
        <v>255</v>
      </c>
      <c r="E12" s="21">
        <v>0.11</v>
      </c>
      <c r="F12" s="17"/>
      <c r="G12" s="17"/>
      <c r="H12" s="17"/>
      <c r="I12" s="17"/>
      <c r="J12" s="17"/>
      <c r="K12" s="17"/>
      <c r="L12" s="17"/>
      <c r="M12" s="17"/>
    </row>
    <row r="13" spans="1:13" x14ac:dyDescent="0.25">
      <c r="A13" s="17"/>
      <c r="B13" s="95"/>
      <c r="C13" s="95"/>
      <c r="D13" s="17"/>
      <c r="E13" s="21"/>
      <c r="F13" s="17"/>
      <c r="G13" s="17"/>
      <c r="H13" s="17"/>
      <c r="I13" s="17"/>
      <c r="J13" s="17"/>
      <c r="K13" s="17"/>
      <c r="L13" s="17"/>
      <c r="M13" s="17"/>
    </row>
    <row r="14" spans="1:13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 t="s">
        <v>246</v>
      </c>
      <c r="K14" s="17"/>
      <c r="L14" s="17"/>
      <c r="M14" s="17"/>
    </row>
    <row r="15" spans="1:13" x14ac:dyDescent="0.25">
      <c r="A15" s="22" t="s">
        <v>21</v>
      </c>
      <c r="B15" s="22" t="s">
        <v>22</v>
      </c>
      <c r="C15" s="22" t="s">
        <v>23</v>
      </c>
      <c r="D15" s="22" t="s">
        <v>24</v>
      </c>
      <c r="E15" s="22" t="s">
        <v>25</v>
      </c>
      <c r="F15" s="22" t="s">
        <v>26</v>
      </c>
      <c r="G15" s="22" t="s">
        <v>27</v>
      </c>
      <c r="H15" s="22" t="s">
        <v>28</v>
      </c>
      <c r="I15" s="22" t="s">
        <v>29</v>
      </c>
      <c r="J15" s="22" t="s">
        <v>30</v>
      </c>
      <c r="K15" s="22" t="s">
        <v>31</v>
      </c>
      <c r="L15" s="22" t="s">
        <v>32</v>
      </c>
      <c r="M15" s="23" t="s">
        <v>29</v>
      </c>
    </row>
    <row r="16" spans="1:13" x14ac:dyDescent="0.25">
      <c r="A16" s="24" t="s">
        <v>33</v>
      </c>
      <c r="B16" s="24"/>
      <c r="C16" s="24"/>
      <c r="D16" s="24"/>
      <c r="E16" s="24" t="s">
        <v>34</v>
      </c>
      <c r="F16" s="24" t="s">
        <v>35</v>
      </c>
      <c r="G16" s="24"/>
      <c r="H16" s="24" t="s">
        <v>36</v>
      </c>
      <c r="I16" s="24" t="s">
        <v>37</v>
      </c>
      <c r="J16" s="24"/>
      <c r="K16" s="24" t="s">
        <v>38</v>
      </c>
      <c r="L16" s="24" t="s">
        <v>39</v>
      </c>
      <c r="M16" s="25" t="s">
        <v>40</v>
      </c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 t="s">
        <v>40</v>
      </c>
      <c r="J17" s="26"/>
      <c r="K17" s="26"/>
      <c r="L17" s="26" t="s">
        <v>38</v>
      </c>
      <c r="M17" s="27"/>
    </row>
    <row r="18" spans="1:13" x14ac:dyDescent="0.25">
      <c r="A18" s="28">
        <v>1</v>
      </c>
      <c r="B18" s="32" t="s">
        <v>112</v>
      </c>
      <c r="C18" s="29">
        <v>0</v>
      </c>
      <c r="D18" s="29">
        <v>12.28</v>
      </c>
      <c r="E18" s="29">
        <f>(D18*E11/12)/30*5</f>
        <v>1.3559166666666666E-2</v>
      </c>
      <c r="F18" s="29">
        <f>E18</f>
        <v>1.3559166666666666E-2</v>
      </c>
      <c r="G18" s="29">
        <v>0</v>
      </c>
      <c r="H18" s="29">
        <f>D18-G18</f>
        <v>12.28</v>
      </c>
      <c r="I18" s="29">
        <f>F18+G18</f>
        <v>1.3559166666666666E-2</v>
      </c>
      <c r="J18" s="30"/>
      <c r="K18" s="29"/>
      <c r="L18" s="29"/>
      <c r="M18" s="29"/>
    </row>
    <row r="19" spans="1:13" x14ac:dyDescent="0.25">
      <c r="A19" s="31">
        <f>A18+1</f>
        <v>2</v>
      </c>
      <c r="B19" s="32" t="s">
        <v>113</v>
      </c>
      <c r="C19" s="18">
        <f>H18</f>
        <v>12.28</v>
      </c>
      <c r="D19" s="18">
        <v>0.22</v>
      </c>
      <c r="E19" s="18">
        <f>H19*E11/12</f>
        <v>8.2812499999999997E-2</v>
      </c>
      <c r="F19" s="18">
        <f>E19</f>
        <v>8.2812499999999997E-2</v>
      </c>
      <c r="G19" s="18">
        <v>0</v>
      </c>
      <c r="H19" s="18">
        <f>C19+D19-G19</f>
        <v>12.5</v>
      </c>
      <c r="I19" s="18">
        <f>G19+F19</f>
        <v>8.2812499999999997E-2</v>
      </c>
      <c r="J19" s="18"/>
      <c r="K19" s="18"/>
      <c r="L19" s="18"/>
      <c r="M19" s="17"/>
    </row>
    <row r="20" spans="1:13" x14ac:dyDescent="0.25">
      <c r="A20" s="31">
        <f t="shared" ref="A20:A83" si="0">A19+1</f>
        <v>3</v>
      </c>
      <c r="B20" s="32" t="s">
        <v>114</v>
      </c>
      <c r="C20" s="18">
        <f>H19</f>
        <v>12.5</v>
      </c>
      <c r="D20" s="18">
        <v>1</v>
      </c>
      <c r="E20" s="18">
        <f>H20*E11/12</f>
        <v>8.9437500000000003E-2</v>
      </c>
      <c r="F20" s="18">
        <f t="shared" ref="F20:F76" si="1">E20</f>
        <v>8.9437500000000003E-2</v>
      </c>
      <c r="G20" s="18">
        <v>0</v>
      </c>
      <c r="H20" s="18">
        <f t="shared" ref="H20:H26" si="2">C20-G20+D20</f>
        <v>13.5</v>
      </c>
      <c r="I20" s="18">
        <f>F20+G20</f>
        <v>8.9437500000000003E-2</v>
      </c>
      <c r="J20" s="18"/>
      <c r="K20" s="18"/>
      <c r="L20" s="18"/>
      <c r="M20" s="18"/>
    </row>
    <row r="21" spans="1:13" x14ac:dyDescent="0.25">
      <c r="A21" s="31">
        <f t="shared" si="0"/>
        <v>4</v>
      </c>
      <c r="B21" s="32" t="s">
        <v>115</v>
      </c>
      <c r="C21" s="18">
        <f>H20</f>
        <v>13.5</v>
      </c>
      <c r="D21" s="18">
        <v>1</v>
      </c>
      <c r="E21" s="18">
        <f>H21*E11/12</f>
        <v>9.6062499999999995E-2</v>
      </c>
      <c r="F21" s="18">
        <f t="shared" si="1"/>
        <v>9.6062499999999995E-2</v>
      </c>
      <c r="G21" s="18">
        <v>0</v>
      </c>
      <c r="H21" s="18">
        <f t="shared" si="2"/>
        <v>14.5</v>
      </c>
      <c r="I21" s="18">
        <f>G21+F21</f>
        <v>9.6062499999999995E-2</v>
      </c>
      <c r="J21" s="18" t="str">
        <f>B21</f>
        <v>March-23</v>
      </c>
      <c r="K21" s="18">
        <f>SUM(E18:E21)</f>
        <v>0.28187166666666663</v>
      </c>
      <c r="L21" s="18">
        <f>SUM(G18:G21)</f>
        <v>0</v>
      </c>
      <c r="M21" s="18">
        <f>K21+L21</f>
        <v>0.28187166666666663</v>
      </c>
    </row>
    <row r="22" spans="1:13" x14ac:dyDescent="0.25">
      <c r="A22" s="31">
        <f t="shared" si="0"/>
        <v>5</v>
      </c>
      <c r="B22" s="32" t="s">
        <v>116</v>
      </c>
      <c r="C22" s="18">
        <f t="shared" ref="C22:C84" si="3">H21</f>
        <v>14.5</v>
      </c>
      <c r="D22" s="18">
        <v>1.5</v>
      </c>
      <c r="E22" s="18">
        <f>H22*E11/12</f>
        <v>0.106</v>
      </c>
      <c r="F22" s="18">
        <f t="shared" si="1"/>
        <v>0.106</v>
      </c>
      <c r="G22" s="18">
        <v>0</v>
      </c>
      <c r="H22" s="18">
        <f t="shared" si="2"/>
        <v>16</v>
      </c>
      <c r="I22" s="18">
        <f>F22+G22</f>
        <v>0.106</v>
      </c>
      <c r="J22" s="18"/>
      <c r="K22" s="18"/>
      <c r="L22" s="18"/>
      <c r="M22" s="17"/>
    </row>
    <row r="23" spans="1:13" x14ac:dyDescent="0.25">
      <c r="A23" s="31">
        <f t="shared" si="0"/>
        <v>6</v>
      </c>
      <c r="B23" s="32" t="s">
        <v>117</v>
      </c>
      <c r="C23" s="18">
        <f>H22</f>
        <v>16</v>
      </c>
      <c r="D23" s="18">
        <v>2</v>
      </c>
      <c r="E23" s="18">
        <f>H23*E11/12</f>
        <v>0.11925000000000001</v>
      </c>
      <c r="F23" s="18">
        <f t="shared" si="1"/>
        <v>0.11925000000000001</v>
      </c>
      <c r="G23" s="18">
        <v>0</v>
      </c>
      <c r="H23" s="18">
        <f t="shared" si="2"/>
        <v>18</v>
      </c>
      <c r="I23" s="18">
        <f>G23+F23</f>
        <v>0.11925000000000001</v>
      </c>
      <c r="J23" s="18"/>
      <c r="K23" s="18"/>
      <c r="L23" s="18"/>
      <c r="M23" s="18"/>
    </row>
    <row r="24" spans="1:13" x14ac:dyDescent="0.25">
      <c r="A24" s="31">
        <f t="shared" si="0"/>
        <v>7</v>
      </c>
      <c r="B24" s="32" t="s">
        <v>118</v>
      </c>
      <c r="C24" s="18">
        <f t="shared" si="3"/>
        <v>18</v>
      </c>
      <c r="D24" s="18">
        <v>2</v>
      </c>
      <c r="E24" s="18">
        <f>H24*E11/12</f>
        <v>0.13250000000000001</v>
      </c>
      <c r="F24" s="18">
        <f t="shared" si="1"/>
        <v>0.13250000000000001</v>
      </c>
      <c r="G24" s="18">
        <v>0</v>
      </c>
      <c r="H24" s="18">
        <f t="shared" si="2"/>
        <v>20</v>
      </c>
      <c r="I24" s="18">
        <f>F24+G24</f>
        <v>0.13250000000000001</v>
      </c>
      <c r="J24" s="18"/>
      <c r="K24" s="18"/>
      <c r="L24" s="18"/>
      <c r="M24" s="18"/>
    </row>
    <row r="25" spans="1:13" x14ac:dyDescent="0.25">
      <c r="A25" s="31">
        <f t="shared" si="0"/>
        <v>8</v>
      </c>
      <c r="B25" s="32" t="s">
        <v>119</v>
      </c>
      <c r="C25" s="18">
        <f t="shared" si="3"/>
        <v>20</v>
      </c>
      <c r="D25" s="18">
        <v>1.5</v>
      </c>
      <c r="E25" s="18">
        <f>H25*E11/12</f>
        <v>0.14243749999999999</v>
      </c>
      <c r="F25" s="18">
        <f t="shared" si="1"/>
        <v>0.14243749999999999</v>
      </c>
      <c r="G25" s="18">
        <v>0</v>
      </c>
      <c r="H25" s="18">
        <f t="shared" si="2"/>
        <v>21.5</v>
      </c>
      <c r="I25" s="18">
        <f>G25+F25</f>
        <v>0.14243749999999999</v>
      </c>
      <c r="J25" s="18"/>
      <c r="K25" s="18"/>
      <c r="L25" s="18"/>
      <c r="M25" s="17"/>
    </row>
    <row r="26" spans="1:13" x14ac:dyDescent="0.25">
      <c r="A26" s="31">
        <f t="shared" si="0"/>
        <v>9</v>
      </c>
      <c r="B26" s="32" t="s">
        <v>120</v>
      </c>
      <c r="C26" s="18">
        <f t="shared" si="3"/>
        <v>21.5</v>
      </c>
      <c r="D26" s="18">
        <v>1</v>
      </c>
      <c r="E26" s="18">
        <f>H26*E11/12</f>
        <v>0.14906250000000001</v>
      </c>
      <c r="F26" s="18">
        <f t="shared" si="1"/>
        <v>0.14906250000000001</v>
      </c>
      <c r="G26" s="18">
        <v>0</v>
      </c>
      <c r="H26" s="18">
        <f t="shared" si="2"/>
        <v>22.5</v>
      </c>
      <c r="I26" s="18">
        <f>F26+G26</f>
        <v>0.14906250000000001</v>
      </c>
      <c r="J26" s="32"/>
      <c r="K26" s="18"/>
      <c r="L26" s="18"/>
      <c r="M26" s="18"/>
    </row>
    <row r="27" spans="1:13" x14ac:dyDescent="0.25">
      <c r="A27" s="31">
        <f t="shared" si="0"/>
        <v>10</v>
      </c>
      <c r="B27" s="32" t="s">
        <v>121</v>
      </c>
      <c r="C27" s="18">
        <f t="shared" si="3"/>
        <v>22.5</v>
      </c>
      <c r="D27" s="18">
        <v>1.5</v>
      </c>
      <c r="E27" s="18">
        <f>H27*E11/12</f>
        <v>0.159</v>
      </c>
      <c r="F27" s="18">
        <f t="shared" si="1"/>
        <v>0.159</v>
      </c>
      <c r="G27" s="18">
        <v>0</v>
      </c>
      <c r="H27" s="18">
        <f t="shared" ref="H27:H35" si="4">C27-G27+D27</f>
        <v>24</v>
      </c>
      <c r="I27" s="18">
        <f>G27+F27</f>
        <v>0.159</v>
      </c>
      <c r="J27" s="18"/>
      <c r="K27" s="18"/>
      <c r="L27" s="18"/>
      <c r="M27" s="18"/>
    </row>
    <row r="28" spans="1:13" x14ac:dyDescent="0.25">
      <c r="A28" s="31">
        <f t="shared" si="0"/>
        <v>11</v>
      </c>
      <c r="B28" s="32" t="s">
        <v>122</v>
      </c>
      <c r="C28" s="18">
        <f t="shared" si="3"/>
        <v>24</v>
      </c>
      <c r="D28" s="18">
        <v>1.1000000000000001</v>
      </c>
      <c r="E28" s="18">
        <f>C28*E11/12</f>
        <v>0.159</v>
      </c>
      <c r="F28" s="18">
        <f t="shared" si="1"/>
        <v>0.159</v>
      </c>
      <c r="G28" s="18">
        <v>0</v>
      </c>
      <c r="H28" s="18">
        <f t="shared" si="4"/>
        <v>25.1</v>
      </c>
      <c r="I28" s="18">
        <f>F28+G28</f>
        <v>0.159</v>
      </c>
      <c r="J28" s="18"/>
      <c r="K28" s="18"/>
      <c r="L28" s="18"/>
      <c r="M28" s="17"/>
    </row>
    <row r="29" spans="1:13" x14ac:dyDescent="0.25">
      <c r="A29" s="31">
        <f t="shared" si="0"/>
        <v>12</v>
      </c>
      <c r="B29" s="32" t="s">
        <v>123</v>
      </c>
      <c r="C29" s="18">
        <f t="shared" si="3"/>
        <v>25.1</v>
      </c>
      <c r="D29" s="18"/>
      <c r="E29" s="18">
        <f>C29*E11/12</f>
        <v>0.1662875</v>
      </c>
      <c r="F29" s="18">
        <f t="shared" si="1"/>
        <v>0.1662875</v>
      </c>
      <c r="G29" s="18">
        <v>0</v>
      </c>
      <c r="H29" s="18">
        <f t="shared" si="4"/>
        <v>25.1</v>
      </c>
      <c r="I29" s="18">
        <f>G29+F29</f>
        <v>0.1662875</v>
      </c>
      <c r="J29" s="18"/>
      <c r="K29" s="18"/>
      <c r="L29" s="18"/>
      <c r="M29" s="17"/>
    </row>
    <row r="30" spans="1:13" x14ac:dyDescent="0.25">
      <c r="A30" s="31">
        <f t="shared" si="0"/>
        <v>13</v>
      </c>
      <c r="B30" s="32" t="s">
        <v>124</v>
      </c>
      <c r="C30" s="18">
        <f t="shared" si="3"/>
        <v>25.1</v>
      </c>
      <c r="D30" s="18"/>
      <c r="E30" s="18">
        <f>C30*E11/12</f>
        <v>0.1662875</v>
      </c>
      <c r="F30" s="18">
        <f t="shared" si="1"/>
        <v>0.1662875</v>
      </c>
      <c r="G30" s="18">
        <v>0</v>
      </c>
      <c r="H30" s="18">
        <f t="shared" si="4"/>
        <v>25.1</v>
      </c>
      <c r="I30" s="18">
        <f>F30+G30</f>
        <v>0.1662875</v>
      </c>
      <c r="J30" s="18"/>
      <c r="K30" s="18"/>
      <c r="L30" s="18"/>
      <c r="M30" s="18"/>
    </row>
    <row r="31" spans="1:13" s="106" customFormat="1" x14ac:dyDescent="0.25">
      <c r="A31" s="109">
        <f t="shared" si="0"/>
        <v>14</v>
      </c>
      <c r="B31" s="110" t="s">
        <v>125</v>
      </c>
      <c r="C31" s="111">
        <f t="shared" si="3"/>
        <v>25.1</v>
      </c>
      <c r="D31" s="111"/>
      <c r="E31" s="111">
        <f>C31*E11/12</f>
        <v>0.1662875</v>
      </c>
      <c r="F31" s="111">
        <f t="shared" si="1"/>
        <v>0.1662875</v>
      </c>
      <c r="G31" s="111">
        <v>0</v>
      </c>
      <c r="H31" s="111">
        <f t="shared" si="4"/>
        <v>25.1</v>
      </c>
      <c r="I31" s="111">
        <f>G31+F31</f>
        <v>0.1662875</v>
      </c>
      <c r="J31" s="111"/>
      <c r="K31" s="111"/>
      <c r="L31" s="111"/>
      <c r="M31" s="112"/>
    </row>
    <row r="32" spans="1:13" x14ac:dyDescent="0.25">
      <c r="A32" s="31">
        <f t="shared" si="0"/>
        <v>15</v>
      </c>
      <c r="B32" s="32" t="s">
        <v>126</v>
      </c>
      <c r="C32" s="18">
        <f t="shared" si="3"/>
        <v>25.1</v>
      </c>
      <c r="D32" s="18"/>
      <c r="E32" s="18">
        <f>C32*E11/12</f>
        <v>0.1662875</v>
      </c>
      <c r="F32" s="18">
        <f t="shared" si="1"/>
        <v>0.1662875</v>
      </c>
      <c r="G32" s="18">
        <v>0</v>
      </c>
      <c r="H32" s="18">
        <f t="shared" si="4"/>
        <v>25.1</v>
      </c>
      <c r="I32" s="18">
        <f>F32+G32</f>
        <v>0.1662875</v>
      </c>
      <c r="J32" s="18"/>
      <c r="K32" s="18"/>
      <c r="L32" s="18"/>
      <c r="M32" s="18"/>
    </row>
    <row r="33" spans="1:14" x14ac:dyDescent="0.25">
      <c r="A33" s="31">
        <f t="shared" si="0"/>
        <v>16</v>
      </c>
      <c r="B33" s="32" t="s">
        <v>127</v>
      </c>
      <c r="C33" s="18">
        <f t="shared" si="3"/>
        <v>25.1</v>
      </c>
      <c r="D33" s="18"/>
      <c r="E33" s="18">
        <f>C33*E11/12</f>
        <v>0.1662875</v>
      </c>
      <c r="F33" s="18">
        <f t="shared" si="1"/>
        <v>0.1662875</v>
      </c>
      <c r="G33" s="18">
        <v>0</v>
      </c>
      <c r="H33" s="18">
        <f t="shared" si="4"/>
        <v>25.1</v>
      </c>
      <c r="I33" s="18">
        <f>G33+F33</f>
        <v>0.1662875</v>
      </c>
      <c r="J33" s="18" t="str">
        <f>B33</f>
        <v>March-24</v>
      </c>
      <c r="K33" s="18">
        <f>SUM(E22:E33)</f>
        <v>1.7986874999999998</v>
      </c>
      <c r="L33" s="18">
        <f>SUM(G22:G33)</f>
        <v>0</v>
      </c>
      <c r="M33" s="18">
        <f>K33+L33</f>
        <v>1.7986874999999998</v>
      </c>
      <c r="N33" s="83">
        <f>M33+M21-F33-F32</f>
        <v>1.7479841666666665</v>
      </c>
    </row>
    <row r="34" spans="1:14" s="119" customFormat="1" x14ac:dyDescent="0.25">
      <c r="A34" s="115">
        <f t="shared" si="0"/>
        <v>17</v>
      </c>
      <c r="B34" s="116" t="s">
        <v>137</v>
      </c>
      <c r="C34" s="117">
        <f t="shared" si="3"/>
        <v>25.1</v>
      </c>
      <c r="D34" s="117"/>
      <c r="E34" s="117">
        <f>C34*E11/12</f>
        <v>0.1662875</v>
      </c>
      <c r="F34" s="117">
        <f t="shared" si="1"/>
        <v>0.1662875</v>
      </c>
      <c r="G34" s="117">
        <v>0</v>
      </c>
      <c r="H34" s="117">
        <f t="shared" si="4"/>
        <v>25.1</v>
      </c>
      <c r="I34" s="117">
        <f>F34+G34</f>
        <v>0.1662875</v>
      </c>
      <c r="J34" s="117"/>
      <c r="K34" s="117"/>
      <c r="L34" s="117"/>
      <c r="M34" s="118"/>
    </row>
    <row r="35" spans="1:14" s="119" customFormat="1" x14ac:dyDescent="0.25">
      <c r="A35" s="115">
        <f t="shared" si="0"/>
        <v>18</v>
      </c>
      <c r="B35" s="116" t="s">
        <v>138</v>
      </c>
      <c r="C35" s="117">
        <f t="shared" si="3"/>
        <v>25.1</v>
      </c>
      <c r="D35" s="117"/>
      <c r="E35" s="117">
        <f>C35*E11/12</f>
        <v>0.1662875</v>
      </c>
      <c r="F35" s="117">
        <f t="shared" si="1"/>
        <v>0.1662875</v>
      </c>
      <c r="G35" s="117">
        <v>0</v>
      </c>
      <c r="H35" s="117">
        <f t="shared" si="4"/>
        <v>25.1</v>
      </c>
      <c r="I35" s="117">
        <f>G35+F35</f>
        <v>0.1662875</v>
      </c>
      <c r="J35" s="117"/>
      <c r="K35" s="117"/>
      <c r="L35" s="117"/>
      <c r="M35" s="117"/>
    </row>
    <row r="36" spans="1:14" x14ac:dyDescent="0.25">
      <c r="A36" s="31">
        <f t="shared" si="0"/>
        <v>19</v>
      </c>
      <c r="B36" s="32" t="s">
        <v>139</v>
      </c>
      <c r="C36" s="18">
        <f t="shared" si="3"/>
        <v>25.1</v>
      </c>
      <c r="D36" s="18"/>
      <c r="E36" s="18">
        <f>C36*E11/12</f>
        <v>0.1662875</v>
      </c>
      <c r="F36" s="18">
        <f t="shared" si="1"/>
        <v>0.1662875</v>
      </c>
      <c r="G36" s="18">
        <v>0.13</v>
      </c>
      <c r="H36" s="18">
        <f t="shared" ref="H36:H83" si="5">C36-G36</f>
        <v>24.970000000000002</v>
      </c>
      <c r="I36" s="18">
        <f>F36+G36</f>
        <v>0.29628750000000004</v>
      </c>
      <c r="J36" s="18"/>
      <c r="K36" s="18"/>
      <c r="L36" s="18"/>
      <c r="M36" s="18"/>
    </row>
    <row r="37" spans="1:14" x14ac:dyDescent="0.25">
      <c r="A37" s="31">
        <f t="shared" si="0"/>
        <v>20</v>
      </c>
      <c r="B37" s="32" t="s">
        <v>140</v>
      </c>
      <c r="C37" s="18">
        <f t="shared" si="3"/>
        <v>24.970000000000002</v>
      </c>
      <c r="D37" s="18"/>
      <c r="E37" s="18">
        <f>C37*E11/12</f>
        <v>0.16542625000000002</v>
      </c>
      <c r="F37" s="18">
        <f t="shared" si="1"/>
        <v>0.16542625000000002</v>
      </c>
      <c r="G37" s="18">
        <v>0.13</v>
      </c>
      <c r="H37" s="18">
        <f t="shared" si="5"/>
        <v>24.840000000000003</v>
      </c>
      <c r="I37" s="18">
        <f>G37+F37</f>
        <v>0.29542625</v>
      </c>
      <c r="J37" s="18"/>
      <c r="K37" s="18"/>
      <c r="L37" s="18"/>
      <c r="M37" s="17"/>
    </row>
    <row r="38" spans="1:14" x14ac:dyDescent="0.25">
      <c r="A38" s="31">
        <f t="shared" si="0"/>
        <v>21</v>
      </c>
      <c r="B38" s="32" t="s">
        <v>141</v>
      </c>
      <c r="C38" s="18">
        <f t="shared" si="3"/>
        <v>24.840000000000003</v>
      </c>
      <c r="D38" s="18"/>
      <c r="E38" s="18">
        <f>C38*E11/12</f>
        <v>0.16456500000000002</v>
      </c>
      <c r="F38" s="18">
        <f t="shared" si="1"/>
        <v>0.16456500000000002</v>
      </c>
      <c r="G38" s="18">
        <v>0.13</v>
      </c>
      <c r="H38" s="18">
        <f t="shared" si="5"/>
        <v>24.710000000000004</v>
      </c>
      <c r="I38" s="18">
        <f>F38+G38</f>
        <v>0.29456500000000002</v>
      </c>
      <c r="J38" s="18"/>
      <c r="K38" s="18"/>
      <c r="L38" s="18"/>
      <c r="M38" s="18"/>
    </row>
    <row r="39" spans="1:14" x14ac:dyDescent="0.25">
      <c r="A39" s="31">
        <f t="shared" si="0"/>
        <v>22</v>
      </c>
      <c r="B39" s="32" t="s">
        <v>142</v>
      </c>
      <c r="C39" s="18">
        <f t="shared" si="3"/>
        <v>24.710000000000004</v>
      </c>
      <c r="D39" s="18"/>
      <c r="E39" s="18">
        <f>C39*E11/12</f>
        <v>0.16370375000000004</v>
      </c>
      <c r="F39" s="18">
        <f t="shared" si="1"/>
        <v>0.16370375000000004</v>
      </c>
      <c r="G39" s="18">
        <v>0.13</v>
      </c>
      <c r="H39" s="18">
        <f t="shared" si="5"/>
        <v>24.580000000000005</v>
      </c>
      <c r="I39" s="18">
        <f>G39+F39</f>
        <v>0.29370375000000004</v>
      </c>
      <c r="J39" s="18"/>
      <c r="K39" s="18"/>
      <c r="L39" s="18"/>
      <c r="M39" s="18"/>
    </row>
    <row r="40" spans="1:14" x14ac:dyDescent="0.25">
      <c r="A40" s="31">
        <f t="shared" si="0"/>
        <v>23</v>
      </c>
      <c r="B40" s="32" t="s">
        <v>143</v>
      </c>
      <c r="C40" s="18">
        <f t="shared" si="3"/>
        <v>24.580000000000005</v>
      </c>
      <c r="D40" s="18"/>
      <c r="E40" s="18">
        <f>C40*E11/12</f>
        <v>0.16284250000000003</v>
      </c>
      <c r="F40" s="18">
        <f t="shared" si="1"/>
        <v>0.16284250000000003</v>
      </c>
      <c r="G40" s="18">
        <v>0.13</v>
      </c>
      <c r="H40" s="18">
        <f t="shared" si="5"/>
        <v>24.450000000000006</v>
      </c>
      <c r="I40" s="18">
        <f>F40+G40</f>
        <v>0.29284250000000001</v>
      </c>
      <c r="J40" s="18"/>
      <c r="K40" s="18"/>
      <c r="L40" s="18"/>
      <c r="M40" s="17"/>
    </row>
    <row r="41" spans="1:14" x14ac:dyDescent="0.25">
      <c r="A41" s="31">
        <f t="shared" si="0"/>
        <v>24</v>
      </c>
      <c r="B41" s="32" t="s">
        <v>144</v>
      </c>
      <c r="C41" s="18">
        <f t="shared" si="3"/>
        <v>24.450000000000006</v>
      </c>
      <c r="D41" s="18"/>
      <c r="E41" s="18">
        <f>C41*E11/12</f>
        <v>0.16198125000000005</v>
      </c>
      <c r="F41" s="18">
        <f t="shared" si="1"/>
        <v>0.16198125000000005</v>
      </c>
      <c r="G41" s="18">
        <v>0.13</v>
      </c>
      <c r="H41" s="18">
        <f t="shared" si="5"/>
        <v>24.320000000000007</v>
      </c>
      <c r="I41" s="18">
        <f>G41+F41</f>
        <v>0.29198125000000008</v>
      </c>
      <c r="J41" s="18"/>
      <c r="K41" s="18"/>
      <c r="L41" s="18"/>
      <c r="M41" s="17"/>
    </row>
    <row r="42" spans="1:14" x14ac:dyDescent="0.25">
      <c r="A42" s="31">
        <f t="shared" si="0"/>
        <v>25</v>
      </c>
      <c r="B42" s="32" t="s">
        <v>145</v>
      </c>
      <c r="C42" s="18">
        <f t="shared" si="3"/>
        <v>24.320000000000007</v>
      </c>
      <c r="D42" s="18"/>
      <c r="E42" s="18">
        <f>C42*E11/12</f>
        <v>0.16112000000000007</v>
      </c>
      <c r="F42" s="18">
        <f t="shared" si="1"/>
        <v>0.16112000000000007</v>
      </c>
      <c r="G42" s="18">
        <v>0.13</v>
      </c>
      <c r="H42" s="18">
        <f t="shared" si="5"/>
        <v>24.190000000000008</v>
      </c>
      <c r="I42" s="18">
        <f>F42+G42</f>
        <v>0.29112000000000005</v>
      </c>
      <c r="J42" s="18"/>
      <c r="K42" s="18"/>
      <c r="L42" s="18"/>
      <c r="M42" s="18"/>
    </row>
    <row r="43" spans="1:14" x14ac:dyDescent="0.25">
      <c r="A43" s="31">
        <f t="shared" si="0"/>
        <v>26</v>
      </c>
      <c r="B43" s="32" t="s">
        <v>146</v>
      </c>
      <c r="C43" s="18">
        <f t="shared" si="3"/>
        <v>24.190000000000008</v>
      </c>
      <c r="D43" s="18"/>
      <c r="E43" s="18">
        <f>C43*E11/12</f>
        <v>0.16025875000000006</v>
      </c>
      <c r="F43" s="18">
        <f t="shared" si="1"/>
        <v>0.16025875000000006</v>
      </c>
      <c r="G43" s="18">
        <v>0.13</v>
      </c>
      <c r="H43" s="18">
        <f t="shared" si="5"/>
        <v>24.060000000000009</v>
      </c>
      <c r="I43" s="18">
        <f>G43+F43</f>
        <v>0.29025875000000007</v>
      </c>
      <c r="J43" s="18"/>
      <c r="K43" s="18"/>
      <c r="L43" s="18"/>
      <c r="M43" s="17"/>
    </row>
    <row r="44" spans="1:14" x14ac:dyDescent="0.25">
      <c r="A44" s="31">
        <f t="shared" si="0"/>
        <v>27</v>
      </c>
      <c r="B44" s="32" t="s">
        <v>147</v>
      </c>
      <c r="C44" s="18">
        <f t="shared" si="3"/>
        <v>24.060000000000009</v>
      </c>
      <c r="D44" s="18"/>
      <c r="E44" s="18">
        <f>C44*E11/12</f>
        <v>0.15939750000000005</v>
      </c>
      <c r="F44" s="18">
        <f t="shared" si="1"/>
        <v>0.15939750000000005</v>
      </c>
      <c r="G44" s="18">
        <v>0.13</v>
      </c>
      <c r="H44" s="18">
        <f t="shared" si="5"/>
        <v>23.93000000000001</v>
      </c>
      <c r="I44" s="18">
        <f>F44+G44</f>
        <v>0.28939750000000009</v>
      </c>
      <c r="J44" s="18"/>
      <c r="K44" s="18"/>
      <c r="L44" s="18"/>
      <c r="M44" s="18"/>
    </row>
    <row r="45" spans="1:14" x14ac:dyDescent="0.25">
      <c r="A45" s="31">
        <f t="shared" si="0"/>
        <v>28</v>
      </c>
      <c r="B45" s="32" t="s">
        <v>148</v>
      </c>
      <c r="C45" s="18">
        <f t="shared" si="3"/>
        <v>23.93000000000001</v>
      </c>
      <c r="D45" s="18"/>
      <c r="E45" s="18">
        <f>C45*E11/12</f>
        <v>0.15853625000000007</v>
      </c>
      <c r="F45" s="18">
        <f t="shared" si="1"/>
        <v>0.15853625000000007</v>
      </c>
      <c r="G45" s="18">
        <v>0.13</v>
      </c>
      <c r="H45" s="18">
        <f t="shared" si="5"/>
        <v>23.800000000000011</v>
      </c>
      <c r="I45" s="18">
        <f>G45+F45</f>
        <v>0.28853625000000005</v>
      </c>
      <c r="J45" s="18" t="str">
        <f>B45</f>
        <v>March-25</v>
      </c>
      <c r="K45" s="18">
        <f>SUM(E34:E45)</f>
        <v>1.9566937500000003</v>
      </c>
      <c r="L45" s="18">
        <f>SUM(G34:G45)</f>
        <v>1.2999999999999998</v>
      </c>
      <c r="M45" s="18">
        <f>K45+L45</f>
        <v>3.2566937500000002</v>
      </c>
    </row>
    <row r="46" spans="1:14" x14ac:dyDescent="0.25">
      <c r="A46" s="31">
        <f t="shared" si="0"/>
        <v>29</v>
      </c>
      <c r="B46" s="32" t="s">
        <v>149</v>
      </c>
      <c r="C46" s="18">
        <f t="shared" si="3"/>
        <v>23.800000000000011</v>
      </c>
      <c r="D46" s="18"/>
      <c r="E46" s="18">
        <f>C46*E11/12</f>
        <v>0.15767500000000009</v>
      </c>
      <c r="F46" s="18">
        <f t="shared" si="1"/>
        <v>0.15767500000000009</v>
      </c>
      <c r="G46" s="18">
        <v>0.16</v>
      </c>
      <c r="H46" s="18">
        <f t="shared" si="5"/>
        <v>23.640000000000011</v>
      </c>
      <c r="I46" s="18">
        <f>F46+G46</f>
        <v>0.3176750000000001</v>
      </c>
      <c r="J46" s="18"/>
      <c r="K46" s="18"/>
      <c r="L46" s="18"/>
      <c r="M46" s="18"/>
    </row>
    <row r="47" spans="1:14" x14ac:dyDescent="0.25">
      <c r="A47" s="31">
        <f t="shared" si="0"/>
        <v>30</v>
      </c>
      <c r="B47" s="32" t="s">
        <v>150</v>
      </c>
      <c r="C47" s="18">
        <f t="shared" si="3"/>
        <v>23.640000000000011</v>
      </c>
      <c r="D47" s="18"/>
      <c r="E47" s="18">
        <f>C47*E11/12</f>
        <v>0.15661500000000009</v>
      </c>
      <c r="F47" s="18">
        <f t="shared" si="1"/>
        <v>0.15661500000000009</v>
      </c>
      <c r="G47" s="18">
        <v>0.16</v>
      </c>
      <c r="H47" s="18">
        <f t="shared" si="5"/>
        <v>23.480000000000011</v>
      </c>
      <c r="I47" s="18">
        <f>G47+F47</f>
        <v>0.31661500000000009</v>
      </c>
      <c r="J47" s="18"/>
      <c r="K47" s="18"/>
      <c r="L47" s="18"/>
      <c r="M47" s="18"/>
    </row>
    <row r="48" spans="1:14" x14ac:dyDescent="0.25">
      <c r="A48" s="31">
        <f t="shared" si="0"/>
        <v>31</v>
      </c>
      <c r="B48" s="32" t="s">
        <v>151</v>
      </c>
      <c r="C48" s="18">
        <f t="shared" si="3"/>
        <v>23.480000000000011</v>
      </c>
      <c r="D48" s="18"/>
      <c r="E48" s="18">
        <f>C48*E11/12</f>
        <v>0.15555500000000008</v>
      </c>
      <c r="F48" s="18">
        <f t="shared" si="1"/>
        <v>0.15555500000000008</v>
      </c>
      <c r="G48" s="18">
        <v>0.16</v>
      </c>
      <c r="H48" s="18">
        <f t="shared" si="5"/>
        <v>23.320000000000011</v>
      </c>
      <c r="I48" s="18">
        <f>F48+G48</f>
        <v>0.31555500000000009</v>
      </c>
      <c r="J48" s="18"/>
      <c r="K48" s="18"/>
      <c r="L48" s="18"/>
      <c r="M48" s="18"/>
    </row>
    <row r="49" spans="1:13" x14ac:dyDescent="0.25">
      <c r="A49" s="31">
        <f t="shared" si="0"/>
        <v>32</v>
      </c>
      <c r="B49" s="32" t="s">
        <v>152</v>
      </c>
      <c r="C49" s="18">
        <f t="shared" si="3"/>
        <v>23.320000000000011</v>
      </c>
      <c r="D49" s="18"/>
      <c r="E49" s="18">
        <f>C49*E11/12</f>
        <v>0.15449500000000008</v>
      </c>
      <c r="F49" s="18">
        <f t="shared" si="1"/>
        <v>0.15449500000000008</v>
      </c>
      <c r="G49" s="18">
        <v>0.16</v>
      </c>
      <c r="H49" s="18">
        <f t="shared" si="5"/>
        <v>23.160000000000011</v>
      </c>
      <c r="I49" s="18">
        <f>G49+F49</f>
        <v>0.31449500000000008</v>
      </c>
      <c r="J49" s="18"/>
      <c r="K49" s="18"/>
      <c r="L49" s="18"/>
      <c r="M49" s="17"/>
    </row>
    <row r="50" spans="1:13" x14ac:dyDescent="0.25">
      <c r="A50" s="31">
        <f t="shared" si="0"/>
        <v>33</v>
      </c>
      <c r="B50" s="32" t="s">
        <v>153</v>
      </c>
      <c r="C50" s="18">
        <f t="shared" si="3"/>
        <v>23.160000000000011</v>
      </c>
      <c r="D50" s="18"/>
      <c r="E50" s="18">
        <f>C50*E11/12</f>
        <v>0.15343500000000007</v>
      </c>
      <c r="F50" s="18">
        <f t="shared" si="1"/>
        <v>0.15343500000000007</v>
      </c>
      <c r="G50" s="18">
        <v>0.16</v>
      </c>
      <c r="H50" s="18">
        <f t="shared" si="5"/>
        <v>23.000000000000011</v>
      </c>
      <c r="I50" s="18">
        <f>F50+G50</f>
        <v>0.31343500000000007</v>
      </c>
      <c r="J50" s="18"/>
      <c r="K50" s="18"/>
      <c r="L50" s="18"/>
      <c r="M50" s="18"/>
    </row>
    <row r="51" spans="1:13" x14ac:dyDescent="0.25">
      <c r="A51" s="31">
        <f t="shared" si="0"/>
        <v>34</v>
      </c>
      <c r="B51" s="32" t="s">
        <v>154</v>
      </c>
      <c r="C51" s="18">
        <f t="shared" si="3"/>
        <v>23.000000000000011</v>
      </c>
      <c r="D51" s="18"/>
      <c r="E51" s="18">
        <f>C51*E11/12</f>
        <v>0.15237500000000007</v>
      </c>
      <c r="F51" s="18">
        <f t="shared" si="1"/>
        <v>0.15237500000000007</v>
      </c>
      <c r="G51" s="18">
        <v>0.16</v>
      </c>
      <c r="H51" s="18">
        <f t="shared" si="5"/>
        <v>22.840000000000011</v>
      </c>
      <c r="I51" s="18">
        <f>G51+F51</f>
        <v>0.31237500000000007</v>
      </c>
      <c r="J51" s="18"/>
      <c r="K51" s="18"/>
      <c r="L51" s="18"/>
      <c r="M51" s="18"/>
    </row>
    <row r="52" spans="1:13" x14ac:dyDescent="0.25">
      <c r="A52" s="31">
        <f t="shared" si="0"/>
        <v>35</v>
      </c>
      <c r="B52" s="32" t="s">
        <v>155</v>
      </c>
      <c r="C52" s="18">
        <f t="shared" si="3"/>
        <v>22.840000000000011</v>
      </c>
      <c r="D52" s="18"/>
      <c r="E52" s="18">
        <f>C52*E11/12</f>
        <v>0.15131500000000006</v>
      </c>
      <c r="F52" s="18">
        <f t="shared" si="1"/>
        <v>0.15131500000000006</v>
      </c>
      <c r="G52" s="18">
        <v>0.16</v>
      </c>
      <c r="H52" s="18">
        <f t="shared" si="5"/>
        <v>22.68000000000001</v>
      </c>
      <c r="I52" s="18">
        <f>F52+G52</f>
        <v>0.31131500000000006</v>
      </c>
      <c r="J52" s="18"/>
      <c r="K52" s="18"/>
      <c r="L52" s="18"/>
      <c r="M52" s="17"/>
    </row>
    <row r="53" spans="1:13" x14ac:dyDescent="0.25">
      <c r="A53" s="31">
        <f t="shared" si="0"/>
        <v>36</v>
      </c>
      <c r="B53" s="32" t="s">
        <v>156</v>
      </c>
      <c r="C53" s="18">
        <f t="shared" si="3"/>
        <v>22.68000000000001</v>
      </c>
      <c r="D53" s="18"/>
      <c r="E53" s="18">
        <f>C53*E11/12</f>
        <v>0.15025500000000006</v>
      </c>
      <c r="F53" s="18">
        <f t="shared" si="1"/>
        <v>0.15025500000000006</v>
      </c>
      <c r="G53" s="18">
        <v>0.16</v>
      </c>
      <c r="H53" s="18">
        <f t="shared" si="5"/>
        <v>22.52000000000001</v>
      </c>
      <c r="I53" s="18">
        <f>G53+F53</f>
        <v>0.31025500000000006</v>
      </c>
      <c r="J53" s="18"/>
      <c r="K53" s="18"/>
      <c r="L53" s="18"/>
      <c r="M53" s="17"/>
    </row>
    <row r="54" spans="1:13" x14ac:dyDescent="0.25">
      <c r="A54" s="31">
        <f t="shared" si="0"/>
        <v>37</v>
      </c>
      <c r="B54" s="32" t="s">
        <v>157</v>
      </c>
      <c r="C54" s="18">
        <f t="shared" si="3"/>
        <v>22.52000000000001</v>
      </c>
      <c r="D54" s="18"/>
      <c r="E54" s="18">
        <f>C54*E11/12</f>
        <v>0.14919500000000008</v>
      </c>
      <c r="F54" s="18">
        <f t="shared" si="1"/>
        <v>0.14919500000000008</v>
      </c>
      <c r="G54" s="18">
        <v>0.16</v>
      </c>
      <c r="H54" s="18">
        <f t="shared" si="5"/>
        <v>22.36000000000001</v>
      </c>
      <c r="I54" s="18">
        <f>F54+G54</f>
        <v>0.30919500000000011</v>
      </c>
      <c r="J54" s="18"/>
      <c r="K54" s="18"/>
      <c r="L54" s="18"/>
      <c r="M54" s="18"/>
    </row>
    <row r="55" spans="1:13" x14ac:dyDescent="0.25">
      <c r="A55" s="31">
        <f t="shared" si="0"/>
        <v>38</v>
      </c>
      <c r="B55" s="32" t="s">
        <v>158</v>
      </c>
      <c r="C55" s="18">
        <f t="shared" si="3"/>
        <v>22.36000000000001</v>
      </c>
      <c r="D55" s="18"/>
      <c r="E55" s="18">
        <f>C55*E11/12</f>
        <v>0.14813500000000007</v>
      </c>
      <c r="F55" s="18">
        <f t="shared" si="1"/>
        <v>0.14813500000000007</v>
      </c>
      <c r="G55" s="18">
        <v>0.16</v>
      </c>
      <c r="H55" s="18">
        <f t="shared" si="5"/>
        <v>22.20000000000001</v>
      </c>
      <c r="I55" s="18">
        <f>G55+F55</f>
        <v>0.30813500000000005</v>
      </c>
      <c r="J55" s="18"/>
      <c r="K55" s="18"/>
      <c r="L55" s="18"/>
      <c r="M55" s="17"/>
    </row>
    <row r="56" spans="1:13" x14ac:dyDescent="0.25">
      <c r="A56" s="31">
        <f t="shared" si="0"/>
        <v>39</v>
      </c>
      <c r="B56" s="32" t="s">
        <v>159</v>
      </c>
      <c r="C56" s="18">
        <f t="shared" si="3"/>
        <v>22.20000000000001</v>
      </c>
      <c r="D56" s="18"/>
      <c r="E56" s="18">
        <f>C56*E11/12</f>
        <v>0.14707500000000007</v>
      </c>
      <c r="F56" s="18">
        <f t="shared" si="1"/>
        <v>0.14707500000000007</v>
      </c>
      <c r="G56" s="18">
        <v>0.16</v>
      </c>
      <c r="H56" s="18">
        <f t="shared" si="5"/>
        <v>22.04000000000001</v>
      </c>
      <c r="I56" s="18">
        <f>F56+G56</f>
        <v>0.3070750000000001</v>
      </c>
      <c r="J56" s="18"/>
      <c r="K56" s="18"/>
      <c r="L56" s="18"/>
      <c r="M56" s="18"/>
    </row>
    <row r="57" spans="1:13" x14ac:dyDescent="0.25">
      <c r="A57" s="31">
        <f t="shared" si="0"/>
        <v>40</v>
      </c>
      <c r="B57" s="32" t="s">
        <v>160</v>
      </c>
      <c r="C57" s="18">
        <f t="shared" si="3"/>
        <v>22.04000000000001</v>
      </c>
      <c r="D57" s="18"/>
      <c r="E57" s="18">
        <f>C57*E11/12</f>
        <v>0.14601500000000006</v>
      </c>
      <c r="F57" s="18">
        <f t="shared" si="1"/>
        <v>0.14601500000000006</v>
      </c>
      <c r="G57" s="18">
        <v>0.16</v>
      </c>
      <c r="H57" s="18">
        <f t="shared" si="5"/>
        <v>21.88000000000001</v>
      </c>
      <c r="I57" s="18">
        <f>G57+F57</f>
        <v>0.30601500000000004</v>
      </c>
      <c r="J57" s="18" t="str">
        <f>B57</f>
        <v>March-26</v>
      </c>
      <c r="K57" s="18">
        <f>SUM(E46:E57)</f>
        <v>1.822140000000001</v>
      </c>
      <c r="L57" s="18">
        <f>SUM(G46:G57)</f>
        <v>1.9199999999999997</v>
      </c>
      <c r="M57" s="18">
        <f>K57+L57</f>
        <v>3.7421400000000009</v>
      </c>
    </row>
    <row r="58" spans="1:13" x14ac:dyDescent="0.25">
      <c r="A58" s="31">
        <f t="shared" si="0"/>
        <v>41</v>
      </c>
      <c r="B58" s="32" t="s">
        <v>161</v>
      </c>
      <c r="C58" s="18">
        <f t="shared" si="3"/>
        <v>21.88000000000001</v>
      </c>
      <c r="D58" s="18"/>
      <c r="E58" s="18">
        <f>C58*E11/12</f>
        <v>0.14495500000000008</v>
      </c>
      <c r="F58" s="18">
        <f t="shared" si="1"/>
        <v>0.14495500000000008</v>
      </c>
      <c r="G58" s="18">
        <v>0.2</v>
      </c>
      <c r="H58" s="18">
        <f t="shared" si="5"/>
        <v>21.68000000000001</v>
      </c>
      <c r="I58" s="18">
        <f>F58+G58</f>
        <v>0.34495500000000012</v>
      </c>
      <c r="J58" s="18"/>
      <c r="K58" s="18"/>
      <c r="L58" s="18"/>
      <c r="M58" s="18"/>
    </row>
    <row r="59" spans="1:13" x14ac:dyDescent="0.25">
      <c r="A59" s="31">
        <f t="shared" si="0"/>
        <v>42</v>
      </c>
      <c r="B59" s="32" t="s">
        <v>162</v>
      </c>
      <c r="C59" s="18">
        <f t="shared" si="3"/>
        <v>21.68000000000001</v>
      </c>
      <c r="D59" s="18"/>
      <c r="E59" s="18">
        <f>C59*E11/12</f>
        <v>0.14363000000000006</v>
      </c>
      <c r="F59" s="18">
        <f t="shared" si="1"/>
        <v>0.14363000000000006</v>
      </c>
      <c r="G59" s="18">
        <v>0.2</v>
      </c>
      <c r="H59" s="18">
        <f t="shared" si="5"/>
        <v>21.480000000000011</v>
      </c>
      <c r="I59" s="18">
        <f>G59+F59</f>
        <v>0.3436300000000001</v>
      </c>
      <c r="J59" s="18"/>
      <c r="K59" s="18"/>
      <c r="L59" s="18"/>
      <c r="M59" s="18"/>
    </row>
    <row r="60" spans="1:13" x14ac:dyDescent="0.25">
      <c r="A60" s="31">
        <f t="shared" si="0"/>
        <v>43</v>
      </c>
      <c r="B60" s="32" t="s">
        <v>163</v>
      </c>
      <c r="C60" s="18">
        <f t="shared" si="3"/>
        <v>21.480000000000011</v>
      </c>
      <c r="D60" s="18"/>
      <c r="E60" s="18">
        <f>C60*E11/12</f>
        <v>0.14230500000000007</v>
      </c>
      <c r="F60" s="18">
        <f t="shared" si="1"/>
        <v>0.14230500000000007</v>
      </c>
      <c r="G60" s="18">
        <v>0.2</v>
      </c>
      <c r="H60" s="18">
        <f t="shared" si="5"/>
        <v>21.280000000000012</v>
      </c>
      <c r="I60" s="18">
        <f>F60+G60</f>
        <v>0.34230500000000008</v>
      </c>
      <c r="J60" s="18"/>
      <c r="K60" s="18"/>
      <c r="L60" s="18"/>
      <c r="M60" s="18"/>
    </row>
    <row r="61" spans="1:13" x14ac:dyDescent="0.25">
      <c r="A61" s="31">
        <f t="shared" si="0"/>
        <v>44</v>
      </c>
      <c r="B61" s="32" t="s">
        <v>164</v>
      </c>
      <c r="C61" s="18">
        <f t="shared" si="3"/>
        <v>21.280000000000012</v>
      </c>
      <c r="D61" s="18"/>
      <c r="E61" s="18">
        <f>C61*E11/12</f>
        <v>0.14098000000000008</v>
      </c>
      <c r="F61" s="18">
        <f t="shared" si="1"/>
        <v>0.14098000000000008</v>
      </c>
      <c r="G61" s="18">
        <v>0.2</v>
      </c>
      <c r="H61" s="18">
        <f t="shared" si="5"/>
        <v>21.080000000000013</v>
      </c>
      <c r="I61" s="18">
        <f>G61+F61</f>
        <v>0.34098000000000006</v>
      </c>
      <c r="J61" s="18"/>
      <c r="K61" s="18"/>
      <c r="L61" s="18"/>
      <c r="M61" s="17"/>
    </row>
    <row r="62" spans="1:13" x14ac:dyDescent="0.25">
      <c r="A62" s="31">
        <f t="shared" si="0"/>
        <v>45</v>
      </c>
      <c r="B62" s="32" t="s">
        <v>165</v>
      </c>
      <c r="C62" s="18">
        <f t="shared" si="3"/>
        <v>21.080000000000013</v>
      </c>
      <c r="D62" s="18"/>
      <c r="E62" s="18">
        <f>C62*E11/12</f>
        <v>0.13965500000000008</v>
      </c>
      <c r="F62" s="18">
        <f t="shared" si="1"/>
        <v>0.13965500000000008</v>
      </c>
      <c r="G62" s="18">
        <v>0.2</v>
      </c>
      <c r="H62" s="18">
        <f t="shared" si="5"/>
        <v>20.880000000000013</v>
      </c>
      <c r="I62" s="18">
        <f>F62+G62</f>
        <v>0.3396550000000001</v>
      </c>
      <c r="J62" s="18"/>
      <c r="K62" s="18"/>
      <c r="L62" s="18"/>
      <c r="M62" s="18"/>
    </row>
    <row r="63" spans="1:13" x14ac:dyDescent="0.25">
      <c r="A63" s="31">
        <f t="shared" si="0"/>
        <v>46</v>
      </c>
      <c r="B63" s="32" t="s">
        <v>166</v>
      </c>
      <c r="C63" s="18">
        <f t="shared" si="3"/>
        <v>20.880000000000013</v>
      </c>
      <c r="D63" s="18"/>
      <c r="E63" s="18">
        <f>C63*E11/12</f>
        <v>0.13833000000000009</v>
      </c>
      <c r="F63" s="18">
        <f t="shared" si="1"/>
        <v>0.13833000000000009</v>
      </c>
      <c r="G63" s="18">
        <v>0.2</v>
      </c>
      <c r="H63" s="18">
        <f t="shared" si="5"/>
        <v>20.680000000000014</v>
      </c>
      <c r="I63" s="18">
        <f>G63+F63</f>
        <v>0.33833000000000013</v>
      </c>
      <c r="J63" s="18"/>
      <c r="K63" s="18"/>
      <c r="L63" s="18"/>
      <c r="M63" s="18"/>
    </row>
    <row r="64" spans="1:13" x14ac:dyDescent="0.25">
      <c r="A64" s="31">
        <f t="shared" si="0"/>
        <v>47</v>
      </c>
      <c r="B64" s="32" t="s">
        <v>167</v>
      </c>
      <c r="C64" s="18">
        <f t="shared" si="3"/>
        <v>20.680000000000014</v>
      </c>
      <c r="D64" s="18"/>
      <c r="E64" s="18">
        <f>C64*E11/12</f>
        <v>0.1370050000000001</v>
      </c>
      <c r="F64" s="18">
        <f t="shared" si="1"/>
        <v>0.1370050000000001</v>
      </c>
      <c r="G64" s="18">
        <v>0.2</v>
      </c>
      <c r="H64" s="18">
        <f t="shared" si="5"/>
        <v>20.480000000000015</v>
      </c>
      <c r="I64" s="18">
        <f>F64+G64</f>
        <v>0.33700500000000011</v>
      </c>
      <c r="J64" s="18"/>
      <c r="K64" s="18"/>
      <c r="L64" s="18"/>
      <c r="M64" s="17"/>
    </row>
    <row r="65" spans="1:13" x14ac:dyDescent="0.25">
      <c r="A65" s="31">
        <f t="shared" si="0"/>
        <v>48</v>
      </c>
      <c r="B65" s="32" t="s">
        <v>168</v>
      </c>
      <c r="C65" s="18">
        <f t="shared" si="3"/>
        <v>20.480000000000015</v>
      </c>
      <c r="D65" s="18"/>
      <c r="E65" s="18">
        <f>C65*E11/12</f>
        <v>0.13568000000000011</v>
      </c>
      <c r="F65" s="18">
        <f t="shared" si="1"/>
        <v>0.13568000000000011</v>
      </c>
      <c r="G65" s="18">
        <v>0.2</v>
      </c>
      <c r="H65" s="18">
        <f t="shared" si="5"/>
        <v>20.280000000000015</v>
      </c>
      <c r="I65" s="18">
        <f>G65+F65</f>
        <v>0.33568000000000009</v>
      </c>
      <c r="J65" s="18"/>
      <c r="K65" s="18"/>
      <c r="L65" s="18"/>
      <c r="M65" s="17"/>
    </row>
    <row r="66" spans="1:13" x14ac:dyDescent="0.25">
      <c r="A66" s="31">
        <f t="shared" si="0"/>
        <v>49</v>
      </c>
      <c r="B66" s="32" t="s">
        <v>169</v>
      </c>
      <c r="C66" s="18">
        <f t="shared" si="3"/>
        <v>20.280000000000015</v>
      </c>
      <c r="D66" s="18"/>
      <c r="E66" s="18">
        <f>C66*E11/12</f>
        <v>0.13435500000000009</v>
      </c>
      <c r="F66" s="18">
        <f t="shared" si="1"/>
        <v>0.13435500000000009</v>
      </c>
      <c r="G66" s="18">
        <v>0.2</v>
      </c>
      <c r="H66" s="18">
        <f t="shared" si="5"/>
        <v>20.080000000000016</v>
      </c>
      <c r="I66" s="18">
        <f>F66+G66</f>
        <v>0.33435500000000007</v>
      </c>
      <c r="J66" s="18"/>
      <c r="K66" s="18"/>
      <c r="L66" s="18"/>
      <c r="M66" s="18"/>
    </row>
    <row r="67" spans="1:13" x14ac:dyDescent="0.25">
      <c r="A67" s="31">
        <f t="shared" si="0"/>
        <v>50</v>
      </c>
      <c r="B67" s="32" t="s">
        <v>170</v>
      </c>
      <c r="C67" s="18">
        <f t="shared" si="3"/>
        <v>20.080000000000016</v>
      </c>
      <c r="D67" s="18"/>
      <c r="E67" s="18">
        <f>C67*E11/12</f>
        <v>0.13303000000000012</v>
      </c>
      <c r="F67" s="18">
        <f t="shared" si="1"/>
        <v>0.13303000000000012</v>
      </c>
      <c r="G67" s="18">
        <v>0.2</v>
      </c>
      <c r="H67" s="18">
        <f t="shared" si="5"/>
        <v>19.880000000000017</v>
      </c>
      <c r="I67" s="18">
        <f>G67+F67</f>
        <v>0.33303000000000016</v>
      </c>
      <c r="J67" s="18"/>
      <c r="K67" s="18"/>
      <c r="L67" s="18"/>
      <c r="M67" s="17"/>
    </row>
    <row r="68" spans="1:13" x14ac:dyDescent="0.25">
      <c r="A68" s="31">
        <f t="shared" si="0"/>
        <v>51</v>
      </c>
      <c r="B68" s="32" t="s">
        <v>171</v>
      </c>
      <c r="C68" s="18">
        <f t="shared" si="3"/>
        <v>19.880000000000017</v>
      </c>
      <c r="D68" s="18"/>
      <c r="E68" s="18">
        <f>C68*E11/12</f>
        <v>0.1317050000000001</v>
      </c>
      <c r="F68" s="18">
        <f t="shared" si="1"/>
        <v>0.1317050000000001</v>
      </c>
      <c r="G68" s="18">
        <v>0.2</v>
      </c>
      <c r="H68" s="18">
        <f t="shared" si="5"/>
        <v>19.680000000000017</v>
      </c>
      <c r="I68" s="18">
        <f>F68+G68</f>
        <v>0.33170500000000014</v>
      </c>
      <c r="J68" s="18"/>
      <c r="K68" s="18"/>
      <c r="L68" s="18"/>
      <c r="M68" s="18"/>
    </row>
    <row r="69" spans="1:13" x14ac:dyDescent="0.25">
      <c r="A69" s="31">
        <f t="shared" si="0"/>
        <v>52</v>
      </c>
      <c r="B69" s="32" t="s">
        <v>172</v>
      </c>
      <c r="C69" s="18">
        <f t="shared" si="3"/>
        <v>19.680000000000017</v>
      </c>
      <c r="D69" s="18"/>
      <c r="E69" s="18">
        <f>C69*E11/12</f>
        <v>0.13038000000000013</v>
      </c>
      <c r="F69" s="18">
        <f t="shared" si="1"/>
        <v>0.13038000000000013</v>
      </c>
      <c r="G69" s="18">
        <v>0.2</v>
      </c>
      <c r="H69" s="18">
        <f t="shared" si="5"/>
        <v>19.480000000000018</v>
      </c>
      <c r="I69" s="18">
        <f>G69+F69</f>
        <v>0.33038000000000012</v>
      </c>
      <c r="J69" s="18" t="str">
        <f>B69</f>
        <v>March-27</v>
      </c>
      <c r="K69" s="18">
        <f>SUM(E58:E69)</f>
        <v>1.6520100000000011</v>
      </c>
      <c r="L69" s="18">
        <f>SUM(G58:G69)</f>
        <v>2.4</v>
      </c>
      <c r="M69" s="18">
        <f>K69+L69</f>
        <v>4.052010000000001</v>
      </c>
    </row>
    <row r="70" spans="1:13" x14ac:dyDescent="0.25">
      <c r="A70" s="31">
        <f t="shared" si="0"/>
        <v>53</v>
      </c>
      <c r="B70" s="32" t="s">
        <v>173</v>
      </c>
      <c r="C70" s="18">
        <f t="shared" si="3"/>
        <v>19.480000000000018</v>
      </c>
      <c r="D70" s="18"/>
      <c r="E70" s="18">
        <f>C70*E11/12</f>
        <v>0.12905500000000011</v>
      </c>
      <c r="F70" s="18">
        <f t="shared" si="1"/>
        <v>0.12905500000000011</v>
      </c>
      <c r="G70" s="18">
        <v>0.21</v>
      </c>
      <c r="H70" s="18">
        <f t="shared" si="5"/>
        <v>19.270000000000017</v>
      </c>
      <c r="I70" s="18">
        <f>F70+G70</f>
        <v>0.33905500000000011</v>
      </c>
      <c r="J70" s="18"/>
      <c r="K70" s="18"/>
      <c r="L70" s="18"/>
      <c r="M70" s="18"/>
    </row>
    <row r="71" spans="1:13" x14ac:dyDescent="0.25">
      <c r="A71" s="31">
        <f t="shared" si="0"/>
        <v>54</v>
      </c>
      <c r="B71" s="32" t="s">
        <v>174</v>
      </c>
      <c r="C71" s="18">
        <f t="shared" si="3"/>
        <v>19.270000000000017</v>
      </c>
      <c r="D71" s="18"/>
      <c r="E71" s="18">
        <f>C71*E11/12</f>
        <v>0.1276637500000001</v>
      </c>
      <c r="F71" s="18">
        <f t="shared" si="1"/>
        <v>0.1276637500000001</v>
      </c>
      <c r="G71" s="18">
        <v>0.21</v>
      </c>
      <c r="H71" s="18">
        <f t="shared" si="5"/>
        <v>19.060000000000016</v>
      </c>
      <c r="I71" s="18">
        <f>G71+F71</f>
        <v>0.3376637500000001</v>
      </c>
      <c r="J71" s="18"/>
      <c r="K71" s="18"/>
      <c r="L71" s="18"/>
      <c r="M71" s="18"/>
    </row>
    <row r="72" spans="1:13" x14ac:dyDescent="0.25">
      <c r="A72" s="31">
        <f t="shared" si="0"/>
        <v>55</v>
      </c>
      <c r="B72" s="32" t="s">
        <v>175</v>
      </c>
      <c r="C72" s="18">
        <f t="shared" si="3"/>
        <v>19.060000000000016</v>
      </c>
      <c r="D72" s="18"/>
      <c r="E72" s="18">
        <f>C72*E11/12</f>
        <v>0.12627250000000009</v>
      </c>
      <c r="F72" s="18">
        <f t="shared" si="1"/>
        <v>0.12627250000000009</v>
      </c>
      <c r="G72" s="18">
        <v>0.21</v>
      </c>
      <c r="H72" s="18">
        <f t="shared" si="5"/>
        <v>18.850000000000016</v>
      </c>
      <c r="I72" s="18">
        <f>F72+G72</f>
        <v>0.33627250000000009</v>
      </c>
      <c r="J72" s="18"/>
      <c r="K72" s="18"/>
      <c r="L72" s="18"/>
      <c r="M72" s="18"/>
    </row>
    <row r="73" spans="1:13" x14ac:dyDescent="0.25">
      <c r="A73" s="31">
        <f t="shared" si="0"/>
        <v>56</v>
      </c>
      <c r="B73" s="32" t="s">
        <v>176</v>
      </c>
      <c r="C73" s="18">
        <f t="shared" si="3"/>
        <v>18.850000000000016</v>
      </c>
      <c r="D73" s="18"/>
      <c r="E73" s="18">
        <f>C73*E11/12</f>
        <v>0.12488125000000011</v>
      </c>
      <c r="F73" s="18">
        <f t="shared" si="1"/>
        <v>0.12488125000000011</v>
      </c>
      <c r="G73" s="18">
        <v>0.21</v>
      </c>
      <c r="H73" s="18">
        <f t="shared" si="5"/>
        <v>18.640000000000015</v>
      </c>
      <c r="I73" s="18">
        <f>G73+F73</f>
        <v>0.33488125000000013</v>
      </c>
      <c r="J73" s="18"/>
      <c r="K73" s="18"/>
      <c r="L73" s="18"/>
      <c r="M73" s="17"/>
    </row>
    <row r="74" spans="1:13" x14ac:dyDescent="0.25">
      <c r="A74" s="31">
        <f t="shared" si="0"/>
        <v>57</v>
      </c>
      <c r="B74" s="32" t="s">
        <v>177</v>
      </c>
      <c r="C74" s="18">
        <f t="shared" si="3"/>
        <v>18.640000000000015</v>
      </c>
      <c r="D74" s="18"/>
      <c r="E74" s="18">
        <f>C74*E11/12</f>
        <v>0.1234900000000001</v>
      </c>
      <c r="F74" s="18">
        <f t="shared" si="1"/>
        <v>0.1234900000000001</v>
      </c>
      <c r="G74" s="18">
        <v>0.21</v>
      </c>
      <c r="H74" s="18">
        <f t="shared" si="5"/>
        <v>18.430000000000014</v>
      </c>
      <c r="I74" s="18">
        <f>F74+G74</f>
        <v>0.33349000000000006</v>
      </c>
      <c r="J74" s="18"/>
      <c r="K74" s="18"/>
      <c r="L74" s="18"/>
      <c r="M74" s="18"/>
    </row>
    <row r="75" spans="1:13" x14ac:dyDescent="0.25">
      <c r="A75" s="31">
        <f t="shared" si="0"/>
        <v>58</v>
      </c>
      <c r="B75" s="32" t="s">
        <v>178</v>
      </c>
      <c r="C75" s="18">
        <f t="shared" si="3"/>
        <v>18.430000000000014</v>
      </c>
      <c r="D75" s="18"/>
      <c r="E75" s="18">
        <f>C75*E11/12</f>
        <v>0.12209875000000009</v>
      </c>
      <c r="F75" s="18">
        <f t="shared" si="1"/>
        <v>0.12209875000000009</v>
      </c>
      <c r="G75" s="18">
        <v>0.21</v>
      </c>
      <c r="H75" s="18">
        <f>C75-G75</f>
        <v>18.220000000000013</v>
      </c>
      <c r="I75" s="18">
        <f>G75+F75</f>
        <v>0.33209875000000011</v>
      </c>
      <c r="J75" s="18"/>
      <c r="K75" s="18"/>
      <c r="L75" s="18"/>
      <c r="M75" s="18"/>
    </row>
    <row r="76" spans="1:13" x14ac:dyDescent="0.25">
      <c r="A76" s="31">
        <f t="shared" si="0"/>
        <v>59</v>
      </c>
      <c r="B76" s="32" t="s">
        <v>179</v>
      </c>
      <c r="C76" s="18">
        <f t="shared" si="3"/>
        <v>18.220000000000013</v>
      </c>
      <c r="D76" s="18"/>
      <c r="E76" s="18">
        <f>C76*E11/12</f>
        <v>0.12070750000000009</v>
      </c>
      <c r="F76" s="18">
        <f t="shared" si="1"/>
        <v>0.12070750000000009</v>
      </c>
      <c r="G76" s="18">
        <v>0.21</v>
      </c>
      <c r="H76" s="18">
        <f t="shared" si="5"/>
        <v>18.010000000000012</v>
      </c>
      <c r="I76" s="18">
        <f>F76+G76</f>
        <v>0.3307075000000001</v>
      </c>
      <c r="J76" s="18"/>
      <c r="K76" s="18"/>
      <c r="L76" s="18"/>
      <c r="M76" s="17"/>
    </row>
    <row r="77" spans="1:13" x14ac:dyDescent="0.25">
      <c r="A77" s="31">
        <f t="shared" si="0"/>
        <v>60</v>
      </c>
      <c r="B77" s="32" t="s">
        <v>180</v>
      </c>
      <c r="C77" s="18">
        <f t="shared" si="3"/>
        <v>18.010000000000012</v>
      </c>
      <c r="D77" s="18"/>
      <c r="E77" s="18">
        <f>C77*E11/12</f>
        <v>0.11931625000000008</v>
      </c>
      <c r="F77" s="18">
        <f>E77</f>
        <v>0.11931625000000008</v>
      </c>
      <c r="G77" s="18">
        <v>0.21</v>
      </c>
      <c r="H77" s="18">
        <f t="shared" si="5"/>
        <v>17.800000000000011</v>
      </c>
      <c r="I77" s="18">
        <f>G77+F77</f>
        <v>0.32931625000000009</v>
      </c>
      <c r="J77" s="18"/>
      <c r="K77" s="18"/>
      <c r="L77" s="18"/>
      <c r="M77" s="17"/>
    </row>
    <row r="78" spans="1:13" x14ac:dyDescent="0.25">
      <c r="A78" s="31">
        <f t="shared" si="0"/>
        <v>61</v>
      </c>
      <c r="B78" s="32" t="s">
        <v>181</v>
      </c>
      <c r="C78" s="18">
        <f>H77</f>
        <v>17.800000000000011</v>
      </c>
      <c r="D78" s="18"/>
      <c r="E78" s="18">
        <f>C78*E12/12</f>
        <v>0.16316666666666677</v>
      </c>
      <c r="F78" s="18">
        <f>E78</f>
        <v>0.16316666666666677</v>
      </c>
      <c r="G78" s="18">
        <v>0.21</v>
      </c>
      <c r="H78" s="18">
        <f>H77-G78</f>
        <v>17.590000000000011</v>
      </c>
      <c r="I78" s="18">
        <f>F78+G78</f>
        <v>0.37316666666666676</v>
      </c>
      <c r="J78" s="18"/>
      <c r="K78" s="18"/>
      <c r="L78" s="18"/>
      <c r="M78" s="18"/>
    </row>
    <row r="79" spans="1:13" x14ac:dyDescent="0.25">
      <c r="A79" s="31">
        <f t="shared" si="0"/>
        <v>62</v>
      </c>
      <c r="B79" s="32" t="s">
        <v>182</v>
      </c>
      <c r="C79" s="18">
        <f t="shared" si="3"/>
        <v>17.590000000000011</v>
      </c>
      <c r="D79" s="18"/>
      <c r="E79" s="18">
        <f>C79*E12/12</f>
        <v>0.16124166666666676</v>
      </c>
      <c r="F79" s="18">
        <f t="shared" ref="F79:F100" si="6">E79</f>
        <v>0.16124166666666676</v>
      </c>
      <c r="G79" s="18">
        <v>0.21</v>
      </c>
      <c r="H79" s="18">
        <f>C79-G79</f>
        <v>17.38000000000001</v>
      </c>
      <c r="I79" s="18">
        <f>G79+F79</f>
        <v>0.37124166666666675</v>
      </c>
      <c r="J79" s="18"/>
      <c r="K79" s="18"/>
      <c r="L79" s="18"/>
      <c r="M79" s="18"/>
    </row>
    <row r="80" spans="1:13" x14ac:dyDescent="0.25">
      <c r="A80" s="31">
        <f t="shared" si="0"/>
        <v>63</v>
      </c>
      <c r="B80" s="32" t="s">
        <v>183</v>
      </c>
      <c r="C80" s="18">
        <f t="shared" si="3"/>
        <v>17.38000000000001</v>
      </c>
      <c r="D80" s="18"/>
      <c r="E80" s="18">
        <f>C80*E12/12</f>
        <v>0.15931666666666675</v>
      </c>
      <c r="F80" s="18">
        <f t="shared" si="6"/>
        <v>0.15931666666666675</v>
      </c>
      <c r="G80" s="18">
        <v>0.21</v>
      </c>
      <c r="H80" s="18">
        <f t="shared" si="5"/>
        <v>17.170000000000009</v>
      </c>
      <c r="I80" s="18">
        <f>F80+G80</f>
        <v>0.36931666666666674</v>
      </c>
      <c r="J80" s="18"/>
      <c r="K80" s="18"/>
      <c r="L80" s="18"/>
      <c r="M80" s="18"/>
    </row>
    <row r="81" spans="1:13" x14ac:dyDescent="0.25">
      <c r="A81" s="31">
        <f t="shared" si="0"/>
        <v>64</v>
      </c>
      <c r="B81" s="32" t="s">
        <v>184</v>
      </c>
      <c r="C81" s="18">
        <f t="shared" si="3"/>
        <v>17.170000000000009</v>
      </c>
      <c r="D81" s="18"/>
      <c r="E81" s="18">
        <f>C81*E12/12</f>
        <v>0.15739166666666674</v>
      </c>
      <c r="F81" s="18">
        <f t="shared" si="6"/>
        <v>0.15739166666666674</v>
      </c>
      <c r="G81" s="18">
        <v>0.21</v>
      </c>
      <c r="H81" s="18">
        <f>H80-G81</f>
        <v>16.960000000000008</v>
      </c>
      <c r="I81" s="18">
        <f>G81+F81</f>
        <v>0.36739166666666673</v>
      </c>
      <c r="J81" s="18" t="str">
        <f>B81</f>
        <v>March-28</v>
      </c>
      <c r="K81" s="18">
        <f>SUM(E70:E81)</f>
        <v>1.6346016666666678</v>
      </c>
      <c r="L81" s="18">
        <f>SUM(G70:G81)</f>
        <v>2.52</v>
      </c>
      <c r="M81" s="18">
        <f>K81+L81</f>
        <v>4.1546016666666681</v>
      </c>
    </row>
    <row r="82" spans="1:13" x14ac:dyDescent="0.25">
      <c r="A82" s="31">
        <f t="shared" si="0"/>
        <v>65</v>
      </c>
      <c r="B82" s="32" t="s">
        <v>185</v>
      </c>
      <c r="C82" s="18">
        <f t="shared" si="3"/>
        <v>16.960000000000008</v>
      </c>
      <c r="D82" s="18"/>
      <c r="E82" s="18">
        <f>C82*E12/12</f>
        <v>0.15546666666666673</v>
      </c>
      <c r="F82" s="18">
        <f t="shared" si="6"/>
        <v>0.15546666666666673</v>
      </c>
      <c r="G82" s="18">
        <v>0.25</v>
      </c>
      <c r="H82" s="18">
        <f t="shared" si="5"/>
        <v>16.710000000000008</v>
      </c>
      <c r="I82" s="18">
        <f>F82+G82</f>
        <v>0.40546666666666675</v>
      </c>
      <c r="J82" s="18"/>
      <c r="K82" s="18"/>
      <c r="L82" s="18"/>
      <c r="M82" s="18"/>
    </row>
    <row r="83" spans="1:13" x14ac:dyDescent="0.25">
      <c r="A83" s="31">
        <f t="shared" si="0"/>
        <v>66</v>
      </c>
      <c r="B83" s="32" t="s">
        <v>186</v>
      </c>
      <c r="C83" s="18">
        <f t="shared" si="3"/>
        <v>16.710000000000008</v>
      </c>
      <c r="D83" s="18"/>
      <c r="E83" s="18">
        <f>C83*E12/12</f>
        <v>0.15317500000000009</v>
      </c>
      <c r="F83" s="18">
        <f t="shared" si="6"/>
        <v>0.15317500000000009</v>
      </c>
      <c r="G83" s="18">
        <v>0.25</v>
      </c>
      <c r="H83" s="18">
        <f t="shared" si="5"/>
        <v>16.460000000000008</v>
      </c>
      <c r="I83" s="18">
        <f>G83+F83</f>
        <v>0.40317500000000006</v>
      </c>
      <c r="J83" s="18"/>
      <c r="K83" s="18"/>
      <c r="L83" s="18"/>
      <c r="M83" s="18"/>
    </row>
    <row r="84" spans="1:13" x14ac:dyDescent="0.25">
      <c r="A84" s="31">
        <f t="shared" ref="A84:A137" si="7">A83+1</f>
        <v>67</v>
      </c>
      <c r="B84" s="32" t="s">
        <v>187</v>
      </c>
      <c r="C84" s="18">
        <f t="shared" si="3"/>
        <v>16.460000000000008</v>
      </c>
      <c r="D84" s="18"/>
      <c r="E84" s="18">
        <f>C84*E12/12</f>
        <v>0.1508833333333334</v>
      </c>
      <c r="F84" s="18">
        <f t="shared" si="6"/>
        <v>0.1508833333333334</v>
      </c>
      <c r="G84" s="18">
        <v>0.25</v>
      </c>
      <c r="H84" s="18">
        <f>H83-G84</f>
        <v>16.210000000000008</v>
      </c>
      <c r="I84" s="18">
        <f>F84+G84</f>
        <v>0.40088333333333337</v>
      </c>
      <c r="J84" s="18"/>
      <c r="K84" s="18"/>
      <c r="L84" s="18"/>
      <c r="M84" s="18"/>
    </row>
    <row r="85" spans="1:13" x14ac:dyDescent="0.25">
      <c r="A85" s="31">
        <f t="shared" si="7"/>
        <v>68</v>
      </c>
      <c r="B85" s="32" t="s">
        <v>188</v>
      </c>
      <c r="C85" s="18">
        <f t="shared" ref="C85:C137" si="8">H84</f>
        <v>16.210000000000008</v>
      </c>
      <c r="D85" s="18"/>
      <c r="E85" s="18">
        <f>C85*E12/12</f>
        <v>0.14859166666666673</v>
      </c>
      <c r="F85" s="18">
        <f t="shared" si="6"/>
        <v>0.14859166666666673</v>
      </c>
      <c r="G85" s="18">
        <v>0.25</v>
      </c>
      <c r="H85" s="18">
        <f>C85-G85</f>
        <v>15.960000000000008</v>
      </c>
      <c r="I85" s="18">
        <f>G85+F85</f>
        <v>0.39859166666666673</v>
      </c>
      <c r="J85" s="18"/>
      <c r="K85" s="18"/>
      <c r="L85" s="18"/>
      <c r="M85" s="17"/>
    </row>
    <row r="86" spans="1:13" x14ac:dyDescent="0.25">
      <c r="A86" s="31">
        <f t="shared" si="7"/>
        <v>69</v>
      </c>
      <c r="B86" s="32" t="s">
        <v>189</v>
      </c>
      <c r="C86" s="18">
        <f t="shared" si="8"/>
        <v>15.960000000000008</v>
      </c>
      <c r="D86" s="18"/>
      <c r="E86" s="18">
        <f>C86*E12/12</f>
        <v>0.14630000000000007</v>
      </c>
      <c r="F86" s="18">
        <f t="shared" si="6"/>
        <v>0.14630000000000007</v>
      </c>
      <c r="G86" s="18">
        <v>0.25</v>
      </c>
      <c r="H86" s="18">
        <f>C86-G86</f>
        <v>15.710000000000008</v>
      </c>
      <c r="I86" s="18">
        <f>F86+G86</f>
        <v>0.3963000000000001</v>
      </c>
      <c r="J86" s="18"/>
      <c r="K86" s="18"/>
      <c r="L86" s="18"/>
      <c r="M86" s="18"/>
    </row>
    <row r="87" spans="1:13" x14ac:dyDescent="0.25">
      <c r="A87" s="31">
        <f t="shared" si="7"/>
        <v>70</v>
      </c>
      <c r="B87" s="32" t="s">
        <v>190</v>
      </c>
      <c r="C87" s="18">
        <f t="shared" si="8"/>
        <v>15.710000000000008</v>
      </c>
      <c r="D87" s="18"/>
      <c r="E87" s="18">
        <f>C87*E12/12</f>
        <v>0.1440083333333334</v>
      </c>
      <c r="F87" s="18">
        <f t="shared" si="6"/>
        <v>0.1440083333333334</v>
      </c>
      <c r="G87" s="18">
        <v>0.25</v>
      </c>
      <c r="H87" s="18">
        <f>H86-G87</f>
        <v>15.460000000000008</v>
      </c>
      <c r="I87" s="18">
        <f>G87+F87</f>
        <v>0.3940083333333334</v>
      </c>
      <c r="J87" s="18"/>
      <c r="K87" s="18"/>
      <c r="L87" s="18"/>
      <c r="M87" s="18"/>
    </row>
    <row r="88" spans="1:13" x14ac:dyDescent="0.25">
      <c r="A88" s="31">
        <f t="shared" si="7"/>
        <v>71</v>
      </c>
      <c r="B88" s="32" t="s">
        <v>191</v>
      </c>
      <c r="C88" s="18">
        <f t="shared" si="8"/>
        <v>15.460000000000008</v>
      </c>
      <c r="D88" s="18"/>
      <c r="E88" s="18">
        <f>C88*E12/12</f>
        <v>0.14171666666666674</v>
      </c>
      <c r="F88" s="18">
        <f t="shared" si="6"/>
        <v>0.14171666666666674</v>
      </c>
      <c r="G88" s="18">
        <v>0.25</v>
      </c>
      <c r="H88" s="18">
        <f>C88-G88</f>
        <v>15.210000000000008</v>
      </c>
      <c r="I88" s="18">
        <f>F88+G88</f>
        <v>0.39171666666666671</v>
      </c>
      <c r="J88" s="18"/>
      <c r="K88" s="18"/>
      <c r="L88" s="18"/>
      <c r="M88" s="17"/>
    </row>
    <row r="89" spans="1:13" x14ac:dyDescent="0.25">
      <c r="A89" s="31">
        <f t="shared" si="7"/>
        <v>72</v>
      </c>
      <c r="B89" s="32" t="s">
        <v>192</v>
      </c>
      <c r="C89" s="18">
        <f t="shared" si="8"/>
        <v>15.210000000000008</v>
      </c>
      <c r="D89" s="18"/>
      <c r="E89" s="18">
        <f>C89*E12/12</f>
        <v>0.13942500000000008</v>
      </c>
      <c r="F89" s="18">
        <f t="shared" si="6"/>
        <v>0.13942500000000008</v>
      </c>
      <c r="G89" s="18">
        <v>0.25</v>
      </c>
      <c r="H89" s="18">
        <f>C89-G89</f>
        <v>14.960000000000008</v>
      </c>
      <c r="I89" s="18">
        <f>G89+F89</f>
        <v>0.38942500000000008</v>
      </c>
      <c r="J89" s="18"/>
      <c r="K89" s="18"/>
      <c r="L89" s="18"/>
      <c r="M89" s="17"/>
    </row>
    <row r="90" spans="1:13" x14ac:dyDescent="0.25">
      <c r="A90" s="31">
        <f t="shared" si="7"/>
        <v>73</v>
      </c>
      <c r="B90" s="32" t="s">
        <v>193</v>
      </c>
      <c r="C90" s="18">
        <f t="shared" si="8"/>
        <v>14.960000000000008</v>
      </c>
      <c r="D90" s="18"/>
      <c r="E90" s="18">
        <f>C90*E12/12</f>
        <v>0.13713333333333341</v>
      </c>
      <c r="F90" s="18">
        <f t="shared" si="6"/>
        <v>0.13713333333333341</v>
      </c>
      <c r="G90" s="18">
        <v>0.25</v>
      </c>
      <c r="H90" s="18">
        <f>H89-G90</f>
        <v>14.710000000000008</v>
      </c>
      <c r="I90" s="18">
        <f>F90+G90</f>
        <v>0.38713333333333344</v>
      </c>
      <c r="J90" s="18"/>
      <c r="K90" s="18"/>
      <c r="L90" s="18"/>
      <c r="M90" s="18"/>
    </row>
    <row r="91" spans="1:13" x14ac:dyDescent="0.25">
      <c r="A91" s="31">
        <f t="shared" si="7"/>
        <v>74</v>
      </c>
      <c r="B91" s="32" t="s">
        <v>194</v>
      </c>
      <c r="C91" s="18">
        <f t="shared" si="8"/>
        <v>14.710000000000008</v>
      </c>
      <c r="D91" s="18"/>
      <c r="E91" s="18">
        <f>C91*E12/12</f>
        <v>0.13484166666666675</v>
      </c>
      <c r="F91" s="18">
        <f t="shared" si="6"/>
        <v>0.13484166666666675</v>
      </c>
      <c r="G91" s="18">
        <v>0.25</v>
      </c>
      <c r="H91" s="18">
        <f>H90-G91</f>
        <v>14.460000000000008</v>
      </c>
      <c r="I91" s="18">
        <f>G91+F91</f>
        <v>0.38484166666666675</v>
      </c>
      <c r="J91" s="18"/>
      <c r="K91" s="18"/>
      <c r="L91" s="18"/>
      <c r="M91" s="18"/>
    </row>
    <row r="92" spans="1:13" x14ac:dyDescent="0.25">
      <c r="A92" s="31">
        <f t="shared" si="7"/>
        <v>75</v>
      </c>
      <c r="B92" s="32" t="s">
        <v>195</v>
      </c>
      <c r="C92" s="18">
        <f t="shared" si="8"/>
        <v>14.460000000000008</v>
      </c>
      <c r="D92" s="18"/>
      <c r="E92" s="18">
        <f>C92*E12/12</f>
        <v>0.13255000000000008</v>
      </c>
      <c r="F92" s="18">
        <f t="shared" si="6"/>
        <v>0.13255000000000008</v>
      </c>
      <c r="G92" s="18">
        <v>0.25</v>
      </c>
      <c r="H92" s="18">
        <f t="shared" ref="H92:H137" si="9">H91-G92</f>
        <v>14.210000000000008</v>
      </c>
      <c r="I92" s="18">
        <f t="shared" ref="I92:I137" si="10">G92+F92</f>
        <v>0.38255000000000006</v>
      </c>
      <c r="J92" s="18"/>
      <c r="K92" s="18"/>
      <c r="L92" s="18"/>
      <c r="M92" s="18"/>
    </row>
    <row r="93" spans="1:13" x14ac:dyDescent="0.25">
      <c r="A93" s="31">
        <f t="shared" si="7"/>
        <v>76</v>
      </c>
      <c r="B93" s="32" t="s">
        <v>196</v>
      </c>
      <c r="C93" s="18">
        <f t="shared" si="8"/>
        <v>14.210000000000008</v>
      </c>
      <c r="D93" s="18"/>
      <c r="E93" s="18">
        <f>C93*E12/12</f>
        <v>0.13025833333333339</v>
      </c>
      <c r="F93" s="18">
        <f t="shared" si="6"/>
        <v>0.13025833333333339</v>
      </c>
      <c r="G93" s="18">
        <v>0.25</v>
      </c>
      <c r="H93" s="18">
        <f t="shared" si="9"/>
        <v>13.960000000000008</v>
      </c>
      <c r="I93" s="18">
        <f t="shared" si="10"/>
        <v>0.38025833333333336</v>
      </c>
      <c r="J93" s="18" t="str">
        <f>B93</f>
        <v>March-29</v>
      </c>
      <c r="K93" s="18">
        <f>SUM(E82:E93)</f>
        <v>1.7143500000000009</v>
      </c>
      <c r="L93" s="18">
        <f>SUM(G82:G93)</f>
        <v>3</v>
      </c>
      <c r="M93" s="18">
        <f>K93+L93</f>
        <v>4.7143500000000014</v>
      </c>
    </row>
    <row r="94" spans="1:13" x14ac:dyDescent="0.25">
      <c r="A94" s="31">
        <f t="shared" si="7"/>
        <v>77</v>
      </c>
      <c r="B94" s="32" t="s">
        <v>197</v>
      </c>
      <c r="C94" s="18">
        <f t="shared" si="8"/>
        <v>13.960000000000008</v>
      </c>
      <c r="D94" s="18"/>
      <c r="E94" s="18">
        <f>C94*E12/12</f>
        <v>0.12796666666666676</v>
      </c>
      <c r="F94" s="18">
        <f t="shared" si="6"/>
        <v>0.12796666666666676</v>
      </c>
      <c r="G94" s="18">
        <v>0.25</v>
      </c>
      <c r="H94" s="18">
        <f t="shared" si="9"/>
        <v>13.710000000000008</v>
      </c>
      <c r="I94" s="18">
        <f t="shared" si="10"/>
        <v>0.37796666666666678</v>
      </c>
      <c r="J94" s="18"/>
      <c r="K94" s="18"/>
      <c r="L94" s="18"/>
      <c r="M94" s="18"/>
    </row>
    <row r="95" spans="1:13" x14ac:dyDescent="0.25">
      <c r="A95" s="31">
        <f t="shared" si="7"/>
        <v>78</v>
      </c>
      <c r="B95" s="32" t="s">
        <v>198</v>
      </c>
      <c r="C95" s="18">
        <f t="shared" si="8"/>
        <v>13.710000000000008</v>
      </c>
      <c r="D95" s="18"/>
      <c r="E95" s="18">
        <f>C95*E12/12</f>
        <v>0.12567500000000006</v>
      </c>
      <c r="F95" s="18">
        <f t="shared" si="6"/>
        <v>0.12567500000000006</v>
      </c>
      <c r="G95" s="18">
        <v>0.25</v>
      </c>
      <c r="H95" s="18">
        <f t="shared" si="9"/>
        <v>13.460000000000008</v>
      </c>
      <c r="I95" s="18">
        <f t="shared" si="10"/>
        <v>0.37567500000000009</v>
      </c>
      <c r="J95" s="18"/>
      <c r="K95" s="18"/>
      <c r="L95" s="18"/>
      <c r="M95" s="18"/>
    </row>
    <row r="96" spans="1:13" x14ac:dyDescent="0.25">
      <c r="A96" s="31">
        <f t="shared" si="7"/>
        <v>79</v>
      </c>
      <c r="B96" s="32" t="s">
        <v>199</v>
      </c>
      <c r="C96" s="18">
        <f t="shared" si="8"/>
        <v>13.460000000000008</v>
      </c>
      <c r="D96" s="18"/>
      <c r="E96" s="18">
        <f>C96*E12/12</f>
        <v>0.1233833333333334</v>
      </c>
      <c r="F96" s="18">
        <f t="shared" si="6"/>
        <v>0.1233833333333334</v>
      </c>
      <c r="G96" s="18">
        <v>0.25</v>
      </c>
      <c r="H96" s="18">
        <f t="shared" si="9"/>
        <v>13.210000000000008</v>
      </c>
      <c r="I96" s="18">
        <f t="shared" si="10"/>
        <v>0.3733833333333334</v>
      </c>
      <c r="J96" s="18"/>
      <c r="K96" s="18"/>
      <c r="L96" s="18"/>
      <c r="M96" s="18"/>
    </row>
    <row r="97" spans="1:13" x14ac:dyDescent="0.25">
      <c r="A97" s="31">
        <f t="shared" si="7"/>
        <v>80</v>
      </c>
      <c r="B97" s="32" t="s">
        <v>200</v>
      </c>
      <c r="C97" s="18">
        <f t="shared" si="8"/>
        <v>13.210000000000008</v>
      </c>
      <c r="D97" s="18"/>
      <c r="E97" s="18">
        <f>C97*E12/12</f>
        <v>0.12109166666666675</v>
      </c>
      <c r="F97" s="18">
        <f t="shared" si="6"/>
        <v>0.12109166666666675</v>
      </c>
      <c r="G97" s="18">
        <v>0.25</v>
      </c>
      <c r="H97" s="18">
        <f t="shared" si="9"/>
        <v>12.960000000000008</v>
      </c>
      <c r="I97" s="18">
        <f t="shared" si="10"/>
        <v>0.37109166666666676</v>
      </c>
      <c r="J97" s="18"/>
      <c r="K97" s="18"/>
      <c r="L97" s="18"/>
      <c r="M97" s="18"/>
    </row>
    <row r="98" spans="1:13" x14ac:dyDescent="0.25">
      <c r="A98" s="31">
        <f t="shared" si="7"/>
        <v>81</v>
      </c>
      <c r="B98" s="32" t="s">
        <v>201</v>
      </c>
      <c r="C98" s="18">
        <f t="shared" si="8"/>
        <v>12.960000000000008</v>
      </c>
      <c r="D98" s="18"/>
      <c r="E98" s="18">
        <f>C98*E12/12</f>
        <v>0.11880000000000007</v>
      </c>
      <c r="F98" s="18">
        <f t="shared" si="6"/>
        <v>0.11880000000000007</v>
      </c>
      <c r="G98" s="18">
        <v>0.25</v>
      </c>
      <c r="H98" s="18">
        <f t="shared" si="9"/>
        <v>12.710000000000008</v>
      </c>
      <c r="I98" s="18">
        <f t="shared" si="10"/>
        <v>0.36880000000000007</v>
      </c>
      <c r="J98" s="18"/>
      <c r="K98" s="18"/>
      <c r="L98" s="18"/>
      <c r="M98" s="18"/>
    </row>
    <row r="99" spans="1:13" x14ac:dyDescent="0.25">
      <c r="A99" s="31">
        <f t="shared" si="7"/>
        <v>82</v>
      </c>
      <c r="B99" s="32" t="s">
        <v>202</v>
      </c>
      <c r="C99" s="18">
        <f t="shared" si="8"/>
        <v>12.710000000000008</v>
      </c>
      <c r="D99" s="18"/>
      <c r="E99" s="18">
        <f>C99*E12/12</f>
        <v>0.11650833333333339</v>
      </c>
      <c r="F99" s="18">
        <f t="shared" si="6"/>
        <v>0.11650833333333339</v>
      </c>
      <c r="G99" s="18">
        <v>0.25</v>
      </c>
      <c r="H99" s="18">
        <f t="shared" si="9"/>
        <v>12.460000000000008</v>
      </c>
      <c r="I99" s="18">
        <f t="shared" si="10"/>
        <v>0.36650833333333338</v>
      </c>
      <c r="J99" s="18"/>
      <c r="K99" s="18"/>
      <c r="L99" s="18"/>
      <c r="M99" s="18"/>
    </row>
    <row r="100" spans="1:13" x14ac:dyDescent="0.25">
      <c r="A100" s="31">
        <f t="shared" si="7"/>
        <v>83</v>
      </c>
      <c r="B100" s="32" t="s">
        <v>203</v>
      </c>
      <c r="C100" s="18">
        <f t="shared" si="8"/>
        <v>12.460000000000008</v>
      </c>
      <c r="D100" s="18"/>
      <c r="E100" s="18">
        <f>C100*E12/12</f>
        <v>0.11421666666666674</v>
      </c>
      <c r="F100" s="18">
        <f t="shared" si="6"/>
        <v>0.11421666666666674</v>
      </c>
      <c r="G100" s="18">
        <v>0.25</v>
      </c>
      <c r="H100" s="18">
        <f t="shared" si="9"/>
        <v>12.210000000000008</v>
      </c>
      <c r="I100" s="18">
        <f t="shared" si="10"/>
        <v>0.36421666666666674</v>
      </c>
      <c r="J100" s="18"/>
      <c r="K100" s="18"/>
      <c r="L100" s="18"/>
      <c r="M100" s="18"/>
    </row>
    <row r="101" spans="1:13" x14ac:dyDescent="0.25">
      <c r="A101" s="31">
        <f t="shared" si="7"/>
        <v>84</v>
      </c>
      <c r="B101" s="32" t="s">
        <v>204</v>
      </c>
      <c r="C101" s="18">
        <f>H100</f>
        <v>12.210000000000008</v>
      </c>
      <c r="D101" s="18"/>
      <c r="E101" s="18">
        <f>C101*E12/12</f>
        <v>0.11192500000000007</v>
      </c>
      <c r="F101" s="18">
        <f>E101</f>
        <v>0.11192500000000007</v>
      </c>
      <c r="G101" s="18">
        <v>0.25</v>
      </c>
      <c r="H101" s="18">
        <f>H100-G101</f>
        <v>11.960000000000008</v>
      </c>
      <c r="I101" s="18">
        <f>G101+F101</f>
        <v>0.36192500000000005</v>
      </c>
      <c r="J101" s="18"/>
      <c r="K101" s="18"/>
      <c r="L101" s="18"/>
      <c r="M101" s="18"/>
    </row>
    <row r="102" spans="1:13" x14ac:dyDescent="0.25">
      <c r="A102" s="31">
        <f t="shared" si="7"/>
        <v>85</v>
      </c>
      <c r="B102" s="32" t="s">
        <v>205</v>
      </c>
      <c r="C102" s="18">
        <f t="shared" si="8"/>
        <v>11.960000000000008</v>
      </c>
      <c r="D102" s="18"/>
      <c r="E102" s="18">
        <f>C102*E12/12</f>
        <v>0.10963333333333342</v>
      </c>
      <c r="F102" s="18">
        <f t="shared" ref="F102:F137" si="11">E102</f>
        <v>0.10963333333333342</v>
      </c>
      <c r="G102" s="18">
        <v>0.25</v>
      </c>
      <c r="H102" s="18">
        <f t="shared" si="9"/>
        <v>11.710000000000008</v>
      </c>
      <c r="I102" s="18">
        <f t="shared" si="10"/>
        <v>0.35963333333333342</v>
      </c>
      <c r="J102" s="18"/>
      <c r="K102" s="18"/>
      <c r="L102" s="18"/>
      <c r="M102" s="18"/>
    </row>
    <row r="103" spans="1:13" x14ac:dyDescent="0.25">
      <c r="A103" s="31">
        <f t="shared" si="7"/>
        <v>86</v>
      </c>
      <c r="B103" s="32" t="s">
        <v>206</v>
      </c>
      <c r="C103" s="18">
        <f t="shared" si="8"/>
        <v>11.710000000000008</v>
      </c>
      <c r="D103" s="18"/>
      <c r="E103" s="18">
        <f>C103*E12/12</f>
        <v>0.10734166666666674</v>
      </c>
      <c r="F103" s="18">
        <f t="shared" si="11"/>
        <v>0.10734166666666674</v>
      </c>
      <c r="G103" s="18">
        <v>0.25</v>
      </c>
      <c r="H103" s="18">
        <f t="shared" si="9"/>
        <v>11.460000000000008</v>
      </c>
      <c r="I103" s="18">
        <f t="shared" si="10"/>
        <v>0.35734166666666672</v>
      </c>
      <c r="J103" s="18"/>
      <c r="K103" s="18"/>
      <c r="L103" s="18"/>
      <c r="M103" s="18"/>
    </row>
    <row r="104" spans="1:13" x14ac:dyDescent="0.25">
      <c r="A104" s="31">
        <f t="shared" si="7"/>
        <v>87</v>
      </c>
      <c r="B104" s="32" t="s">
        <v>207</v>
      </c>
      <c r="C104" s="18">
        <f>H103</f>
        <v>11.460000000000008</v>
      </c>
      <c r="D104" s="18"/>
      <c r="E104" s="18">
        <f>C104*E12/12</f>
        <v>0.10505000000000007</v>
      </c>
      <c r="F104" s="18">
        <f t="shared" si="11"/>
        <v>0.10505000000000007</v>
      </c>
      <c r="G104" s="18">
        <v>0.25</v>
      </c>
      <c r="H104" s="18">
        <f>H103-G104</f>
        <v>11.210000000000008</v>
      </c>
      <c r="I104" s="18">
        <f>G104+F104</f>
        <v>0.35505000000000009</v>
      </c>
      <c r="J104" s="18"/>
      <c r="K104" s="18"/>
      <c r="L104" s="18"/>
      <c r="M104" s="18"/>
    </row>
    <row r="105" spans="1:13" x14ac:dyDescent="0.25">
      <c r="A105" s="31">
        <f t="shared" si="7"/>
        <v>88</v>
      </c>
      <c r="B105" s="32" t="s">
        <v>208</v>
      </c>
      <c r="C105" s="18">
        <f t="shared" si="8"/>
        <v>11.210000000000008</v>
      </c>
      <c r="D105" s="18"/>
      <c r="E105" s="18">
        <f>C105*E12/12</f>
        <v>0.10275833333333341</v>
      </c>
      <c r="F105" s="18">
        <f t="shared" si="11"/>
        <v>0.10275833333333341</v>
      </c>
      <c r="G105" s="18">
        <v>0.25</v>
      </c>
      <c r="H105" s="18">
        <f t="shared" si="9"/>
        <v>10.960000000000008</v>
      </c>
      <c r="I105" s="18">
        <f t="shared" si="10"/>
        <v>0.3527583333333334</v>
      </c>
      <c r="J105" s="18" t="str">
        <f>B105</f>
        <v>March-30</v>
      </c>
      <c r="K105" s="18">
        <f>SUM(E94:E105)</f>
        <v>1.3843500000000009</v>
      </c>
      <c r="L105" s="18">
        <f>SUM(G94:G105)</f>
        <v>3</v>
      </c>
      <c r="M105" s="18">
        <f>K105+L105</f>
        <v>4.3843500000000013</v>
      </c>
    </row>
    <row r="106" spans="1:13" x14ac:dyDescent="0.25">
      <c r="A106" s="31">
        <f t="shared" si="7"/>
        <v>89</v>
      </c>
      <c r="B106" s="32" t="s">
        <v>209</v>
      </c>
      <c r="C106" s="18">
        <f t="shared" si="8"/>
        <v>10.960000000000008</v>
      </c>
      <c r="D106" s="18"/>
      <c r="E106" s="18">
        <f>C106*E12/12</f>
        <v>0.10046666666666675</v>
      </c>
      <c r="F106" s="18">
        <f t="shared" si="11"/>
        <v>0.10046666666666675</v>
      </c>
      <c r="G106" s="18">
        <v>0.3</v>
      </c>
      <c r="H106" s="18">
        <f t="shared" si="9"/>
        <v>10.660000000000007</v>
      </c>
      <c r="I106" s="18">
        <f t="shared" si="10"/>
        <v>0.40046666666666675</v>
      </c>
      <c r="J106" s="18"/>
      <c r="K106" s="18"/>
      <c r="L106" s="18"/>
      <c r="M106" s="18"/>
    </row>
    <row r="107" spans="1:13" x14ac:dyDescent="0.25">
      <c r="A107" s="31">
        <f t="shared" si="7"/>
        <v>90</v>
      </c>
      <c r="B107" s="32" t="s">
        <v>210</v>
      </c>
      <c r="C107" s="18">
        <f t="shared" si="8"/>
        <v>10.660000000000007</v>
      </c>
      <c r="D107" s="18"/>
      <c r="E107" s="18">
        <f>C107*E12/12</f>
        <v>9.7716666666666729E-2</v>
      </c>
      <c r="F107" s="18">
        <f t="shared" si="11"/>
        <v>9.7716666666666729E-2</v>
      </c>
      <c r="G107" s="18">
        <v>0.3</v>
      </c>
      <c r="H107" s="18">
        <f t="shared" si="9"/>
        <v>10.360000000000007</v>
      </c>
      <c r="I107" s="18">
        <f t="shared" si="10"/>
        <v>0.39771666666666672</v>
      </c>
      <c r="J107" s="18"/>
      <c r="K107" s="18"/>
      <c r="L107" s="18"/>
      <c r="M107" s="18"/>
    </row>
    <row r="108" spans="1:13" x14ac:dyDescent="0.25">
      <c r="A108" s="31">
        <f t="shared" si="7"/>
        <v>91</v>
      </c>
      <c r="B108" s="32" t="s">
        <v>211</v>
      </c>
      <c r="C108" s="18">
        <f t="shared" si="8"/>
        <v>10.360000000000007</v>
      </c>
      <c r="D108" s="18"/>
      <c r="E108" s="18">
        <f>C108*E12/12</f>
        <v>9.4966666666666741E-2</v>
      </c>
      <c r="F108" s="18">
        <f t="shared" si="11"/>
        <v>9.4966666666666741E-2</v>
      </c>
      <c r="G108" s="18">
        <v>0.3</v>
      </c>
      <c r="H108" s="18">
        <f t="shared" si="9"/>
        <v>10.060000000000006</v>
      </c>
      <c r="I108" s="18">
        <f t="shared" si="10"/>
        <v>0.39496666666666674</v>
      </c>
      <c r="J108" s="18"/>
      <c r="K108" s="18" t="s">
        <v>233</v>
      </c>
      <c r="L108" s="18"/>
      <c r="M108" s="18"/>
    </row>
    <row r="109" spans="1:13" x14ac:dyDescent="0.25">
      <c r="A109" s="31">
        <f t="shared" si="7"/>
        <v>92</v>
      </c>
      <c r="B109" s="32" t="s">
        <v>212</v>
      </c>
      <c r="C109" s="18">
        <f t="shared" si="8"/>
        <v>10.060000000000006</v>
      </c>
      <c r="D109" s="18"/>
      <c r="E109" s="18">
        <f>C109*E12/12</f>
        <v>9.2216666666666725E-2</v>
      </c>
      <c r="F109" s="18">
        <f t="shared" si="11"/>
        <v>9.2216666666666725E-2</v>
      </c>
      <c r="G109" s="18">
        <v>0.3</v>
      </c>
      <c r="H109" s="18">
        <f t="shared" si="9"/>
        <v>9.7600000000000051</v>
      </c>
      <c r="I109" s="18">
        <f t="shared" si="10"/>
        <v>0.39221666666666671</v>
      </c>
      <c r="J109" s="18"/>
      <c r="K109" s="18"/>
      <c r="L109" s="18"/>
      <c r="M109" s="18"/>
    </row>
    <row r="110" spans="1:13" x14ac:dyDescent="0.25">
      <c r="A110" s="31">
        <f t="shared" si="7"/>
        <v>93</v>
      </c>
      <c r="B110" s="32" t="s">
        <v>213</v>
      </c>
      <c r="C110" s="18">
        <f t="shared" si="8"/>
        <v>9.7600000000000051</v>
      </c>
      <c r="D110" s="18"/>
      <c r="E110" s="18">
        <f>C110*E12/12</f>
        <v>8.9466666666666708E-2</v>
      </c>
      <c r="F110" s="18">
        <f t="shared" si="11"/>
        <v>8.9466666666666708E-2</v>
      </c>
      <c r="G110" s="18">
        <v>0.3</v>
      </c>
      <c r="H110" s="18">
        <f t="shared" si="9"/>
        <v>9.4600000000000044</v>
      </c>
      <c r="I110" s="18">
        <f t="shared" si="10"/>
        <v>0.38946666666666668</v>
      </c>
      <c r="J110" s="18"/>
      <c r="K110" s="18"/>
      <c r="L110" s="18"/>
      <c r="M110" s="18"/>
    </row>
    <row r="111" spans="1:13" x14ac:dyDescent="0.25">
      <c r="A111" s="31">
        <f t="shared" si="7"/>
        <v>94</v>
      </c>
      <c r="B111" s="32" t="s">
        <v>214</v>
      </c>
      <c r="C111" s="18">
        <f t="shared" si="8"/>
        <v>9.4600000000000044</v>
      </c>
      <c r="D111" s="18"/>
      <c r="E111" s="18">
        <f>C111*E12/12</f>
        <v>8.6716666666666706E-2</v>
      </c>
      <c r="F111" s="18">
        <f t="shared" si="11"/>
        <v>8.6716666666666706E-2</v>
      </c>
      <c r="G111" s="18">
        <v>0.3</v>
      </c>
      <c r="H111" s="18">
        <f t="shared" si="9"/>
        <v>9.1600000000000037</v>
      </c>
      <c r="I111" s="18">
        <f t="shared" si="10"/>
        <v>0.38671666666666671</v>
      </c>
      <c r="J111" s="18"/>
      <c r="K111" s="18"/>
      <c r="L111" s="18"/>
      <c r="M111" s="18"/>
    </row>
    <row r="112" spans="1:13" x14ac:dyDescent="0.25">
      <c r="A112" s="31">
        <f t="shared" si="7"/>
        <v>95</v>
      </c>
      <c r="B112" s="32" t="s">
        <v>215</v>
      </c>
      <c r="C112" s="18">
        <f t="shared" si="8"/>
        <v>9.1600000000000037</v>
      </c>
      <c r="D112" s="18"/>
      <c r="E112" s="18">
        <f>C112*E12/12</f>
        <v>8.3966666666666703E-2</v>
      </c>
      <c r="F112" s="18">
        <f t="shared" si="11"/>
        <v>8.3966666666666703E-2</v>
      </c>
      <c r="G112" s="18">
        <v>0.3</v>
      </c>
      <c r="H112" s="18">
        <f t="shared" si="9"/>
        <v>8.860000000000003</v>
      </c>
      <c r="I112" s="18">
        <f t="shared" si="10"/>
        <v>0.38396666666666668</v>
      </c>
      <c r="J112" s="18"/>
      <c r="K112" s="18"/>
      <c r="L112" s="18"/>
      <c r="M112" s="18"/>
    </row>
    <row r="113" spans="1:13" x14ac:dyDescent="0.25">
      <c r="A113" s="31">
        <f t="shared" si="7"/>
        <v>96</v>
      </c>
      <c r="B113" s="32" t="s">
        <v>216</v>
      </c>
      <c r="C113" s="18">
        <f t="shared" si="8"/>
        <v>8.860000000000003</v>
      </c>
      <c r="D113" s="18"/>
      <c r="E113" s="18">
        <f>C113*E12/12</f>
        <v>8.1216666666666701E-2</v>
      </c>
      <c r="F113" s="18">
        <f t="shared" si="11"/>
        <v>8.1216666666666701E-2</v>
      </c>
      <c r="G113" s="18">
        <v>0.3</v>
      </c>
      <c r="H113" s="18">
        <f t="shared" si="9"/>
        <v>8.5600000000000023</v>
      </c>
      <c r="I113" s="18">
        <f t="shared" si="10"/>
        <v>0.3812166666666667</v>
      </c>
      <c r="J113" s="18"/>
      <c r="K113" s="18"/>
      <c r="L113" s="18"/>
      <c r="M113" s="18"/>
    </row>
    <row r="114" spans="1:13" x14ac:dyDescent="0.25">
      <c r="A114" s="31">
        <f t="shared" si="7"/>
        <v>97</v>
      </c>
      <c r="B114" s="32" t="s">
        <v>217</v>
      </c>
      <c r="C114" s="18">
        <f t="shared" si="8"/>
        <v>8.5600000000000023</v>
      </c>
      <c r="D114" s="18"/>
      <c r="E114" s="18">
        <f>C114*E12/12</f>
        <v>7.8466666666666685E-2</v>
      </c>
      <c r="F114" s="18">
        <f t="shared" si="11"/>
        <v>7.8466666666666685E-2</v>
      </c>
      <c r="G114" s="18">
        <v>0.3</v>
      </c>
      <c r="H114" s="18">
        <f t="shared" si="9"/>
        <v>8.2600000000000016</v>
      </c>
      <c r="I114" s="18">
        <f t="shared" si="10"/>
        <v>0.37846666666666667</v>
      </c>
      <c r="J114" s="18"/>
      <c r="K114" s="18"/>
      <c r="L114" s="18"/>
      <c r="M114" s="18"/>
    </row>
    <row r="115" spans="1:13" x14ac:dyDescent="0.25">
      <c r="A115" s="31">
        <f t="shared" si="7"/>
        <v>98</v>
      </c>
      <c r="B115" s="32" t="s">
        <v>218</v>
      </c>
      <c r="C115" s="18">
        <f t="shared" si="8"/>
        <v>8.2600000000000016</v>
      </c>
      <c r="D115" s="18"/>
      <c r="E115" s="18">
        <f>C115*E12/12</f>
        <v>7.5716666666666682E-2</v>
      </c>
      <c r="F115" s="18">
        <f t="shared" si="11"/>
        <v>7.5716666666666682E-2</v>
      </c>
      <c r="G115" s="18">
        <v>0.3</v>
      </c>
      <c r="H115" s="18">
        <f t="shared" si="9"/>
        <v>7.9600000000000017</v>
      </c>
      <c r="I115" s="18">
        <f t="shared" si="10"/>
        <v>0.3757166666666667</v>
      </c>
      <c r="J115" s="18"/>
      <c r="K115" s="18"/>
      <c r="L115" s="18"/>
      <c r="M115" s="18"/>
    </row>
    <row r="116" spans="1:13" x14ac:dyDescent="0.25">
      <c r="A116" s="31">
        <f t="shared" si="7"/>
        <v>99</v>
      </c>
      <c r="B116" s="32" t="s">
        <v>219</v>
      </c>
      <c r="C116" s="18">
        <f t="shared" si="8"/>
        <v>7.9600000000000017</v>
      </c>
      <c r="D116" s="18"/>
      <c r="E116" s="18">
        <f>C116*E12/12</f>
        <v>7.296666666666668E-2</v>
      </c>
      <c r="F116" s="18">
        <f t="shared" si="11"/>
        <v>7.296666666666668E-2</v>
      </c>
      <c r="G116" s="18">
        <v>0.3</v>
      </c>
      <c r="H116" s="18">
        <f t="shared" si="9"/>
        <v>7.6600000000000019</v>
      </c>
      <c r="I116" s="18">
        <f t="shared" si="10"/>
        <v>0.37296666666666667</v>
      </c>
      <c r="J116" s="18"/>
      <c r="K116" s="18"/>
      <c r="L116" s="18"/>
      <c r="M116" s="18"/>
    </row>
    <row r="117" spans="1:13" x14ac:dyDescent="0.25">
      <c r="A117" s="31">
        <f t="shared" si="7"/>
        <v>100</v>
      </c>
      <c r="B117" s="32" t="s">
        <v>220</v>
      </c>
      <c r="C117" s="18">
        <f t="shared" si="8"/>
        <v>7.6600000000000019</v>
      </c>
      <c r="D117" s="18"/>
      <c r="E117" s="18">
        <f>C117*E12/12</f>
        <v>7.0216666666666691E-2</v>
      </c>
      <c r="F117" s="18">
        <f t="shared" si="11"/>
        <v>7.0216666666666691E-2</v>
      </c>
      <c r="G117" s="18">
        <v>0.3</v>
      </c>
      <c r="H117" s="18">
        <f t="shared" si="9"/>
        <v>7.3600000000000021</v>
      </c>
      <c r="I117" s="18">
        <f t="shared" si="10"/>
        <v>0.37021666666666669</v>
      </c>
      <c r="J117" s="18" t="str">
        <f>B117</f>
        <v>March-31</v>
      </c>
      <c r="K117" s="18">
        <f>SUM(E106:E117)</f>
        <v>1.0241000000000005</v>
      </c>
      <c r="L117" s="18">
        <f>SUM(G106:G117)</f>
        <v>3.5999999999999992</v>
      </c>
      <c r="M117" s="18">
        <f>K117+L117</f>
        <v>4.6240999999999994</v>
      </c>
    </row>
    <row r="118" spans="1:13" x14ac:dyDescent="0.25">
      <c r="A118" s="31">
        <f t="shared" si="7"/>
        <v>101</v>
      </c>
      <c r="B118" s="32" t="s">
        <v>221</v>
      </c>
      <c r="C118" s="18">
        <f t="shared" si="8"/>
        <v>7.3600000000000021</v>
      </c>
      <c r="D118" s="18"/>
      <c r="E118" s="18">
        <f>C118*E12/12</f>
        <v>6.7466666666666689E-2</v>
      </c>
      <c r="F118" s="18">
        <f t="shared" si="11"/>
        <v>6.7466666666666689E-2</v>
      </c>
      <c r="G118" s="18">
        <v>0.33</v>
      </c>
      <c r="H118" s="18">
        <f t="shared" si="9"/>
        <v>7.030000000000002</v>
      </c>
      <c r="I118" s="18">
        <f t="shared" si="10"/>
        <v>0.39746666666666669</v>
      </c>
      <c r="J118" s="18"/>
      <c r="K118" s="18"/>
      <c r="L118" s="18"/>
      <c r="M118" s="18"/>
    </row>
    <row r="119" spans="1:13" x14ac:dyDescent="0.25">
      <c r="A119" s="31">
        <f t="shared" si="7"/>
        <v>102</v>
      </c>
      <c r="B119" s="32" t="s">
        <v>222</v>
      </c>
      <c r="C119" s="18">
        <f t="shared" si="8"/>
        <v>7.030000000000002</v>
      </c>
      <c r="D119" s="18"/>
      <c r="E119" s="18">
        <f>C119*E12/12</f>
        <v>6.4441666666666689E-2</v>
      </c>
      <c r="F119" s="18">
        <f t="shared" si="11"/>
        <v>6.4441666666666689E-2</v>
      </c>
      <c r="G119" s="18">
        <v>0.33</v>
      </c>
      <c r="H119" s="18">
        <f t="shared" si="9"/>
        <v>6.700000000000002</v>
      </c>
      <c r="I119" s="18">
        <f t="shared" si="10"/>
        <v>0.39444166666666669</v>
      </c>
      <c r="J119" s="18"/>
      <c r="K119" s="18"/>
      <c r="L119" s="18"/>
      <c r="M119" s="18"/>
    </row>
    <row r="120" spans="1:13" x14ac:dyDescent="0.25">
      <c r="A120" s="31">
        <f t="shared" si="7"/>
        <v>103</v>
      </c>
      <c r="B120" s="32" t="s">
        <v>223</v>
      </c>
      <c r="C120" s="18">
        <f t="shared" si="8"/>
        <v>6.700000000000002</v>
      </c>
      <c r="D120" s="18"/>
      <c r="E120" s="18">
        <f>C120*E12/12</f>
        <v>6.1416666666666682E-2</v>
      </c>
      <c r="F120" s="18">
        <f t="shared" si="11"/>
        <v>6.1416666666666682E-2</v>
      </c>
      <c r="G120" s="18">
        <v>0.33</v>
      </c>
      <c r="H120" s="18">
        <f t="shared" si="9"/>
        <v>6.3700000000000019</v>
      </c>
      <c r="I120" s="18">
        <f t="shared" si="10"/>
        <v>0.39141666666666669</v>
      </c>
      <c r="J120" s="18"/>
      <c r="K120" s="18"/>
      <c r="L120" s="18"/>
      <c r="M120" s="18"/>
    </row>
    <row r="121" spans="1:13" x14ac:dyDescent="0.25">
      <c r="A121" s="31">
        <f t="shared" si="7"/>
        <v>104</v>
      </c>
      <c r="B121" s="32" t="s">
        <v>224</v>
      </c>
      <c r="C121" s="18">
        <f t="shared" si="8"/>
        <v>6.3700000000000019</v>
      </c>
      <c r="D121" s="18"/>
      <c r="E121" s="18">
        <f>C121*E12/12</f>
        <v>5.8391666666666682E-2</v>
      </c>
      <c r="F121" s="18">
        <f t="shared" si="11"/>
        <v>5.8391666666666682E-2</v>
      </c>
      <c r="G121" s="18">
        <v>0.33</v>
      </c>
      <c r="H121" s="18">
        <f t="shared" si="9"/>
        <v>6.0400000000000018</v>
      </c>
      <c r="I121" s="18">
        <f t="shared" si="10"/>
        <v>0.38839166666666669</v>
      </c>
      <c r="J121" s="18"/>
      <c r="K121" s="18"/>
      <c r="L121" s="18"/>
      <c r="M121" s="18"/>
    </row>
    <row r="122" spans="1:13" x14ac:dyDescent="0.25">
      <c r="A122" s="31">
        <f t="shared" si="7"/>
        <v>105</v>
      </c>
      <c r="B122" s="32" t="s">
        <v>225</v>
      </c>
      <c r="C122" s="18">
        <f t="shared" si="8"/>
        <v>6.0400000000000018</v>
      </c>
      <c r="D122" s="18"/>
      <c r="E122" s="18">
        <f>C122*E12/12</f>
        <v>5.5366666666666682E-2</v>
      </c>
      <c r="F122" s="18">
        <f t="shared" si="11"/>
        <v>5.5366666666666682E-2</v>
      </c>
      <c r="G122" s="18">
        <v>0.33</v>
      </c>
      <c r="H122" s="18">
        <f t="shared" si="9"/>
        <v>5.7100000000000017</v>
      </c>
      <c r="I122" s="18">
        <f t="shared" si="10"/>
        <v>0.38536666666666669</v>
      </c>
      <c r="J122" s="18"/>
      <c r="K122" s="18"/>
      <c r="L122" s="18"/>
      <c r="M122" s="18"/>
    </row>
    <row r="123" spans="1:13" x14ac:dyDescent="0.25">
      <c r="A123" s="31">
        <f t="shared" si="7"/>
        <v>106</v>
      </c>
      <c r="B123" s="32" t="s">
        <v>226</v>
      </c>
      <c r="C123" s="18">
        <f t="shared" si="8"/>
        <v>5.7100000000000017</v>
      </c>
      <c r="D123" s="18"/>
      <c r="E123" s="18">
        <f>C123*E12/12</f>
        <v>5.2341666666666682E-2</v>
      </c>
      <c r="F123" s="18">
        <f t="shared" si="11"/>
        <v>5.2341666666666682E-2</v>
      </c>
      <c r="G123" s="18">
        <v>0.33</v>
      </c>
      <c r="H123" s="18">
        <f t="shared" si="9"/>
        <v>5.3800000000000017</v>
      </c>
      <c r="I123" s="18">
        <f t="shared" si="10"/>
        <v>0.38234166666666669</v>
      </c>
      <c r="J123" s="18"/>
      <c r="K123" s="18"/>
      <c r="L123" s="18"/>
      <c r="M123" s="18"/>
    </row>
    <row r="124" spans="1:13" x14ac:dyDescent="0.25">
      <c r="A124" s="31">
        <f t="shared" si="7"/>
        <v>107</v>
      </c>
      <c r="B124" s="32" t="s">
        <v>227</v>
      </c>
      <c r="C124" s="18">
        <f t="shared" si="8"/>
        <v>5.3800000000000017</v>
      </c>
      <c r="D124" s="18"/>
      <c r="E124" s="18">
        <f>C124*E12/12</f>
        <v>4.9316666666666682E-2</v>
      </c>
      <c r="F124" s="18">
        <f t="shared" si="11"/>
        <v>4.9316666666666682E-2</v>
      </c>
      <c r="G124" s="18">
        <v>0.33</v>
      </c>
      <c r="H124" s="18">
        <f t="shared" si="9"/>
        <v>5.0500000000000016</v>
      </c>
      <c r="I124" s="18">
        <f t="shared" si="10"/>
        <v>0.37931666666666669</v>
      </c>
      <c r="J124" s="18"/>
      <c r="K124" s="18"/>
      <c r="L124" s="18"/>
      <c r="M124" s="18"/>
    </row>
    <row r="125" spans="1:13" x14ac:dyDescent="0.25">
      <c r="A125" s="31">
        <f t="shared" si="7"/>
        <v>108</v>
      </c>
      <c r="B125" s="32" t="s">
        <v>228</v>
      </c>
      <c r="C125" s="18">
        <f t="shared" si="8"/>
        <v>5.0500000000000016</v>
      </c>
      <c r="D125" s="18"/>
      <c r="E125" s="18">
        <f>C125*E12/12</f>
        <v>4.6291666666666682E-2</v>
      </c>
      <c r="F125" s="18">
        <f t="shared" si="11"/>
        <v>4.6291666666666682E-2</v>
      </c>
      <c r="G125" s="18">
        <v>0.33</v>
      </c>
      <c r="H125" s="18">
        <f t="shared" si="9"/>
        <v>4.7200000000000015</v>
      </c>
      <c r="I125" s="18">
        <f t="shared" si="10"/>
        <v>0.37629166666666669</v>
      </c>
      <c r="J125" s="18"/>
      <c r="K125" s="18"/>
      <c r="L125" s="18"/>
      <c r="M125" s="18"/>
    </row>
    <row r="126" spans="1:13" x14ac:dyDescent="0.25">
      <c r="A126" s="31">
        <f t="shared" si="7"/>
        <v>109</v>
      </c>
      <c r="B126" s="32" t="s">
        <v>229</v>
      </c>
      <c r="C126" s="18">
        <f t="shared" si="8"/>
        <v>4.7200000000000015</v>
      </c>
      <c r="D126" s="18"/>
      <c r="E126" s="18">
        <f>C126*E12/12</f>
        <v>4.3266666666666682E-2</v>
      </c>
      <c r="F126" s="18">
        <f t="shared" si="11"/>
        <v>4.3266666666666682E-2</v>
      </c>
      <c r="G126" s="18">
        <v>0.33</v>
      </c>
      <c r="H126" s="18">
        <f>H125-G126</f>
        <v>4.3900000000000015</v>
      </c>
      <c r="I126" s="18">
        <f t="shared" si="10"/>
        <v>0.37326666666666669</v>
      </c>
      <c r="J126" s="18"/>
      <c r="K126" s="18"/>
      <c r="L126" s="18"/>
      <c r="M126" s="18"/>
    </row>
    <row r="127" spans="1:13" x14ac:dyDescent="0.25">
      <c r="A127" s="31">
        <f t="shared" si="7"/>
        <v>110</v>
      </c>
      <c r="B127" s="32" t="s">
        <v>230</v>
      </c>
      <c r="C127" s="18">
        <f>H126</f>
        <v>4.3900000000000015</v>
      </c>
      <c r="D127" s="18"/>
      <c r="E127" s="18">
        <f>C127*E12/12</f>
        <v>4.0241666666666683E-2</v>
      </c>
      <c r="F127" s="18">
        <f t="shared" si="11"/>
        <v>4.0241666666666683E-2</v>
      </c>
      <c r="G127" s="18">
        <v>0.33</v>
      </c>
      <c r="H127" s="18">
        <f>H126-G127</f>
        <v>4.0600000000000014</v>
      </c>
      <c r="I127" s="18">
        <f t="shared" si="10"/>
        <v>0.37024166666666669</v>
      </c>
      <c r="J127" s="18"/>
      <c r="K127" s="18"/>
      <c r="L127" s="18"/>
      <c r="M127" s="18"/>
    </row>
    <row r="128" spans="1:13" x14ac:dyDescent="0.25">
      <c r="A128" s="31">
        <f t="shared" si="7"/>
        <v>111</v>
      </c>
      <c r="B128" s="32" t="s">
        <v>231</v>
      </c>
      <c r="C128" s="18">
        <f t="shared" si="8"/>
        <v>4.0600000000000014</v>
      </c>
      <c r="D128" s="18"/>
      <c r="E128" s="18">
        <f>C128*E12/12</f>
        <v>3.7216666666666683E-2</v>
      </c>
      <c r="F128" s="18">
        <f t="shared" si="11"/>
        <v>3.7216666666666683E-2</v>
      </c>
      <c r="G128" s="18">
        <v>0.33</v>
      </c>
      <c r="H128" s="18">
        <f t="shared" si="9"/>
        <v>3.7300000000000013</v>
      </c>
      <c r="I128" s="18">
        <f t="shared" si="10"/>
        <v>0.36721666666666669</v>
      </c>
      <c r="J128" s="18"/>
      <c r="K128" s="18"/>
      <c r="L128" s="18"/>
      <c r="M128" s="18"/>
    </row>
    <row r="129" spans="1:13" x14ac:dyDescent="0.25">
      <c r="A129" s="31">
        <f t="shared" si="7"/>
        <v>112</v>
      </c>
      <c r="B129" s="32" t="s">
        <v>232</v>
      </c>
      <c r="C129" s="18">
        <f t="shared" si="8"/>
        <v>3.7300000000000013</v>
      </c>
      <c r="D129" s="18"/>
      <c r="E129" s="18">
        <f>C129*E12/12</f>
        <v>3.4191666666666683E-2</v>
      </c>
      <c r="F129" s="18">
        <f t="shared" si="11"/>
        <v>3.4191666666666683E-2</v>
      </c>
      <c r="G129" s="18">
        <v>0.33</v>
      </c>
      <c r="H129" s="18">
        <f t="shared" si="9"/>
        <v>3.4000000000000012</v>
      </c>
      <c r="I129" s="18">
        <f t="shared" si="10"/>
        <v>0.36419166666666669</v>
      </c>
      <c r="J129" s="18" t="str">
        <f>B129</f>
        <v>March-32</v>
      </c>
      <c r="K129" s="18">
        <f>SUM(E118:E129)</f>
        <v>0.60995000000000021</v>
      </c>
      <c r="L129" s="18">
        <f>SUM(G118:G129)</f>
        <v>3.9600000000000004</v>
      </c>
      <c r="M129" s="18">
        <f>K129+L129</f>
        <v>4.5699500000000004</v>
      </c>
    </row>
    <row r="130" spans="1:13" x14ac:dyDescent="0.25">
      <c r="A130" s="31">
        <f t="shared" si="7"/>
        <v>113</v>
      </c>
      <c r="B130" s="32" t="s">
        <v>256</v>
      </c>
      <c r="C130" s="18">
        <f t="shared" si="8"/>
        <v>3.4000000000000012</v>
      </c>
      <c r="D130" s="18"/>
      <c r="E130" s="18">
        <f>C130*E12/12</f>
        <v>3.1166666666666679E-2</v>
      </c>
      <c r="F130" s="18">
        <f t="shared" si="11"/>
        <v>3.1166666666666679E-2</v>
      </c>
      <c r="G130" s="18">
        <v>0.42</v>
      </c>
      <c r="H130" s="18">
        <f t="shared" si="9"/>
        <v>2.9800000000000013</v>
      </c>
      <c r="I130" s="18">
        <f t="shared" si="10"/>
        <v>0.45116666666666666</v>
      </c>
      <c r="J130" s="18"/>
      <c r="K130" s="18"/>
      <c r="L130" s="18"/>
      <c r="M130" s="18"/>
    </row>
    <row r="131" spans="1:13" x14ac:dyDescent="0.25">
      <c r="A131" s="31">
        <f t="shared" si="7"/>
        <v>114</v>
      </c>
      <c r="B131" s="32" t="s">
        <v>257</v>
      </c>
      <c r="C131" s="18">
        <f t="shared" si="8"/>
        <v>2.9800000000000013</v>
      </c>
      <c r="D131" s="18"/>
      <c r="E131" s="18">
        <f>C131*E12/12</f>
        <v>2.731666666666668E-2</v>
      </c>
      <c r="F131" s="18">
        <f t="shared" si="11"/>
        <v>2.731666666666668E-2</v>
      </c>
      <c r="G131" s="18">
        <v>0.42</v>
      </c>
      <c r="H131" s="18">
        <f t="shared" si="9"/>
        <v>2.5600000000000014</v>
      </c>
      <c r="I131" s="18">
        <f t="shared" si="10"/>
        <v>0.44731666666666664</v>
      </c>
      <c r="J131" s="18"/>
      <c r="K131" s="18"/>
      <c r="L131" s="18"/>
      <c r="M131" s="18"/>
    </row>
    <row r="132" spans="1:13" x14ac:dyDescent="0.25">
      <c r="A132" s="31">
        <f t="shared" si="7"/>
        <v>115</v>
      </c>
      <c r="B132" s="32" t="s">
        <v>258</v>
      </c>
      <c r="C132" s="18">
        <f t="shared" si="8"/>
        <v>2.5600000000000014</v>
      </c>
      <c r="D132" s="18"/>
      <c r="E132" s="18">
        <f>C132*E12/12</f>
        <v>2.3466666666666677E-2</v>
      </c>
      <c r="F132" s="18">
        <f t="shared" si="11"/>
        <v>2.3466666666666677E-2</v>
      </c>
      <c r="G132" s="18">
        <v>0.42</v>
      </c>
      <c r="H132" s="18">
        <f t="shared" si="9"/>
        <v>2.1400000000000015</v>
      </c>
      <c r="I132" s="18">
        <f t="shared" si="10"/>
        <v>0.44346666666666668</v>
      </c>
      <c r="J132" s="18"/>
      <c r="K132" s="18"/>
      <c r="L132" s="18"/>
      <c r="M132" s="18"/>
    </row>
    <row r="133" spans="1:13" x14ac:dyDescent="0.25">
      <c r="A133" s="31">
        <f t="shared" si="7"/>
        <v>116</v>
      </c>
      <c r="B133" s="32" t="s">
        <v>259</v>
      </c>
      <c r="C133" s="18">
        <f t="shared" si="8"/>
        <v>2.1400000000000015</v>
      </c>
      <c r="D133" s="18"/>
      <c r="E133" s="18">
        <f>C133*E12/12</f>
        <v>1.9616666666666682E-2</v>
      </c>
      <c r="F133" s="18">
        <f t="shared" si="11"/>
        <v>1.9616666666666682E-2</v>
      </c>
      <c r="G133" s="18">
        <v>0.42</v>
      </c>
      <c r="H133" s="18">
        <f t="shared" si="9"/>
        <v>1.7200000000000015</v>
      </c>
      <c r="I133" s="18">
        <f t="shared" si="10"/>
        <v>0.43961666666666666</v>
      </c>
      <c r="J133" s="18"/>
      <c r="K133" s="18"/>
      <c r="L133" s="18"/>
      <c r="M133" s="18"/>
    </row>
    <row r="134" spans="1:13" x14ac:dyDescent="0.25">
      <c r="A134" s="31">
        <f t="shared" si="7"/>
        <v>117</v>
      </c>
      <c r="B134" s="32" t="s">
        <v>260</v>
      </c>
      <c r="C134" s="18">
        <f t="shared" si="8"/>
        <v>1.7200000000000015</v>
      </c>
      <c r="D134" s="18"/>
      <c r="E134" s="18">
        <f>C134*E12/12</f>
        <v>1.5766666666666682E-2</v>
      </c>
      <c r="F134" s="18">
        <f t="shared" si="11"/>
        <v>1.5766666666666682E-2</v>
      </c>
      <c r="G134" s="18">
        <v>0.42</v>
      </c>
      <c r="H134" s="18">
        <f t="shared" si="9"/>
        <v>1.3000000000000016</v>
      </c>
      <c r="I134" s="18">
        <f t="shared" si="10"/>
        <v>0.43576666666666669</v>
      </c>
      <c r="J134" s="18"/>
      <c r="K134" s="18"/>
      <c r="L134" s="18"/>
      <c r="M134" s="18"/>
    </row>
    <row r="135" spans="1:13" x14ac:dyDescent="0.25">
      <c r="A135" s="31">
        <f t="shared" si="7"/>
        <v>118</v>
      </c>
      <c r="B135" s="32" t="s">
        <v>261</v>
      </c>
      <c r="C135" s="18">
        <f t="shared" si="8"/>
        <v>1.3000000000000016</v>
      </c>
      <c r="D135" s="18"/>
      <c r="E135" s="18">
        <f>C135*E12/12</f>
        <v>1.1916666666666681E-2</v>
      </c>
      <c r="F135" s="18">
        <f t="shared" si="11"/>
        <v>1.1916666666666681E-2</v>
      </c>
      <c r="G135" s="18">
        <v>0.42</v>
      </c>
      <c r="H135" s="18">
        <f t="shared" si="9"/>
        <v>0.88000000000000167</v>
      </c>
      <c r="I135" s="18">
        <f t="shared" si="10"/>
        <v>0.43191666666666667</v>
      </c>
      <c r="J135" s="18"/>
      <c r="K135" s="18"/>
      <c r="L135" s="18"/>
      <c r="M135" s="18"/>
    </row>
    <row r="136" spans="1:13" x14ac:dyDescent="0.25">
      <c r="A136" s="31">
        <f t="shared" si="7"/>
        <v>119</v>
      </c>
      <c r="B136" s="32" t="s">
        <v>262</v>
      </c>
      <c r="C136" s="18">
        <f t="shared" si="8"/>
        <v>0.88000000000000167</v>
      </c>
      <c r="D136" s="18"/>
      <c r="E136" s="18">
        <f>C136*E12/12</f>
        <v>8.066666666666682E-3</v>
      </c>
      <c r="F136" s="18">
        <f t="shared" si="11"/>
        <v>8.066666666666682E-3</v>
      </c>
      <c r="G136" s="18">
        <v>0.42</v>
      </c>
      <c r="H136" s="18">
        <f t="shared" si="9"/>
        <v>0.46000000000000169</v>
      </c>
      <c r="I136" s="18">
        <f>G136+F136</f>
        <v>0.42806666666666665</v>
      </c>
      <c r="J136" s="18"/>
      <c r="K136" s="18"/>
      <c r="L136" s="18"/>
      <c r="M136" s="18"/>
    </row>
    <row r="137" spans="1:13" x14ac:dyDescent="0.25">
      <c r="A137" s="31">
        <f t="shared" si="7"/>
        <v>120</v>
      </c>
      <c r="B137" s="32" t="s">
        <v>263</v>
      </c>
      <c r="C137" s="18">
        <f t="shared" si="8"/>
        <v>0.46000000000000169</v>
      </c>
      <c r="D137" s="18"/>
      <c r="E137" s="18">
        <f>C137*E12/12</f>
        <v>4.2166666666666819E-3</v>
      </c>
      <c r="F137" s="18">
        <f t="shared" si="11"/>
        <v>4.2166666666666819E-3</v>
      </c>
      <c r="G137" s="18">
        <v>0.46</v>
      </c>
      <c r="H137" s="18">
        <f t="shared" si="9"/>
        <v>1.6653345369377348E-15</v>
      </c>
      <c r="I137" s="18">
        <f t="shared" si="10"/>
        <v>0.46421666666666672</v>
      </c>
      <c r="J137" s="18" t="str">
        <f>B137</f>
        <v>Nov-32</v>
      </c>
      <c r="K137" s="18">
        <f>SUM(E130:E137)</f>
        <v>0.14153333333333346</v>
      </c>
      <c r="L137" s="18">
        <f>SUM(G130:G137)</f>
        <v>3.4</v>
      </c>
      <c r="M137" s="18">
        <f>K137+L137</f>
        <v>3.5415333333333332</v>
      </c>
    </row>
    <row r="138" spans="1:13" x14ac:dyDescent="0.25">
      <c r="A138" s="31"/>
      <c r="B138" s="32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3" x14ac:dyDescent="0.25">
      <c r="A139" s="31" t="s">
        <v>11</v>
      </c>
      <c r="B139" s="32"/>
      <c r="C139" s="18"/>
      <c r="D139" s="18"/>
      <c r="E139" s="18"/>
      <c r="F139" s="86">
        <f>SUM(F18:F137)</f>
        <v>14.020287916666671</v>
      </c>
      <c r="G139" s="86">
        <f>SUM(G18:G137)</f>
        <v>25.1</v>
      </c>
      <c r="H139" s="86"/>
      <c r="I139" s="86">
        <f>SUM(I18:I137)</f>
        <v>39.120287916666662</v>
      </c>
      <c r="J139" s="86"/>
      <c r="K139" s="86">
        <f>SUM(K18:K137)</f>
        <v>14.020287916666673</v>
      </c>
      <c r="L139" s="86">
        <f>SUM(L18:L137)</f>
        <v>25.099999999999998</v>
      </c>
      <c r="M139" s="86">
        <f>SUM(M18:M137)</f>
        <v>39.120287916666676</v>
      </c>
    </row>
    <row r="144" spans="1:13" x14ac:dyDescent="0.25">
      <c r="A144" s="2"/>
    </row>
    <row r="146" spans="4:4" x14ac:dyDescent="0.25">
      <c r="D146" s="83"/>
    </row>
    <row r="147" spans="4:4" x14ac:dyDescent="0.25">
      <c r="D147" s="84"/>
    </row>
    <row r="148" spans="4:4" x14ac:dyDescent="0.25">
      <c r="D148" s="83"/>
    </row>
    <row r="149" spans="4:4" x14ac:dyDescent="0.25">
      <c r="D149" s="83"/>
    </row>
    <row r="150" spans="4:4" x14ac:dyDescent="0.25">
      <c r="D150" s="83"/>
    </row>
    <row r="151" spans="4:4" x14ac:dyDescent="0.25">
      <c r="D151" s="83"/>
    </row>
    <row r="152" spans="4:4" x14ac:dyDescent="0.25">
      <c r="D152" s="83"/>
    </row>
    <row r="153" spans="4:4" x14ac:dyDescent="0.25">
      <c r="D153" s="83"/>
    </row>
    <row r="154" spans="4:4" x14ac:dyDescent="0.25">
      <c r="D154" s="83"/>
    </row>
    <row r="155" spans="4:4" x14ac:dyDescent="0.25">
      <c r="D155" s="83"/>
    </row>
    <row r="156" spans="4:4" x14ac:dyDescent="0.25">
      <c r="D156" s="83"/>
    </row>
    <row r="157" spans="4:4" x14ac:dyDescent="0.25">
      <c r="D157" s="83"/>
    </row>
    <row r="158" spans="4:4" x14ac:dyDescent="0.25">
      <c r="D158" s="83"/>
    </row>
  </sheetData>
  <mergeCells count="9">
    <mergeCell ref="B9:C9"/>
    <mergeCell ref="B10:C10"/>
    <mergeCell ref="B11:C11"/>
    <mergeCell ref="B1:K1"/>
    <mergeCell ref="B3:C3"/>
    <mergeCell ref="B4:C4"/>
    <mergeCell ref="B5:C5"/>
    <mergeCell ref="B7:C7"/>
    <mergeCell ref="B8:C8"/>
  </mergeCells>
  <phoneticPr fontId="15" type="noConversion"/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5" sqref="C5"/>
    </sheetView>
  </sheetViews>
  <sheetFormatPr defaultRowHeight="15" x14ac:dyDescent="0.25"/>
  <cols>
    <col min="1" max="1" width="6.42578125" customWidth="1"/>
    <col min="2" max="2" width="43" customWidth="1"/>
    <col min="3" max="3" width="14.7109375" customWidth="1"/>
  </cols>
  <sheetData>
    <row r="1" spans="1:4" ht="15.75" x14ac:dyDescent="0.25">
      <c r="A1" s="77" t="s">
        <v>88</v>
      </c>
    </row>
    <row r="3" spans="1:4" x14ac:dyDescent="0.25">
      <c r="A3" s="76" t="s">
        <v>89</v>
      </c>
      <c r="B3" s="1" t="s">
        <v>85</v>
      </c>
      <c r="C3" s="37" t="s">
        <v>106</v>
      </c>
      <c r="D3" s="1"/>
    </row>
    <row r="5" spans="1:4" s="85" customFormat="1" ht="45" x14ac:dyDescent="0.25">
      <c r="A5" s="90">
        <v>1</v>
      </c>
      <c r="B5" s="85" t="s">
        <v>248</v>
      </c>
      <c r="C5" s="91">
        <v>3500000</v>
      </c>
    </row>
    <row r="6" spans="1:4" x14ac:dyDescent="0.25">
      <c r="A6" s="75">
        <f>A5+1</f>
        <v>2</v>
      </c>
      <c r="B6" t="s">
        <v>105</v>
      </c>
      <c r="C6" s="69">
        <v>1000000</v>
      </c>
    </row>
    <row r="8" spans="1:4" ht="15.75" thickBot="1" x14ac:dyDescent="0.3">
      <c r="B8" s="70" t="s">
        <v>11</v>
      </c>
      <c r="C8" s="71">
        <f>SUM(C5:C6)</f>
        <v>4500000</v>
      </c>
    </row>
    <row r="9" spans="1:4" ht="15.75" thickTop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11" sqref="D11"/>
    </sheetView>
  </sheetViews>
  <sheetFormatPr defaultRowHeight="15" x14ac:dyDescent="0.25"/>
  <cols>
    <col min="2" max="2" width="54.5703125" customWidth="1"/>
    <col min="3" max="3" width="16.85546875" customWidth="1"/>
    <col min="4" max="4" width="31.140625" customWidth="1"/>
    <col min="5" max="5" width="16.85546875" customWidth="1"/>
  </cols>
  <sheetData>
    <row r="1" spans="1:9" ht="15.75" x14ac:dyDescent="0.25">
      <c r="A1" s="77" t="s">
        <v>90</v>
      </c>
    </row>
    <row r="2" spans="1:9" ht="15.75" x14ac:dyDescent="0.25">
      <c r="A2" s="77"/>
    </row>
    <row r="3" spans="1:9" x14ac:dyDescent="0.25">
      <c r="A3" s="76" t="s">
        <v>89</v>
      </c>
      <c r="B3" s="1" t="s">
        <v>85</v>
      </c>
      <c r="C3" s="37" t="s">
        <v>136</v>
      </c>
      <c r="D3" s="1" t="s">
        <v>87</v>
      </c>
      <c r="E3" s="76"/>
      <c r="F3" s="1"/>
    </row>
    <row r="4" spans="1:9" x14ac:dyDescent="0.25">
      <c r="C4" s="69"/>
    </row>
    <row r="5" spans="1:9" x14ac:dyDescent="0.25">
      <c r="B5" s="2" t="s">
        <v>86</v>
      </c>
      <c r="C5" s="69"/>
    </row>
    <row r="6" spans="1:9" ht="30" x14ac:dyDescent="0.25">
      <c r="A6" s="75">
        <v>1</v>
      </c>
      <c r="B6" s="85" t="s">
        <v>286</v>
      </c>
      <c r="C6" s="92">
        <v>7.0000000000000007E-2</v>
      </c>
      <c r="D6" t="s">
        <v>287</v>
      </c>
      <c r="E6" s="75"/>
    </row>
    <row r="7" spans="1:9" x14ac:dyDescent="0.25">
      <c r="A7" s="75">
        <f>A6+1</f>
        <v>2</v>
      </c>
      <c r="B7" t="s">
        <v>288</v>
      </c>
      <c r="C7" s="93">
        <v>0.36</v>
      </c>
      <c r="D7" t="s">
        <v>289</v>
      </c>
      <c r="E7" s="75"/>
    </row>
    <row r="8" spans="1:9" s="85" customFormat="1" x14ac:dyDescent="0.25">
      <c r="A8" s="90">
        <f>A7+1</f>
        <v>3</v>
      </c>
      <c r="B8" s="85" t="s">
        <v>290</v>
      </c>
      <c r="C8" s="93">
        <v>0.16</v>
      </c>
      <c r="D8" t="s">
        <v>291</v>
      </c>
      <c r="E8" s="90"/>
    </row>
    <row r="9" spans="1:9" s="85" customFormat="1" x14ac:dyDescent="0.25">
      <c r="A9" s="90">
        <f>A8+1</f>
        <v>4</v>
      </c>
      <c r="B9" s="85" t="s">
        <v>292</v>
      </c>
      <c r="C9" s="92">
        <v>1.68</v>
      </c>
      <c r="D9" t="s">
        <v>293</v>
      </c>
      <c r="E9" s="90"/>
    </row>
    <row r="10" spans="1:9" s="85" customFormat="1" ht="30" x14ac:dyDescent="0.25">
      <c r="A10" s="90">
        <f>A9+1</f>
        <v>5</v>
      </c>
      <c r="B10" s="85" t="s">
        <v>294</v>
      </c>
      <c r="C10" s="92">
        <v>5.04</v>
      </c>
      <c r="D10" t="s">
        <v>293</v>
      </c>
      <c r="E10" s="90"/>
    </row>
    <row r="11" spans="1:9" s="85" customFormat="1" x14ac:dyDescent="0.25">
      <c r="A11" s="90">
        <f>A10+1</f>
        <v>6</v>
      </c>
      <c r="B11" s="85" t="s">
        <v>295</v>
      </c>
      <c r="C11" s="92">
        <v>0.1</v>
      </c>
      <c r="D11" t="s">
        <v>296</v>
      </c>
      <c r="E11" s="90"/>
    </row>
    <row r="12" spans="1:9" s="85" customFormat="1" x14ac:dyDescent="0.25">
      <c r="A12" s="90"/>
      <c r="B12" s="89"/>
      <c r="C12" s="91"/>
      <c r="F12" s="73"/>
      <c r="G12" s="73"/>
      <c r="H12" s="74"/>
      <c r="I12" s="74"/>
    </row>
    <row r="13" spans="1:9" ht="13.5" customHeight="1" thickBot="1" x14ac:dyDescent="0.3">
      <c r="B13" s="70"/>
      <c r="C13" s="71">
        <f>SUM(C6:C11)</f>
        <v>7.41</v>
      </c>
      <c r="F13" s="72"/>
      <c r="G13" s="72"/>
      <c r="H13" s="73"/>
      <c r="I13" s="73"/>
    </row>
    <row r="14" spans="1:9" ht="15.75" thickTop="1" x14ac:dyDescent="0.25">
      <c r="F14" s="73"/>
      <c r="G14" s="73"/>
      <c r="H14" s="74"/>
      <c r="I14" s="74"/>
    </row>
    <row r="15" spans="1:9" ht="15.75" customHeight="1" x14ac:dyDescent="0.25">
      <c r="F15" s="72"/>
      <c r="G15" s="72"/>
      <c r="H15" s="73"/>
      <c r="I15" s="73"/>
    </row>
    <row r="16" spans="1:9" x14ac:dyDescent="0.25">
      <c r="F16" s="73"/>
      <c r="G16" s="73"/>
      <c r="H16" s="74"/>
      <c r="I16" s="74"/>
    </row>
    <row r="17" spans="6:9" ht="15.75" customHeight="1" x14ac:dyDescent="0.25">
      <c r="F17" s="72"/>
      <c r="G17" s="72"/>
      <c r="H17" s="73"/>
      <c r="I17" s="73"/>
    </row>
    <row r="18" spans="6:9" x14ac:dyDescent="0.25">
      <c r="F18" s="73"/>
      <c r="G18" s="73"/>
      <c r="H18" s="74"/>
      <c r="I18" s="74"/>
    </row>
    <row r="19" spans="6:9" ht="12" customHeight="1" x14ac:dyDescent="0.25">
      <c r="F19" s="72"/>
      <c r="G19" s="72"/>
      <c r="H19" s="73"/>
      <c r="I19" s="73"/>
    </row>
    <row r="20" spans="6:9" x14ac:dyDescent="0.25">
      <c r="F20" s="73"/>
      <c r="G20" s="73"/>
      <c r="H20" s="74"/>
      <c r="I20" s="7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98" zoomScaleNormal="98" workbookViewId="0">
      <selection activeCell="E22" sqref="E22"/>
    </sheetView>
  </sheetViews>
  <sheetFormatPr defaultRowHeight="15" x14ac:dyDescent="0.25"/>
  <cols>
    <col min="1" max="1" width="25.140625" customWidth="1"/>
    <col min="2" max="2" width="12.140625" customWidth="1"/>
    <col min="3" max="3" width="11.85546875" customWidth="1"/>
    <col min="4" max="5" width="9.5703125" bestFit="1" customWidth="1"/>
    <col min="6" max="6" width="11.28515625" customWidth="1"/>
    <col min="7" max="7" width="9.5703125" bestFit="1" customWidth="1"/>
    <col min="8" max="8" width="9.5703125" customWidth="1"/>
  </cols>
  <sheetData>
    <row r="1" spans="1:11" ht="15.75" customHeight="1" x14ac:dyDescent="0.25">
      <c r="A1" s="144" t="s">
        <v>252</v>
      </c>
      <c r="B1" s="144"/>
      <c r="C1" s="144"/>
      <c r="D1" s="144"/>
      <c r="E1" s="144"/>
    </row>
    <row r="2" spans="1:11" ht="15.75" customHeight="1" x14ac:dyDescent="0.25">
      <c r="A2" s="145" t="s">
        <v>100</v>
      </c>
      <c r="B2" s="145"/>
      <c r="C2" s="145"/>
      <c r="D2" s="145"/>
      <c r="E2" s="145"/>
      <c r="F2" s="37" t="s">
        <v>243</v>
      </c>
    </row>
    <row r="3" spans="1:11" ht="15.75" customHeight="1" x14ac:dyDescent="0.25">
      <c r="A3" s="79"/>
      <c r="B3" s="79"/>
      <c r="C3" s="79"/>
      <c r="D3" s="79"/>
      <c r="E3" s="79"/>
    </row>
    <row r="4" spans="1:11" x14ac:dyDescent="0.25">
      <c r="A4" s="78"/>
      <c r="B4" s="76" t="str">
        <f>'Project Details'!C3</f>
        <v>2023-24</v>
      </c>
      <c r="C4" s="76" t="str">
        <f>'Project Details'!D3</f>
        <v>2024-25</v>
      </c>
      <c r="D4" s="76" t="str">
        <f>'Project Details'!E3</f>
        <v>2025-26</v>
      </c>
      <c r="E4" s="76" t="str">
        <f>'Project Details'!F3</f>
        <v>2026-27</v>
      </c>
      <c r="F4" s="76" t="str">
        <f>'Project Details'!G3</f>
        <v>2027-28</v>
      </c>
      <c r="G4" s="76" t="str">
        <f>'Project Details'!H3</f>
        <v>2028-29</v>
      </c>
      <c r="H4" s="76" t="str">
        <f>'Project Details'!I3</f>
        <v>2029-30</v>
      </c>
      <c r="I4" s="76" t="str">
        <f>'Project Details'!J3</f>
        <v>2030-31</v>
      </c>
      <c r="J4" s="76" t="str">
        <f>'Project Details'!K3</f>
        <v>2031-32</v>
      </c>
      <c r="K4" s="76" t="str">
        <f>'Project Details'!L3</f>
        <v>2032-33</v>
      </c>
    </row>
    <row r="5" spans="1:11" x14ac:dyDescent="0.25">
      <c r="B5" s="76" t="s">
        <v>99</v>
      </c>
      <c r="C5" s="76" t="s">
        <v>99</v>
      </c>
      <c r="D5" s="76" t="s">
        <v>99</v>
      </c>
      <c r="E5" s="76" t="s">
        <v>99</v>
      </c>
      <c r="F5" s="76" t="s">
        <v>99</v>
      </c>
      <c r="G5" s="76" t="s">
        <v>99</v>
      </c>
      <c r="H5" s="76" t="s">
        <v>99</v>
      </c>
      <c r="I5" s="76" t="s">
        <v>99</v>
      </c>
      <c r="J5" s="76" t="s">
        <v>99</v>
      </c>
      <c r="K5" s="76" t="s">
        <v>99</v>
      </c>
    </row>
    <row r="6" spans="1:11" x14ac:dyDescent="0.25">
      <c r="A6" s="2" t="s">
        <v>91</v>
      </c>
      <c r="B6" s="2"/>
    </row>
    <row r="7" spans="1:11" x14ac:dyDescent="0.25">
      <c r="A7" t="s">
        <v>98</v>
      </c>
      <c r="B7" s="69">
        <f>'Project Cost'!D23</f>
        <v>9.25</v>
      </c>
      <c r="C7" s="69">
        <f t="shared" ref="C7:K7" si="0">B7</f>
        <v>9.25</v>
      </c>
      <c r="D7" s="69">
        <f t="shared" si="0"/>
        <v>9.25</v>
      </c>
      <c r="E7" s="69">
        <f t="shared" si="0"/>
        <v>9.25</v>
      </c>
      <c r="F7" s="69">
        <f t="shared" si="0"/>
        <v>9.25</v>
      </c>
      <c r="G7" s="69">
        <f t="shared" si="0"/>
        <v>9.25</v>
      </c>
      <c r="H7" s="69">
        <f t="shared" si="0"/>
        <v>9.25</v>
      </c>
      <c r="I7" s="69">
        <f t="shared" si="0"/>
        <v>9.25</v>
      </c>
      <c r="J7" s="69">
        <f t="shared" si="0"/>
        <v>9.25</v>
      </c>
      <c r="K7" s="69">
        <f t="shared" si="0"/>
        <v>9.25</v>
      </c>
    </row>
    <row r="8" spans="1:11" x14ac:dyDescent="0.25">
      <c r="A8" t="s">
        <v>92</v>
      </c>
      <c r="B8" s="80">
        <f>'Project Details'!C76</f>
        <v>6.0437784634083308E-2</v>
      </c>
      <c r="C8" s="69">
        <f>B8+'Project Details'!D76</f>
        <v>1.8337727628201954</v>
      </c>
      <c r="D8" s="69">
        <f>C8+'Project Details'!E74</f>
        <v>4.9371040350054347</v>
      </c>
      <c r="E8" s="69">
        <f>D8+'Project Details'!F74</f>
        <v>8.8765694765378313</v>
      </c>
      <c r="F8" s="69">
        <f>E8+'Project Details'!G74</f>
        <v>13.515827020952973</v>
      </c>
      <c r="G8" s="69">
        <f>F8+'Project Details'!H74</f>
        <v>18.768361924536599</v>
      </c>
      <c r="H8" s="69">
        <f>G8+'Project Details'!I74</f>
        <v>24.915705308839399</v>
      </c>
      <c r="I8" s="69">
        <f>H8+'Project Details'!J74</f>
        <v>31.634781952768599</v>
      </c>
      <c r="J8" s="69">
        <f>I8+'Project Details'!K74</f>
        <v>38.938296184493908</v>
      </c>
      <c r="K8" s="69">
        <f>J8+'Project Details'!L74</f>
        <v>46.733633184918219</v>
      </c>
    </row>
    <row r="9" spans="1:11" x14ac:dyDescent="0.25">
      <c r="A9" t="s">
        <v>101</v>
      </c>
      <c r="B9" s="69">
        <f>25.1-B10</f>
        <v>23.8</v>
      </c>
      <c r="C9" s="69">
        <f t="shared" ref="C9:H9" si="1">B9-C10</f>
        <v>21.880000000000003</v>
      </c>
      <c r="D9" s="69">
        <f t="shared" si="1"/>
        <v>19.480000000000004</v>
      </c>
      <c r="E9" s="69">
        <f t="shared" si="1"/>
        <v>16.960000000000004</v>
      </c>
      <c r="F9" s="69">
        <f t="shared" si="1"/>
        <v>13.960000000000004</v>
      </c>
      <c r="G9" s="69">
        <f t="shared" si="1"/>
        <v>10.960000000000004</v>
      </c>
      <c r="H9" s="69">
        <f t="shared" si="1"/>
        <v>7.3600000000000048</v>
      </c>
      <c r="I9" s="69">
        <f t="shared" ref="I9:K9" si="2">H9-I10</f>
        <v>3.4000000000000044</v>
      </c>
      <c r="J9" s="69">
        <f t="shared" si="2"/>
        <v>4.4408920985006262E-15</v>
      </c>
      <c r="K9" s="69">
        <f t="shared" si="2"/>
        <v>4.4408920985006262E-15</v>
      </c>
    </row>
    <row r="10" spans="1:11" s="85" customFormat="1" ht="30" x14ac:dyDescent="0.25">
      <c r="A10" s="85" t="s">
        <v>131</v>
      </c>
      <c r="B10" s="87">
        <f>'Project Details'!D80</f>
        <v>1.2999999999999998</v>
      </c>
      <c r="C10" s="87">
        <f>'Project Details'!E80</f>
        <v>1.9199999999999997</v>
      </c>
      <c r="D10" s="87">
        <f>'Project Details'!F80</f>
        <v>2.4</v>
      </c>
      <c r="E10" s="87">
        <f>'Project Details'!G80</f>
        <v>2.52</v>
      </c>
      <c r="F10" s="87">
        <f>'Project Details'!H80</f>
        <v>3</v>
      </c>
      <c r="G10" s="87">
        <f>'Project Details'!I80</f>
        <v>3</v>
      </c>
      <c r="H10" s="87">
        <f>'Project Details'!J80</f>
        <v>3.5999999999999992</v>
      </c>
      <c r="I10" s="87">
        <f>'Project Details'!K80</f>
        <v>3.9600000000000004</v>
      </c>
      <c r="J10" s="87">
        <f>'Project Details'!L80</f>
        <v>3.4</v>
      </c>
      <c r="K10" s="87">
        <v>0</v>
      </c>
    </row>
    <row r="11" spans="1:11" x14ac:dyDescent="0.25">
      <c r="A11" t="s">
        <v>107</v>
      </c>
      <c r="B11" s="69">
        <f>'Project Cost'!D25</f>
        <v>0.5</v>
      </c>
      <c r="C11" s="69">
        <f t="shared" ref="C11:H11" si="3">B11</f>
        <v>0.5</v>
      </c>
      <c r="D11" s="69">
        <f t="shared" si="3"/>
        <v>0.5</v>
      </c>
      <c r="E11" s="69">
        <f t="shared" si="3"/>
        <v>0.5</v>
      </c>
      <c r="F11" s="69">
        <f t="shared" si="3"/>
        <v>0.5</v>
      </c>
      <c r="G11" s="69">
        <f t="shared" si="3"/>
        <v>0.5</v>
      </c>
      <c r="H11" s="69">
        <f t="shared" si="3"/>
        <v>0.5</v>
      </c>
      <c r="I11" s="69">
        <f t="shared" ref="I11" si="4">H11</f>
        <v>0.5</v>
      </c>
      <c r="J11" s="69">
        <f t="shared" ref="J11:K11" si="5">I11</f>
        <v>0.5</v>
      </c>
      <c r="K11" s="69">
        <f t="shared" si="5"/>
        <v>0.5</v>
      </c>
    </row>
    <row r="12" spans="1:11" x14ac:dyDescent="0.25">
      <c r="A12" t="s">
        <v>97</v>
      </c>
      <c r="B12" s="69">
        <f>(('Project Details'!C45)/(12*4))</f>
        <v>3.3333333333333335E-3</v>
      </c>
      <c r="C12" s="69">
        <f>(('Project Details'!D45)/(12*4))</f>
        <v>1.0833333333333334E-2</v>
      </c>
      <c r="D12" s="69">
        <f>(('Project Details'!E45)/(12*4))</f>
        <v>1.1458333333333334E-2</v>
      </c>
      <c r="E12" s="69">
        <f>(('Project Details'!F45)/(12*4))</f>
        <v>1.1874999999999998E-2</v>
      </c>
      <c r="F12" s="69">
        <f>(('Project Details'!G45)/(12*4))</f>
        <v>1.2499999999999999E-2</v>
      </c>
      <c r="G12" s="69">
        <f>(('Project Details'!H45)/(12*4))</f>
        <v>1.3125E-2</v>
      </c>
      <c r="H12" s="69">
        <f>(('Project Details'!I45)/(12*4))</f>
        <v>1.375E-2</v>
      </c>
      <c r="I12" s="69">
        <f>(('Project Details'!J45)/(12*4))</f>
        <v>1.3958333333333335E-2</v>
      </c>
      <c r="J12" s="69">
        <f>(('Project Details'!K45)/(12*4))</f>
        <v>1.4374999999999999E-2</v>
      </c>
      <c r="K12" s="69">
        <f>(('Project Details'!L45)/(12*4))</f>
        <v>1.4999999999999999E-2</v>
      </c>
    </row>
    <row r="13" spans="1:11" x14ac:dyDescent="0.25">
      <c r="A13" t="s">
        <v>102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</row>
    <row r="14" spans="1:11" x14ac:dyDescent="0.25">
      <c r="B14" s="69"/>
      <c r="C14" s="69"/>
      <c r="D14" s="69"/>
      <c r="E14" s="69"/>
    </row>
    <row r="15" spans="1:11" ht="15.75" thickBot="1" x14ac:dyDescent="0.3">
      <c r="A15" s="70" t="s">
        <v>11</v>
      </c>
      <c r="B15" s="82">
        <f>SUM(B7:B13)</f>
        <v>34.913771117967414</v>
      </c>
      <c r="C15" s="82">
        <f t="shared" ref="C15:J15" si="6">SUM(C7:C13)</f>
        <v>35.394606096153531</v>
      </c>
      <c r="D15" s="82">
        <f t="shared" si="6"/>
        <v>36.578562368338766</v>
      </c>
      <c r="E15" s="82">
        <f t="shared" si="6"/>
        <v>38.118444476537839</v>
      </c>
      <c r="F15" s="82">
        <f t="shared" si="6"/>
        <v>40.23832702095298</v>
      </c>
      <c r="G15" s="82">
        <f t="shared" si="6"/>
        <v>42.491486924536602</v>
      </c>
      <c r="H15" s="82">
        <f t="shared" si="6"/>
        <v>45.639455308839409</v>
      </c>
      <c r="I15" s="82">
        <f t="shared" si="6"/>
        <v>48.75874028610194</v>
      </c>
      <c r="J15" s="82">
        <f t="shared" si="6"/>
        <v>52.102671184493914</v>
      </c>
      <c r="K15" s="82">
        <f t="shared" ref="K15" si="7">SUM(K7:K13)</f>
        <v>56.498633184918226</v>
      </c>
    </row>
    <row r="16" spans="1:11" x14ac:dyDescent="0.25">
      <c r="A16" s="2" t="s">
        <v>93</v>
      </c>
      <c r="B16" s="81"/>
      <c r="C16" s="69"/>
      <c r="D16" s="69"/>
      <c r="E16" s="69"/>
    </row>
    <row r="17" spans="1:11" x14ac:dyDescent="0.25">
      <c r="A17" t="s">
        <v>94</v>
      </c>
      <c r="B17" s="69">
        <f>Dep!C23</f>
        <v>33.566371097222223</v>
      </c>
      <c r="C17" s="69">
        <f>Dep!D23</f>
        <v>31.7264964875</v>
      </c>
      <c r="D17" s="69">
        <f>Dep!E23</f>
        <v>30.124794963750002</v>
      </c>
      <c r="E17" s="69">
        <f>Dep!F23</f>
        <v>28.729321373625002</v>
      </c>
      <c r="F17" s="69">
        <f>Dep!G23</f>
        <v>27.512544256574998</v>
      </c>
      <c r="G17" s="69">
        <f>Dep!H23</f>
        <v>26.450721598183126</v>
      </c>
      <c r="H17" s="69">
        <f>Dep!I23</f>
        <v>25.523366440540592</v>
      </c>
      <c r="I17" s="69">
        <f>Dep!J23</f>
        <v>24.712789248335948</v>
      </c>
      <c r="J17" s="69">
        <f>Dep!K23</f>
        <v>24.003705857574353</v>
      </c>
      <c r="K17" s="69">
        <f>Dep!L23</f>
        <v>23.382901475778123</v>
      </c>
    </row>
    <row r="18" spans="1:11" x14ac:dyDescent="0.25">
      <c r="A18" t="s">
        <v>95</v>
      </c>
      <c r="B18" s="69">
        <f>('Project Details'!C41)/12</f>
        <v>0.12000000000000001</v>
      </c>
      <c r="C18" s="69">
        <f>('Project Details'!D41)/12</f>
        <v>0.9</v>
      </c>
      <c r="D18" s="69">
        <f>('Project Details'!E41)/12</f>
        <v>1.0799999999999998</v>
      </c>
      <c r="E18" s="69">
        <f>('Project Details'!F41)/12</f>
        <v>1.17</v>
      </c>
      <c r="F18" s="69">
        <f>('Project Details'!G41)/12</f>
        <v>1.26</v>
      </c>
      <c r="G18" s="69">
        <f>('Project Details'!H41)/12</f>
        <v>1.3500000000000003</v>
      </c>
      <c r="H18" s="69">
        <f>('Project Details'!I41)/12</f>
        <v>1.4400000000000002</v>
      </c>
      <c r="I18" s="69">
        <f>('Project Details'!J41)/12</f>
        <v>1.476</v>
      </c>
      <c r="J18" s="69">
        <f>('Project Details'!K41)/12</f>
        <v>1.5119999999999998</v>
      </c>
      <c r="K18" s="69">
        <f>('Project Details'!L41)/12</f>
        <v>1.53</v>
      </c>
    </row>
    <row r="19" spans="1:11" x14ac:dyDescent="0.25">
      <c r="A19" t="s">
        <v>244</v>
      </c>
      <c r="B19" s="69">
        <f>('Project Details'!C45)*3/12</f>
        <v>0.04</v>
      </c>
      <c r="C19" s="69">
        <f>('Project Details'!D45)/12</f>
        <v>4.3333333333333335E-2</v>
      </c>
      <c r="D19" s="69">
        <f>('Project Details'!E45)/12</f>
        <v>4.5833333333333337E-2</v>
      </c>
      <c r="E19" s="69">
        <f>('Project Details'!F45)/12</f>
        <v>4.7499999999999994E-2</v>
      </c>
      <c r="F19" s="69">
        <f>('Project Details'!G45)/12</f>
        <v>4.9999999999999996E-2</v>
      </c>
      <c r="G19" s="69">
        <f>('Project Details'!H45)/12</f>
        <v>5.2499999999999998E-2</v>
      </c>
      <c r="H19" s="69">
        <f>('Project Details'!I45)/12</f>
        <v>5.5E-2</v>
      </c>
      <c r="I19" s="69">
        <f>('Project Details'!J45)/12</f>
        <v>5.5833333333333339E-2</v>
      </c>
      <c r="J19" s="69">
        <f>('Project Details'!K45)/12</f>
        <v>5.7499999999999996E-2</v>
      </c>
      <c r="K19" s="69">
        <f>('Project Details'!L45)/12</f>
        <v>0.06</v>
      </c>
    </row>
    <row r="20" spans="1:11" x14ac:dyDescent="0.25">
      <c r="A20" t="s">
        <v>96</v>
      </c>
      <c r="B20" s="69">
        <v>0.5</v>
      </c>
      <c r="C20" s="69">
        <v>1</v>
      </c>
      <c r="D20" s="69">
        <v>1</v>
      </c>
      <c r="E20" s="69">
        <v>1.5</v>
      </c>
      <c r="F20" s="69">
        <v>1.5</v>
      </c>
      <c r="G20" s="69">
        <v>2</v>
      </c>
      <c r="H20" s="69">
        <v>2</v>
      </c>
      <c r="I20" s="69">
        <v>2.5</v>
      </c>
      <c r="J20" s="69">
        <v>2.5</v>
      </c>
      <c r="K20" s="69">
        <v>2.5</v>
      </c>
    </row>
    <row r="21" spans="1:11" x14ac:dyDescent="0.25">
      <c r="A21" t="s">
        <v>128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</row>
    <row r="22" spans="1:11" x14ac:dyDescent="0.25">
      <c r="A22" t="s">
        <v>130</v>
      </c>
      <c r="B22" s="69">
        <f>'Project Cost'!D14</f>
        <v>0.15</v>
      </c>
      <c r="C22" s="69">
        <f>B22</f>
        <v>0.15</v>
      </c>
      <c r="D22" s="69">
        <f>B22</f>
        <v>0.15</v>
      </c>
      <c r="E22" s="69">
        <f t="shared" ref="E22" si="8">D22</f>
        <v>0.15</v>
      </c>
      <c r="F22" s="69">
        <f t="shared" ref="F22" si="9">D22</f>
        <v>0.15</v>
      </c>
      <c r="G22" s="69">
        <f t="shared" ref="G22" si="10">F22</f>
        <v>0.15</v>
      </c>
      <c r="H22" s="69">
        <f t="shared" ref="H22" si="11">F22</f>
        <v>0.15</v>
      </c>
      <c r="I22" s="69">
        <f t="shared" ref="I22" si="12">H22</f>
        <v>0.15</v>
      </c>
      <c r="J22" s="69">
        <f t="shared" ref="J22" si="13">H22</f>
        <v>0.15</v>
      </c>
      <c r="K22" s="69">
        <f t="shared" ref="K22" si="14">J22</f>
        <v>0.15</v>
      </c>
    </row>
    <row r="23" spans="1:11" s="85" customFormat="1" ht="45" x14ac:dyDescent="0.25">
      <c r="A23" s="85" t="s">
        <v>132</v>
      </c>
      <c r="B23" s="88">
        <v>0.64</v>
      </c>
      <c r="C23" s="88">
        <v>3.02</v>
      </c>
      <c r="D23" s="88">
        <v>6.57</v>
      </c>
      <c r="E23" s="88">
        <v>9.59</v>
      </c>
      <c r="F23" s="87">
        <v>13.55</v>
      </c>
      <c r="G23" s="87">
        <v>16.79</v>
      </c>
      <c r="H23" s="87">
        <v>21.36</v>
      </c>
      <c r="I23" s="85">
        <v>24.94</v>
      </c>
      <c r="J23" s="85">
        <v>29.71</v>
      </c>
      <c r="K23" s="85">
        <v>35.909999999999997</v>
      </c>
    </row>
    <row r="24" spans="1:11" ht="15.75" thickBot="1" x14ac:dyDescent="0.3">
      <c r="A24" s="70" t="s">
        <v>11</v>
      </c>
      <c r="B24" s="82">
        <f t="shared" ref="B24:J24" si="15">SUM(B17:B23)</f>
        <v>35.016371097222219</v>
      </c>
      <c r="C24" s="82">
        <f t="shared" si="15"/>
        <v>36.839829820833337</v>
      </c>
      <c r="D24" s="82">
        <f t="shared" si="15"/>
        <v>38.970628297083337</v>
      </c>
      <c r="E24" s="82">
        <f t="shared" si="15"/>
        <v>41.186821373624994</v>
      </c>
      <c r="F24" s="82">
        <f t="shared" si="15"/>
        <v>44.022544256575003</v>
      </c>
      <c r="G24" s="82">
        <f t="shared" si="15"/>
        <v>46.793221598183123</v>
      </c>
      <c r="H24" s="82">
        <f t="shared" si="15"/>
        <v>50.528366440540594</v>
      </c>
      <c r="I24" s="82">
        <f t="shared" si="15"/>
        <v>53.834622581669279</v>
      </c>
      <c r="J24" s="82">
        <f t="shared" si="15"/>
        <v>57.93320585757435</v>
      </c>
      <c r="K24" s="82">
        <f t="shared" ref="K24" si="16">SUM(K17:K23)</f>
        <v>63.532901475778118</v>
      </c>
    </row>
    <row r="25" spans="1:11" x14ac:dyDescent="0.25">
      <c r="B25" s="69"/>
    </row>
    <row r="26" spans="1:11" x14ac:dyDescent="0.25">
      <c r="A26" t="s">
        <v>111</v>
      </c>
      <c r="B26" s="69">
        <f t="shared" ref="B26:H26" si="17">B15-B24</f>
        <v>-0.10259997925480491</v>
      </c>
      <c r="C26" s="69">
        <f t="shared" si="17"/>
        <v>-1.4452237246798063</v>
      </c>
      <c r="D26" s="69">
        <f t="shared" si="17"/>
        <v>-2.3920659287445716</v>
      </c>
      <c r="E26" s="69">
        <f t="shared" si="17"/>
        <v>-3.0683768970871554</v>
      </c>
      <c r="F26" s="69">
        <f t="shared" si="17"/>
        <v>-3.7842172356220232</v>
      </c>
      <c r="G26" s="69">
        <f t="shared" si="17"/>
        <v>-4.3017346736465214</v>
      </c>
      <c r="H26" s="69">
        <f t="shared" si="17"/>
        <v>-4.8889111317011853</v>
      </c>
      <c r="I26" s="69">
        <f t="shared" ref="I26:J26" si="18">I15-I24</f>
        <v>-5.0758822955673395</v>
      </c>
      <c r="J26" s="69">
        <f t="shared" si="18"/>
        <v>-5.8305346730804359</v>
      </c>
      <c r="K26" s="69">
        <f t="shared" ref="K26" si="19">K15-K24</f>
        <v>-7.0342682908598917</v>
      </c>
    </row>
    <row r="27" spans="1:11" x14ac:dyDescent="0.25">
      <c r="A27" s="1" t="s">
        <v>103</v>
      </c>
      <c r="B27" s="16">
        <f t="shared" ref="B27:H27" si="20">(B9+B12+B13+B10+B11)/(B7+B8)</f>
        <v>2.7499601979607227</v>
      </c>
      <c r="C27" s="16">
        <f t="shared" si="20"/>
        <v>2.1933716843133473</v>
      </c>
      <c r="D27" s="16">
        <f t="shared" si="20"/>
        <v>1.5782966191045316</v>
      </c>
      <c r="E27" s="16">
        <f t="shared" si="20"/>
        <v>1.1029044975044249</v>
      </c>
      <c r="F27" s="16">
        <f t="shared" si="20"/>
        <v>0.7674880417881963</v>
      </c>
      <c r="G27" s="16">
        <f t="shared" si="20"/>
        <v>0.51655857108924752</v>
      </c>
      <c r="H27" s="16">
        <f t="shared" si="20"/>
        <v>0.33582652242310068</v>
      </c>
      <c r="I27" s="16">
        <f t="shared" ref="I27:J27" si="21">(I9+I12+I13+I10+I11)/(I7+I8)</f>
        <v>0.19258897705335901</v>
      </c>
      <c r="J27" s="16">
        <f t="shared" si="21"/>
        <v>8.1230823870871299E-2</v>
      </c>
      <c r="K27" s="16">
        <f t="shared" ref="K27" si="22">(K9+K12+K13+K10+K11)/(K7+K8)</f>
        <v>9.1991171473083944E-3</v>
      </c>
    </row>
    <row r="28" spans="1:11" x14ac:dyDescent="0.25">
      <c r="A28" s="1" t="s">
        <v>104</v>
      </c>
      <c r="B28" s="16">
        <f>(B18+B19+B20+B23)/(B12+B13+B10+B11)</f>
        <v>0.72088724584103514</v>
      </c>
      <c r="C28" s="16">
        <f t="shared" ref="C28:J28" si="23">(C18+C19+C20+C23)/(C12+C13+C10+C11)</f>
        <v>2.0418237915666779</v>
      </c>
      <c r="D28" s="16">
        <f t="shared" si="23"/>
        <v>2.9867620751341684</v>
      </c>
      <c r="E28" s="16">
        <f t="shared" si="23"/>
        <v>4.0593692022263452</v>
      </c>
      <c r="F28" s="16">
        <f t="shared" si="23"/>
        <v>4.6576512455516008</v>
      </c>
      <c r="G28" s="16">
        <f t="shared" si="23"/>
        <v>5.7477317203344596</v>
      </c>
      <c r="H28" s="16">
        <f t="shared" si="23"/>
        <v>6.0419325432999091</v>
      </c>
      <c r="I28" s="16">
        <f t="shared" si="23"/>
        <v>6.4756600698486606</v>
      </c>
      <c r="J28" s="16">
        <f t="shared" si="23"/>
        <v>8.6296024269519407</v>
      </c>
      <c r="K28" s="16">
        <f t="shared" ref="K28" si="24">(K18+K19+K20+K23)/(K12+K13+K10+K11)</f>
        <v>77.669902912621353</v>
      </c>
    </row>
    <row r="29" spans="1:11" x14ac:dyDescent="0.25">
      <c r="A29" s="1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5">
      <c r="A30" t="s">
        <v>326</v>
      </c>
      <c r="B30" s="83">
        <f>Dep!C9</f>
        <v>33.879784166666667</v>
      </c>
      <c r="C30" s="83">
        <f>Dep!D9</f>
        <v>33.879784166666667</v>
      </c>
      <c r="D30" s="83">
        <f>Dep!E9</f>
        <v>33.879784166666667</v>
      </c>
      <c r="E30" s="83">
        <f>Dep!F9</f>
        <v>33.879784166666667</v>
      </c>
      <c r="F30" s="83">
        <f>Dep!G9</f>
        <v>33.879784166666667</v>
      </c>
      <c r="G30" s="83">
        <f>Dep!H9</f>
        <v>33.879784166666667</v>
      </c>
      <c r="H30" s="83">
        <f>Dep!I9</f>
        <v>33.879784166666667</v>
      </c>
      <c r="I30" s="83">
        <f>Dep!J9</f>
        <v>33.879784166666667</v>
      </c>
      <c r="J30" s="83">
        <f>Dep!K9</f>
        <v>33.879784166666667</v>
      </c>
      <c r="K30" s="83">
        <f>Dep!L9</f>
        <v>33.879784166666667</v>
      </c>
    </row>
    <row r="31" spans="1:11" x14ac:dyDescent="0.25">
      <c r="A31" t="s">
        <v>46</v>
      </c>
      <c r="B31" s="83">
        <f>Dep!C16</f>
        <v>0.31341306944444447</v>
      </c>
      <c r="C31" s="83">
        <f>B31+Dep!D16</f>
        <v>2.1532876791666671</v>
      </c>
      <c r="D31" s="83">
        <f>C31+Dep!E16</f>
        <v>3.7549892029166672</v>
      </c>
      <c r="E31" s="83">
        <f>D31+Dep!F16</f>
        <v>5.1504627930416671</v>
      </c>
      <c r="F31" s="83">
        <f>E31+Dep!G16</f>
        <v>6.3672399100916675</v>
      </c>
      <c r="G31" s="83">
        <f>F31+Dep!H16</f>
        <v>7.429062568483543</v>
      </c>
      <c r="H31" s="83">
        <f>G31+Dep!I16</f>
        <v>8.3564177261260753</v>
      </c>
      <c r="I31" s="83">
        <f>H31+Dep!J16</f>
        <v>9.1669949183307207</v>
      </c>
      <c r="J31" s="83">
        <f>I31+Dep!K16</f>
        <v>9.8760783090923141</v>
      </c>
      <c r="K31" s="83">
        <f>J31+Dep!L16</f>
        <v>10.496882690888548</v>
      </c>
    </row>
    <row r="32" spans="1:11" x14ac:dyDescent="0.25">
      <c r="A32" t="s">
        <v>325</v>
      </c>
      <c r="B32" s="83">
        <f>B30-B31</f>
        <v>33.566371097222223</v>
      </c>
      <c r="C32" s="83">
        <f t="shared" ref="C32:K32" si="25">C30-C31</f>
        <v>31.7264964875</v>
      </c>
      <c r="D32" s="83">
        <f t="shared" si="25"/>
        <v>30.124794963749999</v>
      </c>
      <c r="E32" s="83">
        <f t="shared" si="25"/>
        <v>28.729321373624998</v>
      </c>
      <c r="F32" s="83">
        <f t="shared" si="25"/>
        <v>27.512544256574998</v>
      </c>
      <c r="G32" s="83">
        <f t="shared" si="25"/>
        <v>26.450721598183122</v>
      </c>
      <c r="H32" s="83">
        <f t="shared" si="25"/>
        <v>25.523366440540592</v>
      </c>
      <c r="I32" s="83">
        <f t="shared" si="25"/>
        <v>24.712789248335945</v>
      </c>
      <c r="J32" s="83">
        <f t="shared" si="25"/>
        <v>24.003705857574353</v>
      </c>
      <c r="K32" s="83">
        <f t="shared" si="25"/>
        <v>23.38290147577812</v>
      </c>
    </row>
    <row r="33" spans="2:11" s="119" customFormat="1" x14ac:dyDescent="0.25">
      <c r="B33" s="120">
        <f>B17-B32</f>
        <v>0</v>
      </c>
      <c r="C33" s="120">
        <f t="shared" ref="C33:K33" si="26">C17-C32</f>
        <v>0</v>
      </c>
      <c r="D33" s="120">
        <f t="shared" si="26"/>
        <v>0</v>
      </c>
      <c r="E33" s="120">
        <f t="shared" si="26"/>
        <v>0</v>
      </c>
      <c r="F33" s="120">
        <f t="shared" si="26"/>
        <v>0</v>
      </c>
      <c r="G33" s="120">
        <f t="shared" si="26"/>
        <v>0</v>
      </c>
      <c r="H33" s="120">
        <f t="shared" si="26"/>
        <v>0</v>
      </c>
      <c r="I33" s="120">
        <f t="shared" si="26"/>
        <v>0</v>
      </c>
      <c r="J33" s="120">
        <f t="shared" si="26"/>
        <v>0</v>
      </c>
      <c r="K33" s="120">
        <f t="shared" si="26"/>
        <v>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Project Cost</vt:lpstr>
      <vt:lpstr>Project Details</vt:lpstr>
      <vt:lpstr>Dep</vt:lpstr>
      <vt:lpstr>Bank Interest</vt:lpstr>
      <vt:lpstr>Other Assets</vt:lpstr>
      <vt:lpstr>Plant &amp; Machinery</vt:lpstr>
      <vt:lpstr>BS Proj.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2023-01-18T14:10:58Z</dcterms:modified>
</cp:coreProperties>
</file>