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76651638-0AE5-4836-90F1-CFB8D34FF08B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E5" i="3" l="1"/>
  <c r="G5" i="3" s="1"/>
  <c r="H5" i="3" s="1"/>
  <c r="E4" i="3"/>
  <c r="E3" i="3"/>
  <c r="F5" i="3"/>
  <c r="F4" i="3"/>
  <c r="F3" i="3"/>
  <c r="E25" i="2"/>
  <c r="C25" i="2"/>
  <c r="C23" i="2"/>
  <c r="I12" i="2"/>
  <c r="J12" i="2"/>
  <c r="J11" i="2"/>
  <c r="N20" i="2"/>
  <c r="N19" i="2"/>
  <c r="O15" i="2"/>
  <c r="G4" i="3"/>
  <c r="H4" i="3" s="1"/>
  <c r="G3" i="3" l="1"/>
  <c r="H3" i="3" s="1"/>
  <c r="N15" i="2"/>
  <c r="K10" i="2"/>
  <c r="N10" i="2" s="1"/>
  <c r="O10" i="2" s="1"/>
  <c r="P10" i="2" s="1"/>
  <c r="J9" i="2"/>
  <c r="K8" i="2"/>
  <c r="N8" i="2" s="1"/>
  <c r="J8" i="2"/>
  <c r="J7" i="2"/>
  <c r="K7" i="2" s="1"/>
  <c r="N7" i="2" s="1"/>
  <c r="O7" i="2" l="1"/>
  <c r="P7" i="2" s="1"/>
  <c r="O8" i="2"/>
  <c r="P8" i="2" s="1"/>
  <c r="K9" i="2"/>
  <c r="N9" i="2" s="1"/>
  <c r="O9" i="2" s="1"/>
  <c r="P9" i="2" l="1"/>
  <c r="D17" i="2"/>
  <c r="D18" i="2"/>
  <c r="E18" i="2" s="1"/>
  <c r="C19" i="2"/>
  <c r="D19" i="2" s="1"/>
  <c r="F3" i="2"/>
  <c r="C12" i="2"/>
  <c r="C5" i="2"/>
  <c r="J5" i="2" s="1"/>
  <c r="K5" i="2" s="1"/>
  <c r="N5" i="2" s="1"/>
  <c r="C4" i="2"/>
  <c r="O5" i="2" l="1"/>
  <c r="P5" i="2" s="1"/>
  <c r="C6" i="2"/>
  <c r="J4" i="2" l="1"/>
  <c r="C7" i="2"/>
  <c r="D10" i="2"/>
  <c r="E17" i="2" s="1"/>
  <c r="E19" i="2" s="1"/>
  <c r="J6" i="2" l="1"/>
  <c r="K6" i="2" s="1"/>
  <c r="N6" i="2" s="1"/>
  <c r="C11" i="2"/>
  <c r="D11" i="2" s="1"/>
  <c r="K4" i="2"/>
  <c r="J2" i="2"/>
  <c r="N4" i="2" l="1"/>
  <c r="K2" i="2"/>
  <c r="O16" i="2" s="1"/>
  <c r="O17" i="2" s="1"/>
  <c r="O18" i="2" s="1"/>
  <c r="O6" i="2"/>
  <c r="P6" i="2"/>
  <c r="N11" i="2" l="1"/>
  <c r="O4" i="2"/>
  <c r="O11" i="2" s="1"/>
  <c r="P4" i="2" l="1"/>
  <c r="P11" i="2" s="1"/>
  <c r="N16" i="2" l="1"/>
  <c r="N17" i="2" s="1"/>
  <c r="P12" i="2"/>
</calcChain>
</file>

<file path=xl/sharedStrings.xml><?xml version="1.0" encoding="utf-8"?>
<sst xmlns="http://schemas.openxmlformats.org/spreadsheetml/2006/main" count="50" uniqueCount="47">
  <si>
    <t>Regular letter of allotment with offer of possession</t>
  </si>
  <si>
    <t>HSIDC:EO:2000:11503</t>
  </si>
  <si>
    <t>Plot No.</t>
  </si>
  <si>
    <t>area</t>
  </si>
  <si>
    <t>Phase-VI, Industrial Estate Udyog Vihar, Gurgaon</t>
  </si>
  <si>
    <t>Price</t>
  </si>
  <si>
    <t>Conveyance deed</t>
  </si>
  <si>
    <t>Mukesh Kumar Kohli</t>
  </si>
  <si>
    <t>Mukesh K. Kohli</t>
  </si>
  <si>
    <t>Transfer Agreement</t>
  </si>
  <si>
    <t>Allotment Letter</t>
  </si>
  <si>
    <t>247.50 sqm</t>
  </si>
  <si>
    <t>HSIDC</t>
  </si>
  <si>
    <t>NoC to mortagage</t>
  </si>
  <si>
    <t>HSIIDC:UV:2012-8389</t>
  </si>
  <si>
    <t>M/s Kohli Enterprises</t>
  </si>
  <si>
    <t>Plot Area</t>
  </si>
  <si>
    <t>Perm. Covered area on GroundFloor (60%)</t>
  </si>
  <si>
    <t>sqm</t>
  </si>
  <si>
    <t>Prop. Covered area on G Floor</t>
  </si>
  <si>
    <t>Prop. Covered area on B Floor</t>
  </si>
  <si>
    <t>Prop. Covered area on F Floor</t>
  </si>
  <si>
    <t>Prop. Covered area on S Floor</t>
  </si>
  <si>
    <t>Prop. Covered area on Mumty</t>
  </si>
  <si>
    <t>Prop. Covered area on Mezz.</t>
  </si>
  <si>
    <t>FAR Achieved</t>
  </si>
  <si>
    <t>Perm. FAR</t>
  </si>
  <si>
    <t>RCC</t>
  </si>
  <si>
    <t>Shed</t>
  </si>
  <si>
    <t>B</t>
  </si>
  <si>
    <t>G</t>
  </si>
  <si>
    <t>F</t>
  </si>
  <si>
    <t>S</t>
  </si>
  <si>
    <t>Mumty</t>
  </si>
  <si>
    <t>Mezz.</t>
  </si>
  <si>
    <t>Total Covered</t>
  </si>
  <si>
    <t>sqft</t>
  </si>
  <si>
    <t>YoC</t>
  </si>
  <si>
    <t>CoC/sqft</t>
  </si>
  <si>
    <t>GCRC</t>
  </si>
  <si>
    <t>Dep.</t>
  </si>
  <si>
    <t>DRC</t>
  </si>
  <si>
    <t>https://www.99acres.com/factory-for-sale-in-udyog-vihar-industrial-area-phase-6-gurgaon-2688-sq-ft-r2-spid-D64042300</t>
  </si>
  <si>
    <t>land area</t>
  </si>
  <si>
    <t>https://www.99acres.com/factory-for-sale-in-udyog-vihar-industrial-area-phase-6-gurgaon-3398-sq-ft-r2-spid-M64419508</t>
  </si>
  <si>
    <t>https://www.99acres.com/factory-for-sale-in-udyog-vihar-industrial-area-phase-6-gurgaon-3398-sq-ft-r2-spid-U64042008</t>
  </si>
  <si>
    <t>sqmtr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</si>
</sst>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43" fontId="0" fillId="0" borderId="0" xfId="1" applyFont="1"/>
    <xf numFmtId="43" fontId="0" fillId="0" borderId="0" xfId="0" applyNumberFormat="1"/>
    <xf numFmtId="9" fontId="0" fillId="0" borderId="0" xfId="2" applyFont="1"/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0" fontId="0" fillId="2" borderId="1" xfId="0" applyFill="1" applyBorder="1"/>
    <xf numFmtId="164" fontId="0" fillId="0" borderId="1" xfId="0" applyNumberFormat="1" applyBorder="1"/>
    <xf numFmtId="164" fontId="2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"/>
  <sheetViews>
    <sheetView workbookViewId="0">
      <selection activeCell="I14" sqref="I14:M15"/>
    </sheetView>
  </sheetViews>
  <sheetFormatPr defaultRowHeight="15" x14ac:dyDescent="0.25"/>
  <cols>
    <col min="2" max="2" width="26.5703125" customWidth="1"/>
    <col min="4" max="4" width="10.42578125" bestFit="1" customWidth="1"/>
    <col min="8" max="8" width="11.5703125" style="2" bestFit="1" customWidth="1"/>
    <col min="9" max="9" width="20.28515625" style="2" bestFit="1" customWidth="1"/>
    <col min="10" max="10" width="14.28515625" style="2" bestFit="1" customWidth="1"/>
    <col min="11" max="11" width="15.28515625" style="2" bestFit="1" customWidth="1"/>
    <col min="12" max="12" width="16.85546875" style="2" bestFit="1" customWidth="1"/>
  </cols>
  <sheetData>
    <row r="3" spans="1:9" x14ac:dyDescent="0.25">
      <c r="E3" t="s">
        <v>3</v>
      </c>
      <c r="F3" t="s">
        <v>2</v>
      </c>
      <c r="H3" s="2" t="s">
        <v>5</v>
      </c>
    </row>
    <row r="4" spans="1:9" x14ac:dyDescent="0.25">
      <c r="A4" t="s">
        <v>0</v>
      </c>
      <c r="B4" t="s">
        <v>1</v>
      </c>
      <c r="D4" s="1">
        <v>36745</v>
      </c>
      <c r="E4" t="s">
        <v>11</v>
      </c>
      <c r="F4">
        <v>258</v>
      </c>
      <c r="G4" t="s">
        <v>4</v>
      </c>
      <c r="H4" s="2">
        <v>750000</v>
      </c>
      <c r="I4" s="2" t="s">
        <v>7</v>
      </c>
    </row>
    <row r="5" spans="1:9" x14ac:dyDescent="0.25">
      <c r="A5" t="s">
        <v>6</v>
      </c>
      <c r="B5" t="s">
        <v>12</v>
      </c>
      <c r="C5" t="s">
        <v>8</v>
      </c>
      <c r="D5" s="1">
        <v>44600</v>
      </c>
      <c r="F5">
        <v>258</v>
      </c>
      <c r="G5" t="s">
        <v>4</v>
      </c>
      <c r="H5" s="2">
        <v>844540</v>
      </c>
    </row>
    <row r="6" spans="1:9" x14ac:dyDescent="0.25">
      <c r="A6" t="s">
        <v>9</v>
      </c>
      <c r="D6" s="1">
        <v>36749</v>
      </c>
    </row>
    <row r="7" spans="1:9" x14ac:dyDescent="0.25">
      <c r="A7" t="s">
        <v>10</v>
      </c>
      <c r="D7" s="1">
        <v>36745</v>
      </c>
    </row>
    <row r="8" spans="1:9" x14ac:dyDescent="0.25">
      <c r="A8" t="s">
        <v>13</v>
      </c>
      <c r="B8" t="s">
        <v>14</v>
      </c>
      <c r="C8" t="s">
        <v>15</v>
      </c>
      <c r="D8" s="1">
        <v>41149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5"/>
  <sheetViews>
    <sheetView tabSelected="1" topLeftCell="B1" workbookViewId="0">
      <selection activeCell="P20" sqref="P20"/>
    </sheetView>
  </sheetViews>
  <sheetFormatPr defaultRowHeight="15" x14ac:dyDescent="0.25"/>
  <cols>
    <col min="2" max="2" width="39.140625" bestFit="1" customWidth="1"/>
    <col min="3" max="3" width="9" style="3" bestFit="1" customWidth="1"/>
    <col min="4" max="4" width="5.5703125" bestFit="1" customWidth="1"/>
    <col min="5" max="5" width="13.42578125" bestFit="1" customWidth="1"/>
    <col min="10" max="10" width="7.42578125" style="3" bestFit="1" customWidth="1"/>
    <col min="11" max="11" width="9.140625" style="2"/>
    <col min="14" max="15" width="11.5703125" bestFit="1" customWidth="1"/>
    <col min="16" max="16" width="15" bestFit="1" customWidth="1"/>
  </cols>
  <sheetData>
    <row r="2" spans="2:16" x14ac:dyDescent="0.25">
      <c r="J2" s="3">
        <f>SUM(J4:J10)</f>
        <v>622.87300000000005</v>
      </c>
      <c r="K2" s="2">
        <f>SUM(K4:K10)</f>
        <v>6704.6049720000001</v>
      </c>
      <c r="O2">
        <v>2023</v>
      </c>
    </row>
    <row r="3" spans="2:16" x14ac:dyDescent="0.25">
      <c r="B3" s="7" t="s">
        <v>16</v>
      </c>
      <c r="C3" s="3">
        <v>247.5</v>
      </c>
      <c r="D3" t="s">
        <v>18</v>
      </c>
      <c r="E3" s="3">
        <v>1.1959900000000001</v>
      </c>
      <c r="F3" s="4">
        <f>E3*C3</f>
        <v>296.00752500000004</v>
      </c>
      <c r="I3" s="8"/>
      <c r="J3" s="9" t="s">
        <v>18</v>
      </c>
      <c r="K3" s="10" t="s">
        <v>36</v>
      </c>
      <c r="L3" s="8" t="s">
        <v>37</v>
      </c>
      <c r="M3" s="8" t="s">
        <v>38</v>
      </c>
      <c r="N3" s="8" t="s">
        <v>39</v>
      </c>
      <c r="O3" s="8" t="s">
        <v>40</v>
      </c>
      <c r="P3" s="8" t="s">
        <v>41</v>
      </c>
    </row>
    <row r="4" spans="2:16" x14ac:dyDescent="0.25">
      <c r="B4" t="s">
        <v>17</v>
      </c>
      <c r="C4" s="3">
        <f>C3*0.6</f>
        <v>148.5</v>
      </c>
      <c r="I4" s="8" t="s">
        <v>29</v>
      </c>
      <c r="J4" s="9">
        <f>C6</f>
        <v>148.5</v>
      </c>
      <c r="K4" s="10">
        <f>J4*10.764</f>
        <v>1598.454</v>
      </c>
      <c r="L4" s="8">
        <v>2000</v>
      </c>
      <c r="M4" s="8">
        <v>1600</v>
      </c>
      <c r="N4" s="10">
        <f>M4*K4</f>
        <v>2557526.4</v>
      </c>
      <c r="O4" s="10">
        <f>N4*($O$2-L4)*1.5%</f>
        <v>882346.60799999989</v>
      </c>
      <c r="P4" s="10">
        <f>N4-O4</f>
        <v>1675179.7919999999</v>
      </c>
    </row>
    <row r="5" spans="2:16" x14ac:dyDescent="0.25">
      <c r="B5" t="s">
        <v>19</v>
      </c>
      <c r="C5" s="3">
        <f>C3*0.6</f>
        <v>148.5</v>
      </c>
      <c r="I5" s="8" t="s">
        <v>30</v>
      </c>
      <c r="J5" s="9">
        <f>C5</f>
        <v>148.5</v>
      </c>
      <c r="K5" s="10">
        <f t="shared" ref="K5:K10" si="0">J5*10.764</f>
        <v>1598.454</v>
      </c>
      <c r="L5" s="8">
        <v>2000</v>
      </c>
      <c r="M5" s="8">
        <v>1600</v>
      </c>
      <c r="N5" s="10">
        <f t="shared" ref="N5:N10" si="1">M5*K5</f>
        <v>2557526.4</v>
      </c>
      <c r="O5" s="10">
        <f t="shared" ref="O5:O9" si="2">N5*($O$2-L5)*1.5%</f>
        <v>882346.60799999989</v>
      </c>
      <c r="P5" s="10">
        <f t="shared" ref="P5:P10" si="3">N5-O5</f>
        <v>1675179.7919999999</v>
      </c>
    </row>
    <row r="6" spans="2:16" x14ac:dyDescent="0.25">
      <c r="B6" t="s">
        <v>20</v>
      </c>
      <c r="C6" s="3">
        <f>C5</f>
        <v>148.5</v>
      </c>
      <c r="I6" s="8" t="s">
        <v>31</v>
      </c>
      <c r="J6" s="9">
        <f>C7</f>
        <v>148.5</v>
      </c>
      <c r="K6" s="10">
        <f t="shared" si="0"/>
        <v>1598.454</v>
      </c>
      <c r="L6" s="8">
        <v>2000</v>
      </c>
      <c r="M6" s="8">
        <v>1600</v>
      </c>
      <c r="N6" s="10">
        <f t="shared" si="1"/>
        <v>2557526.4</v>
      </c>
      <c r="O6" s="10">
        <f t="shared" si="2"/>
        <v>882346.60799999989</v>
      </c>
      <c r="P6" s="10">
        <f t="shared" si="3"/>
        <v>1675179.7919999999</v>
      </c>
    </row>
    <row r="7" spans="2:16" x14ac:dyDescent="0.25">
      <c r="B7" t="s">
        <v>21</v>
      </c>
      <c r="C7" s="3">
        <f>C6</f>
        <v>148.5</v>
      </c>
      <c r="I7" s="8" t="s">
        <v>32</v>
      </c>
      <c r="J7" s="9">
        <f>C8</f>
        <v>12.364000000000001</v>
      </c>
      <c r="K7" s="10">
        <f t="shared" si="0"/>
        <v>133.086096</v>
      </c>
      <c r="L7" s="8">
        <v>2000</v>
      </c>
      <c r="M7" s="8">
        <v>1600</v>
      </c>
      <c r="N7" s="10">
        <f t="shared" si="1"/>
        <v>212937.7536</v>
      </c>
      <c r="O7" s="10">
        <f t="shared" si="2"/>
        <v>73463.524991999991</v>
      </c>
      <c r="P7" s="10">
        <f t="shared" si="3"/>
        <v>139474.228608</v>
      </c>
    </row>
    <row r="8" spans="2:16" x14ac:dyDescent="0.25">
      <c r="B8" t="s">
        <v>22</v>
      </c>
      <c r="C8" s="3">
        <v>12.364000000000001</v>
      </c>
      <c r="I8" s="8" t="s">
        <v>34</v>
      </c>
      <c r="J8" s="9">
        <f>C10</f>
        <v>39.426000000000002</v>
      </c>
      <c r="K8" s="10">
        <f t="shared" si="0"/>
        <v>424.38146399999999</v>
      </c>
      <c r="L8" s="8">
        <v>2000</v>
      </c>
      <c r="M8" s="8">
        <v>1600</v>
      </c>
      <c r="N8" s="10">
        <f t="shared" si="1"/>
        <v>679010.34239999996</v>
      </c>
      <c r="O8" s="10">
        <f t="shared" si="2"/>
        <v>234258.56812799998</v>
      </c>
      <c r="P8" s="10">
        <f t="shared" si="3"/>
        <v>444751.77427199995</v>
      </c>
    </row>
    <row r="9" spans="2:16" x14ac:dyDescent="0.25">
      <c r="B9" t="s">
        <v>23</v>
      </c>
      <c r="C9" s="3">
        <v>19.023</v>
      </c>
      <c r="I9" s="8" t="s">
        <v>33</v>
      </c>
      <c r="J9" s="9">
        <f>C9</f>
        <v>19.023</v>
      </c>
      <c r="K9" s="10">
        <f t="shared" si="0"/>
        <v>204.76357199999998</v>
      </c>
      <c r="L9" s="8">
        <v>2000</v>
      </c>
      <c r="M9" s="8">
        <v>1600</v>
      </c>
      <c r="N9" s="10">
        <f t="shared" si="1"/>
        <v>327621.71519999998</v>
      </c>
      <c r="O9" s="10">
        <f t="shared" si="2"/>
        <v>113029.491744</v>
      </c>
      <c r="P9" s="10">
        <f t="shared" si="3"/>
        <v>214592.22345599998</v>
      </c>
    </row>
    <row r="10" spans="2:16" x14ac:dyDescent="0.25">
      <c r="B10" t="s">
        <v>24</v>
      </c>
      <c r="C10" s="3">
        <v>39.426000000000002</v>
      </c>
      <c r="D10" s="6">
        <f>SUM(C5:C10)</f>
        <v>516.31299999999999</v>
      </c>
      <c r="E10" t="s">
        <v>35</v>
      </c>
      <c r="I10" s="11" t="s">
        <v>28</v>
      </c>
      <c r="J10" s="9">
        <v>106.56</v>
      </c>
      <c r="K10" s="10">
        <f t="shared" si="0"/>
        <v>1147.0118399999999</v>
      </c>
      <c r="L10" s="8">
        <v>2000</v>
      </c>
      <c r="M10" s="8">
        <v>600</v>
      </c>
      <c r="N10" s="10">
        <f t="shared" si="1"/>
        <v>688207.10399999993</v>
      </c>
      <c r="O10" s="10">
        <f>N10*($O$2-L10)*2.5%</f>
        <v>395719.08480000001</v>
      </c>
      <c r="P10" s="10">
        <f t="shared" si="3"/>
        <v>292488.01919999992</v>
      </c>
    </row>
    <row r="11" spans="2:16" x14ac:dyDescent="0.25">
      <c r="B11" t="s">
        <v>25</v>
      </c>
      <c r="C11" s="3">
        <f>C8+C7+C5</f>
        <v>309.36400000000003</v>
      </c>
      <c r="D11" s="5">
        <f>C11/C3</f>
        <v>1.2499555555555557</v>
      </c>
      <c r="I11" s="8"/>
      <c r="J11" s="9">
        <f>SUM(J4:J10)</f>
        <v>622.87300000000005</v>
      </c>
      <c r="K11" s="10"/>
      <c r="L11" s="8"/>
      <c r="M11" s="8"/>
      <c r="N11" s="12">
        <f>SUM(N4:N10)</f>
        <v>9580356.1151999999</v>
      </c>
      <c r="O11" s="12">
        <f t="shared" ref="O11:P11" si="4">SUM(O4:O10)</f>
        <v>3463510.4936639993</v>
      </c>
      <c r="P11" s="13">
        <f t="shared" si="4"/>
        <v>6116845.6215359997</v>
      </c>
    </row>
    <row r="12" spans="2:16" x14ac:dyDescent="0.25">
      <c r="B12" t="s">
        <v>26</v>
      </c>
      <c r="C12" s="3">
        <f>C3*1.25</f>
        <v>309.375</v>
      </c>
      <c r="I12" s="4">
        <f>J11*10.764</f>
        <v>6704.6049720000001</v>
      </c>
      <c r="J12" s="3">
        <f>J11-J10</f>
        <v>516.3130000000001</v>
      </c>
      <c r="P12" s="6">
        <f>P11*0.7</f>
        <v>4281791.9350751992</v>
      </c>
    </row>
    <row r="14" spans="2:16" x14ac:dyDescent="0.25">
      <c r="N14" s="2">
        <v>85000</v>
      </c>
      <c r="O14">
        <v>60500</v>
      </c>
    </row>
    <row r="15" spans="2:16" x14ac:dyDescent="0.25">
      <c r="N15" s="2">
        <f>N14*C3</f>
        <v>21037500</v>
      </c>
      <c r="O15" s="2">
        <f>O14*C3</f>
        <v>14973750</v>
      </c>
    </row>
    <row r="16" spans="2:16" x14ac:dyDescent="0.25">
      <c r="N16" s="6">
        <f>P11</f>
        <v>6116845.6215359997</v>
      </c>
      <c r="O16" s="6">
        <f>K2*800</f>
        <v>5363683.9775999999</v>
      </c>
    </row>
    <row r="17" spans="2:15" x14ac:dyDescent="0.25">
      <c r="B17" t="s">
        <v>27</v>
      </c>
      <c r="C17" s="2">
        <v>5828</v>
      </c>
      <c r="D17" s="6">
        <f>C17/10.764</f>
        <v>541.43441099962843</v>
      </c>
      <c r="E17" s="2">
        <f>D10</f>
        <v>516.31299999999999</v>
      </c>
      <c r="N17" s="6">
        <f>SUM(N15:N16)</f>
        <v>27154345.621536002</v>
      </c>
      <c r="O17" s="6">
        <f>SUM(O15:O16)</f>
        <v>20337433.977600001</v>
      </c>
    </row>
    <row r="18" spans="2:15" x14ac:dyDescent="0.25">
      <c r="B18" t="s">
        <v>28</v>
      </c>
      <c r="C18" s="2">
        <v>1147</v>
      </c>
      <c r="D18" s="6">
        <f>C18/10.764</f>
        <v>106.55890003716091</v>
      </c>
      <c r="E18" s="2">
        <f>D18</f>
        <v>106.55890003716091</v>
      </c>
      <c r="N18" s="2">
        <v>27200000</v>
      </c>
      <c r="O18" s="5">
        <f>O17/N18</f>
        <v>0.74769977858823533</v>
      </c>
    </row>
    <row r="19" spans="2:15" x14ac:dyDescent="0.25">
      <c r="C19" s="2">
        <f>SUM(C17:C18)</f>
        <v>6975</v>
      </c>
      <c r="D19" s="6">
        <f>C19/10.764</f>
        <v>647.99331103678935</v>
      </c>
      <c r="E19" s="2">
        <f>SUM(E17:E18)</f>
        <v>622.87190003716091</v>
      </c>
      <c r="N19" s="6">
        <f>N18*0.85</f>
        <v>23120000</v>
      </c>
    </row>
    <row r="20" spans="2:15" x14ac:dyDescent="0.25">
      <c r="N20" s="6">
        <f>N18*0.75</f>
        <v>20400000</v>
      </c>
    </row>
    <row r="22" spans="2:15" x14ac:dyDescent="0.25">
      <c r="B22" s="2"/>
      <c r="C22" s="2">
        <v>1457</v>
      </c>
    </row>
    <row r="23" spans="2:15" x14ac:dyDescent="0.25">
      <c r="B23" s="3"/>
      <c r="C23" s="2">
        <f>C22*4</f>
        <v>5828</v>
      </c>
    </row>
    <row r="24" spans="2:15" x14ac:dyDescent="0.25">
      <c r="C24" s="2">
        <v>1147</v>
      </c>
    </row>
    <row r="25" spans="2:15" x14ac:dyDescent="0.25">
      <c r="C25" s="2">
        <f>C24+C23</f>
        <v>6975</v>
      </c>
      <c r="E25" s="4">
        <f>C25/10.764</f>
        <v>647.99331103678935</v>
      </c>
    </row>
  </sheetData>
  <pageMargins left="0.7" right="0.7" top="0.75" bottom="0.75" header="0.3" footer="0.3"/>
  <pageSetup orientation="portrait" r:id="rId1"/>
  <ignoredErrors>
    <ignoredError sqref="J8 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I5"/>
  <sheetViews>
    <sheetView workbookViewId="0">
      <selection activeCell="H3" sqref="H3:H5"/>
    </sheetView>
  </sheetViews>
  <sheetFormatPr defaultRowHeight="15" x14ac:dyDescent="0.25"/>
  <cols>
    <col min="5" max="5" width="14.28515625" style="2" bestFit="1" customWidth="1"/>
    <col min="6" max="7" width="11.5703125" style="2" bestFit="1" customWidth="1"/>
    <col min="8" max="8" width="7.42578125" style="2" bestFit="1" customWidth="1"/>
    <col min="9" max="9" width="9.140625" style="2"/>
  </cols>
  <sheetData>
    <row r="1" spans="3:8" x14ac:dyDescent="0.25">
      <c r="D1" t="s">
        <v>46</v>
      </c>
    </row>
    <row r="2" spans="3:8" x14ac:dyDescent="0.25">
      <c r="D2" t="s">
        <v>43</v>
      </c>
    </row>
    <row r="3" spans="3:8" x14ac:dyDescent="0.25">
      <c r="C3" t="s">
        <v>42</v>
      </c>
      <c r="D3">
        <v>250</v>
      </c>
      <c r="E3" s="2">
        <f>2.6*10^7</f>
        <v>26000000</v>
      </c>
      <c r="F3" s="2">
        <f>50*10^5</f>
        <v>5000000</v>
      </c>
      <c r="G3" s="2">
        <f>E3-F3</f>
        <v>21000000</v>
      </c>
      <c r="H3" s="2">
        <f>G3/D3</f>
        <v>84000</v>
      </c>
    </row>
    <row r="4" spans="3:8" x14ac:dyDescent="0.25">
      <c r="C4" t="s">
        <v>44</v>
      </c>
      <c r="D4">
        <v>316</v>
      </c>
      <c r="E4" s="2">
        <f>3*10^7</f>
        <v>30000000</v>
      </c>
      <c r="F4" s="2">
        <f t="shared" ref="F4:F5" si="0">50*10^5</f>
        <v>5000000</v>
      </c>
      <c r="G4" s="2">
        <f t="shared" ref="G4:G5" si="1">E4-F4</f>
        <v>25000000</v>
      </c>
      <c r="H4" s="2">
        <f t="shared" ref="H4:H5" si="2">G4/D4</f>
        <v>79113.924050632908</v>
      </c>
    </row>
    <row r="5" spans="3:8" x14ac:dyDescent="0.25">
      <c r="C5" t="s">
        <v>45</v>
      </c>
      <c r="D5">
        <v>316</v>
      </c>
      <c r="E5" s="2">
        <f>2.9*10^7</f>
        <v>29000000</v>
      </c>
      <c r="F5" s="2">
        <f t="shared" si="0"/>
        <v>5000000</v>
      </c>
      <c r="G5" s="2">
        <f t="shared" si="1"/>
        <v>24000000</v>
      </c>
      <c r="H5" s="2">
        <f t="shared" si="2"/>
        <v>75949.3670886076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2023-01-18T06:47:30Z</dcterms:modified>
</cp:coreProperties>
</file>