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392A0EB7-AE0C-45DD-8616-86FCA29DAFF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ject Cost 2" sheetId="1" r:id="rId1"/>
    <sheet name="Project Cost 1" sheetId="2" r:id="rId2"/>
    <sheet name="Quotations" sheetId="3" r:id="rId3"/>
    <sheet name="Sheet1" sheetId="4" r:id="rId4"/>
  </sheets>
  <externalReferences>
    <externalReference r:id="rId5"/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I22" i="1"/>
  <c r="W20" i="1"/>
  <c r="H12" i="2"/>
  <c r="I17" i="1" l="1"/>
  <c r="I16" i="1"/>
  <c r="N16" i="1" s="1"/>
  <c r="G9" i="1"/>
  <c r="G8" i="1"/>
  <c r="C5" i="4"/>
  <c r="H11" i="3"/>
  <c r="G7" i="2"/>
  <c r="L7" i="2" s="1"/>
  <c r="M7" i="2"/>
  <c r="K8" i="3"/>
  <c r="H8" i="3"/>
  <c r="G43" i="2"/>
  <c r="K43" i="2" s="1"/>
  <c r="G42" i="2"/>
  <c r="G39" i="2"/>
  <c r="L39" i="2" s="1"/>
  <c r="G38" i="2"/>
  <c r="K38" i="2" s="1"/>
  <c r="G37" i="2"/>
  <c r="K37" i="2" s="1"/>
  <c r="G30" i="2"/>
  <c r="L30" i="2" s="1"/>
  <c r="G29" i="2"/>
  <c r="L29" i="2" s="1"/>
  <c r="G28" i="2"/>
  <c r="L28" i="2" s="1"/>
  <c r="G27" i="2"/>
  <c r="L27" i="2" s="1"/>
  <c r="G26" i="2"/>
  <c r="K26" i="2" s="1"/>
  <c r="G25" i="2"/>
  <c r="K25" i="2" s="1"/>
  <c r="G11" i="2"/>
  <c r="K11" i="2" s="1"/>
  <c r="G10" i="2"/>
  <c r="L10" i="2" s="1"/>
  <c r="G9" i="2"/>
  <c r="L9" i="2" s="1"/>
  <c r="G8" i="2"/>
  <c r="L8" i="2" s="1"/>
  <c r="G6" i="2"/>
  <c r="H7" i="3"/>
  <c r="H6" i="3"/>
  <c r="G7" i="3"/>
  <c r="G6" i="3"/>
  <c r="G5" i="3"/>
  <c r="G4" i="3"/>
  <c r="H4" i="3" s="1"/>
  <c r="G3" i="3"/>
  <c r="M43" i="2"/>
  <c r="M42" i="2"/>
  <c r="L42" i="2"/>
  <c r="M39" i="2"/>
  <c r="M38" i="2"/>
  <c r="N38" i="2" s="1"/>
  <c r="M37" i="2"/>
  <c r="N37" i="2" s="1"/>
  <c r="M30" i="2"/>
  <c r="N30" i="2" s="1"/>
  <c r="M29" i="2"/>
  <c r="M28" i="2"/>
  <c r="N28" i="2" s="1"/>
  <c r="M27" i="2"/>
  <c r="N27" i="2" s="1"/>
  <c r="M26" i="2"/>
  <c r="M25" i="2"/>
  <c r="N25" i="2" s="1"/>
  <c r="V11" i="2"/>
  <c r="U11" i="2"/>
  <c r="M11" i="2"/>
  <c r="M10" i="2"/>
  <c r="M9" i="2"/>
  <c r="K9" i="2"/>
  <c r="M8" i="2"/>
  <c r="N8" i="2" s="1"/>
  <c r="F6" i="2"/>
  <c r="L6" i="2" s="1"/>
  <c r="E6" i="2"/>
  <c r="K6" i="2" s="1"/>
  <c r="K51" i="1"/>
  <c r="I51" i="1"/>
  <c r="K50" i="1"/>
  <c r="E50" i="1"/>
  <c r="I50" i="1" s="1"/>
  <c r="K49" i="1"/>
  <c r="I49" i="1"/>
  <c r="N49" i="1" s="1"/>
  <c r="K48" i="1"/>
  <c r="I48" i="1"/>
  <c r="K47" i="1"/>
  <c r="E47" i="1"/>
  <c r="I47" i="1" s="1"/>
  <c r="K46" i="1"/>
  <c r="I46" i="1"/>
  <c r="N46" i="1" s="1"/>
  <c r="K45" i="1"/>
  <c r="I45" i="1"/>
  <c r="K44" i="1"/>
  <c r="I44" i="1"/>
  <c r="N44" i="1" s="1"/>
  <c r="G43" i="1"/>
  <c r="K43" i="1" s="1"/>
  <c r="E43" i="1"/>
  <c r="G42" i="1"/>
  <c r="K42" i="1" s="1"/>
  <c r="B42" i="1"/>
  <c r="B43" i="1" s="1"/>
  <c r="B44" i="1" s="1"/>
  <c r="B45" i="1" s="1"/>
  <c r="B46" i="1" s="1"/>
  <c r="B47" i="1" s="1"/>
  <c r="B48" i="1" s="1"/>
  <c r="B49" i="1" s="1"/>
  <c r="K41" i="1"/>
  <c r="I41" i="1"/>
  <c r="I37" i="1"/>
  <c r="K33" i="1"/>
  <c r="K32" i="1"/>
  <c r="I32" i="1"/>
  <c r="K31" i="1"/>
  <c r="I31" i="1"/>
  <c r="N31" i="1" s="1"/>
  <c r="K30" i="1"/>
  <c r="I30" i="1"/>
  <c r="N30" i="1" s="1"/>
  <c r="K29" i="1"/>
  <c r="I29" i="1"/>
  <c r="K28" i="1"/>
  <c r="I28" i="1"/>
  <c r="N28" i="1" s="1"/>
  <c r="K27" i="1"/>
  <c r="E27" i="1"/>
  <c r="I27" i="1" s="1"/>
  <c r="K19" i="1"/>
  <c r="E19" i="1"/>
  <c r="I19" i="1" s="1"/>
  <c r="B19" i="1"/>
  <c r="B27" i="1" s="1"/>
  <c r="K18" i="1"/>
  <c r="E18" i="1"/>
  <c r="I18" i="1" s="1"/>
  <c r="K17" i="1"/>
  <c r="G15" i="1"/>
  <c r="I15" i="1" s="1"/>
  <c r="G14" i="1"/>
  <c r="I14" i="1" s="1"/>
  <c r="I13" i="1"/>
  <c r="K12" i="1"/>
  <c r="I12" i="1"/>
  <c r="K7" i="1"/>
  <c r="I7" i="1"/>
  <c r="N7" i="1" s="1"/>
  <c r="K6" i="1"/>
  <c r="I6" i="1"/>
  <c r="N6" i="1" s="1"/>
  <c r="K5" i="1"/>
  <c r="I5" i="1"/>
  <c r="N5" i="1" s="1"/>
  <c r="K4" i="1"/>
  <c r="I4" i="1"/>
  <c r="N10" i="2" l="1"/>
  <c r="L25" i="2"/>
  <c r="N43" i="2"/>
  <c r="G12" i="2"/>
  <c r="G33" i="2" s="1"/>
  <c r="I8" i="1"/>
  <c r="I20" i="1"/>
  <c r="N20" i="1"/>
  <c r="U16" i="1"/>
  <c r="I9" i="1"/>
  <c r="U30" i="1"/>
  <c r="N26" i="2"/>
  <c r="N11" i="2"/>
  <c r="M6" i="2"/>
  <c r="N6" i="2" s="1"/>
  <c r="N42" i="2"/>
  <c r="K7" i="2"/>
  <c r="N9" i="2"/>
  <c r="N29" i="2"/>
  <c r="N39" i="2"/>
  <c r="N7" i="2"/>
  <c r="U46" i="1"/>
  <c r="I42" i="1"/>
  <c r="N42" i="1" s="1"/>
  <c r="U5" i="1"/>
  <c r="N12" i="1"/>
  <c r="U12" i="1" s="1"/>
  <c r="U51" i="1"/>
  <c r="U44" i="1"/>
  <c r="N48" i="1"/>
  <c r="U48" i="1" s="1"/>
  <c r="U6" i="1"/>
  <c r="I43" i="1"/>
  <c r="N43" i="1" s="1"/>
  <c r="U43" i="1" s="1"/>
  <c r="U42" i="1"/>
  <c r="U28" i="1"/>
  <c r="U31" i="1"/>
  <c r="G34" i="1"/>
  <c r="L43" i="2"/>
  <c r="L44" i="2" s="1"/>
  <c r="L38" i="2"/>
  <c r="L37" i="2"/>
  <c r="K29" i="2"/>
  <c r="K28" i="2"/>
  <c r="L26" i="2"/>
  <c r="L31" i="2" s="1"/>
  <c r="L11" i="2"/>
  <c r="L12" i="2" s="1"/>
  <c r="K8" i="2"/>
  <c r="O28" i="2"/>
  <c r="P28" i="2" s="1"/>
  <c r="O8" i="2"/>
  <c r="P8" i="2" s="1"/>
  <c r="K30" i="2"/>
  <c r="K10" i="2"/>
  <c r="K27" i="2"/>
  <c r="K39" i="2"/>
  <c r="K42" i="2"/>
  <c r="O29" i="2"/>
  <c r="P29" i="2" s="1"/>
  <c r="N19" i="1"/>
  <c r="U19" i="1" s="1"/>
  <c r="N14" i="1"/>
  <c r="U14" i="1" s="1"/>
  <c r="N15" i="1"/>
  <c r="U15" i="1" s="1"/>
  <c r="N18" i="1"/>
  <c r="U18" i="1" s="1"/>
  <c r="N47" i="1"/>
  <c r="U47" i="1" s="1"/>
  <c r="N27" i="1"/>
  <c r="U27" i="1" s="1"/>
  <c r="N37" i="1"/>
  <c r="U37" i="1" s="1"/>
  <c r="U38" i="1" s="1"/>
  <c r="N4" i="1"/>
  <c r="U4" i="1" s="1"/>
  <c r="N17" i="1"/>
  <c r="U17" i="1" s="1"/>
  <c r="U49" i="1"/>
  <c r="U7" i="1"/>
  <c r="N29" i="1"/>
  <c r="U29" i="1" s="1"/>
  <c r="N32" i="1"/>
  <c r="U32" i="1" s="1"/>
  <c r="N13" i="1"/>
  <c r="U13" i="1" s="1"/>
  <c r="N45" i="1"/>
  <c r="U45" i="1" s="1"/>
  <c r="E33" i="1"/>
  <c r="I33" i="1" s="1"/>
  <c r="N41" i="1"/>
  <c r="U41" i="1" s="1"/>
  <c r="N50" i="1"/>
  <c r="U50" i="1" s="1"/>
  <c r="O11" i="2" l="1"/>
  <c r="P11" i="2" s="1"/>
  <c r="I34" i="1"/>
  <c r="N34" i="1" s="1"/>
  <c r="L40" i="2"/>
  <c r="U9" i="1"/>
  <c r="U8" i="1"/>
  <c r="K40" i="2"/>
  <c r="O43" i="2"/>
  <c r="P43" i="2" s="1"/>
  <c r="O7" i="2"/>
  <c r="P7" i="2" s="1"/>
  <c r="K44" i="2"/>
  <c r="O9" i="2"/>
  <c r="P9" i="2" s="1"/>
  <c r="O39" i="2"/>
  <c r="P39" i="2" s="1"/>
  <c r="O27" i="2"/>
  <c r="P27" i="2" s="1"/>
  <c r="O10" i="2"/>
  <c r="P10" i="2" s="1"/>
  <c r="K12" i="2"/>
  <c r="O26" i="2"/>
  <c r="P26" i="2" s="1"/>
  <c r="O30" i="2"/>
  <c r="P30" i="2" s="1"/>
  <c r="N31" i="2"/>
  <c r="O25" i="2"/>
  <c r="P25" i="2" s="1"/>
  <c r="O37" i="2"/>
  <c r="P37" i="2" s="1"/>
  <c r="N40" i="2"/>
  <c r="N50" i="2" s="1"/>
  <c r="K31" i="2"/>
  <c r="O38" i="2"/>
  <c r="P38" i="2" s="1"/>
  <c r="U52" i="1"/>
  <c r="N33" i="1"/>
  <c r="U33" i="1" s="1"/>
  <c r="U34" i="1" s="1"/>
  <c r="U54" i="1" l="1"/>
  <c r="U55" i="1" s="1"/>
  <c r="U57" i="1" s="1"/>
  <c r="O42" i="2"/>
  <c r="O44" i="2" s="1"/>
  <c r="N44" i="2"/>
  <c r="P31" i="2"/>
  <c r="O31" i="2"/>
  <c r="N12" i="2"/>
  <c r="O6" i="2"/>
  <c r="O12" i="2" s="1"/>
  <c r="P40" i="2"/>
  <c r="O40" i="2"/>
  <c r="O50" i="2" s="1"/>
  <c r="P42" i="2" l="1"/>
  <c r="P44" i="2" s="1"/>
  <c r="P50" i="2"/>
  <c r="O49" i="2"/>
  <c r="O46" i="2"/>
  <c r="O48" i="2" s="1"/>
  <c r="P6" i="2"/>
  <c r="P12" i="2" s="1"/>
  <c r="N49" i="2"/>
  <c r="N46" i="2"/>
  <c r="N48" i="2" s="1"/>
  <c r="P49" i="2" l="1"/>
  <c r="P46" i="2"/>
  <c r="P48" i="2" l="1"/>
  <c r="R40" i="2"/>
  <c r="R31" i="2"/>
  <c r="R44" i="2"/>
  <c r="R12" i="2"/>
</calcChain>
</file>

<file path=xl/sharedStrings.xml><?xml version="1.0" encoding="utf-8"?>
<sst xmlns="http://schemas.openxmlformats.org/spreadsheetml/2006/main" count="267" uniqueCount="160">
  <si>
    <t>Type</t>
  </si>
  <si>
    <t>Item</t>
  </si>
  <si>
    <t>Qty</t>
  </si>
  <si>
    <t>UoM</t>
  </si>
  <si>
    <t>Basic</t>
  </si>
  <si>
    <t>Disc</t>
  </si>
  <si>
    <t>Primary TPT Rate %</t>
  </si>
  <si>
    <t>Primary Tptn</t>
  </si>
  <si>
    <t>Sec Tpt</t>
  </si>
  <si>
    <t>Unloading</t>
  </si>
  <si>
    <t>Insuranse</t>
  </si>
  <si>
    <t>Civil Work</t>
  </si>
  <si>
    <t>Installation</t>
  </si>
  <si>
    <t>Comm</t>
  </si>
  <si>
    <t>Cables</t>
  </si>
  <si>
    <t>Accessories</t>
  </si>
  <si>
    <t>Other-1</t>
  </si>
  <si>
    <t>Total</t>
  </si>
  <si>
    <t>GBT</t>
  </si>
  <si>
    <t>Supply and Commissioning Cost</t>
  </si>
  <si>
    <t>Supply-GBT</t>
  </si>
  <si>
    <t>Supply and Erection of 40 Meter GBT</t>
  </si>
  <si>
    <t>Nos</t>
  </si>
  <si>
    <t>Supply and Erection of 20 Meter GBT</t>
  </si>
  <si>
    <t>Site development and Fencing</t>
  </si>
  <si>
    <t>Earting</t>
  </si>
  <si>
    <t>Item-01</t>
  </si>
  <si>
    <r>
      <t xml:space="preserve">GBT Site- </t>
    </r>
    <r>
      <rPr>
        <u/>
        <sz val="10"/>
        <rFont val="Calibri"/>
        <family val="2"/>
      </rPr>
      <t>40 Mtr (Cost per Site)</t>
    </r>
  </si>
  <si>
    <r>
      <t xml:space="preserve">GBT Site- </t>
    </r>
    <r>
      <rPr>
        <u/>
        <sz val="10"/>
        <rFont val="Calibri"/>
        <family val="2"/>
      </rPr>
      <t>20 Mtr (Cost per Site)</t>
    </r>
  </si>
  <si>
    <t>Infra-Part A</t>
  </si>
  <si>
    <t>Supply</t>
  </si>
  <si>
    <t>Civil work for making plinth for installation of BBU, Batteries and CCU/Power plants</t>
  </si>
  <si>
    <t>Lithium Ion Batteries 800 AH (Including replacement of the batteries after 4 years)</t>
  </si>
  <si>
    <t>Supply and installation of 10Kwp Solar Power Panels</t>
  </si>
  <si>
    <t>Supply and installation of  Hybrid Charging Control Unit</t>
  </si>
  <si>
    <t>2 CCTV Cameras at each site with License</t>
  </si>
  <si>
    <t>Supply of Power Plant (SMPS)</t>
  </si>
  <si>
    <t>SMPS - Rectifier</t>
  </si>
  <si>
    <t>Supply of Engine Alternator (12.5 KVA or 10  KW)</t>
  </si>
  <si>
    <t>I&amp;C</t>
  </si>
  <si>
    <t>ACDB (AMF)</t>
  </si>
  <si>
    <t>LT Panel (at electric site)</t>
  </si>
  <si>
    <t>2.10</t>
  </si>
  <si>
    <t>Alarm Panel</t>
  </si>
  <si>
    <t>2.11</t>
  </si>
  <si>
    <t xml:space="preserve">Fire extinguisher </t>
  </si>
  <si>
    <t>2.12</t>
  </si>
  <si>
    <t>Surge Arrestors</t>
  </si>
  <si>
    <t>2.13</t>
  </si>
  <si>
    <t>Energy  meter</t>
  </si>
  <si>
    <t>2.14</t>
  </si>
  <si>
    <t>Cost of Electric Connection (CAPEX)</t>
  </si>
  <si>
    <t>Item-02</t>
  </si>
  <si>
    <t>Total Cost Infra Supply and Commissioning Cost</t>
  </si>
  <si>
    <t>Infra-Part B</t>
  </si>
  <si>
    <t>Supply and Commissioning Cost (After 4 Years)</t>
  </si>
  <si>
    <t>3.1</t>
  </si>
  <si>
    <t>Item-03</t>
  </si>
  <si>
    <t>Total Cost Supply after 4 years</t>
  </si>
  <si>
    <t>O&amp;M</t>
  </si>
  <si>
    <t>O&amp;M of Site and OFC</t>
  </si>
  <si>
    <t>Cost of O&amp;M/Security/CT</t>
  </si>
  <si>
    <t>Cost of Energy - EB Bill</t>
  </si>
  <si>
    <t>Cost of Diesel - For DG Sites</t>
  </si>
  <si>
    <t>Repairing of Rectifier</t>
  </si>
  <si>
    <t>Replacement of Rectifier</t>
  </si>
  <si>
    <t>SMPS/CCU /Power plant repairing</t>
  </si>
  <si>
    <t>DG repairing/Servicing</t>
  </si>
  <si>
    <t>Earthing/Repairing</t>
  </si>
  <si>
    <t>El Misc Cost</t>
  </si>
  <si>
    <t>3.10</t>
  </si>
  <si>
    <t>Diesel Filling Charges</t>
  </si>
  <si>
    <t>3.11</t>
  </si>
  <si>
    <t>Operation &amp; Maintenance of OF cable</t>
  </si>
  <si>
    <t>KM/Year</t>
  </si>
  <si>
    <t>Total Cost O&amp;M</t>
  </si>
  <si>
    <t>Grand Total Infra Cost</t>
  </si>
  <si>
    <t>Scope of work</t>
  </si>
  <si>
    <t>Type of exp</t>
  </si>
  <si>
    <t>Sub Head</t>
  </si>
  <si>
    <t>Items</t>
  </si>
  <si>
    <t>No of Sites</t>
  </si>
  <si>
    <t>Rs in crore</t>
  </si>
  <si>
    <t>GST</t>
  </si>
  <si>
    <t>Zone-1</t>
  </si>
  <si>
    <t>Zone-2</t>
  </si>
  <si>
    <t># Total Sites</t>
  </si>
  <si>
    <t>Total Cost</t>
  </si>
  <si>
    <t>Total Cost (incl. GST)</t>
  </si>
  <si>
    <t>Lithium ion Battery</t>
  </si>
  <si>
    <t>Supply of Lithium ion Battery- 2 x 600Ah alongwith BMS</t>
  </si>
  <si>
    <t>SMPS Power plant</t>
  </si>
  <si>
    <t>Supply of SMPS P/P 50(4+1)A - Indoor</t>
  </si>
  <si>
    <t>Charging Control Unit (CCU)</t>
  </si>
  <si>
    <t>Supply of CCU</t>
  </si>
  <si>
    <t>Solar Panel</t>
  </si>
  <si>
    <t>Upgradation of Solar Panel with minimum 10 KW capacity alongwith fixures/stands</t>
  </si>
  <si>
    <t>Engine Alternator</t>
  </si>
  <si>
    <t>Supply of E/A – 15 KVA alongwith proper mounting stands</t>
  </si>
  <si>
    <t>CCTV Camera</t>
  </si>
  <si>
    <t>Supply of 2 CCTV Camera alonwithwith fixtures</t>
  </si>
  <si>
    <t>I&amp;C of Lithium ion Battery- 600Ah alongwith proper mounting stands</t>
  </si>
  <si>
    <t>Installation &amp; Commissioning of SMPS P/P 50(4+1)A – Indoor</t>
  </si>
  <si>
    <t>Installation &amp; Commissioning of CCU</t>
  </si>
  <si>
    <t>Installation &amp; Commissioning of Solar Panel</t>
  </si>
  <si>
    <t>Installation &amp; Commissioning of E/A</t>
  </si>
  <si>
    <t>Installation &amp; Commissioning of CCTV Camera</t>
  </si>
  <si>
    <t>Total Cost of Commissioning</t>
  </si>
  <si>
    <t>O&amp;M Cost</t>
  </si>
  <si>
    <t>O&amp;M of the site</t>
  </si>
  <si>
    <t>Operation &amp; Maintenance of the 4G sites</t>
  </si>
  <si>
    <t>Operation &amp; Maintenance of the 4G sites at IP Locations</t>
  </si>
  <si>
    <t>Operation &amp; Maintenance of OF cable per km for 5 years</t>
  </si>
  <si>
    <t>Total O&amp;M Cost</t>
  </si>
  <si>
    <t>After 4 years (replacement)</t>
  </si>
  <si>
    <t>Total Cost of Supply (after 4 Years)</t>
  </si>
  <si>
    <t>Total cost (capex + O&amp;M)</t>
  </si>
  <si>
    <t>Rate</t>
  </si>
  <si>
    <t>Value</t>
  </si>
  <si>
    <t>Quantity</t>
  </si>
  <si>
    <t>Sr. No.</t>
  </si>
  <si>
    <t>Battery Bank 48V 1200 Ah</t>
  </si>
  <si>
    <t>Including GST 18% + Other</t>
  </si>
  <si>
    <t>Pratap Digital Comm.</t>
  </si>
  <si>
    <t>Supplier</t>
  </si>
  <si>
    <t>Aditya Infotech</t>
  </si>
  <si>
    <t>Insolation Green Energy Pvt Ltd</t>
  </si>
  <si>
    <t>Solar Module</t>
  </si>
  <si>
    <t>Prama Hikvision India Pvt. Ltd.</t>
  </si>
  <si>
    <t>PT-NPZS2204IW-DP3 + Wall mount : PT-BKC94-PT + 256 GB SD Card: PT-SDX_x0002_S/256G</t>
  </si>
  <si>
    <t>VMS Software</t>
  </si>
  <si>
    <t>in Rs</t>
  </si>
  <si>
    <t>PTZ Dome Camera with SD Card and VMS</t>
  </si>
  <si>
    <t>multiple</t>
  </si>
  <si>
    <t>Sparsh</t>
  </si>
  <si>
    <t>Tower</t>
  </si>
  <si>
    <t>Madhav Udyog</t>
  </si>
  <si>
    <t>92000/ton</t>
  </si>
  <si>
    <t>Vrinda Nano Technologies</t>
  </si>
  <si>
    <t>100 Ah Li-ion Battery</t>
  </si>
  <si>
    <t>https://www.tendersontime.com/india/details/fabricating-supplying-and-erection-30-mtr-50-nos-self-supporting-ground-based-towers-including-fou-3edd564/</t>
  </si>
  <si>
    <t>S.No.</t>
  </si>
  <si>
    <t>30 mtr. 50 nos. GBT</t>
  </si>
  <si>
    <t>30 mtr. 1 no. GBT</t>
  </si>
  <si>
    <t>40 mtr. GBT</t>
  </si>
  <si>
    <t>Dismantling, Trptn, Erection</t>
  </si>
  <si>
    <t>Erection including earthing</t>
  </si>
  <si>
    <t>Fabricating, supply &amp; erection</t>
  </si>
  <si>
    <t>Secunderabad, Hyderabad (RAILTEL CORP.)</t>
  </si>
  <si>
    <t>Trivandram (BSNL)</t>
  </si>
  <si>
    <t>References</t>
  </si>
  <si>
    <t>TOTAL</t>
  </si>
  <si>
    <t>NA</t>
  </si>
  <si>
    <t>Remarks</t>
  </si>
  <si>
    <t>Details required</t>
  </si>
  <si>
    <t>Upgradation details required</t>
  </si>
  <si>
    <t>Considering the Buy Rate &amp; Nett Rate</t>
  </si>
  <si>
    <r>
      <t xml:space="preserve">Avg. Price as per RKA
</t>
    </r>
    <r>
      <rPr>
        <b/>
        <i/>
        <sz val="9"/>
        <rFont val="Calibri"/>
        <family val="2"/>
        <scheme val="minor"/>
      </rPr>
      <t>(in Rs.)</t>
    </r>
  </si>
  <si>
    <r>
      <t xml:space="preserve">Buy Rate/Cost to be vetted
</t>
    </r>
    <r>
      <rPr>
        <b/>
        <i/>
        <sz val="9"/>
        <rFont val="Calibri"/>
        <family val="2"/>
        <scheme val="minor"/>
      </rPr>
      <t>(in Rs.)</t>
    </r>
  </si>
  <si>
    <r>
      <t xml:space="preserve">Nett Price/ Cost to be vetted
</t>
    </r>
    <r>
      <rPr>
        <b/>
        <i/>
        <sz val="9"/>
        <rFont val="Calibri"/>
        <family val="2"/>
        <scheme val="minor"/>
      </rPr>
      <t>(in Rs.)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</si>
</sst>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_ ;\-#,##0\ "/>
    <numFmt numFmtId="168" formatCode="_ &quot;₹&quot;\ * #,##0_ ;_ &quot;₹&quot;\ * \-#,##0_ ;_ &quot;₹&quot;\ * &quot;-&quot;??_ ;_ @_ "/>
    <numFmt numFmtId="169" formatCode="0.0"/>
    <numFmt numFmtId="170" formatCode="_ [$₹-4009]\ * #,##0_ ;_ [$₹-4009]\ * \-#,##0_ ;_ [$₹-4009]\ * &quot;-&quot;??_ ;_ @_ "/>
    <numFmt numFmtId="171" formatCode="_ * #,##0_ ;_ * \-#,##0_ ;_ * &quot;-&quot;??_ ;_ @_ "/>
    <numFmt numFmtId="172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center" vertical="center"/>
    </xf>
    <xf numFmtId="164" fontId="2" fillId="0" borderId="0" xfId="2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168" fontId="2" fillId="0" borderId="0" xfId="2" applyNumberFormat="1" applyFont="1" applyFill="1" applyBorder="1" applyAlignment="1">
      <alignment vertical="center"/>
    </xf>
    <xf numFmtId="164" fontId="2" fillId="0" borderId="0" xfId="2" applyFont="1" applyFill="1" applyBorder="1" applyAlignment="1">
      <alignment vertical="center"/>
    </xf>
    <xf numFmtId="168" fontId="3" fillId="0" borderId="0" xfId="2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6" fontId="3" fillId="0" borderId="0" xfId="1" applyNumberFormat="1" applyFont="1" applyFill="1" applyBorder="1" applyAlignment="1">
      <alignment vertical="center"/>
    </xf>
    <xf numFmtId="164" fontId="3" fillId="0" borderId="0" xfId="2" applyFont="1" applyFill="1" applyBorder="1" applyAlignment="1">
      <alignment horizontal="center" vertical="center"/>
    </xf>
    <xf numFmtId="168" fontId="3" fillId="0" borderId="0" xfId="2" applyNumberFormat="1" applyFont="1" applyFill="1" applyBorder="1" applyAlignment="1">
      <alignment vertical="center"/>
    </xf>
    <xf numFmtId="164" fontId="3" fillId="0" borderId="0" xfId="2" applyFont="1" applyFill="1" applyBorder="1" applyAlignment="1">
      <alignment vertical="center"/>
    </xf>
    <xf numFmtId="169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168" fontId="2" fillId="0" borderId="1" xfId="0" applyNumberFormat="1" applyFont="1" applyBorder="1"/>
    <xf numFmtId="166" fontId="3" fillId="0" borderId="1" xfId="1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3" fontId="2" fillId="0" borderId="0" xfId="0" applyNumberFormat="1" applyFont="1" applyAlignment="1">
      <alignment horizontal="center" vertical="center"/>
    </xf>
    <xf numFmtId="17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3" fontId="3" fillId="0" borderId="1" xfId="0" applyNumberFormat="1" applyFont="1" applyBorder="1" applyAlignment="1">
      <alignment horizontal="center" vertical="center"/>
    </xf>
    <xf numFmtId="171" fontId="3" fillId="0" borderId="1" xfId="1" applyNumberFormat="1" applyFont="1" applyFill="1" applyBorder="1" applyAlignment="1">
      <alignment horizontal="center" vertical="center"/>
    </xf>
    <xf numFmtId="170" fontId="3" fillId="0" borderId="0" xfId="0" applyNumberFormat="1" applyFont="1" applyAlignment="1">
      <alignment horizontal="center" vertical="center"/>
    </xf>
    <xf numFmtId="9" fontId="2" fillId="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shrinkToFit="1"/>
    </xf>
    <xf numFmtId="3" fontId="3" fillId="0" borderId="0" xfId="0" applyNumberFormat="1" applyFont="1" applyAlignment="1">
      <alignment horizontal="center" vertical="center"/>
    </xf>
    <xf numFmtId="171" fontId="2" fillId="0" borderId="0" xfId="1" applyNumberFormat="1" applyFont="1" applyFill="1" applyBorder="1" applyAlignment="1">
      <alignment horizontal="center" vertical="center"/>
    </xf>
    <xf numFmtId="172" fontId="2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171" fontId="3" fillId="0" borderId="4" xfId="1" applyNumberFormat="1" applyFont="1" applyFill="1" applyBorder="1" applyAlignment="1">
      <alignment horizontal="center" vertical="center"/>
    </xf>
    <xf numFmtId="171" fontId="2" fillId="0" borderId="0" xfId="1" applyNumberFormat="1" applyFont="1" applyFill="1" applyBorder="1" applyAlignment="1">
      <alignment horizontal="right" vertical="center"/>
    </xf>
    <xf numFmtId="171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1" fontId="2" fillId="0" borderId="0" xfId="1" applyNumberFormat="1" applyFont="1" applyAlignment="1">
      <alignment horizontal="right" vertical="center"/>
    </xf>
    <xf numFmtId="9" fontId="2" fillId="0" borderId="0" xfId="3" applyFont="1" applyAlignment="1">
      <alignment horizontal="right" vertical="center"/>
    </xf>
    <xf numFmtId="10" fontId="2" fillId="0" borderId="0" xfId="3" applyNumberFormat="1" applyFont="1" applyAlignment="1">
      <alignment horizontal="right" vertical="center"/>
    </xf>
    <xf numFmtId="170" fontId="0" fillId="0" borderId="0" xfId="2" applyNumberFormat="1" applyFont="1"/>
    <xf numFmtId="166" fontId="3" fillId="0" borderId="1" xfId="1" applyNumberFormat="1" applyFont="1" applyFill="1" applyBorder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3" fillId="0" borderId="4" xfId="1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6" fontId="6" fillId="0" borderId="0" xfId="1" applyNumberFormat="1" applyFont="1"/>
    <xf numFmtId="170" fontId="6" fillId="0" borderId="0" xfId="2" applyNumberFormat="1" applyFont="1"/>
    <xf numFmtId="0" fontId="7" fillId="0" borderId="0" xfId="0" applyFont="1"/>
    <xf numFmtId="166" fontId="7" fillId="0" borderId="0" xfId="1" applyNumberFormat="1" applyFont="1"/>
    <xf numFmtId="170" fontId="7" fillId="0" borderId="0" xfId="2" applyNumberFormat="1" applyFont="1"/>
    <xf numFmtId="0" fontId="3" fillId="2" borderId="0" xfId="0" applyFont="1" applyFill="1" applyAlignment="1">
      <alignment horizontal="left" vertical="center"/>
    </xf>
    <xf numFmtId="165" fontId="3" fillId="0" borderId="2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66" fontId="2" fillId="0" borderId="0" xfId="1" applyNumberFormat="1" applyFont="1"/>
    <xf numFmtId="166" fontId="3" fillId="0" borderId="0" xfId="1" applyNumberFormat="1" applyFont="1"/>
    <xf numFmtId="0" fontId="2" fillId="0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6" fontId="2" fillId="0" borderId="5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166" fontId="3" fillId="0" borderId="5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166" fontId="3" fillId="3" borderId="5" xfId="1" applyNumberFormat="1" applyFont="1" applyFill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167" fontId="2" fillId="0" borderId="5" xfId="2" applyNumberFormat="1" applyFont="1" applyFill="1" applyBorder="1" applyAlignment="1">
      <alignment horizontal="center" vertical="center"/>
    </xf>
    <xf numFmtId="164" fontId="2" fillId="0" borderId="5" xfId="2" applyFont="1" applyFill="1" applyBorder="1" applyAlignment="1">
      <alignment horizontal="center" vertical="center"/>
    </xf>
    <xf numFmtId="168" fontId="3" fillId="0" borderId="5" xfId="2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164" fontId="3" fillId="0" borderId="5" xfId="2" applyFont="1" applyFill="1" applyBorder="1" applyAlignment="1">
      <alignment horizontal="center" vertical="center"/>
    </xf>
    <xf numFmtId="168" fontId="2" fillId="0" borderId="5" xfId="2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66" fontId="2" fillId="0" borderId="5" xfId="1" applyNumberFormat="1" applyFont="1" applyBorder="1" applyAlignment="1">
      <alignment horizontal="center" vertical="center"/>
    </xf>
    <xf numFmtId="166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7</xdr:row>
      <xdr:rowOff>1</xdr:rowOff>
    </xdr:from>
    <xdr:to>
      <xdr:col>10</xdr:col>
      <xdr:colOff>19051</xdr:colOff>
      <xdr:row>19</xdr:row>
      <xdr:rowOff>30141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70C69-56A3-5DA9-B4B8-268C30E5D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6" y="952501"/>
          <a:ext cx="3067050" cy="2316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AppData\Local\Microsoft\Windows\INetCache\Content.Outlook\UAHSIBA6\Commercials_OEM%20Supplies_7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T%20-I/Pratap%20Technocrat%20facilities/Financial%20Model%2022.12.2022/Project%201_Cash%20Flow_BSNL_T-73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wer Supplies &amp; Freight"/>
      <sheetName val="Li-Ion Battery"/>
      <sheetName val="Hybrid CCU  with SPV"/>
      <sheetName val="SMPS"/>
      <sheetName val="CCTV"/>
      <sheetName val="DG "/>
    </sheetNames>
    <sheetDataSet>
      <sheetData sheetId="0" refreshError="1"/>
      <sheetData sheetId="1" refreshError="1"/>
      <sheetData sheetId="2" refreshError="1">
        <row r="5">
          <cell r="C5">
            <v>253561</v>
          </cell>
        </row>
        <row r="6">
          <cell r="C6">
            <v>383757</v>
          </cell>
        </row>
        <row r="8">
          <cell r="C8">
            <v>112191</v>
          </cell>
        </row>
        <row r="10">
          <cell r="C10">
            <v>24562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rly snapshot"/>
      <sheetName val="Monthly CF"/>
      <sheetName val="Sheet1"/>
      <sheetName val="SOW"/>
      <sheetName val="Sheet2"/>
    </sheetNames>
    <sheetDataSet>
      <sheetData sheetId="0"/>
      <sheetData sheetId="1">
        <row r="50">
          <cell r="D50">
            <v>1418</v>
          </cell>
        </row>
        <row r="59">
          <cell r="D59">
            <v>764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7"/>
  <sheetViews>
    <sheetView tabSelected="1" zoomScaleNormal="100" workbookViewId="0">
      <selection activeCell="AA20" sqref="AA20"/>
    </sheetView>
  </sheetViews>
  <sheetFormatPr defaultRowHeight="12.75" x14ac:dyDescent="0.2"/>
  <cols>
    <col min="1" max="1" width="2.85546875" style="1" customWidth="1"/>
    <col min="2" max="2" width="4.42578125" style="29" bestFit="1" customWidth="1"/>
    <col min="3" max="3" width="10.5703125" style="29" bestFit="1" customWidth="1"/>
    <col min="4" max="4" width="72.7109375" style="1" bestFit="1" customWidth="1"/>
    <col min="5" max="5" width="4.85546875" style="29" bestFit="1" customWidth="1"/>
    <col min="6" max="6" width="5" style="29" customWidth="1"/>
    <col min="7" max="7" width="10.85546875" style="1" bestFit="1" customWidth="1"/>
    <col min="8" max="8" width="4.85546875" style="29" customWidth="1"/>
    <col min="9" max="9" width="10" style="1" customWidth="1"/>
    <col min="10" max="10" width="17" style="1" hidden="1" customWidth="1"/>
    <col min="11" max="11" width="11.7109375" style="1" hidden="1" customWidth="1"/>
    <col min="12" max="12" width="7.140625" style="1" hidden="1" customWidth="1"/>
    <col min="13" max="13" width="9.5703125" style="1" hidden="1" customWidth="1"/>
    <col min="14" max="14" width="9.140625" style="1" hidden="1" customWidth="1"/>
    <col min="15" max="15" width="9.5703125" style="1" hidden="1" customWidth="1"/>
    <col min="16" max="16" width="10.5703125" style="1" hidden="1" customWidth="1"/>
    <col min="17" max="17" width="8.140625" style="1" hidden="1" customWidth="1"/>
    <col min="18" max="18" width="7.140625" style="1" hidden="1" customWidth="1"/>
    <col min="19" max="19" width="10.85546875" style="1" hidden="1" customWidth="1"/>
    <col min="20" max="20" width="7.7109375" style="1" hidden="1" customWidth="1"/>
    <col min="21" max="21" width="10.85546875" style="29" hidden="1" customWidth="1"/>
    <col min="22" max="22" width="0" style="1" hidden="1" customWidth="1"/>
    <col min="23" max="23" width="10.28515625" style="84" bestFit="1" customWidth="1"/>
    <col min="24" max="24" width="14.28515625" style="1" bestFit="1" customWidth="1"/>
    <col min="25" max="256" width="9.140625" style="1"/>
    <col min="257" max="257" width="2.85546875" style="1" customWidth="1"/>
    <col min="258" max="258" width="5" style="1" bestFit="1" customWidth="1"/>
    <col min="259" max="259" width="10.5703125" style="1" bestFit="1" customWidth="1"/>
    <col min="260" max="260" width="72.7109375" style="1" bestFit="1" customWidth="1"/>
    <col min="261" max="261" width="4.85546875" style="1" bestFit="1" customWidth="1"/>
    <col min="262" max="262" width="8.42578125" style="1" bestFit="1" customWidth="1"/>
    <col min="263" max="263" width="10.85546875" style="1" bestFit="1" customWidth="1"/>
    <col min="264" max="264" width="4.85546875" style="1" bestFit="1" customWidth="1"/>
    <col min="265" max="265" width="9.28515625" style="1" bestFit="1" customWidth="1"/>
    <col min="266" max="266" width="17" style="1" bestFit="1" customWidth="1"/>
    <col min="267" max="267" width="11.7109375" style="1" bestFit="1" customWidth="1"/>
    <col min="268" max="268" width="7.140625" style="1" bestFit="1" customWidth="1"/>
    <col min="269" max="269" width="9.5703125" style="1" bestFit="1" customWidth="1"/>
    <col min="270" max="270" width="9.140625" style="1" bestFit="1"/>
    <col min="271" max="271" width="9.5703125" style="1" bestFit="1" customWidth="1"/>
    <col min="272" max="272" width="10.5703125" style="1" bestFit="1" customWidth="1"/>
    <col min="273" max="273" width="8.140625" style="1" bestFit="1" customWidth="1"/>
    <col min="274" max="274" width="7.140625" style="1" bestFit="1" customWidth="1"/>
    <col min="275" max="275" width="10.85546875" style="1" bestFit="1" customWidth="1"/>
    <col min="276" max="276" width="7.7109375" style="1" bestFit="1" customWidth="1"/>
    <col min="277" max="277" width="10.85546875" style="1" bestFit="1" customWidth="1"/>
    <col min="278" max="512" width="9.140625" style="1"/>
    <col min="513" max="513" width="2.85546875" style="1" customWidth="1"/>
    <col min="514" max="514" width="5" style="1" bestFit="1" customWidth="1"/>
    <col min="515" max="515" width="10.5703125" style="1" bestFit="1" customWidth="1"/>
    <col min="516" max="516" width="72.7109375" style="1" bestFit="1" customWidth="1"/>
    <col min="517" max="517" width="4.85546875" style="1" bestFit="1" customWidth="1"/>
    <col min="518" max="518" width="8.42578125" style="1" bestFit="1" customWidth="1"/>
    <col min="519" max="519" width="10.85546875" style="1" bestFit="1" customWidth="1"/>
    <col min="520" max="520" width="4.85546875" style="1" bestFit="1" customWidth="1"/>
    <col min="521" max="521" width="9.28515625" style="1" bestFit="1" customWidth="1"/>
    <col min="522" max="522" width="17" style="1" bestFit="1" customWidth="1"/>
    <col min="523" max="523" width="11.7109375" style="1" bestFit="1" customWidth="1"/>
    <col min="524" max="524" width="7.140625" style="1" bestFit="1" customWidth="1"/>
    <col min="525" max="525" width="9.5703125" style="1" bestFit="1" customWidth="1"/>
    <col min="526" max="526" width="9.140625" style="1" bestFit="1"/>
    <col min="527" max="527" width="9.5703125" style="1" bestFit="1" customWidth="1"/>
    <col min="528" max="528" width="10.5703125" style="1" bestFit="1" customWidth="1"/>
    <col min="529" max="529" width="8.140625" style="1" bestFit="1" customWidth="1"/>
    <col min="530" max="530" width="7.140625" style="1" bestFit="1" customWidth="1"/>
    <col min="531" max="531" width="10.85546875" style="1" bestFit="1" customWidth="1"/>
    <col min="532" max="532" width="7.7109375" style="1" bestFit="1" customWidth="1"/>
    <col min="533" max="533" width="10.85546875" style="1" bestFit="1" customWidth="1"/>
    <col min="534" max="768" width="9.140625" style="1"/>
    <col min="769" max="769" width="2.85546875" style="1" customWidth="1"/>
    <col min="770" max="770" width="5" style="1" bestFit="1" customWidth="1"/>
    <col min="771" max="771" width="10.5703125" style="1" bestFit="1" customWidth="1"/>
    <col min="772" max="772" width="72.7109375" style="1" bestFit="1" customWidth="1"/>
    <col min="773" max="773" width="4.85546875" style="1" bestFit="1" customWidth="1"/>
    <col min="774" max="774" width="8.42578125" style="1" bestFit="1" customWidth="1"/>
    <col min="775" max="775" width="10.85546875" style="1" bestFit="1" customWidth="1"/>
    <col min="776" max="776" width="4.85546875" style="1" bestFit="1" customWidth="1"/>
    <col min="777" max="777" width="9.28515625" style="1" bestFit="1" customWidth="1"/>
    <col min="778" max="778" width="17" style="1" bestFit="1" customWidth="1"/>
    <col min="779" max="779" width="11.7109375" style="1" bestFit="1" customWidth="1"/>
    <col min="780" max="780" width="7.140625" style="1" bestFit="1" customWidth="1"/>
    <col min="781" max="781" width="9.5703125" style="1" bestFit="1" customWidth="1"/>
    <col min="782" max="782" width="9.140625" style="1" bestFit="1"/>
    <col min="783" max="783" width="9.5703125" style="1" bestFit="1" customWidth="1"/>
    <col min="784" max="784" width="10.5703125" style="1" bestFit="1" customWidth="1"/>
    <col min="785" max="785" width="8.140625" style="1" bestFit="1" customWidth="1"/>
    <col min="786" max="786" width="7.140625" style="1" bestFit="1" customWidth="1"/>
    <col min="787" max="787" width="10.85546875" style="1" bestFit="1" customWidth="1"/>
    <col min="788" max="788" width="7.7109375" style="1" bestFit="1" customWidth="1"/>
    <col min="789" max="789" width="10.85546875" style="1" bestFit="1" customWidth="1"/>
    <col min="790" max="1024" width="9.140625" style="1"/>
    <col min="1025" max="1025" width="2.85546875" style="1" customWidth="1"/>
    <col min="1026" max="1026" width="5" style="1" bestFit="1" customWidth="1"/>
    <col min="1027" max="1027" width="10.5703125" style="1" bestFit="1" customWidth="1"/>
    <col min="1028" max="1028" width="72.7109375" style="1" bestFit="1" customWidth="1"/>
    <col min="1029" max="1029" width="4.85546875" style="1" bestFit="1" customWidth="1"/>
    <col min="1030" max="1030" width="8.42578125" style="1" bestFit="1" customWidth="1"/>
    <col min="1031" max="1031" width="10.85546875" style="1" bestFit="1" customWidth="1"/>
    <col min="1032" max="1032" width="4.85546875" style="1" bestFit="1" customWidth="1"/>
    <col min="1033" max="1033" width="9.28515625" style="1" bestFit="1" customWidth="1"/>
    <col min="1034" max="1034" width="17" style="1" bestFit="1" customWidth="1"/>
    <col min="1035" max="1035" width="11.7109375" style="1" bestFit="1" customWidth="1"/>
    <col min="1036" max="1036" width="7.140625" style="1" bestFit="1" customWidth="1"/>
    <col min="1037" max="1037" width="9.5703125" style="1" bestFit="1" customWidth="1"/>
    <col min="1038" max="1038" width="9.140625" style="1" bestFit="1"/>
    <col min="1039" max="1039" width="9.5703125" style="1" bestFit="1" customWidth="1"/>
    <col min="1040" max="1040" width="10.5703125" style="1" bestFit="1" customWidth="1"/>
    <col min="1041" max="1041" width="8.140625" style="1" bestFit="1" customWidth="1"/>
    <col min="1042" max="1042" width="7.140625" style="1" bestFit="1" customWidth="1"/>
    <col min="1043" max="1043" width="10.85546875" style="1" bestFit="1" customWidth="1"/>
    <col min="1044" max="1044" width="7.7109375" style="1" bestFit="1" customWidth="1"/>
    <col min="1045" max="1045" width="10.85546875" style="1" bestFit="1" customWidth="1"/>
    <col min="1046" max="1280" width="9.140625" style="1"/>
    <col min="1281" max="1281" width="2.85546875" style="1" customWidth="1"/>
    <col min="1282" max="1282" width="5" style="1" bestFit="1" customWidth="1"/>
    <col min="1283" max="1283" width="10.5703125" style="1" bestFit="1" customWidth="1"/>
    <col min="1284" max="1284" width="72.7109375" style="1" bestFit="1" customWidth="1"/>
    <col min="1285" max="1285" width="4.85546875" style="1" bestFit="1" customWidth="1"/>
    <col min="1286" max="1286" width="8.42578125" style="1" bestFit="1" customWidth="1"/>
    <col min="1287" max="1287" width="10.85546875" style="1" bestFit="1" customWidth="1"/>
    <col min="1288" max="1288" width="4.85546875" style="1" bestFit="1" customWidth="1"/>
    <col min="1289" max="1289" width="9.28515625" style="1" bestFit="1" customWidth="1"/>
    <col min="1290" max="1290" width="17" style="1" bestFit="1" customWidth="1"/>
    <col min="1291" max="1291" width="11.7109375" style="1" bestFit="1" customWidth="1"/>
    <col min="1292" max="1292" width="7.140625" style="1" bestFit="1" customWidth="1"/>
    <col min="1293" max="1293" width="9.5703125" style="1" bestFit="1" customWidth="1"/>
    <col min="1294" max="1294" width="9.140625" style="1" bestFit="1"/>
    <col min="1295" max="1295" width="9.5703125" style="1" bestFit="1" customWidth="1"/>
    <col min="1296" max="1296" width="10.5703125" style="1" bestFit="1" customWidth="1"/>
    <col min="1297" max="1297" width="8.140625" style="1" bestFit="1" customWidth="1"/>
    <col min="1298" max="1298" width="7.140625" style="1" bestFit="1" customWidth="1"/>
    <col min="1299" max="1299" width="10.85546875" style="1" bestFit="1" customWidth="1"/>
    <col min="1300" max="1300" width="7.7109375" style="1" bestFit="1" customWidth="1"/>
    <col min="1301" max="1301" width="10.85546875" style="1" bestFit="1" customWidth="1"/>
    <col min="1302" max="1536" width="9.140625" style="1"/>
    <col min="1537" max="1537" width="2.85546875" style="1" customWidth="1"/>
    <col min="1538" max="1538" width="5" style="1" bestFit="1" customWidth="1"/>
    <col min="1539" max="1539" width="10.5703125" style="1" bestFit="1" customWidth="1"/>
    <col min="1540" max="1540" width="72.7109375" style="1" bestFit="1" customWidth="1"/>
    <col min="1541" max="1541" width="4.85546875" style="1" bestFit="1" customWidth="1"/>
    <col min="1542" max="1542" width="8.42578125" style="1" bestFit="1" customWidth="1"/>
    <col min="1543" max="1543" width="10.85546875" style="1" bestFit="1" customWidth="1"/>
    <col min="1544" max="1544" width="4.85546875" style="1" bestFit="1" customWidth="1"/>
    <col min="1545" max="1545" width="9.28515625" style="1" bestFit="1" customWidth="1"/>
    <col min="1546" max="1546" width="17" style="1" bestFit="1" customWidth="1"/>
    <col min="1547" max="1547" width="11.7109375" style="1" bestFit="1" customWidth="1"/>
    <col min="1548" max="1548" width="7.140625" style="1" bestFit="1" customWidth="1"/>
    <col min="1549" max="1549" width="9.5703125" style="1" bestFit="1" customWidth="1"/>
    <col min="1550" max="1550" width="9.140625" style="1" bestFit="1"/>
    <col min="1551" max="1551" width="9.5703125" style="1" bestFit="1" customWidth="1"/>
    <col min="1552" max="1552" width="10.5703125" style="1" bestFit="1" customWidth="1"/>
    <col min="1553" max="1553" width="8.140625" style="1" bestFit="1" customWidth="1"/>
    <col min="1554" max="1554" width="7.140625" style="1" bestFit="1" customWidth="1"/>
    <col min="1555" max="1555" width="10.85546875" style="1" bestFit="1" customWidth="1"/>
    <col min="1556" max="1556" width="7.7109375" style="1" bestFit="1" customWidth="1"/>
    <col min="1557" max="1557" width="10.85546875" style="1" bestFit="1" customWidth="1"/>
    <col min="1558" max="1792" width="9.140625" style="1"/>
    <col min="1793" max="1793" width="2.85546875" style="1" customWidth="1"/>
    <col min="1794" max="1794" width="5" style="1" bestFit="1" customWidth="1"/>
    <col min="1795" max="1795" width="10.5703125" style="1" bestFit="1" customWidth="1"/>
    <col min="1796" max="1796" width="72.7109375" style="1" bestFit="1" customWidth="1"/>
    <col min="1797" max="1797" width="4.85546875" style="1" bestFit="1" customWidth="1"/>
    <col min="1798" max="1798" width="8.42578125" style="1" bestFit="1" customWidth="1"/>
    <col min="1799" max="1799" width="10.85546875" style="1" bestFit="1" customWidth="1"/>
    <col min="1800" max="1800" width="4.85546875" style="1" bestFit="1" customWidth="1"/>
    <col min="1801" max="1801" width="9.28515625" style="1" bestFit="1" customWidth="1"/>
    <col min="1802" max="1802" width="17" style="1" bestFit="1" customWidth="1"/>
    <col min="1803" max="1803" width="11.7109375" style="1" bestFit="1" customWidth="1"/>
    <col min="1804" max="1804" width="7.140625" style="1" bestFit="1" customWidth="1"/>
    <col min="1805" max="1805" width="9.5703125" style="1" bestFit="1" customWidth="1"/>
    <col min="1806" max="1806" width="9.140625" style="1" bestFit="1"/>
    <col min="1807" max="1807" width="9.5703125" style="1" bestFit="1" customWidth="1"/>
    <col min="1808" max="1808" width="10.5703125" style="1" bestFit="1" customWidth="1"/>
    <col min="1809" max="1809" width="8.140625" style="1" bestFit="1" customWidth="1"/>
    <col min="1810" max="1810" width="7.140625" style="1" bestFit="1" customWidth="1"/>
    <col min="1811" max="1811" width="10.85546875" style="1" bestFit="1" customWidth="1"/>
    <col min="1812" max="1812" width="7.7109375" style="1" bestFit="1" customWidth="1"/>
    <col min="1813" max="1813" width="10.85546875" style="1" bestFit="1" customWidth="1"/>
    <col min="1814" max="2048" width="9.140625" style="1"/>
    <col min="2049" max="2049" width="2.85546875" style="1" customWidth="1"/>
    <col min="2050" max="2050" width="5" style="1" bestFit="1" customWidth="1"/>
    <col min="2051" max="2051" width="10.5703125" style="1" bestFit="1" customWidth="1"/>
    <col min="2052" max="2052" width="72.7109375" style="1" bestFit="1" customWidth="1"/>
    <col min="2053" max="2053" width="4.85546875" style="1" bestFit="1" customWidth="1"/>
    <col min="2054" max="2054" width="8.42578125" style="1" bestFit="1" customWidth="1"/>
    <col min="2055" max="2055" width="10.85546875" style="1" bestFit="1" customWidth="1"/>
    <col min="2056" max="2056" width="4.85546875" style="1" bestFit="1" customWidth="1"/>
    <col min="2057" max="2057" width="9.28515625" style="1" bestFit="1" customWidth="1"/>
    <col min="2058" max="2058" width="17" style="1" bestFit="1" customWidth="1"/>
    <col min="2059" max="2059" width="11.7109375" style="1" bestFit="1" customWidth="1"/>
    <col min="2060" max="2060" width="7.140625" style="1" bestFit="1" customWidth="1"/>
    <col min="2061" max="2061" width="9.5703125" style="1" bestFit="1" customWidth="1"/>
    <col min="2062" max="2062" width="9.140625" style="1" bestFit="1"/>
    <col min="2063" max="2063" width="9.5703125" style="1" bestFit="1" customWidth="1"/>
    <col min="2064" max="2064" width="10.5703125" style="1" bestFit="1" customWidth="1"/>
    <col min="2065" max="2065" width="8.140625" style="1" bestFit="1" customWidth="1"/>
    <col min="2066" max="2066" width="7.140625" style="1" bestFit="1" customWidth="1"/>
    <col min="2067" max="2067" width="10.85546875" style="1" bestFit="1" customWidth="1"/>
    <col min="2068" max="2068" width="7.7109375" style="1" bestFit="1" customWidth="1"/>
    <col min="2069" max="2069" width="10.85546875" style="1" bestFit="1" customWidth="1"/>
    <col min="2070" max="2304" width="9.140625" style="1"/>
    <col min="2305" max="2305" width="2.85546875" style="1" customWidth="1"/>
    <col min="2306" max="2306" width="5" style="1" bestFit="1" customWidth="1"/>
    <col min="2307" max="2307" width="10.5703125" style="1" bestFit="1" customWidth="1"/>
    <col min="2308" max="2308" width="72.7109375" style="1" bestFit="1" customWidth="1"/>
    <col min="2309" max="2309" width="4.85546875" style="1" bestFit="1" customWidth="1"/>
    <col min="2310" max="2310" width="8.42578125" style="1" bestFit="1" customWidth="1"/>
    <col min="2311" max="2311" width="10.85546875" style="1" bestFit="1" customWidth="1"/>
    <col min="2312" max="2312" width="4.85546875" style="1" bestFit="1" customWidth="1"/>
    <col min="2313" max="2313" width="9.28515625" style="1" bestFit="1" customWidth="1"/>
    <col min="2314" max="2314" width="17" style="1" bestFit="1" customWidth="1"/>
    <col min="2315" max="2315" width="11.7109375" style="1" bestFit="1" customWidth="1"/>
    <col min="2316" max="2316" width="7.140625" style="1" bestFit="1" customWidth="1"/>
    <col min="2317" max="2317" width="9.5703125" style="1" bestFit="1" customWidth="1"/>
    <col min="2318" max="2318" width="9.140625" style="1" bestFit="1"/>
    <col min="2319" max="2319" width="9.5703125" style="1" bestFit="1" customWidth="1"/>
    <col min="2320" max="2320" width="10.5703125" style="1" bestFit="1" customWidth="1"/>
    <col min="2321" max="2321" width="8.140625" style="1" bestFit="1" customWidth="1"/>
    <col min="2322" max="2322" width="7.140625" style="1" bestFit="1" customWidth="1"/>
    <col min="2323" max="2323" width="10.85546875" style="1" bestFit="1" customWidth="1"/>
    <col min="2324" max="2324" width="7.7109375" style="1" bestFit="1" customWidth="1"/>
    <col min="2325" max="2325" width="10.85546875" style="1" bestFit="1" customWidth="1"/>
    <col min="2326" max="2560" width="9.140625" style="1"/>
    <col min="2561" max="2561" width="2.85546875" style="1" customWidth="1"/>
    <col min="2562" max="2562" width="5" style="1" bestFit="1" customWidth="1"/>
    <col min="2563" max="2563" width="10.5703125" style="1" bestFit="1" customWidth="1"/>
    <col min="2564" max="2564" width="72.7109375" style="1" bestFit="1" customWidth="1"/>
    <col min="2565" max="2565" width="4.85546875" style="1" bestFit="1" customWidth="1"/>
    <col min="2566" max="2566" width="8.42578125" style="1" bestFit="1" customWidth="1"/>
    <col min="2567" max="2567" width="10.85546875" style="1" bestFit="1" customWidth="1"/>
    <col min="2568" max="2568" width="4.85546875" style="1" bestFit="1" customWidth="1"/>
    <col min="2569" max="2569" width="9.28515625" style="1" bestFit="1" customWidth="1"/>
    <col min="2570" max="2570" width="17" style="1" bestFit="1" customWidth="1"/>
    <col min="2571" max="2571" width="11.7109375" style="1" bestFit="1" customWidth="1"/>
    <col min="2572" max="2572" width="7.140625" style="1" bestFit="1" customWidth="1"/>
    <col min="2573" max="2573" width="9.5703125" style="1" bestFit="1" customWidth="1"/>
    <col min="2574" max="2574" width="9.140625" style="1" bestFit="1"/>
    <col min="2575" max="2575" width="9.5703125" style="1" bestFit="1" customWidth="1"/>
    <col min="2576" max="2576" width="10.5703125" style="1" bestFit="1" customWidth="1"/>
    <col min="2577" max="2577" width="8.140625" style="1" bestFit="1" customWidth="1"/>
    <col min="2578" max="2578" width="7.140625" style="1" bestFit="1" customWidth="1"/>
    <col min="2579" max="2579" width="10.85546875" style="1" bestFit="1" customWidth="1"/>
    <col min="2580" max="2580" width="7.7109375" style="1" bestFit="1" customWidth="1"/>
    <col min="2581" max="2581" width="10.85546875" style="1" bestFit="1" customWidth="1"/>
    <col min="2582" max="2816" width="9.140625" style="1"/>
    <col min="2817" max="2817" width="2.85546875" style="1" customWidth="1"/>
    <col min="2818" max="2818" width="5" style="1" bestFit="1" customWidth="1"/>
    <col min="2819" max="2819" width="10.5703125" style="1" bestFit="1" customWidth="1"/>
    <col min="2820" max="2820" width="72.7109375" style="1" bestFit="1" customWidth="1"/>
    <col min="2821" max="2821" width="4.85546875" style="1" bestFit="1" customWidth="1"/>
    <col min="2822" max="2822" width="8.42578125" style="1" bestFit="1" customWidth="1"/>
    <col min="2823" max="2823" width="10.85546875" style="1" bestFit="1" customWidth="1"/>
    <col min="2824" max="2824" width="4.85546875" style="1" bestFit="1" customWidth="1"/>
    <col min="2825" max="2825" width="9.28515625" style="1" bestFit="1" customWidth="1"/>
    <col min="2826" max="2826" width="17" style="1" bestFit="1" customWidth="1"/>
    <col min="2827" max="2827" width="11.7109375" style="1" bestFit="1" customWidth="1"/>
    <col min="2828" max="2828" width="7.140625" style="1" bestFit="1" customWidth="1"/>
    <col min="2829" max="2829" width="9.5703125" style="1" bestFit="1" customWidth="1"/>
    <col min="2830" max="2830" width="9.140625" style="1" bestFit="1"/>
    <col min="2831" max="2831" width="9.5703125" style="1" bestFit="1" customWidth="1"/>
    <col min="2832" max="2832" width="10.5703125" style="1" bestFit="1" customWidth="1"/>
    <col min="2833" max="2833" width="8.140625" style="1" bestFit="1" customWidth="1"/>
    <col min="2834" max="2834" width="7.140625" style="1" bestFit="1" customWidth="1"/>
    <col min="2835" max="2835" width="10.85546875" style="1" bestFit="1" customWidth="1"/>
    <col min="2836" max="2836" width="7.7109375" style="1" bestFit="1" customWidth="1"/>
    <col min="2837" max="2837" width="10.85546875" style="1" bestFit="1" customWidth="1"/>
    <col min="2838" max="3072" width="9.140625" style="1"/>
    <col min="3073" max="3073" width="2.85546875" style="1" customWidth="1"/>
    <col min="3074" max="3074" width="5" style="1" bestFit="1" customWidth="1"/>
    <col min="3075" max="3075" width="10.5703125" style="1" bestFit="1" customWidth="1"/>
    <col min="3076" max="3076" width="72.7109375" style="1" bestFit="1" customWidth="1"/>
    <col min="3077" max="3077" width="4.85546875" style="1" bestFit="1" customWidth="1"/>
    <col min="3078" max="3078" width="8.42578125" style="1" bestFit="1" customWidth="1"/>
    <col min="3079" max="3079" width="10.85546875" style="1" bestFit="1" customWidth="1"/>
    <col min="3080" max="3080" width="4.85546875" style="1" bestFit="1" customWidth="1"/>
    <col min="3081" max="3081" width="9.28515625" style="1" bestFit="1" customWidth="1"/>
    <col min="3082" max="3082" width="17" style="1" bestFit="1" customWidth="1"/>
    <col min="3083" max="3083" width="11.7109375" style="1" bestFit="1" customWidth="1"/>
    <col min="3084" max="3084" width="7.140625" style="1" bestFit="1" customWidth="1"/>
    <col min="3085" max="3085" width="9.5703125" style="1" bestFit="1" customWidth="1"/>
    <col min="3086" max="3086" width="9.140625" style="1" bestFit="1"/>
    <col min="3087" max="3087" width="9.5703125" style="1" bestFit="1" customWidth="1"/>
    <col min="3088" max="3088" width="10.5703125" style="1" bestFit="1" customWidth="1"/>
    <col min="3089" max="3089" width="8.140625" style="1" bestFit="1" customWidth="1"/>
    <col min="3090" max="3090" width="7.140625" style="1" bestFit="1" customWidth="1"/>
    <col min="3091" max="3091" width="10.85546875" style="1" bestFit="1" customWidth="1"/>
    <col min="3092" max="3092" width="7.7109375" style="1" bestFit="1" customWidth="1"/>
    <col min="3093" max="3093" width="10.85546875" style="1" bestFit="1" customWidth="1"/>
    <col min="3094" max="3328" width="9.140625" style="1"/>
    <col min="3329" max="3329" width="2.85546875" style="1" customWidth="1"/>
    <col min="3330" max="3330" width="5" style="1" bestFit="1" customWidth="1"/>
    <col min="3331" max="3331" width="10.5703125" style="1" bestFit="1" customWidth="1"/>
    <col min="3332" max="3332" width="72.7109375" style="1" bestFit="1" customWidth="1"/>
    <col min="3333" max="3333" width="4.85546875" style="1" bestFit="1" customWidth="1"/>
    <col min="3334" max="3334" width="8.42578125" style="1" bestFit="1" customWidth="1"/>
    <col min="3335" max="3335" width="10.85546875" style="1" bestFit="1" customWidth="1"/>
    <col min="3336" max="3336" width="4.85546875" style="1" bestFit="1" customWidth="1"/>
    <col min="3337" max="3337" width="9.28515625" style="1" bestFit="1" customWidth="1"/>
    <col min="3338" max="3338" width="17" style="1" bestFit="1" customWidth="1"/>
    <col min="3339" max="3339" width="11.7109375" style="1" bestFit="1" customWidth="1"/>
    <col min="3340" max="3340" width="7.140625" style="1" bestFit="1" customWidth="1"/>
    <col min="3341" max="3341" width="9.5703125" style="1" bestFit="1" customWidth="1"/>
    <col min="3342" max="3342" width="9.140625" style="1" bestFit="1"/>
    <col min="3343" max="3343" width="9.5703125" style="1" bestFit="1" customWidth="1"/>
    <col min="3344" max="3344" width="10.5703125" style="1" bestFit="1" customWidth="1"/>
    <col min="3345" max="3345" width="8.140625" style="1" bestFit="1" customWidth="1"/>
    <col min="3346" max="3346" width="7.140625" style="1" bestFit="1" customWidth="1"/>
    <col min="3347" max="3347" width="10.85546875" style="1" bestFit="1" customWidth="1"/>
    <col min="3348" max="3348" width="7.7109375" style="1" bestFit="1" customWidth="1"/>
    <col min="3349" max="3349" width="10.85546875" style="1" bestFit="1" customWidth="1"/>
    <col min="3350" max="3584" width="9.140625" style="1"/>
    <col min="3585" max="3585" width="2.85546875" style="1" customWidth="1"/>
    <col min="3586" max="3586" width="5" style="1" bestFit="1" customWidth="1"/>
    <col min="3587" max="3587" width="10.5703125" style="1" bestFit="1" customWidth="1"/>
    <col min="3588" max="3588" width="72.7109375" style="1" bestFit="1" customWidth="1"/>
    <col min="3589" max="3589" width="4.85546875" style="1" bestFit="1" customWidth="1"/>
    <col min="3590" max="3590" width="8.42578125" style="1" bestFit="1" customWidth="1"/>
    <col min="3591" max="3591" width="10.85546875" style="1" bestFit="1" customWidth="1"/>
    <col min="3592" max="3592" width="4.85546875" style="1" bestFit="1" customWidth="1"/>
    <col min="3593" max="3593" width="9.28515625" style="1" bestFit="1" customWidth="1"/>
    <col min="3594" max="3594" width="17" style="1" bestFit="1" customWidth="1"/>
    <col min="3595" max="3595" width="11.7109375" style="1" bestFit="1" customWidth="1"/>
    <col min="3596" max="3596" width="7.140625" style="1" bestFit="1" customWidth="1"/>
    <col min="3597" max="3597" width="9.5703125" style="1" bestFit="1" customWidth="1"/>
    <col min="3598" max="3598" width="9.140625" style="1" bestFit="1"/>
    <col min="3599" max="3599" width="9.5703125" style="1" bestFit="1" customWidth="1"/>
    <col min="3600" max="3600" width="10.5703125" style="1" bestFit="1" customWidth="1"/>
    <col min="3601" max="3601" width="8.140625" style="1" bestFit="1" customWidth="1"/>
    <col min="3602" max="3602" width="7.140625" style="1" bestFit="1" customWidth="1"/>
    <col min="3603" max="3603" width="10.85546875" style="1" bestFit="1" customWidth="1"/>
    <col min="3604" max="3604" width="7.7109375" style="1" bestFit="1" customWidth="1"/>
    <col min="3605" max="3605" width="10.85546875" style="1" bestFit="1" customWidth="1"/>
    <col min="3606" max="3840" width="9.140625" style="1"/>
    <col min="3841" max="3841" width="2.85546875" style="1" customWidth="1"/>
    <col min="3842" max="3842" width="5" style="1" bestFit="1" customWidth="1"/>
    <col min="3843" max="3843" width="10.5703125" style="1" bestFit="1" customWidth="1"/>
    <col min="3844" max="3844" width="72.7109375" style="1" bestFit="1" customWidth="1"/>
    <col min="3845" max="3845" width="4.85546875" style="1" bestFit="1" customWidth="1"/>
    <col min="3846" max="3846" width="8.42578125" style="1" bestFit="1" customWidth="1"/>
    <col min="3847" max="3847" width="10.85546875" style="1" bestFit="1" customWidth="1"/>
    <col min="3848" max="3848" width="4.85546875" style="1" bestFit="1" customWidth="1"/>
    <col min="3849" max="3849" width="9.28515625" style="1" bestFit="1" customWidth="1"/>
    <col min="3850" max="3850" width="17" style="1" bestFit="1" customWidth="1"/>
    <col min="3851" max="3851" width="11.7109375" style="1" bestFit="1" customWidth="1"/>
    <col min="3852" max="3852" width="7.140625" style="1" bestFit="1" customWidth="1"/>
    <col min="3853" max="3853" width="9.5703125" style="1" bestFit="1" customWidth="1"/>
    <col min="3854" max="3854" width="9.140625" style="1" bestFit="1"/>
    <col min="3855" max="3855" width="9.5703125" style="1" bestFit="1" customWidth="1"/>
    <col min="3856" max="3856" width="10.5703125" style="1" bestFit="1" customWidth="1"/>
    <col min="3857" max="3857" width="8.140625" style="1" bestFit="1" customWidth="1"/>
    <col min="3858" max="3858" width="7.140625" style="1" bestFit="1" customWidth="1"/>
    <col min="3859" max="3859" width="10.85546875" style="1" bestFit="1" customWidth="1"/>
    <col min="3860" max="3860" width="7.7109375" style="1" bestFit="1" customWidth="1"/>
    <col min="3861" max="3861" width="10.85546875" style="1" bestFit="1" customWidth="1"/>
    <col min="3862" max="4096" width="9.140625" style="1"/>
    <col min="4097" max="4097" width="2.85546875" style="1" customWidth="1"/>
    <col min="4098" max="4098" width="5" style="1" bestFit="1" customWidth="1"/>
    <col min="4099" max="4099" width="10.5703125" style="1" bestFit="1" customWidth="1"/>
    <col min="4100" max="4100" width="72.7109375" style="1" bestFit="1" customWidth="1"/>
    <col min="4101" max="4101" width="4.85546875" style="1" bestFit="1" customWidth="1"/>
    <col min="4102" max="4102" width="8.42578125" style="1" bestFit="1" customWidth="1"/>
    <col min="4103" max="4103" width="10.85546875" style="1" bestFit="1" customWidth="1"/>
    <col min="4104" max="4104" width="4.85546875" style="1" bestFit="1" customWidth="1"/>
    <col min="4105" max="4105" width="9.28515625" style="1" bestFit="1" customWidth="1"/>
    <col min="4106" max="4106" width="17" style="1" bestFit="1" customWidth="1"/>
    <col min="4107" max="4107" width="11.7109375" style="1" bestFit="1" customWidth="1"/>
    <col min="4108" max="4108" width="7.140625" style="1" bestFit="1" customWidth="1"/>
    <col min="4109" max="4109" width="9.5703125" style="1" bestFit="1" customWidth="1"/>
    <col min="4110" max="4110" width="9.140625" style="1" bestFit="1"/>
    <col min="4111" max="4111" width="9.5703125" style="1" bestFit="1" customWidth="1"/>
    <col min="4112" max="4112" width="10.5703125" style="1" bestFit="1" customWidth="1"/>
    <col min="4113" max="4113" width="8.140625" style="1" bestFit="1" customWidth="1"/>
    <col min="4114" max="4114" width="7.140625" style="1" bestFit="1" customWidth="1"/>
    <col min="4115" max="4115" width="10.85546875" style="1" bestFit="1" customWidth="1"/>
    <col min="4116" max="4116" width="7.7109375" style="1" bestFit="1" customWidth="1"/>
    <col min="4117" max="4117" width="10.85546875" style="1" bestFit="1" customWidth="1"/>
    <col min="4118" max="4352" width="9.140625" style="1"/>
    <col min="4353" max="4353" width="2.85546875" style="1" customWidth="1"/>
    <col min="4354" max="4354" width="5" style="1" bestFit="1" customWidth="1"/>
    <col min="4355" max="4355" width="10.5703125" style="1" bestFit="1" customWidth="1"/>
    <col min="4356" max="4356" width="72.7109375" style="1" bestFit="1" customWidth="1"/>
    <col min="4357" max="4357" width="4.85546875" style="1" bestFit="1" customWidth="1"/>
    <col min="4358" max="4358" width="8.42578125" style="1" bestFit="1" customWidth="1"/>
    <col min="4359" max="4359" width="10.85546875" style="1" bestFit="1" customWidth="1"/>
    <col min="4360" max="4360" width="4.85546875" style="1" bestFit="1" customWidth="1"/>
    <col min="4361" max="4361" width="9.28515625" style="1" bestFit="1" customWidth="1"/>
    <col min="4362" max="4362" width="17" style="1" bestFit="1" customWidth="1"/>
    <col min="4363" max="4363" width="11.7109375" style="1" bestFit="1" customWidth="1"/>
    <col min="4364" max="4364" width="7.140625" style="1" bestFit="1" customWidth="1"/>
    <col min="4365" max="4365" width="9.5703125" style="1" bestFit="1" customWidth="1"/>
    <col min="4366" max="4366" width="9.140625" style="1" bestFit="1"/>
    <col min="4367" max="4367" width="9.5703125" style="1" bestFit="1" customWidth="1"/>
    <col min="4368" max="4368" width="10.5703125" style="1" bestFit="1" customWidth="1"/>
    <col min="4369" max="4369" width="8.140625" style="1" bestFit="1" customWidth="1"/>
    <col min="4370" max="4370" width="7.140625" style="1" bestFit="1" customWidth="1"/>
    <col min="4371" max="4371" width="10.85546875" style="1" bestFit="1" customWidth="1"/>
    <col min="4372" max="4372" width="7.7109375" style="1" bestFit="1" customWidth="1"/>
    <col min="4373" max="4373" width="10.85546875" style="1" bestFit="1" customWidth="1"/>
    <col min="4374" max="4608" width="9.140625" style="1"/>
    <col min="4609" max="4609" width="2.85546875" style="1" customWidth="1"/>
    <col min="4610" max="4610" width="5" style="1" bestFit="1" customWidth="1"/>
    <col min="4611" max="4611" width="10.5703125" style="1" bestFit="1" customWidth="1"/>
    <col min="4612" max="4612" width="72.7109375" style="1" bestFit="1" customWidth="1"/>
    <col min="4613" max="4613" width="4.85546875" style="1" bestFit="1" customWidth="1"/>
    <col min="4614" max="4614" width="8.42578125" style="1" bestFit="1" customWidth="1"/>
    <col min="4615" max="4615" width="10.85546875" style="1" bestFit="1" customWidth="1"/>
    <col min="4616" max="4616" width="4.85546875" style="1" bestFit="1" customWidth="1"/>
    <col min="4617" max="4617" width="9.28515625" style="1" bestFit="1" customWidth="1"/>
    <col min="4618" max="4618" width="17" style="1" bestFit="1" customWidth="1"/>
    <col min="4619" max="4619" width="11.7109375" style="1" bestFit="1" customWidth="1"/>
    <col min="4620" max="4620" width="7.140625" style="1" bestFit="1" customWidth="1"/>
    <col min="4621" max="4621" width="9.5703125" style="1" bestFit="1" customWidth="1"/>
    <col min="4622" max="4622" width="9.140625" style="1" bestFit="1"/>
    <col min="4623" max="4623" width="9.5703125" style="1" bestFit="1" customWidth="1"/>
    <col min="4624" max="4624" width="10.5703125" style="1" bestFit="1" customWidth="1"/>
    <col min="4625" max="4625" width="8.140625" style="1" bestFit="1" customWidth="1"/>
    <col min="4626" max="4626" width="7.140625" style="1" bestFit="1" customWidth="1"/>
    <col min="4627" max="4627" width="10.85546875" style="1" bestFit="1" customWidth="1"/>
    <col min="4628" max="4628" width="7.7109375" style="1" bestFit="1" customWidth="1"/>
    <col min="4629" max="4629" width="10.85546875" style="1" bestFit="1" customWidth="1"/>
    <col min="4630" max="4864" width="9.140625" style="1"/>
    <col min="4865" max="4865" width="2.85546875" style="1" customWidth="1"/>
    <col min="4866" max="4866" width="5" style="1" bestFit="1" customWidth="1"/>
    <col min="4867" max="4867" width="10.5703125" style="1" bestFit="1" customWidth="1"/>
    <col min="4868" max="4868" width="72.7109375" style="1" bestFit="1" customWidth="1"/>
    <col min="4869" max="4869" width="4.85546875" style="1" bestFit="1" customWidth="1"/>
    <col min="4870" max="4870" width="8.42578125" style="1" bestFit="1" customWidth="1"/>
    <col min="4871" max="4871" width="10.85546875" style="1" bestFit="1" customWidth="1"/>
    <col min="4872" max="4872" width="4.85546875" style="1" bestFit="1" customWidth="1"/>
    <col min="4873" max="4873" width="9.28515625" style="1" bestFit="1" customWidth="1"/>
    <col min="4874" max="4874" width="17" style="1" bestFit="1" customWidth="1"/>
    <col min="4875" max="4875" width="11.7109375" style="1" bestFit="1" customWidth="1"/>
    <col min="4876" max="4876" width="7.140625" style="1" bestFit="1" customWidth="1"/>
    <col min="4877" max="4877" width="9.5703125" style="1" bestFit="1" customWidth="1"/>
    <col min="4878" max="4878" width="9.140625" style="1" bestFit="1"/>
    <col min="4879" max="4879" width="9.5703125" style="1" bestFit="1" customWidth="1"/>
    <col min="4880" max="4880" width="10.5703125" style="1" bestFit="1" customWidth="1"/>
    <col min="4881" max="4881" width="8.140625" style="1" bestFit="1" customWidth="1"/>
    <col min="4882" max="4882" width="7.140625" style="1" bestFit="1" customWidth="1"/>
    <col min="4883" max="4883" width="10.85546875" style="1" bestFit="1" customWidth="1"/>
    <col min="4884" max="4884" width="7.7109375" style="1" bestFit="1" customWidth="1"/>
    <col min="4885" max="4885" width="10.85546875" style="1" bestFit="1" customWidth="1"/>
    <col min="4886" max="5120" width="9.140625" style="1"/>
    <col min="5121" max="5121" width="2.85546875" style="1" customWidth="1"/>
    <col min="5122" max="5122" width="5" style="1" bestFit="1" customWidth="1"/>
    <col min="5123" max="5123" width="10.5703125" style="1" bestFit="1" customWidth="1"/>
    <col min="5124" max="5124" width="72.7109375" style="1" bestFit="1" customWidth="1"/>
    <col min="5125" max="5125" width="4.85546875" style="1" bestFit="1" customWidth="1"/>
    <col min="5126" max="5126" width="8.42578125" style="1" bestFit="1" customWidth="1"/>
    <col min="5127" max="5127" width="10.85546875" style="1" bestFit="1" customWidth="1"/>
    <col min="5128" max="5128" width="4.85546875" style="1" bestFit="1" customWidth="1"/>
    <col min="5129" max="5129" width="9.28515625" style="1" bestFit="1" customWidth="1"/>
    <col min="5130" max="5130" width="17" style="1" bestFit="1" customWidth="1"/>
    <col min="5131" max="5131" width="11.7109375" style="1" bestFit="1" customWidth="1"/>
    <col min="5132" max="5132" width="7.140625" style="1" bestFit="1" customWidth="1"/>
    <col min="5133" max="5133" width="9.5703125" style="1" bestFit="1" customWidth="1"/>
    <col min="5134" max="5134" width="9.140625" style="1" bestFit="1"/>
    <col min="5135" max="5135" width="9.5703125" style="1" bestFit="1" customWidth="1"/>
    <col min="5136" max="5136" width="10.5703125" style="1" bestFit="1" customWidth="1"/>
    <col min="5137" max="5137" width="8.140625" style="1" bestFit="1" customWidth="1"/>
    <col min="5138" max="5138" width="7.140625" style="1" bestFit="1" customWidth="1"/>
    <col min="5139" max="5139" width="10.85546875" style="1" bestFit="1" customWidth="1"/>
    <col min="5140" max="5140" width="7.7109375" style="1" bestFit="1" customWidth="1"/>
    <col min="5141" max="5141" width="10.85546875" style="1" bestFit="1" customWidth="1"/>
    <col min="5142" max="5376" width="9.140625" style="1"/>
    <col min="5377" max="5377" width="2.85546875" style="1" customWidth="1"/>
    <col min="5378" max="5378" width="5" style="1" bestFit="1" customWidth="1"/>
    <col min="5379" max="5379" width="10.5703125" style="1" bestFit="1" customWidth="1"/>
    <col min="5380" max="5380" width="72.7109375" style="1" bestFit="1" customWidth="1"/>
    <col min="5381" max="5381" width="4.85546875" style="1" bestFit="1" customWidth="1"/>
    <col min="5382" max="5382" width="8.42578125" style="1" bestFit="1" customWidth="1"/>
    <col min="5383" max="5383" width="10.85546875" style="1" bestFit="1" customWidth="1"/>
    <col min="5384" max="5384" width="4.85546875" style="1" bestFit="1" customWidth="1"/>
    <col min="5385" max="5385" width="9.28515625" style="1" bestFit="1" customWidth="1"/>
    <col min="5386" max="5386" width="17" style="1" bestFit="1" customWidth="1"/>
    <col min="5387" max="5387" width="11.7109375" style="1" bestFit="1" customWidth="1"/>
    <col min="5388" max="5388" width="7.140625" style="1" bestFit="1" customWidth="1"/>
    <col min="5389" max="5389" width="9.5703125" style="1" bestFit="1" customWidth="1"/>
    <col min="5390" max="5390" width="9.140625" style="1" bestFit="1"/>
    <col min="5391" max="5391" width="9.5703125" style="1" bestFit="1" customWidth="1"/>
    <col min="5392" max="5392" width="10.5703125" style="1" bestFit="1" customWidth="1"/>
    <col min="5393" max="5393" width="8.140625" style="1" bestFit="1" customWidth="1"/>
    <col min="5394" max="5394" width="7.140625" style="1" bestFit="1" customWidth="1"/>
    <col min="5395" max="5395" width="10.85546875" style="1" bestFit="1" customWidth="1"/>
    <col min="5396" max="5396" width="7.7109375" style="1" bestFit="1" customWidth="1"/>
    <col min="5397" max="5397" width="10.85546875" style="1" bestFit="1" customWidth="1"/>
    <col min="5398" max="5632" width="9.140625" style="1"/>
    <col min="5633" max="5633" width="2.85546875" style="1" customWidth="1"/>
    <col min="5634" max="5634" width="5" style="1" bestFit="1" customWidth="1"/>
    <col min="5635" max="5635" width="10.5703125" style="1" bestFit="1" customWidth="1"/>
    <col min="5636" max="5636" width="72.7109375" style="1" bestFit="1" customWidth="1"/>
    <col min="5637" max="5637" width="4.85546875" style="1" bestFit="1" customWidth="1"/>
    <col min="5638" max="5638" width="8.42578125" style="1" bestFit="1" customWidth="1"/>
    <col min="5639" max="5639" width="10.85546875" style="1" bestFit="1" customWidth="1"/>
    <col min="5640" max="5640" width="4.85546875" style="1" bestFit="1" customWidth="1"/>
    <col min="5641" max="5641" width="9.28515625" style="1" bestFit="1" customWidth="1"/>
    <col min="5642" max="5642" width="17" style="1" bestFit="1" customWidth="1"/>
    <col min="5643" max="5643" width="11.7109375" style="1" bestFit="1" customWidth="1"/>
    <col min="5644" max="5644" width="7.140625" style="1" bestFit="1" customWidth="1"/>
    <col min="5645" max="5645" width="9.5703125" style="1" bestFit="1" customWidth="1"/>
    <col min="5646" max="5646" width="9.140625" style="1" bestFit="1"/>
    <col min="5647" max="5647" width="9.5703125" style="1" bestFit="1" customWidth="1"/>
    <col min="5648" max="5648" width="10.5703125" style="1" bestFit="1" customWidth="1"/>
    <col min="5649" max="5649" width="8.140625" style="1" bestFit="1" customWidth="1"/>
    <col min="5650" max="5650" width="7.140625" style="1" bestFit="1" customWidth="1"/>
    <col min="5651" max="5651" width="10.85546875" style="1" bestFit="1" customWidth="1"/>
    <col min="5652" max="5652" width="7.7109375" style="1" bestFit="1" customWidth="1"/>
    <col min="5653" max="5653" width="10.85546875" style="1" bestFit="1" customWidth="1"/>
    <col min="5654" max="5888" width="9.140625" style="1"/>
    <col min="5889" max="5889" width="2.85546875" style="1" customWidth="1"/>
    <col min="5890" max="5890" width="5" style="1" bestFit="1" customWidth="1"/>
    <col min="5891" max="5891" width="10.5703125" style="1" bestFit="1" customWidth="1"/>
    <col min="5892" max="5892" width="72.7109375" style="1" bestFit="1" customWidth="1"/>
    <col min="5893" max="5893" width="4.85546875" style="1" bestFit="1" customWidth="1"/>
    <col min="5894" max="5894" width="8.42578125" style="1" bestFit="1" customWidth="1"/>
    <col min="5895" max="5895" width="10.85546875" style="1" bestFit="1" customWidth="1"/>
    <col min="5896" max="5896" width="4.85546875" style="1" bestFit="1" customWidth="1"/>
    <col min="5897" max="5897" width="9.28515625" style="1" bestFit="1" customWidth="1"/>
    <col min="5898" max="5898" width="17" style="1" bestFit="1" customWidth="1"/>
    <col min="5899" max="5899" width="11.7109375" style="1" bestFit="1" customWidth="1"/>
    <col min="5900" max="5900" width="7.140625" style="1" bestFit="1" customWidth="1"/>
    <col min="5901" max="5901" width="9.5703125" style="1" bestFit="1" customWidth="1"/>
    <col min="5902" max="5902" width="9.140625" style="1" bestFit="1"/>
    <col min="5903" max="5903" width="9.5703125" style="1" bestFit="1" customWidth="1"/>
    <col min="5904" max="5904" width="10.5703125" style="1" bestFit="1" customWidth="1"/>
    <col min="5905" max="5905" width="8.140625" style="1" bestFit="1" customWidth="1"/>
    <col min="5906" max="5906" width="7.140625" style="1" bestFit="1" customWidth="1"/>
    <col min="5907" max="5907" width="10.85546875" style="1" bestFit="1" customWidth="1"/>
    <col min="5908" max="5908" width="7.7109375" style="1" bestFit="1" customWidth="1"/>
    <col min="5909" max="5909" width="10.85546875" style="1" bestFit="1" customWidth="1"/>
    <col min="5910" max="6144" width="9.140625" style="1"/>
    <col min="6145" max="6145" width="2.85546875" style="1" customWidth="1"/>
    <col min="6146" max="6146" width="5" style="1" bestFit="1" customWidth="1"/>
    <col min="6147" max="6147" width="10.5703125" style="1" bestFit="1" customWidth="1"/>
    <col min="6148" max="6148" width="72.7109375" style="1" bestFit="1" customWidth="1"/>
    <col min="6149" max="6149" width="4.85546875" style="1" bestFit="1" customWidth="1"/>
    <col min="6150" max="6150" width="8.42578125" style="1" bestFit="1" customWidth="1"/>
    <col min="6151" max="6151" width="10.85546875" style="1" bestFit="1" customWidth="1"/>
    <col min="6152" max="6152" width="4.85546875" style="1" bestFit="1" customWidth="1"/>
    <col min="6153" max="6153" width="9.28515625" style="1" bestFit="1" customWidth="1"/>
    <col min="6154" max="6154" width="17" style="1" bestFit="1" customWidth="1"/>
    <col min="6155" max="6155" width="11.7109375" style="1" bestFit="1" customWidth="1"/>
    <col min="6156" max="6156" width="7.140625" style="1" bestFit="1" customWidth="1"/>
    <col min="6157" max="6157" width="9.5703125" style="1" bestFit="1" customWidth="1"/>
    <col min="6158" max="6158" width="9.140625" style="1" bestFit="1"/>
    <col min="6159" max="6159" width="9.5703125" style="1" bestFit="1" customWidth="1"/>
    <col min="6160" max="6160" width="10.5703125" style="1" bestFit="1" customWidth="1"/>
    <col min="6161" max="6161" width="8.140625" style="1" bestFit="1" customWidth="1"/>
    <col min="6162" max="6162" width="7.140625" style="1" bestFit="1" customWidth="1"/>
    <col min="6163" max="6163" width="10.85546875" style="1" bestFit="1" customWidth="1"/>
    <col min="6164" max="6164" width="7.7109375" style="1" bestFit="1" customWidth="1"/>
    <col min="6165" max="6165" width="10.85546875" style="1" bestFit="1" customWidth="1"/>
    <col min="6166" max="6400" width="9.140625" style="1"/>
    <col min="6401" max="6401" width="2.85546875" style="1" customWidth="1"/>
    <col min="6402" max="6402" width="5" style="1" bestFit="1" customWidth="1"/>
    <col min="6403" max="6403" width="10.5703125" style="1" bestFit="1" customWidth="1"/>
    <col min="6404" max="6404" width="72.7109375" style="1" bestFit="1" customWidth="1"/>
    <col min="6405" max="6405" width="4.85546875" style="1" bestFit="1" customWidth="1"/>
    <col min="6406" max="6406" width="8.42578125" style="1" bestFit="1" customWidth="1"/>
    <col min="6407" max="6407" width="10.85546875" style="1" bestFit="1" customWidth="1"/>
    <col min="6408" max="6408" width="4.85546875" style="1" bestFit="1" customWidth="1"/>
    <col min="6409" max="6409" width="9.28515625" style="1" bestFit="1" customWidth="1"/>
    <col min="6410" max="6410" width="17" style="1" bestFit="1" customWidth="1"/>
    <col min="6411" max="6411" width="11.7109375" style="1" bestFit="1" customWidth="1"/>
    <col min="6412" max="6412" width="7.140625" style="1" bestFit="1" customWidth="1"/>
    <col min="6413" max="6413" width="9.5703125" style="1" bestFit="1" customWidth="1"/>
    <col min="6414" max="6414" width="9.140625" style="1" bestFit="1"/>
    <col min="6415" max="6415" width="9.5703125" style="1" bestFit="1" customWidth="1"/>
    <col min="6416" max="6416" width="10.5703125" style="1" bestFit="1" customWidth="1"/>
    <col min="6417" max="6417" width="8.140625" style="1" bestFit="1" customWidth="1"/>
    <col min="6418" max="6418" width="7.140625" style="1" bestFit="1" customWidth="1"/>
    <col min="6419" max="6419" width="10.85546875" style="1" bestFit="1" customWidth="1"/>
    <col min="6420" max="6420" width="7.7109375" style="1" bestFit="1" customWidth="1"/>
    <col min="6421" max="6421" width="10.85546875" style="1" bestFit="1" customWidth="1"/>
    <col min="6422" max="6656" width="9.140625" style="1"/>
    <col min="6657" max="6657" width="2.85546875" style="1" customWidth="1"/>
    <col min="6658" max="6658" width="5" style="1" bestFit="1" customWidth="1"/>
    <col min="6659" max="6659" width="10.5703125" style="1" bestFit="1" customWidth="1"/>
    <col min="6660" max="6660" width="72.7109375" style="1" bestFit="1" customWidth="1"/>
    <col min="6661" max="6661" width="4.85546875" style="1" bestFit="1" customWidth="1"/>
    <col min="6662" max="6662" width="8.42578125" style="1" bestFit="1" customWidth="1"/>
    <col min="6663" max="6663" width="10.85546875" style="1" bestFit="1" customWidth="1"/>
    <col min="6664" max="6664" width="4.85546875" style="1" bestFit="1" customWidth="1"/>
    <col min="6665" max="6665" width="9.28515625" style="1" bestFit="1" customWidth="1"/>
    <col min="6666" max="6666" width="17" style="1" bestFit="1" customWidth="1"/>
    <col min="6667" max="6667" width="11.7109375" style="1" bestFit="1" customWidth="1"/>
    <col min="6668" max="6668" width="7.140625" style="1" bestFit="1" customWidth="1"/>
    <col min="6669" max="6669" width="9.5703125" style="1" bestFit="1" customWidth="1"/>
    <col min="6670" max="6670" width="9.140625" style="1" bestFit="1"/>
    <col min="6671" max="6671" width="9.5703125" style="1" bestFit="1" customWidth="1"/>
    <col min="6672" max="6672" width="10.5703125" style="1" bestFit="1" customWidth="1"/>
    <col min="6673" max="6673" width="8.140625" style="1" bestFit="1" customWidth="1"/>
    <col min="6674" max="6674" width="7.140625" style="1" bestFit="1" customWidth="1"/>
    <col min="6675" max="6675" width="10.85546875" style="1" bestFit="1" customWidth="1"/>
    <col min="6676" max="6676" width="7.7109375" style="1" bestFit="1" customWidth="1"/>
    <col min="6677" max="6677" width="10.85546875" style="1" bestFit="1" customWidth="1"/>
    <col min="6678" max="6912" width="9.140625" style="1"/>
    <col min="6913" max="6913" width="2.85546875" style="1" customWidth="1"/>
    <col min="6914" max="6914" width="5" style="1" bestFit="1" customWidth="1"/>
    <col min="6915" max="6915" width="10.5703125" style="1" bestFit="1" customWidth="1"/>
    <col min="6916" max="6916" width="72.7109375" style="1" bestFit="1" customWidth="1"/>
    <col min="6917" max="6917" width="4.85546875" style="1" bestFit="1" customWidth="1"/>
    <col min="6918" max="6918" width="8.42578125" style="1" bestFit="1" customWidth="1"/>
    <col min="6919" max="6919" width="10.85546875" style="1" bestFit="1" customWidth="1"/>
    <col min="6920" max="6920" width="4.85546875" style="1" bestFit="1" customWidth="1"/>
    <col min="6921" max="6921" width="9.28515625" style="1" bestFit="1" customWidth="1"/>
    <col min="6922" max="6922" width="17" style="1" bestFit="1" customWidth="1"/>
    <col min="6923" max="6923" width="11.7109375" style="1" bestFit="1" customWidth="1"/>
    <col min="6924" max="6924" width="7.140625" style="1" bestFit="1" customWidth="1"/>
    <col min="6925" max="6925" width="9.5703125" style="1" bestFit="1" customWidth="1"/>
    <col min="6926" max="6926" width="9.140625" style="1" bestFit="1"/>
    <col min="6927" max="6927" width="9.5703125" style="1" bestFit="1" customWidth="1"/>
    <col min="6928" max="6928" width="10.5703125" style="1" bestFit="1" customWidth="1"/>
    <col min="6929" max="6929" width="8.140625" style="1" bestFit="1" customWidth="1"/>
    <col min="6930" max="6930" width="7.140625" style="1" bestFit="1" customWidth="1"/>
    <col min="6931" max="6931" width="10.85546875" style="1" bestFit="1" customWidth="1"/>
    <col min="6932" max="6932" width="7.7109375" style="1" bestFit="1" customWidth="1"/>
    <col min="6933" max="6933" width="10.85546875" style="1" bestFit="1" customWidth="1"/>
    <col min="6934" max="7168" width="9.140625" style="1"/>
    <col min="7169" max="7169" width="2.85546875" style="1" customWidth="1"/>
    <col min="7170" max="7170" width="5" style="1" bestFit="1" customWidth="1"/>
    <col min="7171" max="7171" width="10.5703125" style="1" bestFit="1" customWidth="1"/>
    <col min="7172" max="7172" width="72.7109375" style="1" bestFit="1" customWidth="1"/>
    <col min="7173" max="7173" width="4.85546875" style="1" bestFit="1" customWidth="1"/>
    <col min="7174" max="7174" width="8.42578125" style="1" bestFit="1" customWidth="1"/>
    <col min="7175" max="7175" width="10.85546875" style="1" bestFit="1" customWidth="1"/>
    <col min="7176" max="7176" width="4.85546875" style="1" bestFit="1" customWidth="1"/>
    <col min="7177" max="7177" width="9.28515625" style="1" bestFit="1" customWidth="1"/>
    <col min="7178" max="7178" width="17" style="1" bestFit="1" customWidth="1"/>
    <col min="7179" max="7179" width="11.7109375" style="1" bestFit="1" customWidth="1"/>
    <col min="7180" max="7180" width="7.140625" style="1" bestFit="1" customWidth="1"/>
    <col min="7181" max="7181" width="9.5703125" style="1" bestFit="1" customWidth="1"/>
    <col min="7182" max="7182" width="9.140625" style="1" bestFit="1"/>
    <col min="7183" max="7183" width="9.5703125" style="1" bestFit="1" customWidth="1"/>
    <col min="7184" max="7184" width="10.5703125" style="1" bestFit="1" customWidth="1"/>
    <col min="7185" max="7185" width="8.140625" style="1" bestFit="1" customWidth="1"/>
    <col min="7186" max="7186" width="7.140625" style="1" bestFit="1" customWidth="1"/>
    <col min="7187" max="7187" width="10.85546875" style="1" bestFit="1" customWidth="1"/>
    <col min="7188" max="7188" width="7.7109375" style="1" bestFit="1" customWidth="1"/>
    <col min="7189" max="7189" width="10.85546875" style="1" bestFit="1" customWidth="1"/>
    <col min="7190" max="7424" width="9.140625" style="1"/>
    <col min="7425" max="7425" width="2.85546875" style="1" customWidth="1"/>
    <col min="7426" max="7426" width="5" style="1" bestFit="1" customWidth="1"/>
    <col min="7427" max="7427" width="10.5703125" style="1" bestFit="1" customWidth="1"/>
    <col min="7428" max="7428" width="72.7109375" style="1" bestFit="1" customWidth="1"/>
    <col min="7429" max="7429" width="4.85546875" style="1" bestFit="1" customWidth="1"/>
    <col min="7430" max="7430" width="8.42578125" style="1" bestFit="1" customWidth="1"/>
    <col min="7431" max="7431" width="10.85546875" style="1" bestFit="1" customWidth="1"/>
    <col min="7432" max="7432" width="4.85546875" style="1" bestFit="1" customWidth="1"/>
    <col min="7433" max="7433" width="9.28515625" style="1" bestFit="1" customWidth="1"/>
    <col min="7434" max="7434" width="17" style="1" bestFit="1" customWidth="1"/>
    <col min="7435" max="7435" width="11.7109375" style="1" bestFit="1" customWidth="1"/>
    <col min="7436" max="7436" width="7.140625" style="1" bestFit="1" customWidth="1"/>
    <col min="7437" max="7437" width="9.5703125" style="1" bestFit="1" customWidth="1"/>
    <col min="7438" max="7438" width="9.140625" style="1" bestFit="1"/>
    <col min="7439" max="7439" width="9.5703125" style="1" bestFit="1" customWidth="1"/>
    <col min="7440" max="7440" width="10.5703125" style="1" bestFit="1" customWidth="1"/>
    <col min="7441" max="7441" width="8.140625" style="1" bestFit="1" customWidth="1"/>
    <col min="7442" max="7442" width="7.140625" style="1" bestFit="1" customWidth="1"/>
    <col min="7443" max="7443" width="10.85546875" style="1" bestFit="1" customWidth="1"/>
    <col min="7444" max="7444" width="7.7109375" style="1" bestFit="1" customWidth="1"/>
    <col min="7445" max="7445" width="10.85546875" style="1" bestFit="1" customWidth="1"/>
    <col min="7446" max="7680" width="9.140625" style="1"/>
    <col min="7681" max="7681" width="2.85546875" style="1" customWidth="1"/>
    <col min="7682" max="7682" width="5" style="1" bestFit="1" customWidth="1"/>
    <col min="7683" max="7683" width="10.5703125" style="1" bestFit="1" customWidth="1"/>
    <col min="7684" max="7684" width="72.7109375" style="1" bestFit="1" customWidth="1"/>
    <col min="7685" max="7685" width="4.85546875" style="1" bestFit="1" customWidth="1"/>
    <col min="7686" max="7686" width="8.42578125" style="1" bestFit="1" customWidth="1"/>
    <col min="7687" max="7687" width="10.85546875" style="1" bestFit="1" customWidth="1"/>
    <col min="7688" max="7688" width="4.85546875" style="1" bestFit="1" customWidth="1"/>
    <col min="7689" max="7689" width="9.28515625" style="1" bestFit="1" customWidth="1"/>
    <col min="7690" max="7690" width="17" style="1" bestFit="1" customWidth="1"/>
    <col min="7691" max="7691" width="11.7109375" style="1" bestFit="1" customWidth="1"/>
    <col min="7692" max="7692" width="7.140625" style="1" bestFit="1" customWidth="1"/>
    <col min="7693" max="7693" width="9.5703125" style="1" bestFit="1" customWidth="1"/>
    <col min="7694" max="7694" width="9.140625" style="1" bestFit="1"/>
    <col min="7695" max="7695" width="9.5703125" style="1" bestFit="1" customWidth="1"/>
    <col min="7696" max="7696" width="10.5703125" style="1" bestFit="1" customWidth="1"/>
    <col min="7697" max="7697" width="8.140625" style="1" bestFit="1" customWidth="1"/>
    <col min="7698" max="7698" width="7.140625" style="1" bestFit="1" customWidth="1"/>
    <col min="7699" max="7699" width="10.85546875" style="1" bestFit="1" customWidth="1"/>
    <col min="7700" max="7700" width="7.7109375" style="1" bestFit="1" customWidth="1"/>
    <col min="7701" max="7701" width="10.85546875" style="1" bestFit="1" customWidth="1"/>
    <col min="7702" max="7936" width="9.140625" style="1"/>
    <col min="7937" max="7937" width="2.85546875" style="1" customWidth="1"/>
    <col min="7938" max="7938" width="5" style="1" bestFit="1" customWidth="1"/>
    <col min="7939" max="7939" width="10.5703125" style="1" bestFit="1" customWidth="1"/>
    <col min="7940" max="7940" width="72.7109375" style="1" bestFit="1" customWidth="1"/>
    <col min="7941" max="7941" width="4.85546875" style="1" bestFit="1" customWidth="1"/>
    <col min="7942" max="7942" width="8.42578125" style="1" bestFit="1" customWidth="1"/>
    <col min="7943" max="7943" width="10.85546875" style="1" bestFit="1" customWidth="1"/>
    <col min="7944" max="7944" width="4.85546875" style="1" bestFit="1" customWidth="1"/>
    <col min="7945" max="7945" width="9.28515625" style="1" bestFit="1" customWidth="1"/>
    <col min="7946" max="7946" width="17" style="1" bestFit="1" customWidth="1"/>
    <col min="7947" max="7947" width="11.7109375" style="1" bestFit="1" customWidth="1"/>
    <col min="7948" max="7948" width="7.140625" style="1" bestFit="1" customWidth="1"/>
    <col min="7949" max="7949" width="9.5703125" style="1" bestFit="1" customWidth="1"/>
    <col min="7950" max="7950" width="9.140625" style="1" bestFit="1"/>
    <col min="7951" max="7951" width="9.5703125" style="1" bestFit="1" customWidth="1"/>
    <col min="7952" max="7952" width="10.5703125" style="1" bestFit="1" customWidth="1"/>
    <col min="7953" max="7953" width="8.140625" style="1" bestFit="1" customWidth="1"/>
    <col min="7954" max="7954" width="7.140625" style="1" bestFit="1" customWidth="1"/>
    <col min="7955" max="7955" width="10.85546875" style="1" bestFit="1" customWidth="1"/>
    <col min="7956" max="7956" width="7.7109375" style="1" bestFit="1" customWidth="1"/>
    <col min="7957" max="7957" width="10.85546875" style="1" bestFit="1" customWidth="1"/>
    <col min="7958" max="8192" width="9.140625" style="1"/>
    <col min="8193" max="8193" width="2.85546875" style="1" customWidth="1"/>
    <col min="8194" max="8194" width="5" style="1" bestFit="1" customWidth="1"/>
    <col min="8195" max="8195" width="10.5703125" style="1" bestFit="1" customWidth="1"/>
    <col min="8196" max="8196" width="72.7109375" style="1" bestFit="1" customWidth="1"/>
    <col min="8197" max="8197" width="4.85546875" style="1" bestFit="1" customWidth="1"/>
    <col min="8198" max="8198" width="8.42578125" style="1" bestFit="1" customWidth="1"/>
    <col min="8199" max="8199" width="10.85546875" style="1" bestFit="1" customWidth="1"/>
    <col min="8200" max="8200" width="4.85546875" style="1" bestFit="1" customWidth="1"/>
    <col min="8201" max="8201" width="9.28515625" style="1" bestFit="1" customWidth="1"/>
    <col min="8202" max="8202" width="17" style="1" bestFit="1" customWidth="1"/>
    <col min="8203" max="8203" width="11.7109375" style="1" bestFit="1" customWidth="1"/>
    <col min="8204" max="8204" width="7.140625" style="1" bestFit="1" customWidth="1"/>
    <col min="8205" max="8205" width="9.5703125" style="1" bestFit="1" customWidth="1"/>
    <col min="8206" max="8206" width="9.140625" style="1" bestFit="1"/>
    <col min="8207" max="8207" width="9.5703125" style="1" bestFit="1" customWidth="1"/>
    <col min="8208" max="8208" width="10.5703125" style="1" bestFit="1" customWidth="1"/>
    <col min="8209" max="8209" width="8.140625" style="1" bestFit="1" customWidth="1"/>
    <col min="8210" max="8210" width="7.140625" style="1" bestFit="1" customWidth="1"/>
    <col min="8211" max="8211" width="10.85546875" style="1" bestFit="1" customWidth="1"/>
    <col min="8212" max="8212" width="7.7109375" style="1" bestFit="1" customWidth="1"/>
    <col min="8213" max="8213" width="10.85546875" style="1" bestFit="1" customWidth="1"/>
    <col min="8214" max="8448" width="9.140625" style="1"/>
    <col min="8449" max="8449" width="2.85546875" style="1" customWidth="1"/>
    <col min="8450" max="8450" width="5" style="1" bestFit="1" customWidth="1"/>
    <col min="8451" max="8451" width="10.5703125" style="1" bestFit="1" customWidth="1"/>
    <col min="8452" max="8452" width="72.7109375" style="1" bestFit="1" customWidth="1"/>
    <col min="8453" max="8453" width="4.85546875" style="1" bestFit="1" customWidth="1"/>
    <col min="8454" max="8454" width="8.42578125" style="1" bestFit="1" customWidth="1"/>
    <col min="8455" max="8455" width="10.85546875" style="1" bestFit="1" customWidth="1"/>
    <col min="8456" max="8456" width="4.85546875" style="1" bestFit="1" customWidth="1"/>
    <col min="8457" max="8457" width="9.28515625" style="1" bestFit="1" customWidth="1"/>
    <col min="8458" max="8458" width="17" style="1" bestFit="1" customWidth="1"/>
    <col min="8459" max="8459" width="11.7109375" style="1" bestFit="1" customWidth="1"/>
    <col min="8460" max="8460" width="7.140625" style="1" bestFit="1" customWidth="1"/>
    <col min="8461" max="8461" width="9.5703125" style="1" bestFit="1" customWidth="1"/>
    <col min="8462" max="8462" width="9.140625" style="1" bestFit="1"/>
    <col min="8463" max="8463" width="9.5703125" style="1" bestFit="1" customWidth="1"/>
    <col min="8464" max="8464" width="10.5703125" style="1" bestFit="1" customWidth="1"/>
    <col min="8465" max="8465" width="8.140625" style="1" bestFit="1" customWidth="1"/>
    <col min="8466" max="8466" width="7.140625" style="1" bestFit="1" customWidth="1"/>
    <col min="8467" max="8467" width="10.85546875" style="1" bestFit="1" customWidth="1"/>
    <col min="8468" max="8468" width="7.7109375" style="1" bestFit="1" customWidth="1"/>
    <col min="8469" max="8469" width="10.85546875" style="1" bestFit="1" customWidth="1"/>
    <col min="8470" max="8704" width="9.140625" style="1"/>
    <col min="8705" max="8705" width="2.85546875" style="1" customWidth="1"/>
    <col min="8706" max="8706" width="5" style="1" bestFit="1" customWidth="1"/>
    <col min="8707" max="8707" width="10.5703125" style="1" bestFit="1" customWidth="1"/>
    <col min="8708" max="8708" width="72.7109375" style="1" bestFit="1" customWidth="1"/>
    <col min="8709" max="8709" width="4.85546875" style="1" bestFit="1" customWidth="1"/>
    <col min="8710" max="8710" width="8.42578125" style="1" bestFit="1" customWidth="1"/>
    <col min="8711" max="8711" width="10.85546875" style="1" bestFit="1" customWidth="1"/>
    <col min="8712" max="8712" width="4.85546875" style="1" bestFit="1" customWidth="1"/>
    <col min="8713" max="8713" width="9.28515625" style="1" bestFit="1" customWidth="1"/>
    <col min="8714" max="8714" width="17" style="1" bestFit="1" customWidth="1"/>
    <col min="8715" max="8715" width="11.7109375" style="1" bestFit="1" customWidth="1"/>
    <col min="8716" max="8716" width="7.140625" style="1" bestFit="1" customWidth="1"/>
    <col min="8717" max="8717" width="9.5703125" style="1" bestFit="1" customWidth="1"/>
    <col min="8718" max="8718" width="9.140625" style="1" bestFit="1"/>
    <col min="8719" max="8719" width="9.5703125" style="1" bestFit="1" customWidth="1"/>
    <col min="8720" max="8720" width="10.5703125" style="1" bestFit="1" customWidth="1"/>
    <col min="8721" max="8721" width="8.140625" style="1" bestFit="1" customWidth="1"/>
    <col min="8722" max="8722" width="7.140625" style="1" bestFit="1" customWidth="1"/>
    <col min="8723" max="8723" width="10.85546875" style="1" bestFit="1" customWidth="1"/>
    <col min="8724" max="8724" width="7.7109375" style="1" bestFit="1" customWidth="1"/>
    <col min="8725" max="8725" width="10.85546875" style="1" bestFit="1" customWidth="1"/>
    <col min="8726" max="8960" width="9.140625" style="1"/>
    <col min="8961" max="8961" width="2.85546875" style="1" customWidth="1"/>
    <col min="8962" max="8962" width="5" style="1" bestFit="1" customWidth="1"/>
    <col min="8963" max="8963" width="10.5703125" style="1" bestFit="1" customWidth="1"/>
    <col min="8964" max="8964" width="72.7109375" style="1" bestFit="1" customWidth="1"/>
    <col min="8965" max="8965" width="4.85546875" style="1" bestFit="1" customWidth="1"/>
    <col min="8966" max="8966" width="8.42578125" style="1" bestFit="1" customWidth="1"/>
    <col min="8967" max="8967" width="10.85546875" style="1" bestFit="1" customWidth="1"/>
    <col min="8968" max="8968" width="4.85546875" style="1" bestFit="1" customWidth="1"/>
    <col min="8969" max="8969" width="9.28515625" style="1" bestFit="1" customWidth="1"/>
    <col min="8970" max="8970" width="17" style="1" bestFit="1" customWidth="1"/>
    <col min="8971" max="8971" width="11.7109375" style="1" bestFit="1" customWidth="1"/>
    <col min="8972" max="8972" width="7.140625" style="1" bestFit="1" customWidth="1"/>
    <col min="8973" max="8973" width="9.5703125" style="1" bestFit="1" customWidth="1"/>
    <col min="8974" max="8974" width="9.140625" style="1" bestFit="1"/>
    <col min="8975" max="8975" width="9.5703125" style="1" bestFit="1" customWidth="1"/>
    <col min="8976" max="8976" width="10.5703125" style="1" bestFit="1" customWidth="1"/>
    <col min="8977" max="8977" width="8.140625" style="1" bestFit="1" customWidth="1"/>
    <col min="8978" max="8978" width="7.140625" style="1" bestFit="1" customWidth="1"/>
    <col min="8979" max="8979" width="10.85546875" style="1" bestFit="1" customWidth="1"/>
    <col min="8980" max="8980" width="7.7109375" style="1" bestFit="1" customWidth="1"/>
    <col min="8981" max="8981" width="10.85546875" style="1" bestFit="1" customWidth="1"/>
    <col min="8982" max="9216" width="9.140625" style="1"/>
    <col min="9217" max="9217" width="2.85546875" style="1" customWidth="1"/>
    <col min="9218" max="9218" width="5" style="1" bestFit="1" customWidth="1"/>
    <col min="9219" max="9219" width="10.5703125" style="1" bestFit="1" customWidth="1"/>
    <col min="9220" max="9220" width="72.7109375" style="1" bestFit="1" customWidth="1"/>
    <col min="9221" max="9221" width="4.85546875" style="1" bestFit="1" customWidth="1"/>
    <col min="9222" max="9222" width="8.42578125" style="1" bestFit="1" customWidth="1"/>
    <col min="9223" max="9223" width="10.85546875" style="1" bestFit="1" customWidth="1"/>
    <col min="9224" max="9224" width="4.85546875" style="1" bestFit="1" customWidth="1"/>
    <col min="9225" max="9225" width="9.28515625" style="1" bestFit="1" customWidth="1"/>
    <col min="9226" max="9226" width="17" style="1" bestFit="1" customWidth="1"/>
    <col min="9227" max="9227" width="11.7109375" style="1" bestFit="1" customWidth="1"/>
    <col min="9228" max="9228" width="7.140625" style="1" bestFit="1" customWidth="1"/>
    <col min="9229" max="9229" width="9.5703125" style="1" bestFit="1" customWidth="1"/>
    <col min="9230" max="9230" width="9.140625" style="1" bestFit="1"/>
    <col min="9231" max="9231" width="9.5703125" style="1" bestFit="1" customWidth="1"/>
    <col min="9232" max="9232" width="10.5703125" style="1" bestFit="1" customWidth="1"/>
    <col min="9233" max="9233" width="8.140625" style="1" bestFit="1" customWidth="1"/>
    <col min="9234" max="9234" width="7.140625" style="1" bestFit="1" customWidth="1"/>
    <col min="9235" max="9235" width="10.85546875" style="1" bestFit="1" customWidth="1"/>
    <col min="9236" max="9236" width="7.7109375" style="1" bestFit="1" customWidth="1"/>
    <col min="9237" max="9237" width="10.85546875" style="1" bestFit="1" customWidth="1"/>
    <col min="9238" max="9472" width="9.140625" style="1"/>
    <col min="9473" max="9473" width="2.85546875" style="1" customWidth="1"/>
    <col min="9474" max="9474" width="5" style="1" bestFit="1" customWidth="1"/>
    <col min="9475" max="9475" width="10.5703125" style="1" bestFit="1" customWidth="1"/>
    <col min="9476" max="9476" width="72.7109375" style="1" bestFit="1" customWidth="1"/>
    <col min="9477" max="9477" width="4.85546875" style="1" bestFit="1" customWidth="1"/>
    <col min="9478" max="9478" width="8.42578125" style="1" bestFit="1" customWidth="1"/>
    <col min="9479" max="9479" width="10.85546875" style="1" bestFit="1" customWidth="1"/>
    <col min="9480" max="9480" width="4.85546875" style="1" bestFit="1" customWidth="1"/>
    <col min="9481" max="9481" width="9.28515625" style="1" bestFit="1" customWidth="1"/>
    <col min="9482" max="9482" width="17" style="1" bestFit="1" customWidth="1"/>
    <col min="9483" max="9483" width="11.7109375" style="1" bestFit="1" customWidth="1"/>
    <col min="9484" max="9484" width="7.140625" style="1" bestFit="1" customWidth="1"/>
    <col min="9485" max="9485" width="9.5703125" style="1" bestFit="1" customWidth="1"/>
    <col min="9486" max="9486" width="9.140625" style="1" bestFit="1"/>
    <col min="9487" max="9487" width="9.5703125" style="1" bestFit="1" customWidth="1"/>
    <col min="9488" max="9488" width="10.5703125" style="1" bestFit="1" customWidth="1"/>
    <col min="9489" max="9489" width="8.140625" style="1" bestFit="1" customWidth="1"/>
    <col min="9490" max="9490" width="7.140625" style="1" bestFit="1" customWidth="1"/>
    <col min="9491" max="9491" width="10.85546875" style="1" bestFit="1" customWidth="1"/>
    <col min="9492" max="9492" width="7.7109375" style="1" bestFit="1" customWidth="1"/>
    <col min="9493" max="9493" width="10.85546875" style="1" bestFit="1" customWidth="1"/>
    <col min="9494" max="9728" width="9.140625" style="1"/>
    <col min="9729" max="9729" width="2.85546875" style="1" customWidth="1"/>
    <col min="9730" max="9730" width="5" style="1" bestFit="1" customWidth="1"/>
    <col min="9731" max="9731" width="10.5703125" style="1" bestFit="1" customWidth="1"/>
    <col min="9732" max="9732" width="72.7109375" style="1" bestFit="1" customWidth="1"/>
    <col min="9733" max="9733" width="4.85546875" style="1" bestFit="1" customWidth="1"/>
    <col min="9734" max="9734" width="8.42578125" style="1" bestFit="1" customWidth="1"/>
    <col min="9735" max="9735" width="10.85546875" style="1" bestFit="1" customWidth="1"/>
    <col min="9736" max="9736" width="4.85546875" style="1" bestFit="1" customWidth="1"/>
    <col min="9737" max="9737" width="9.28515625" style="1" bestFit="1" customWidth="1"/>
    <col min="9738" max="9738" width="17" style="1" bestFit="1" customWidth="1"/>
    <col min="9739" max="9739" width="11.7109375" style="1" bestFit="1" customWidth="1"/>
    <col min="9740" max="9740" width="7.140625" style="1" bestFit="1" customWidth="1"/>
    <col min="9741" max="9741" width="9.5703125" style="1" bestFit="1" customWidth="1"/>
    <col min="9742" max="9742" width="9.140625" style="1" bestFit="1"/>
    <col min="9743" max="9743" width="9.5703125" style="1" bestFit="1" customWidth="1"/>
    <col min="9744" max="9744" width="10.5703125" style="1" bestFit="1" customWidth="1"/>
    <col min="9745" max="9745" width="8.140625" style="1" bestFit="1" customWidth="1"/>
    <col min="9746" max="9746" width="7.140625" style="1" bestFit="1" customWidth="1"/>
    <col min="9747" max="9747" width="10.85546875" style="1" bestFit="1" customWidth="1"/>
    <col min="9748" max="9748" width="7.7109375" style="1" bestFit="1" customWidth="1"/>
    <col min="9749" max="9749" width="10.85546875" style="1" bestFit="1" customWidth="1"/>
    <col min="9750" max="9984" width="9.140625" style="1"/>
    <col min="9985" max="9985" width="2.85546875" style="1" customWidth="1"/>
    <col min="9986" max="9986" width="5" style="1" bestFit="1" customWidth="1"/>
    <col min="9987" max="9987" width="10.5703125" style="1" bestFit="1" customWidth="1"/>
    <col min="9988" max="9988" width="72.7109375" style="1" bestFit="1" customWidth="1"/>
    <col min="9989" max="9989" width="4.85546875" style="1" bestFit="1" customWidth="1"/>
    <col min="9990" max="9990" width="8.42578125" style="1" bestFit="1" customWidth="1"/>
    <col min="9991" max="9991" width="10.85546875" style="1" bestFit="1" customWidth="1"/>
    <col min="9992" max="9992" width="4.85546875" style="1" bestFit="1" customWidth="1"/>
    <col min="9993" max="9993" width="9.28515625" style="1" bestFit="1" customWidth="1"/>
    <col min="9994" max="9994" width="17" style="1" bestFit="1" customWidth="1"/>
    <col min="9995" max="9995" width="11.7109375" style="1" bestFit="1" customWidth="1"/>
    <col min="9996" max="9996" width="7.140625" style="1" bestFit="1" customWidth="1"/>
    <col min="9997" max="9997" width="9.5703125" style="1" bestFit="1" customWidth="1"/>
    <col min="9998" max="9998" width="9.140625" style="1" bestFit="1"/>
    <col min="9999" max="9999" width="9.5703125" style="1" bestFit="1" customWidth="1"/>
    <col min="10000" max="10000" width="10.5703125" style="1" bestFit="1" customWidth="1"/>
    <col min="10001" max="10001" width="8.140625" style="1" bestFit="1" customWidth="1"/>
    <col min="10002" max="10002" width="7.140625" style="1" bestFit="1" customWidth="1"/>
    <col min="10003" max="10003" width="10.85546875" style="1" bestFit="1" customWidth="1"/>
    <col min="10004" max="10004" width="7.7109375" style="1" bestFit="1" customWidth="1"/>
    <col min="10005" max="10005" width="10.85546875" style="1" bestFit="1" customWidth="1"/>
    <col min="10006" max="10240" width="9.140625" style="1"/>
    <col min="10241" max="10241" width="2.85546875" style="1" customWidth="1"/>
    <col min="10242" max="10242" width="5" style="1" bestFit="1" customWidth="1"/>
    <col min="10243" max="10243" width="10.5703125" style="1" bestFit="1" customWidth="1"/>
    <col min="10244" max="10244" width="72.7109375" style="1" bestFit="1" customWidth="1"/>
    <col min="10245" max="10245" width="4.85546875" style="1" bestFit="1" customWidth="1"/>
    <col min="10246" max="10246" width="8.42578125" style="1" bestFit="1" customWidth="1"/>
    <col min="10247" max="10247" width="10.85546875" style="1" bestFit="1" customWidth="1"/>
    <col min="10248" max="10248" width="4.85546875" style="1" bestFit="1" customWidth="1"/>
    <col min="10249" max="10249" width="9.28515625" style="1" bestFit="1" customWidth="1"/>
    <col min="10250" max="10250" width="17" style="1" bestFit="1" customWidth="1"/>
    <col min="10251" max="10251" width="11.7109375" style="1" bestFit="1" customWidth="1"/>
    <col min="10252" max="10252" width="7.140625" style="1" bestFit="1" customWidth="1"/>
    <col min="10253" max="10253" width="9.5703125" style="1" bestFit="1" customWidth="1"/>
    <col min="10254" max="10254" width="9.140625" style="1" bestFit="1"/>
    <col min="10255" max="10255" width="9.5703125" style="1" bestFit="1" customWidth="1"/>
    <col min="10256" max="10256" width="10.5703125" style="1" bestFit="1" customWidth="1"/>
    <col min="10257" max="10257" width="8.140625" style="1" bestFit="1" customWidth="1"/>
    <col min="10258" max="10258" width="7.140625" style="1" bestFit="1" customWidth="1"/>
    <col min="10259" max="10259" width="10.85546875" style="1" bestFit="1" customWidth="1"/>
    <col min="10260" max="10260" width="7.7109375" style="1" bestFit="1" customWidth="1"/>
    <col min="10261" max="10261" width="10.85546875" style="1" bestFit="1" customWidth="1"/>
    <col min="10262" max="10496" width="9.140625" style="1"/>
    <col min="10497" max="10497" width="2.85546875" style="1" customWidth="1"/>
    <col min="10498" max="10498" width="5" style="1" bestFit="1" customWidth="1"/>
    <col min="10499" max="10499" width="10.5703125" style="1" bestFit="1" customWidth="1"/>
    <col min="10500" max="10500" width="72.7109375" style="1" bestFit="1" customWidth="1"/>
    <col min="10501" max="10501" width="4.85546875" style="1" bestFit="1" customWidth="1"/>
    <col min="10502" max="10502" width="8.42578125" style="1" bestFit="1" customWidth="1"/>
    <col min="10503" max="10503" width="10.85546875" style="1" bestFit="1" customWidth="1"/>
    <col min="10504" max="10504" width="4.85546875" style="1" bestFit="1" customWidth="1"/>
    <col min="10505" max="10505" width="9.28515625" style="1" bestFit="1" customWidth="1"/>
    <col min="10506" max="10506" width="17" style="1" bestFit="1" customWidth="1"/>
    <col min="10507" max="10507" width="11.7109375" style="1" bestFit="1" customWidth="1"/>
    <col min="10508" max="10508" width="7.140625" style="1" bestFit="1" customWidth="1"/>
    <col min="10509" max="10509" width="9.5703125" style="1" bestFit="1" customWidth="1"/>
    <col min="10510" max="10510" width="9.140625" style="1" bestFit="1"/>
    <col min="10511" max="10511" width="9.5703125" style="1" bestFit="1" customWidth="1"/>
    <col min="10512" max="10512" width="10.5703125" style="1" bestFit="1" customWidth="1"/>
    <col min="10513" max="10513" width="8.140625" style="1" bestFit="1" customWidth="1"/>
    <col min="10514" max="10514" width="7.140625" style="1" bestFit="1" customWidth="1"/>
    <col min="10515" max="10515" width="10.85546875" style="1" bestFit="1" customWidth="1"/>
    <col min="10516" max="10516" width="7.7109375" style="1" bestFit="1" customWidth="1"/>
    <col min="10517" max="10517" width="10.85546875" style="1" bestFit="1" customWidth="1"/>
    <col min="10518" max="10752" width="9.140625" style="1"/>
    <col min="10753" max="10753" width="2.85546875" style="1" customWidth="1"/>
    <col min="10754" max="10754" width="5" style="1" bestFit="1" customWidth="1"/>
    <col min="10755" max="10755" width="10.5703125" style="1" bestFit="1" customWidth="1"/>
    <col min="10756" max="10756" width="72.7109375" style="1" bestFit="1" customWidth="1"/>
    <col min="10757" max="10757" width="4.85546875" style="1" bestFit="1" customWidth="1"/>
    <col min="10758" max="10758" width="8.42578125" style="1" bestFit="1" customWidth="1"/>
    <col min="10759" max="10759" width="10.85546875" style="1" bestFit="1" customWidth="1"/>
    <col min="10760" max="10760" width="4.85546875" style="1" bestFit="1" customWidth="1"/>
    <col min="10761" max="10761" width="9.28515625" style="1" bestFit="1" customWidth="1"/>
    <col min="10762" max="10762" width="17" style="1" bestFit="1" customWidth="1"/>
    <col min="10763" max="10763" width="11.7109375" style="1" bestFit="1" customWidth="1"/>
    <col min="10764" max="10764" width="7.140625" style="1" bestFit="1" customWidth="1"/>
    <col min="10765" max="10765" width="9.5703125" style="1" bestFit="1" customWidth="1"/>
    <col min="10766" max="10766" width="9.140625" style="1" bestFit="1"/>
    <col min="10767" max="10767" width="9.5703125" style="1" bestFit="1" customWidth="1"/>
    <col min="10768" max="10768" width="10.5703125" style="1" bestFit="1" customWidth="1"/>
    <col min="10769" max="10769" width="8.140625" style="1" bestFit="1" customWidth="1"/>
    <col min="10770" max="10770" width="7.140625" style="1" bestFit="1" customWidth="1"/>
    <col min="10771" max="10771" width="10.85546875" style="1" bestFit="1" customWidth="1"/>
    <col min="10772" max="10772" width="7.7109375" style="1" bestFit="1" customWidth="1"/>
    <col min="10773" max="10773" width="10.85546875" style="1" bestFit="1" customWidth="1"/>
    <col min="10774" max="11008" width="9.140625" style="1"/>
    <col min="11009" max="11009" width="2.85546875" style="1" customWidth="1"/>
    <col min="11010" max="11010" width="5" style="1" bestFit="1" customWidth="1"/>
    <col min="11011" max="11011" width="10.5703125" style="1" bestFit="1" customWidth="1"/>
    <col min="11012" max="11012" width="72.7109375" style="1" bestFit="1" customWidth="1"/>
    <col min="11013" max="11013" width="4.85546875" style="1" bestFit="1" customWidth="1"/>
    <col min="11014" max="11014" width="8.42578125" style="1" bestFit="1" customWidth="1"/>
    <col min="11015" max="11015" width="10.85546875" style="1" bestFit="1" customWidth="1"/>
    <col min="11016" max="11016" width="4.85546875" style="1" bestFit="1" customWidth="1"/>
    <col min="11017" max="11017" width="9.28515625" style="1" bestFit="1" customWidth="1"/>
    <col min="11018" max="11018" width="17" style="1" bestFit="1" customWidth="1"/>
    <col min="11019" max="11019" width="11.7109375" style="1" bestFit="1" customWidth="1"/>
    <col min="11020" max="11020" width="7.140625" style="1" bestFit="1" customWidth="1"/>
    <col min="11021" max="11021" width="9.5703125" style="1" bestFit="1" customWidth="1"/>
    <col min="11022" max="11022" width="9.140625" style="1" bestFit="1"/>
    <col min="11023" max="11023" width="9.5703125" style="1" bestFit="1" customWidth="1"/>
    <col min="11024" max="11024" width="10.5703125" style="1" bestFit="1" customWidth="1"/>
    <col min="11025" max="11025" width="8.140625" style="1" bestFit="1" customWidth="1"/>
    <col min="11026" max="11026" width="7.140625" style="1" bestFit="1" customWidth="1"/>
    <col min="11027" max="11027" width="10.85546875" style="1" bestFit="1" customWidth="1"/>
    <col min="11028" max="11028" width="7.7109375" style="1" bestFit="1" customWidth="1"/>
    <col min="11029" max="11029" width="10.85546875" style="1" bestFit="1" customWidth="1"/>
    <col min="11030" max="11264" width="9.140625" style="1"/>
    <col min="11265" max="11265" width="2.85546875" style="1" customWidth="1"/>
    <col min="11266" max="11266" width="5" style="1" bestFit="1" customWidth="1"/>
    <col min="11267" max="11267" width="10.5703125" style="1" bestFit="1" customWidth="1"/>
    <col min="11268" max="11268" width="72.7109375" style="1" bestFit="1" customWidth="1"/>
    <col min="11269" max="11269" width="4.85546875" style="1" bestFit="1" customWidth="1"/>
    <col min="11270" max="11270" width="8.42578125" style="1" bestFit="1" customWidth="1"/>
    <col min="11271" max="11271" width="10.85546875" style="1" bestFit="1" customWidth="1"/>
    <col min="11272" max="11272" width="4.85546875" style="1" bestFit="1" customWidth="1"/>
    <col min="11273" max="11273" width="9.28515625" style="1" bestFit="1" customWidth="1"/>
    <col min="11274" max="11274" width="17" style="1" bestFit="1" customWidth="1"/>
    <col min="11275" max="11275" width="11.7109375" style="1" bestFit="1" customWidth="1"/>
    <col min="11276" max="11276" width="7.140625" style="1" bestFit="1" customWidth="1"/>
    <col min="11277" max="11277" width="9.5703125" style="1" bestFit="1" customWidth="1"/>
    <col min="11278" max="11278" width="9.140625" style="1" bestFit="1"/>
    <col min="11279" max="11279" width="9.5703125" style="1" bestFit="1" customWidth="1"/>
    <col min="11280" max="11280" width="10.5703125" style="1" bestFit="1" customWidth="1"/>
    <col min="11281" max="11281" width="8.140625" style="1" bestFit="1" customWidth="1"/>
    <col min="11282" max="11282" width="7.140625" style="1" bestFit="1" customWidth="1"/>
    <col min="11283" max="11283" width="10.85546875" style="1" bestFit="1" customWidth="1"/>
    <col min="11284" max="11284" width="7.7109375" style="1" bestFit="1" customWidth="1"/>
    <col min="11285" max="11285" width="10.85546875" style="1" bestFit="1" customWidth="1"/>
    <col min="11286" max="11520" width="9.140625" style="1"/>
    <col min="11521" max="11521" width="2.85546875" style="1" customWidth="1"/>
    <col min="11522" max="11522" width="5" style="1" bestFit="1" customWidth="1"/>
    <col min="11523" max="11523" width="10.5703125" style="1" bestFit="1" customWidth="1"/>
    <col min="11524" max="11524" width="72.7109375" style="1" bestFit="1" customWidth="1"/>
    <col min="11525" max="11525" width="4.85546875" style="1" bestFit="1" customWidth="1"/>
    <col min="11526" max="11526" width="8.42578125" style="1" bestFit="1" customWidth="1"/>
    <col min="11527" max="11527" width="10.85546875" style="1" bestFit="1" customWidth="1"/>
    <col min="11528" max="11528" width="4.85546875" style="1" bestFit="1" customWidth="1"/>
    <col min="11529" max="11529" width="9.28515625" style="1" bestFit="1" customWidth="1"/>
    <col min="11530" max="11530" width="17" style="1" bestFit="1" customWidth="1"/>
    <col min="11531" max="11531" width="11.7109375" style="1" bestFit="1" customWidth="1"/>
    <col min="11532" max="11532" width="7.140625" style="1" bestFit="1" customWidth="1"/>
    <col min="11533" max="11533" width="9.5703125" style="1" bestFit="1" customWidth="1"/>
    <col min="11534" max="11534" width="9.140625" style="1" bestFit="1"/>
    <col min="11535" max="11535" width="9.5703125" style="1" bestFit="1" customWidth="1"/>
    <col min="11536" max="11536" width="10.5703125" style="1" bestFit="1" customWidth="1"/>
    <col min="11537" max="11537" width="8.140625" style="1" bestFit="1" customWidth="1"/>
    <col min="11538" max="11538" width="7.140625" style="1" bestFit="1" customWidth="1"/>
    <col min="11539" max="11539" width="10.85546875" style="1" bestFit="1" customWidth="1"/>
    <col min="11540" max="11540" width="7.7109375" style="1" bestFit="1" customWidth="1"/>
    <col min="11541" max="11541" width="10.85546875" style="1" bestFit="1" customWidth="1"/>
    <col min="11542" max="11776" width="9.140625" style="1"/>
    <col min="11777" max="11777" width="2.85546875" style="1" customWidth="1"/>
    <col min="11778" max="11778" width="5" style="1" bestFit="1" customWidth="1"/>
    <col min="11779" max="11779" width="10.5703125" style="1" bestFit="1" customWidth="1"/>
    <col min="11780" max="11780" width="72.7109375" style="1" bestFit="1" customWidth="1"/>
    <col min="11781" max="11781" width="4.85546875" style="1" bestFit="1" customWidth="1"/>
    <col min="11782" max="11782" width="8.42578125" style="1" bestFit="1" customWidth="1"/>
    <col min="11783" max="11783" width="10.85546875" style="1" bestFit="1" customWidth="1"/>
    <col min="11784" max="11784" width="4.85546875" style="1" bestFit="1" customWidth="1"/>
    <col min="11785" max="11785" width="9.28515625" style="1" bestFit="1" customWidth="1"/>
    <col min="11786" max="11786" width="17" style="1" bestFit="1" customWidth="1"/>
    <col min="11787" max="11787" width="11.7109375" style="1" bestFit="1" customWidth="1"/>
    <col min="11788" max="11788" width="7.140625" style="1" bestFit="1" customWidth="1"/>
    <col min="11789" max="11789" width="9.5703125" style="1" bestFit="1" customWidth="1"/>
    <col min="11790" max="11790" width="9.140625" style="1" bestFit="1"/>
    <col min="11791" max="11791" width="9.5703125" style="1" bestFit="1" customWidth="1"/>
    <col min="11792" max="11792" width="10.5703125" style="1" bestFit="1" customWidth="1"/>
    <col min="11793" max="11793" width="8.140625" style="1" bestFit="1" customWidth="1"/>
    <col min="11794" max="11794" width="7.140625" style="1" bestFit="1" customWidth="1"/>
    <col min="11795" max="11795" width="10.85546875" style="1" bestFit="1" customWidth="1"/>
    <col min="11796" max="11796" width="7.7109375" style="1" bestFit="1" customWidth="1"/>
    <col min="11797" max="11797" width="10.85546875" style="1" bestFit="1" customWidth="1"/>
    <col min="11798" max="12032" width="9.140625" style="1"/>
    <col min="12033" max="12033" width="2.85546875" style="1" customWidth="1"/>
    <col min="12034" max="12034" width="5" style="1" bestFit="1" customWidth="1"/>
    <col min="12035" max="12035" width="10.5703125" style="1" bestFit="1" customWidth="1"/>
    <col min="12036" max="12036" width="72.7109375" style="1" bestFit="1" customWidth="1"/>
    <col min="12037" max="12037" width="4.85546875" style="1" bestFit="1" customWidth="1"/>
    <col min="12038" max="12038" width="8.42578125" style="1" bestFit="1" customWidth="1"/>
    <col min="12039" max="12039" width="10.85546875" style="1" bestFit="1" customWidth="1"/>
    <col min="12040" max="12040" width="4.85546875" style="1" bestFit="1" customWidth="1"/>
    <col min="12041" max="12041" width="9.28515625" style="1" bestFit="1" customWidth="1"/>
    <col min="12042" max="12042" width="17" style="1" bestFit="1" customWidth="1"/>
    <col min="12043" max="12043" width="11.7109375" style="1" bestFit="1" customWidth="1"/>
    <col min="12044" max="12044" width="7.140625" style="1" bestFit="1" customWidth="1"/>
    <col min="12045" max="12045" width="9.5703125" style="1" bestFit="1" customWidth="1"/>
    <col min="12046" max="12046" width="9.140625" style="1" bestFit="1"/>
    <col min="12047" max="12047" width="9.5703125" style="1" bestFit="1" customWidth="1"/>
    <col min="12048" max="12048" width="10.5703125" style="1" bestFit="1" customWidth="1"/>
    <col min="12049" max="12049" width="8.140625" style="1" bestFit="1" customWidth="1"/>
    <col min="12050" max="12050" width="7.140625" style="1" bestFit="1" customWidth="1"/>
    <col min="12051" max="12051" width="10.85546875" style="1" bestFit="1" customWidth="1"/>
    <col min="12052" max="12052" width="7.7109375" style="1" bestFit="1" customWidth="1"/>
    <col min="12053" max="12053" width="10.85546875" style="1" bestFit="1" customWidth="1"/>
    <col min="12054" max="12288" width="9.140625" style="1"/>
    <col min="12289" max="12289" width="2.85546875" style="1" customWidth="1"/>
    <col min="12290" max="12290" width="5" style="1" bestFit="1" customWidth="1"/>
    <col min="12291" max="12291" width="10.5703125" style="1" bestFit="1" customWidth="1"/>
    <col min="12292" max="12292" width="72.7109375" style="1" bestFit="1" customWidth="1"/>
    <col min="12293" max="12293" width="4.85546875" style="1" bestFit="1" customWidth="1"/>
    <col min="12294" max="12294" width="8.42578125" style="1" bestFit="1" customWidth="1"/>
    <col min="12295" max="12295" width="10.85546875" style="1" bestFit="1" customWidth="1"/>
    <col min="12296" max="12296" width="4.85546875" style="1" bestFit="1" customWidth="1"/>
    <col min="12297" max="12297" width="9.28515625" style="1" bestFit="1" customWidth="1"/>
    <col min="12298" max="12298" width="17" style="1" bestFit="1" customWidth="1"/>
    <col min="12299" max="12299" width="11.7109375" style="1" bestFit="1" customWidth="1"/>
    <col min="12300" max="12300" width="7.140625" style="1" bestFit="1" customWidth="1"/>
    <col min="12301" max="12301" width="9.5703125" style="1" bestFit="1" customWidth="1"/>
    <col min="12302" max="12302" width="9.140625" style="1" bestFit="1"/>
    <col min="12303" max="12303" width="9.5703125" style="1" bestFit="1" customWidth="1"/>
    <col min="12304" max="12304" width="10.5703125" style="1" bestFit="1" customWidth="1"/>
    <col min="12305" max="12305" width="8.140625" style="1" bestFit="1" customWidth="1"/>
    <col min="12306" max="12306" width="7.140625" style="1" bestFit="1" customWidth="1"/>
    <col min="12307" max="12307" width="10.85546875" style="1" bestFit="1" customWidth="1"/>
    <col min="12308" max="12308" width="7.7109375" style="1" bestFit="1" customWidth="1"/>
    <col min="12309" max="12309" width="10.85546875" style="1" bestFit="1" customWidth="1"/>
    <col min="12310" max="12544" width="9.140625" style="1"/>
    <col min="12545" max="12545" width="2.85546875" style="1" customWidth="1"/>
    <col min="12546" max="12546" width="5" style="1" bestFit="1" customWidth="1"/>
    <col min="12547" max="12547" width="10.5703125" style="1" bestFit="1" customWidth="1"/>
    <col min="12548" max="12548" width="72.7109375" style="1" bestFit="1" customWidth="1"/>
    <col min="12549" max="12549" width="4.85546875" style="1" bestFit="1" customWidth="1"/>
    <col min="12550" max="12550" width="8.42578125" style="1" bestFit="1" customWidth="1"/>
    <col min="12551" max="12551" width="10.85546875" style="1" bestFit="1" customWidth="1"/>
    <col min="12552" max="12552" width="4.85546875" style="1" bestFit="1" customWidth="1"/>
    <col min="12553" max="12553" width="9.28515625" style="1" bestFit="1" customWidth="1"/>
    <col min="12554" max="12554" width="17" style="1" bestFit="1" customWidth="1"/>
    <col min="12555" max="12555" width="11.7109375" style="1" bestFit="1" customWidth="1"/>
    <col min="12556" max="12556" width="7.140625" style="1" bestFit="1" customWidth="1"/>
    <col min="12557" max="12557" width="9.5703125" style="1" bestFit="1" customWidth="1"/>
    <col min="12558" max="12558" width="9.140625" style="1" bestFit="1"/>
    <col min="12559" max="12559" width="9.5703125" style="1" bestFit="1" customWidth="1"/>
    <col min="12560" max="12560" width="10.5703125" style="1" bestFit="1" customWidth="1"/>
    <col min="12561" max="12561" width="8.140625" style="1" bestFit="1" customWidth="1"/>
    <col min="12562" max="12562" width="7.140625" style="1" bestFit="1" customWidth="1"/>
    <col min="12563" max="12563" width="10.85546875" style="1" bestFit="1" customWidth="1"/>
    <col min="12564" max="12564" width="7.7109375" style="1" bestFit="1" customWidth="1"/>
    <col min="12565" max="12565" width="10.85546875" style="1" bestFit="1" customWidth="1"/>
    <col min="12566" max="12800" width="9.140625" style="1"/>
    <col min="12801" max="12801" width="2.85546875" style="1" customWidth="1"/>
    <col min="12802" max="12802" width="5" style="1" bestFit="1" customWidth="1"/>
    <col min="12803" max="12803" width="10.5703125" style="1" bestFit="1" customWidth="1"/>
    <col min="12804" max="12804" width="72.7109375" style="1" bestFit="1" customWidth="1"/>
    <col min="12805" max="12805" width="4.85546875" style="1" bestFit="1" customWidth="1"/>
    <col min="12806" max="12806" width="8.42578125" style="1" bestFit="1" customWidth="1"/>
    <col min="12807" max="12807" width="10.85546875" style="1" bestFit="1" customWidth="1"/>
    <col min="12808" max="12808" width="4.85546875" style="1" bestFit="1" customWidth="1"/>
    <col min="12809" max="12809" width="9.28515625" style="1" bestFit="1" customWidth="1"/>
    <col min="12810" max="12810" width="17" style="1" bestFit="1" customWidth="1"/>
    <col min="12811" max="12811" width="11.7109375" style="1" bestFit="1" customWidth="1"/>
    <col min="12812" max="12812" width="7.140625" style="1" bestFit="1" customWidth="1"/>
    <col min="12813" max="12813" width="9.5703125" style="1" bestFit="1" customWidth="1"/>
    <col min="12814" max="12814" width="9.140625" style="1" bestFit="1"/>
    <col min="12815" max="12815" width="9.5703125" style="1" bestFit="1" customWidth="1"/>
    <col min="12816" max="12816" width="10.5703125" style="1" bestFit="1" customWidth="1"/>
    <col min="12817" max="12817" width="8.140625" style="1" bestFit="1" customWidth="1"/>
    <col min="12818" max="12818" width="7.140625" style="1" bestFit="1" customWidth="1"/>
    <col min="12819" max="12819" width="10.85546875" style="1" bestFit="1" customWidth="1"/>
    <col min="12820" max="12820" width="7.7109375" style="1" bestFit="1" customWidth="1"/>
    <col min="12821" max="12821" width="10.85546875" style="1" bestFit="1" customWidth="1"/>
    <col min="12822" max="13056" width="9.140625" style="1"/>
    <col min="13057" max="13057" width="2.85546875" style="1" customWidth="1"/>
    <col min="13058" max="13058" width="5" style="1" bestFit="1" customWidth="1"/>
    <col min="13059" max="13059" width="10.5703125" style="1" bestFit="1" customWidth="1"/>
    <col min="13060" max="13060" width="72.7109375" style="1" bestFit="1" customWidth="1"/>
    <col min="13061" max="13061" width="4.85546875" style="1" bestFit="1" customWidth="1"/>
    <col min="13062" max="13062" width="8.42578125" style="1" bestFit="1" customWidth="1"/>
    <col min="13063" max="13063" width="10.85546875" style="1" bestFit="1" customWidth="1"/>
    <col min="13064" max="13064" width="4.85546875" style="1" bestFit="1" customWidth="1"/>
    <col min="13065" max="13065" width="9.28515625" style="1" bestFit="1" customWidth="1"/>
    <col min="13066" max="13066" width="17" style="1" bestFit="1" customWidth="1"/>
    <col min="13067" max="13067" width="11.7109375" style="1" bestFit="1" customWidth="1"/>
    <col min="13068" max="13068" width="7.140625" style="1" bestFit="1" customWidth="1"/>
    <col min="13069" max="13069" width="9.5703125" style="1" bestFit="1" customWidth="1"/>
    <col min="13070" max="13070" width="9.140625" style="1" bestFit="1"/>
    <col min="13071" max="13071" width="9.5703125" style="1" bestFit="1" customWidth="1"/>
    <col min="13072" max="13072" width="10.5703125" style="1" bestFit="1" customWidth="1"/>
    <col min="13073" max="13073" width="8.140625" style="1" bestFit="1" customWidth="1"/>
    <col min="13074" max="13074" width="7.140625" style="1" bestFit="1" customWidth="1"/>
    <col min="13075" max="13075" width="10.85546875" style="1" bestFit="1" customWidth="1"/>
    <col min="13076" max="13076" width="7.7109375" style="1" bestFit="1" customWidth="1"/>
    <col min="13077" max="13077" width="10.85546875" style="1" bestFit="1" customWidth="1"/>
    <col min="13078" max="13312" width="9.140625" style="1"/>
    <col min="13313" max="13313" width="2.85546875" style="1" customWidth="1"/>
    <col min="13314" max="13314" width="5" style="1" bestFit="1" customWidth="1"/>
    <col min="13315" max="13315" width="10.5703125" style="1" bestFit="1" customWidth="1"/>
    <col min="13316" max="13316" width="72.7109375" style="1" bestFit="1" customWidth="1"/>
    <col min="13317" max="13317" width="4.85546875" style="1" bestFit="1" customWidth="1"/>
    <col min="13318" max="13318" width="8.42578125" style="1" bestFit="1" customWidth="1"/>
    <col min="13319" max="13319" width="10.85546875" style="1" bestFit="1" customWidth="1"/>
    <col min="13320" max="13320" width="4.85546875" style="1" bestFit="1" customWidth="1"/>
    <col min="13321" max="13321" width="9.28515625" style="1" bestFit="1" customWidth="1"/>
    <col min="13322" max="13322" width="17" style="1" bestFit="1" customWidth="1"/>
    <col min="13323" max="13323" width="11.7109375" style="1" bestFit="1" customWidth="1"/>
    <col min="13324" max="13324" width="7.140625" style="1" bestFit="1" customWidth="1"/>
    <col min="13325" max="13325" width="9.5703125" style="1" bestFit="1" customWidth="1"/>
    <col min="13326" max="13326" width="9.140625" style="1" bestFit="1"/>
    <col min="13327" max="13327" width="9.5703125" style="1" bestFit="1" customWidth="1"/>
    <col min="13328" max="13328" width="10.5703125" style="1" bestFit="1" customWidth="1"/>
    <col min="13329" max="13329" width="8.140625" style="1" bestFit="1" customWidth="1"/>
    <col min="13330" max="13330" width="7.140625" style="1" bestFit="1" customWidth="1"/>
    <col min="13331" max="13331" width="10.85546875" style="1" bestFit="1" customWidth="1"/>
    <col min="13332" max="13332" width="7.7109375" style="1" bestFit="1" customWidth="1"/>
    <col min="13333" max="13333" width="10.85546875" style="1" bestFit="1" customWidth="1"/>
    <col min="13334" max="13568" width="9.140625" style="1"/>
    <col min="13569" max="13569" width="2.85546875" style="1" customWidth="1"/>
    <col min="13570" max="13570" width="5" style="1" bestFit="1" customWidth="1"/>
    <col min="13571" max="13571" width="10.5703125" style="1" bestFit="1" customWidth="1"/>
    <col min="13572" max="13572" width="72.7109375" style="1" bestFit="1" customWidth="1"/>
    <col min="13573" max="13573" width="4.85546875" style="1" bestFit="1" customWidth="1"/>
    <col min="13574" max="13574" width="8.42578125" style="1" bestFit="1" customWidth="1"/>
    <col min="13575" max="13575" width="10.85546875" style="1" bestFit="1" customWidth="1"/>
    <col min="13576" max="13576" width="4.85546875" style="1" bestFit="1" customWidth="1"/>
    <col min="13577" max="13577" width="9.28515625" style="1" bestFit="1" customWidth="1"/>
    <col min="13578" max="13578" width="17" style="1" bestFit="1" customWidth="1"/>
    <col min="13579" max="13579" width="11.7109375" style="1" bestFit="1" customWidth="1"/>
    <col min="13580" max="13580" width="7.140625" style="1" bestFit="1" customWidth="1"/>
    <col min="13581" max="13581" width="9.5703125" style="1" bestFit="1" customWidth="1"/>
    <col min="13582" max="13582" width="9.140625" style="1" bestFit="1"/>
    <col min="13583" max="13583" width="9.5703125" style="1" bestFit="1" customWidth="1"/>
    <col min="13584" max="13584" width="10.5703125" style="1" bestFit="1" customWidth="1"/>
    <col min="13585" max="13585" width="8.140625" style="1" bestFit="1" customWidth="1"/>
    <col min="13586" max="13586" width="7.140625" style="1" bestFit="1" customWidth="1"/>
    <col min="13587" max="13587" width="10.85546875" style="1" bestFit="1" customWidth="1"/>
    <col min="13588" max="13588" width="7.7109375" style="1" bestFit="1" customWidth="1"/>
    <col min="13589" max="13589" width="10.85546875" style="1" bestFit="1" customWidth="1"/>
    <col min="13590" max="13824" width="9.140625" style="1"/>
    <col min="13825" max="13825" width="2.85546875" style="1" customWidth="1"/>
    <col min="13826" max="13826" width="5" style="1" bestFit="1" customWidth="1"/>
    <col min="13827" max="13827" width="10.5703125" style="1" bestFit="1" customWidth="1"/>
    <col min="13828" max="13828" width="72.7109375" style="1" bestFit="1" customWidth="1"/>
    <col min="13829" max="13829" width="4.85546875" style="1" bestFit="1" customWidth="1"/>
    <col min="13830" max="13830" width="8.42578125" style="1" bestFit="1" customWidth="1"/>
    <col min="13831" max="13831" width="10.85546875" style="1" bestFit="1" customWidth="1"/>
    <col min="13832" max="13832" width="4.85546875" style="1" bestFit="1" customWidth="1"/>
    <col min="13833" max="13833" width="9.28515625" style="1" bestFit="1" customWidth="1"/>
    <col min="13834" max="13834" width="17" style="1" bestFit="1" customWidth="1"/>
    <col min="13835" max="13835" width="11.7109375" style="1" bestFit="1" customWidth="1"/>
    <col min="13836" max="13836" width="7.140625" style="1" bestFit="1" customWidth="1"/>
    <col min="13837" max="13837" width="9.5703125" style="1" bestFit="1" customWidth="1"/>
    <col min="13838" max="13838" width="9.140625" style="1" bestFit="1"/>
    <col min="13839" max="13839" width="9.5703125" style="1" bestFit="1" customWidth="1"/>
    <col min="13840" max="13840" width="10.5703125" style="1" bestFit="1" customWidth="1"/>
    <col min="13841" max="13841" width="8.140625" style="1" bestFit="1" customWidth="1"/>
    <col min="13842" max="13842" width="7.140625" style="1" bestFit="1" customWidth="1"/>
    <col min="13843" max="13843" width="10.85546875" style="1" bestFit="1" customWidth="1"/>
    <col min="13844" max="13844" width="7.7109375" style="1" bestFit="1" customWidth="1"/>
    <col min="13845" max="13845" width="10.85546875" style="1" bestFit="1" customWidth="1"/>
    <col min="13846" max="14080" width="9.140625" style="1"/>
    <col min="14081" max="14081" width="2.85546875" style="1" customWidth="1"/>
    <col min="14082" max="14082" width="5" style="1" bestFit="1" customWidth="1"/>
    <col min="14083" max="14083" width="10.5703125" style="1" bestFit="1" customWidth="1"/>
    <col min="14084" max="14084" width="72.7109375" style="1" bestFit="1" customWidth="1"/>
    <col min="14085" max="14085" width="4.85546875" style="1" bestFit="1" customWidth="1"/>
    <col min="14086" max="14086" width="8.42578125" style="1" bestFit="1" customWidth="1"/>
    <col min="14087" max="14087" width="10.85546875" style="1" bestFit="1" customWidth="1"/>
    <col min="14088" max="14088" width="4.85546875" style="1" bestFit="1" customWidth="1"/>
    <col min="14089" max="14089" width="9.28515625" style="1" bestFit="1" customWidth="1"/>
    <col min="14090" max="14090" width="17" style="1" bestFit="1" customWidth="1"/>
    <col min="14091" max="14091" width="11.7109375" style="1" bestFit="1" customWidth="1"/>
    <col min="14092" max="14092" width="7.140625" style="1" bestFit="1" customWidth="1"/>
    <col min="14093" max="14093" width="9.5703125" style="1" bestFit="1" customWidth="1"/>
    <col min="14094" max="14094" width="9.140625" style="1" bestFit="1"/>
    <col min="14095" max="14095" width="9.5703125" style="1" bestFit="1" customWidth="1"/>
    <col min="14096" max="14096" width="10.5703125" style="1" bestFit="1" customWidth="1"/>
    <col min="14097" max="14097" width="8.140625" style="1" bestFit="1" customWidth="1"/>
    <col min="14098" max="14098" width="7.140625" style="1" bestFit="1" customWidth="1"/>
    <col min="14099" max="14099" width="10.85546875" style="1" bestFit="1" customWidth="1"/>
    <col min="14100" max="14100" width="7.7109375" style="1" bestFit="1" customWidth="1"/>
    <col min="14101" max="14101" width="10.85546875" style="1" bestFit="1" customWidth="1"/>
    <col min="14102" max="14336" width="9.140625" style="1"/>
    <col min="14337" max="14337" width="2.85546875" style="1" customWidth="1"/>
    <col min="14338" max="14338" width="5" style="1" bestFit="1" customWidth="1"/>
    <col min="14339" max="14339" width="10.5703125" style="1" bestFit="1" customWidth="1"/>
    <col min="14340" max="14340" width="72.7109375" style="1" bestFit="1" customWidth="1"/>
    <col min="14341" max="14341" width="4.85546875" style="1" bestFit="1" customWidth="1"/>
    <col min="14342" max="14342" width="8.42578125" style="1" bestFit="1" customWidth="1"/>
    <col min="14343" max="14343" width="10.85546875" style="1" bestFit="1" customWidth="1"/>
    <col min="14344" max="14344" width="4.85546875" style="1" bestFit="1" customWidth="1"/>
    <col min="14345" max="14345" width="9.28515625" style="1" bestFit="1" customWidth="1"/>
    <col min="14346" max="14346" width="17" style="1" bestFit="1" customWidth="1"/>
    <col min="14347" max="14347" width="11.7109375" style="1" bestFit="1" customWidth="1"/>
    <col min="14348" max="14348" width="7.140625" style="1" bestFit="1" customWidth="1"/>
    <col min="14349" max="14349" width="9.5703125" style="1" bestFit="1" customWidth="1"/>
    <col min="14350" max="14350" width="9.140625" style="1" bestFit="1"/>
    <col min="14351" max="14351" width="9.5703125" style="1" bestFit="1" customWidth="1"/>
    <col min="14352" max="14352" width="10.5703125" style="1" bestFit="1" customWidth="1"/>
    <col min="14353" max="14353" width="8.140625" style="1" bestFit="1" customWidth="1"/>
    <col min="14354" max="14354" width="7.140625" style="1" bestFit="1" customWidth="1"/>
    <col min="14355" max="14355" width="10.85546875" style="1" bestFit="1" customWidth="1"/>
    <col min="14356" max="14356" width="7.7109375" style="1" bestFit="1" customWidth="1"/>
    <col min="14357" max="14357" width="10.85546875" style="1" bestFit="1" customWidth="1"/>
    <col min="14358" max="14592" width="9.140625" style="1"/>
    <col min="14593" max="14593" width="2.85546875" style="1" customWidth="1"/>
    <col min="14594" max="14594" width="5" style="1" bestFit="1" customWidth="1"/>
    <col min="14595" max="14595" width="10.5703125" style="1" bestFit="1" customWidth="1"/>
    <col min="14596" max="14596" width="72.7109375" style="1" bestFit="1" customWidth="1"/>
    <col min="14597" max="14597" width="4.85546875" style="1" bestFit="1" customWidth="1"/>
    <col min="14598" max="14598" width="8.42578125" style="1" bestFit="1" customWidth="1"/>
    <col min="14599" max="14599" width="10.85546875" style="1" bestFit="1" customWidth="1"/>
    <col min="14600" max="14600" width="4.85546875" style="1" bestFit="1" customWidth="1"/>
    <col min="14601" max="14601" width="9.28515625" style="1" bestFit="1" customWidth="1"/>
    <col min="14602" max="14602" width="17" style="1" bestFit="1" customWidth="1"/>
    <col min="14603" max="14603" width="11.7109375" style="1" bestFit="1" customWidth="1"/>
    <col min="14604" max="14604" width="7.140625" style="1" bestFit="1" customWidth="1"/>
    <col min="14605" max="14605" width="9.5703125" style="1" bestFit="1" customWidth="1"/>
    <col min="14606" max="14606" width="9.140625" style="1" bestFit="1"/>
    <col min="14607" max="14607" width="9.5703125" style="1" bestFit="1" customWidth="1"/>
    <col min="14608" max="14608" width="10.5703125" style="1" bestFit="1" customWidth="1"/>
    <col min="14609" max="14609" width="8.140625" style="1" bestFit="1" customWidth="1"/>
    <col min="14610" max="14610" width="7.140625" style="1" bestFit="1" customWidth="1"/>
    <col min="14611" max="14611" width="10.85546875" style="1" bestFit="1" customWidth="1"/>
    <col min="14612" max="14612" width="7.7109375" style="1" bestFit="1" customWidth="1"/>
    <col min="14613" max="14613" width="10.85546875" style="1" bestFit="1" customWidth="1"/>
    <col min="14614" max="14848" width="9.140625" style="1"/>
    <col min="14849" max="14849" width="2.85546875" style="1" customWidth="1"/>
    <col min="14850" max="14850" width="5" style="1" bestFit="1" customWidth="1"/>
    <col min="14851" max="14851" width="10.5703125" style="1" bestFit="1" customWidth="1"/>
    <col min="14852" max="14852" width="72.7109375" style="1" bestFit="1" customWidth="1"/>
    <col min="14853" max="14853" width="4.85546875" style="1" bestFit="1" customWidth="1"/>
    <col min="14854" max="14854" width="8.42578125" style="1" bestFit="1" customWidth="1"/>
    <col min="14855" max="14855" width="10.85546875" style="1" bestFit="1" customWidth="1"/>
    <col min="14856" max="14856" width="4.85546875" style="1" bestFit="1" customWidth="1"/>
    <col min="14857" max="14857" width="9.28515625" style="1" bestFit="1" customWidth="1"/>
    <col min="14858" max="14858" width="17" style="1" bestFit="1" customWidth="1"/>
    <col min="14859" max="14859" width="11.7109375" style="1" bestFit="1" customWidth="1"/>
    <col min="14860" max="14860" width="7.140625" style="1" bestFit="1" customWidth="1"/>
    <col min="14861" max="14861" width="9.5703125" style="1" bestFit="1" customWidth="1"/>
    <col min="14862" max="14862" width="9.140625" style="1" bestFit="1"/>
    <col min="14863" max="14863" width="9.5703125" style="1" bestFit="1" customWidth="1"/>
    <col min="14864" max="14864" width="10.5703125" style="1" bestFit="1" customWidth="1"/>
    <col min="14865" max="14865" width="8.140625" style="1" bestFit="1" customWidth="1"/>
    <col min="14866" max="14866" width="7.140625" style="1" bestFit="1" customWidth="1"/>
    <col min="14867" max="14867" width="10.85546875" style="1" bestFit="1" customWidth="1"/>
    <col min="14868" max="14868" width="7.7109375" style="1" bestFit="1" customWidth="1"/>
    <col min="14869" max="14869" width="10.85546875" style="1" bestFit="1" customWidth="1"/>
    <col min="14870" max="15104" width="9.140625" style="1"/>
    <col min="15105" max="15105" width="2.85546875" style="1" customWidth="1"/>
    <col min="15106" max="15106" width="5" style="1" bestFit="1" customWidth="1"/>
    <col min="15107" max="15107" width="10.5703125" style="1" bestFit="1" customWidth="1"/>
    <col min="15108" max="15108" width="72.7109375" style="1" bestFit="1" customWidth="1"/>
    <col min="15109" max="15109" width="4.85546875" style="1" bestFit="1" customWidth="1"/>
    <col min="15110" max="15110" width="8.42578125" style="1" bestFit="1" customWidth="1"/>
    <col min="15111" max="15111" width="10.85546875" style="1" bestFit="1" customWidth="1"/>
    <col min="15112" max="15112" width="4.85546875" style="1" bestFit="1" customWidth="1"/>
    <col min="15113" max="15113" width="9.28515625" style="1" bestFit="1" customWidth="1"/>
    <col min="15114" max="15114" width="17" style="1" bestFit="1" customWidth="1"/>
    <col min="15115" max="15115" width="11.7109375" style="1" bestFit="1" customWidth="1"/>
    <col min="15116" max="15116" width="7.140625" style="1" bestFit="1" customWidth="1"/>
    <col min="15117" max="15117" width="9.5703125" style="1" bestFit="1" customWidth="1"/>
    <col min="15118" max="15118" width="9.140625" style="1" bestFit="1"/>
    <col min="15119" max="15119" width="9.5703125" style="1" bestFit="1" customWidth="1"/>
    <col min="15120" max="15120" width="10.5703125" style="1" bestFit="1" customWidth="1"/>
    <col min="15121" max="15121" width="8.140625" style="1" bestFit="1" customWidth="1"/>
    <col min="15122" max="15122" width="7.140625" style="1" bestFit="1" customWidth="1"/>
    <col min="15123" max="15123" width="10.85546875" style="1" bestFit="1" customWidth="1"/>
    <col min="15124" max="15124" width="7.7109375" style="1" bestFit="1" customWidth="1"/>
    <col min="15125" max="15125" width="10.85546875" style="1" bestFit="1" customWidth="1"/>
    <col min="15126" max="15360" width="9.140625" style="1"/>
    <col min="15361" max="15361" width="2.85546875" style="1" customWidth="1"/>
    <col min="15362" max="15362" width="5" style="1" bestFit="1" customWidth="1"/>
    <col min="15363" max="15363" width="10.5703125" style="1" bestFit="1" customWidth="1"/>
    <col min="15364" max="15364" width="72.7109375" style="1" bestFit="1" customWidth="1"/>
    <col min="15365" max="15365" width="4.85546875" style="1" bestFit="1" customWidth="1"/>
    <col min="15366" max="15366" width="8.42578125" style="1" bestFit="1" customWidth="1"/>
    <col min="15367" max="15367" width="10.85546875" style="1" bestFit="1" customWidth="1"/>
    <col min="15368" max="15368" width="4.85546875" style="1" bestFit="1" customWidth="1"/>
    <col min="15369" max="15369" width="9.28515625" style="1" bestFit="1" customWidth="1"/>
    <col min="15370" max="15370" width="17" style="1" bestFit="1" customWidth="1"/>
    <col min="15371" max="15371" width="11.7109375" style="1" bestFit="1" customWidth="1"/>
    <col min="15372" max="15372" width="7.140625" style="1" bestFit="1" customWidth="1"/>
    <col min="15373" max="15373" width="9.5703125" style="1" bestFit="1" customWidth="1"/>
    <col min="15374" max="15374" width="9.140625" style="1" bestFit="1"/>
    <col min="15375" max="15375" width="9.5703125" style="1" bestFit="1" customWidth="1"/>
    <col min="15376" max="15376" width="10.5703125" style="1" bestFit="1" customWidth="1"/>
    <col min="15377" max="15377" width="8.140625" style="1" bestFit="1" customWidth="1"/>
    <col min="15378" max="15378" width="7.140625" style="1" bestFit="1" customWidth="1"/>
    <col min="15379" max="15379" width="10.85546875" style="1" bestFit="1" customWidth="1"/>
    <col min="15380" max="15380" width="7.7109375" style="1" bestFit="1" customWidth="1"/>
    <col min="15381" max="15381" width="10.85546875" style="1" bestFit="1" customWidth="1"/>
    <col min="15382" max="15616" width="9.140625" style="1"/>
    <col min="15617" max="15617" width="2.85546875" style="1" customWidth="1"/>
    <col min="15618" max="15618" width="5" style="1" bestFit="1" customWidth="1"/>
    <col min="15619" max="15619" width="10.5703125" style="1" bestFit="1" customWidth="1"/>
    <col min="15620" max="15620" width="72.7109375" style="1" bestFit="1" customWidth="1"/>
    <col min="15621" max="15621" width="4.85546875" style="1" bestFit="1" customWidth="1"/>
    <col min="15622" max="15622" width="8.42578125" style="1" bestFit="1" customWidth="1"/>
    <col min="15623" max="15623" width="10.85546875" style="1" bestFit="1" customWidth="1"/>
    <col min="15624" max="15624" width="4.85546875" style="1" bestFit="1" customWidth="1"/>
    <col min="15625" max="15625" width="9.28515625" style="1" bestFit="1" customWidth="1"/>
    <col min="15626" max="15626" width="17" style="1" bestFit="1" customWidth="1"/>
    <col min="15627" max="15627" width="11.7109375" style="1" bestFit="1" customWidth="1"/>
    <col min="15628" max="15628" width="7.140625" style="1" bestFit="1" customWidth="1"/>
    <col min="15629" max="15629" width="9.5703125" style="1" bestFit="1" customWidth="1"/>
    <col min="15630" max="15630" width="9.140625" style="1" bestFit="1"/>
    <col min="15631" max="15631" width="9.5703125" style="1" bestFit="1" customWidth="1"/>
    <col min="15632" max="15632" width="10.5703125" style="1" bestFit="1" customWidth="1"/>
    <col min="15633" max="15633" width="8.140625" style="1" bestFit="1" customWidth="1"/>
    <col min="15634" max="15634" width="7.140625" style="1" bestFit="1" customWidth="1"/>
    <col min="15635" max="15635" width="10.85546875" style="1" bestFit="1" customWidth="1"/>
    <col min="15636" max="15636" width="7.7109375" style="1" bestFit="1" customWidth="1"/>
    <col min="15637" max="15637" width="10.85546875" style="1" bestFit="1" customWidth="1"/>
    <col min="15638" max="15872" width="9.140625" style="1"/>
    <col min="15873" max="15873" width="2.85546875" style="1" customWidth="1"/>
    <col min="15874" max="15874" width="5" style="1" bestFit="1" customWidth="1"/>
    <col min="15875" max="15875" width="10.5703125" style="1" bestFit="1" customWidth="1"/>
    <col min="15876" max="15876" width="72.7109375" style="1" bestFit="1" customWidth="1"/>
    <col min="15877" max="15877" width="4.85546875" style="1" bestFit="1" customWidth="1"/>
    <col min="15878" max="15878" width="8.42578125" style="1" bestFit="1" customWidth="1"/>
    <col min="15879" max="15879" width="10.85546875" style="1" bestFit="1" customWidth="1"/>
    <col min="15880" max="15880" width="4.85546875" style="1" bestFit="1" customWidth="1"/>
    <col min="15881" max="15881" width="9.28515625" style="1" bestFit="1" customWidth="1"/>
    <col min="15882" max="15882" width="17" style="1" bestFit="1" customWidth="1"/>
    <col min="15883" max="15883" width="11.7109375" style="1" bestFit="1" customWidth="1"/>
    <col min="15884" max="15884" width="7.140625" style="1" bestFit="1" customWidth="1"/>
    <col min="15885" max="15885" width="9.5703125" style="1" bestFit="1" customWidth="1"/>
    <col min="15886" max="15886" width="9.140625" style="1" bestFit="1"/>
    <col min="15887" max="15887" width="9.5703125" style="1" bestFit="1" customWidth="1"/>
    <col min="15888" max="15888" width="10.5703125" style="1" bestFit="1" customWidth="1"/>
    <col min="15889" max="15889" width="8.140625" style="1" bestFit="1" customWidth="1"/>
    <col min="15890" max="15890" width="7.140625" style="1" bestFit="1" customWidth="1"/>
    <col min="15891" max="15891" width="10.85546875" style="1" bestFit="1" customWidth="1"/>
    <col min="15892" max="15892" width="7.7109375" style="1" bestFit="1" customWidth="1"/>
    <col min="15893" max="15893" width="10.85546875" style="1" bestFit="1" customWidth="1"/>
    <col min="15894" max="16128" width="9.140625" style="1"/>
    <col min="16129" max="16129" width="2.85546875" style="1" customWidth="1"/>
    <col min="16130" max="16130" width="5" style="1" bestFit="1" customWidth="1"/>
    <col min="16131" max="16131" width="10.5703125" style="1" bestFit="1" customWidth="1"/>
    <col min="16132" max="16132" width="72.7109375" style="1" bestFit="1" customWidth="1"/>
    <col min="16133" max="16133" width="4.85546875" style="1" bestFit="1" customWidth="1"/>
    <col min="16134" max="16134" width="8.42578125" style="1" bestFit="1" customWidth="1"/>
    <col min="16135" max="16135" width="10.85546875" style="1" bestFit="1" customWidth="1"/>
    <col min="16136" max="16136" width="4.85546875" style="1" bestFit="1" customWidth="1"/>
    <col min="16137" max="16137" width="9.28515625" style="1" bestFit="1" customWidth="1"/>
    <col min="16138" max="16138" width="17" style="1" bestFit="1" customWidth="1"/>
    <col min="16139" max="16139" width="11.7109375" style="1" bestFit="1" customWidth="1"/>
    <col min="16140" max="16140" width="7.140625" style="1" bestFit="1" customWidth="1"/>
    <col min="16141" max="16141" width="9.5703125" style="1" bestFit="1" customWidth="1"/>
    <col min="16142" max="16142" width="9.140625" style="1" bestFit="1"/>
    <col min="16143" max="16143" width="9.5703125" style="1" bestFit="1" customWidth="1"/>
    <col min="16144" max="16144" width="10.5703125" style="1" bestFit="1" customWidth="1"/>
    <col min="16145" max="16145" width="8.140625" style="1" bestFit="1" customWidth="1"/>
    <col min="16146" max="16146" width="7.140625" style="1" bestFit="1" customWidth="1"/>
    <col min="16147" max="16147" width="10.85546875" style="1" bestFit="1" customWidth="1"/>
    <col min="16148" max="16148" width="7.7109375" style="1" bestFit="1" customWidth="1"/>
    <col min="16149" max="16149" width="10.85546875" style="1" bestFit="1" customWidth="1"/>
    <col min="16150" max="16384" width="9.140625" style="1"/>
  </cols>
  <sheetData>
    <row r="1" spans="2:24" x14ac:dyDescent="0.2">
      <c r="B1" s="2"/>
      <c r="C1" s="2"/>
      <c r="D1" s="3"/>
      <c r="E1" s="2"/>
      <c r="F1" s="2"/>
      <c r="G1" s="3"/>
      <c r="H1" s="2"/>
      <c r="I1" s="3"/>
      <c r="J1" s="3"/>
      <c r="K1" s="3"/>
      <c r="L1" s="3"/>
      <c r="M1" s="3"/>
      <c r="N1" s="4">
        <v>0.04</v>
      </c>
      <c r="O1" s="3"/>
      <c r="P1" s="3"/>
      <c r="Q1" s="3"/>
      <c r="R1" s="3"/>
      <c r="S1" s="3"/>
      <c r="T1" s="3"/>
      <c r="U1" s="2"/>
    </row>
    <row r="2" spans="2:24" ht="50.25" x14ac:dyDescent="0.2">
      <c r="B2" s="101" t="s">
        <v>141</v>
      </c>
      <c r="C2" s="101" t="s">
        <v>0</v>
      </c>
      <c r="D2" s="101" t="s">
        <v>1</v>
      </c>
      <c r="E2" s="101" t="s">
        <v>2</v>
      </c>
      <c r="F2" s="101" t="s">
        <v>3</v>
      </c>
      <c r="G2" s="101" t="s">
        <v>4</v>
      </c>
      <c r="H2" s="101" t="s">
        <v>5</v>
      </c>
      <c r="I2" s="88" t="s">
        <v>159</v>
      </c>
      <c r="J2" s="101" t="s">
        <v>6</v>
      </c>
      <c r="K2" s="101" t="s">
        <v>7</v>
      </c>
      <c r="L2" s="101" t="s">
        <v>8</v>
      </c>
      <c r="M2" s="101" t="s">
        <v>9</v>
      </c>
      <c r="N2" s="101" t="s">
        <v>10</v>
      </c>
      <c r="O2" s="101" t="s">
        <v>11</v>
      </c>
      <c r="P2" s="101" t="s">
        <v>12</v>
      </c>
      <c r="Q2" s="101" t="s">
        <v>13</v>
      </c>
      <c r="R2" s="101" t="s">
        <v>14</v>
      </c>
      <c r="S2" s="101" t="s">
        <v>15</v>
      </c>
      <c r="T2" s="101" t="s">
        <v>16</v>
      </c>
      <c r="U2" s="101" t="s">
        <v>17</v>
      </c>
      <c r="V2" s="115"/>
      <c r="W2" s="105" t="s">
        <v>157</v>
      </c>
    </row>
    <row r="3" spans="2:24" hidden="1" x14ac:dyDescent="0.2">
      <c r="B3" s="91">
        <v>1</v>
      </c>
      <c r="C3" s="91" t="s">
        <v>18</v>
      </c>
      <c r="D3" s="91" t="s">
        <v>19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103"/>
      <c r="W3" s="116"/>
      <c r="X3" s="18" t="s">
        <v>153</v>
      </c>
    </row>
    <row r="4" spans="2:24" x14ac:dyDescent="0.2">
      <c r="B4" s="103">
        <v>1.1000000000000001</v>
      </c>
      <c r="C4" s="103" t="s">
        <v>20</v>
      </c>
      <c r="D4" s="89" t="s">
        <v>21</v>
      </c>
      <c r="E4" s="103">
        <v>1</v>
      </c>
      <c r="F4" s="103" t="s">
        <v>22</v>
      </c>
      <c r="G4" s="93">
        <v>999900</v>
      </c>
      <c r="H4" s="106">
        <v>0</v>
      </c>
      <c r="I4" s="93">
        <f>(G4-H4*G4)*E4</f>
        <v>999900</v>
      </c>
      <c r="J4" s="107">
        <v>10000</v>
      </c>
      <c r="K4" s="93">
        <f>J4*4</f>
        <v>40000</v>
      </c>
      <c r="L4" s="93">
        <v>0</v>
      </c>
      <c r="M4" s="93">
        <v>10000</v>
      </c>
      <c r="N4" s="93">
        <f>I4*$N$1</f>
        <v>39996</v>
      </c>
      <c r="O4" s="93">
        <v>400000</v>
      </c>
      <c r="P4" s="93">
        <v>125000</v>
      </c>
      <c r="Q4" s="93">
        <v>10000</v>
      </c>
      <c r="R4" s="93">
        <v>0</v>
      </c>
      <c r="S4" s="93">
        <v>0</v>
      </c>
      <c r="T4" s="93">
        <v>0</v>
      </c>
      <c r="U4" s="93">
        <f>I4+K4+L4+N4+SUM(O4:T4)</f>
        <v>1614896</v>
      </c>
      <c r="V4" s="103"/>
      <c r="W4" s="116"/>
    </row>
    <row r="5" spans="2:24" x14ac:dyDescent="0.2">
      <c r="B5" s="103">
        <v>1.2</v>
      </c>
      <c r="C5" s="103" t="s">
        <v>20</v>
      </c>
      <c r="D5" s="89" t="s">
        <v>23</v>
      </c>
      <c r="E5" s="103">
        <v>1</v>
      </c>
      <c r="F5" s="103" t="s">
        <v>22</v>
      </c>
      <c r="G5" s="93">
        <v>495000</v>
      </c>
      <c r="H5" s="106">
        <v>0</v>
      </c>
      <c r="I5" s="93">
        <f>(G5-H5*G5)*E5</f>
        <v>495000</v>
      </c>
      <c r="J5" s="107">
        <v>4500</v>
      </c>
      <c r="K5" s="93">
        <f>J5*4</f>
        <v>18000</v>
      </c>
      <c r="L5" s="93">
        <v>0</v>
      </c>
      <c r="M5" s="93">
        <v>10000</v>
      </c>
      <c r="N5" s="93">
        <f>I5*$N$1</f>
        <v>19800</v>
      </c>
      <c r="O5" s="93">
        <v>250000</v>
      </c>
      <c r="P5" s="93">
        <v>75000</v>
      </c>
      <c r="Q5" s="93">
        <v>10000</v>
      </c>
      <c r="R5" s="93">
        <v>0</v>
      </c>
      <c r="S5" s="93">
        <v>0</v>
      </c>
      <c r="T5" s="93">
        <v>0</v>
      </c>
      <c r="U5" s="93">
        <f>I5+K5+L5+N5+SUM(O5:T5)</f>
        <v>867800</v>
      </c>
      <c r="V5" s="103"/>
      <c r="W5" s="116"/>
    </row>
    <row r="6" spans="2:24" x14ac:dyDescent="0.2">
      <c r="B6" s="103">
        <v>1.3</v>
      </c>
      <c r="C6" s="103" t="s">
        <v>20</v>
      </c>
      <c r="D6" s="89" t="s">
        <v>24</v>
      </c>
      <c r="E6" s="103">
        <v>1</v>
      </c>
      <c r="F6" s="103" t="s">
        <v>22</v>
      </c>
      <c r="G6" s="93">
        <v>155000</v>
      </c>
      <c r="H6" s="106">
        <v>0</v>
      </c>
      <c r="I6" s="93">
        <f>(G6-H6*G6)*E6</f>
        <v>155000</v>
      </c>
      <c r="J6" s="107">
        <v>2000</v>
      </c>
      <c r="K6" s="93">
        <f>J6*3</f>
        <v>6000</v>
      </c>
      <c r="L6" s="93">
        <v>0</v>
      </c>
      <c r="M6" s="93">
        <v>2000</v>
      </c>
      <c r="N6" s="93">
        <f>I6*$N$1</f>
        <v>6200</v>
      </c>
      <c r="O6" s="93">
        <v>200000</v>
      </c>
      <c r="P6" s="93">
        <v>0</v>
      </c>
      <c r="Q6" s="93">
        <v>0</v>
      </c>
      <c r="R6" s="93">
        <v>0</v>
      </c>
      <c r="S6" s="93">
        <v>0</v>
      </c>
      <c r="T6" s="93">
        <v>0</v>
      </c>
      <c r="U6" s="93">
        <f>I6+K6+L6+N6+SUM(O6:T6)</f>
        <v>367200</v>
      </c>
      <c r="V6" s="103"/>
      <c r="W6" s="116"/>
    </row>
    <row r="7" spans="2:24" x14ac:dyDescent="0.2">
      <c r="B7" s="103">
        <v>1.4</v>
      </c>
      <c r="C7" s="103" t="s">
        <v>20</v>
      </c>
      <c r="D7" s="89" t="s">
        <v>25</v>
      </c>
      <c r="E7" s="103">
        <v>1</v>
      </c>
      <c r="F7" s="103" t="s">
        <v>22</v>
      </c>
      <c r="G7" s="93">
        <v>40000</v>
      </c>
      <c r="H7" s="106">
        <v>0</v>
      </c>
      <c r="I7" s="93">
        <f>(G7-H7*G7)*E7</f>
        <v>40000</v>
      </c>
      <c r="J7" s="107">
        <v>5000</v>
      </c>
      <c r="K7" s="93">
        <f>J7</f>
        <v>5000</v>
      </c>
      <c r="L7" s="93">
        <v>0</v>
      </c>
      <c r="M7" s="93">
        <v>1000</v>
      </c>
      <c r="N7" s="93">
        <f>I7*$N$1</f>
        <v>1600</v>
      </c>
      <c r="O7" s="93">
        <v>40000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f>I7+K7+L7+N7+SUM(O7:T7)</f>
        <v>86600</v>
      </c>
      <c r="V7" s="103"/>
      <c r="W7" s="116"/>
    </row>
    <row r="8" spans="2:24" x14ac:dyDescent="0.2">
      <c r="B8" s="91"/>
      <c r="C8" s="91" t="s">
        <v>26</v>
      </c>
      <c r="D8" s="95" t="s">
        <v>27</v>
      </c>
      <c r="E8" s="91"/>
      <c r="F8" s="91"/>
      <c r="G8" s="97">
        <f>G4+G6+G7</f>
        <v>1194900</v>
      </c>
      <c r="H8" s="106"/>
      <c r="I8" s="97">
        <f>I4+I6+I7</f>
        <v>1194900</v>
      </c>
      <c r="J8" s="108"/>
      <c r="K8" s="93"/>
      <c r="L8" s="93"/>
      <c r="M8" s="93"/>
      <c r="N8" s="93"/>
      <c r="O8" s="93"/>
      <c r="P8" s="93"/>
      <c r="Q8" s="93"/>
      <c r="R8" s="93"/>
      <c r="S8" s="93"/>
      <c r="T8" s="93"/>
      <c r="U8" s="97">
        <f>U4+U6+U7</f>
        <v>2068696</v>
      </c>
      <c r="V8" s="103"/>
      <c r="W8" s="117">
        <v>1200000</v>
      </c>
    </row>
    <row r="9" spans="2:24" x14ac:dyDescent="0.2">
      <c r="B9" s="91"/>
      <c r="C9" s="91" t="s">
        <v>26</v>
      </c>
      <c r="D9" s="95" t="s">
        <v>28</v>
      </c>
      <c r="E9" s="91"/>
      <c r="F9" s="91"/>
      <c r="G9" s="97">
        <f>G5+G6+G7</f>
        <v>690000</v>
      </c>
      <c r="H9" s="106"/>
      <c r="I9" s="97">
        <f>I5+I6+I7</f>
        <v>690000</v>
      </c>
      <c r="J9" s="108"/>
      <c r="K9" s="93"/>
      <c r="L9" s="93"/>
      <c r="M9" s="93"/>
      <c r="N9" s="93"/>
      <c r="O9" s="93"/>
      <c r="P9" s="93"/>
      <c r="Q9" s="93"/>
      <c r="R9" s="93"/>
      <c r="S9" s="93"/>
      <c r="T9" s="93"/>
      <c r="U9" s="97">
        <f>U5+U6+U7</f>
        <v>1321600</v>
      </c>
      <c r="V9" s="103"/>
      <c r="W9" s="117">
        <v>800000</v>
      </c>
    </row>
    <row r="10" spans="2:24" x14ac:dyDescent="0.2">
      <c r="B10" s="118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0"/>
    </row>
    <row r="11" spans="2:24" hidden="1" x14ac:dyDescent="0.2">
      <c r="B11" s="91">
        <v>2</v>
      </c>
      <c r="C11" s="91" t="s">
        <v>29</v>
      </c>
      <c r="D11" s="91" t="s">
        <v>19</v>
      </c>
      <c r="E11" s="91"/>
      <c r="F11" s="91"/>
      <c r="G11" s="93"/>
      <c r="H11" s="106"/>
      <c r="I11" s="93"/>
      <c r="J11" s="108"/>
      <c r="K11" s="113"/>
      <c r="L11" s="108"/>
      <c r="M11" s="113"/>
      <c r="N11" s="113"/>
      <c r="O11" s="113"/>
      <c r="P11" s="113"/>
      <c r="Q11" s="113"/>
      <c r="R11" s="113"/>
      <c r="S11" s="113"/>
      <c r="T11" s="113"/>
      <c r="U11" s="109"/>
      <c r="V11" s="103"/>
      <c r="W11" s="116"/>
    </row>
    <row r="12" spans="2:24" x14ac:dyDescent="0.2">
      <c r="B12" s="110">
        <v>2.1</v>
      </c>
      <c r="C12" s="103" t="s">
        <v>30</v>
      </c>
      <c r="D12" s="111" t="s">
        <v>31</v>
      </c>
      <c r="E12" s="103">
        <v>1</v>
      </c>
      <c r="F12" s="103" t="s">
        <v>22</v>
      </c>
      <c r="G12" s="93">
        <v>40000</v>
      </c>
      <c r="H12" s="106">
        <v>0</v>
      </c>
      <c r="I12" s="93">
        <f t="shared" ref="I12:I33" si="0">(G12-H12*G12)*E12</f>
        <v>40000</v>
      </c>
      <c r="J12" s="108"/>
      <c r="K12" s="93">
        <f>J12*G12</f>
        <v>0</v>
      </c>
      <c r="L12" s="93">
        <v>0</v>
      </c>
      <c r="M12" s="93"/>
      <c r="N12" s="93">
        <f t="shared" ref="N12:N50" si="1">I12*$N$1</f>
        <v>1600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f>I12+K12+L12+N12+SUM(O12:T12)</f>
        <v>41600</v>
      </c>
      <c r="V12" s="103"/>
      <c r="W12" s="116">
        <v>40000</v>
      </c>
      <c r="X12" s="1" t="s">
        <v>154</v>
      </c>
    </row>
    <row r="13" spans="2:24" x14ac:dyDescent="0.2">
      <c r="B13" s="110">
        <v>2.2000000000000002</v>
      </c>
      <c r="C13" s="103" t="s">
        <v>30</v>
      </c>
      <c r="D13" s="89" t="s">
        <v>32</v>
      </c>
      <c r="E13" s="103">
        <v>1</v>
      </c>
      <c r="F13" s="103" t="s">
        <v>22</v>
      </c>
      <c r="G13" s="93">
        <v>768000</v>
      </c>
      <c r="H13" s="106">
        <v>0</v>
      </c>
      <c r="I13" s="93">
        <f t="shared" si="0"/>
        <v>768000</v>
      </c>
      <c r="J13" s="108"/>
      <c r="K13" s="93">
        <v>4000</v>
      </c>
      <c r="L13" s="93">
        <v>0</v>
      </c>
      <c r="M13" s="93"/>
      <c r="N13" s="93">
        <f t="shared" si="1"/>
        <v>30720</v>
      </c>
      <c r="O13" s="93">
        <v>0</v>
      </c>
      <c r="P13" s="93">
        <v>5000</v>
      </c>
      <c r="Q13" s="93">
        <v>1000</v>
      </c>
      <c r="R13" s="93">
        <v>2000</v>
      </c>
      <c r="S13" s="93">
        <v>6750</v>
      </c>
      <c r="T13" s="93">
        <v>0</v>
      </c>
      <c r="U13" s="93">
        <f t="shared" ref="U13:U50" si="2">I13+K13+L13+N13+SUM(O13:T13)</f>
        <v>817470</v>
      </c>
      <c r="V13" s="103"/>
      <c r="W13" s="116">
        <v>750000</v>
      </c>
      <c r="X13" s="1" t="s">
        <v>152</v>
      </c>
    </row>
    <row r="14" spans="2:24" x14ac:dyDescent="0.2">
      <c r="B14" s="110">
        <v>2.2999999999999998</v>
      </c>
      <c r="C14" s="103" t="s">
        <v>30</v>
      </c>
      <c r="D14" s="89" t="s">
        <v>33</v>
      </c>
      <c r="E14" s="103">
        <v>1</v>
      </c>
      <c r="F14" s="103" t="s">
        <v>22</v>
      </c>
      <c r="G14" s="93">
        <f>'[1]Hybrid CCU  with SPV'!$C$6+'[1]Hybrid CCU  with SPV'!$C$8+'[1]Hybrid CCU  with SPV'!$C$10</f>
        <v>520510</v>
      </c>
      <c r="H14" s="106">
        <v>0.2</v>
      </c>
      <c r="I14" s="93">
        <f t="shared" si="0"/>
        <v>416408</v>
      </c>
      <c r="J14" s="108"/>
      <c r="K14" s="93">
        <v>12000</v>
      </c>
      <c r="L14" s="93">
        <v>0</v>
      </c>
      <c r="M14" s="93"/>
      <c r="N14" s="93">
        <f t="shared" si="1"/>
        <v>16656.32</v>
      </c>
      <c r="O14" s="93">
        <v>0</v>
      </c>
      <c r="P14" s="93">
        <v>20000</v>
      </c>
      <c r="Q14" s="93">
        <v>0</v>
      </c>
      <c r="R14" s="93">
        <v>8000</v>
      </c>
      <c r="S14" s="93">
        <v>0</v>
      </c>
      <c r="T14" s="93">
        <v>0</v>
      </c>
      <c r="U14" s="93">
        <f t="shared" si="2"/>
        <v>473064.32</v>
      </c>
      <c r="V14" s="103"/>
      <c r="W14" s="116">
        <v>450000</v>
      </c>
    </row>
    <row r="15" spans="2:24" x14ac:dyDescent="0.2">
      <c r="B15" s="110">
        <v>2.4</v>
      </c>
      <c r="C15" s="103" t="s">
        <v>30</v>
      </c>
      <c r="D15" s="94" t="s">
        <v>34</v>
      </c>
      <c r="E15" s="103">
        <v>1</v>
      </c>
      <c r="F15" s="103" t="s">
        <v>22</v>
      </c>
      <c r="G15" s="93">
        <f>'[1]Hybrid CCU  with SPV'!$C$5</f>
        <v>253561</v>
      </c>
      <c r="H15" s="106">
        <v>0.1</v>
      </c>
      <c r="I15" s="93">
        <f t="shared" si="0"/>
        <v>228204.9</v>
      </c>
      <c r="J15" s="108"/>
      <c r="K15" s="93">
        <v>3000</v>
      </c>
      <c r="L15" s="93">
        <v>0</v>
      </c>
      <c r="M15" s="93"/>
      <c r="N15" s="93">
        <f t="shared" si="1"/>
        <v>9128.1959999999999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f t="shared" si="2"/>
        <v>240333.09599999999</v>
      </c>
      <c r="V15" s="103"/>
      <c r="W15" s="116">
        <v>236000</v>
      </c>
    </row>
    <row r="16" spans="2:24" x14ac:dyDescent="0.2">
      <c r="B16" s="110">
        <v>2.5</v>
      </c>
      <c r="C16" s="103" t="s">
        <v>30</v>
      </c>
      <c r="D16" s="94" t="s">
        <v>35</v>
      </c>
      <c r="E16" s="103">
        <v>2</v>
      </c>
      <c r="F16" s="103" t="s">
        <v>22</v>
      </c>
      <c r="G16" s="93">
        <v>18000</v>
      </c>
      <c r="H16" s="106">
        <v>0.1</v>
      </c>
      <c r="I16" s="93">
        <f>(G16-H16*G16)*E16</f>
        <v>32400</v>
      </c>
      <c r="J16" s="108"/>
      <c r="K16" s="93">
        <v>500</v>
      </c>
      <c r="L16" s="93">
        <v>0</v>
      </c>
      <c r="M16" s="93"/>
      <c r="N16" s="93">
        <f t="shared" si="1"/>
        <v>1296</v>
      </c>
      <c r="O16" s="93">
        <v>0</v>
      </c>
      <c r="P16" s="93">
        <v>0</v>
      </c>
      <c r="Q16" s="93">
        <v>2000</v>
      </c>
      <c r="R16" s="93">
        <v>0</v>
      </c>
      <c r="S16" s="93">
        <v>0</v>
      </c>
      <c r="T16" s="93">
        <v>0</v>
      </c>
      <c r="U16" s="93">
        <f>I16+K16+L16+N16+SUM(O16:T16)</f>
        <v>36196</v>
      </c>
      <c r="V16" s="103"/>
      <c r="W16" s="116">
        <v>30000</v>
      </c>
    </row>
    <row r="17" spans="2:23" x14ac:dyDescent="0.2">
      <c r="B17" s="110">
        <v>2.5</v>
      </c>
      <c r="C17" s="103" t="s">
        <v>30</v>
      </c>
      <c r="D17" s="94" t="s">
        <v>36</v>
      </c>
      <c r="E17" s="106">
        <v>0.3</v>
      </c>
      <c r="F17" s="103" t="s">
        <v>22</v>
      </c>
      <c r="G17" s="93">
        <v>54400</v>
      </c>
      <c r="H17" s="106">
        <v>0</v>
      </c>
      <c r="I17" s="93">
        <f>(G17-H17*G17)*E17</f>
        <v>16320</v>
      </c>
      <c r="J17" s="108"/>
      <c r="K17" s="93">
        <f t="shared" ref="K17:K33" si="3">J17*G17</f>
        <v>0</v>
      </c>
      <c r="L17" s="93">
        <v>0</v>
      </c>
      <c r="M17" s="93"/>
      <c r="N17" s="93">
        <f t="shared" si="1"/>
        <v>652.80000000000007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f t="shared" si="2"/>
        <v>16972.8</v>
      </c>
      <c r="V17" s="103"/>
      <c r="W17" s="116">
        <v>16500</v>
      </c>
    </row>
    <row r="18" spans="2:23" x14ac:dyDescent="0.2">
      <c r="B18" s="110">
        <v>2.6</v>
      </c>
      <c r="C18" s="103" t="s">
        <v>30</v>
      </c>
      <c r="D18" s="89" t="s">
        <v>37</v>
      </c>
      <c r="E18" s="103">
        <f>E17*5</f>
        <v>1.5</v>
      </c>
      <c r="F18" s="103" t="s">
        <v>22</v>
      </c>
      <c r="G18" s="93">
        <v>10500</v>
      </c>
      <c r="H18" s="106">
        <v>0</v>
      </c>
      <c r="I18" s="93">
        <f t="shared" si="0"/>
        <v>15750</v>
      </c>
      <c r="J18" s="108"/>
      <c r="K18" s="93">
        <f t="shared" si="3"/>
        <v>0</v>
      </c>
      <c r="L18" s="93">
        <v>0</v>
      </c>
      <c r="M18" s="93"/>
      <c r="N18" s="93">
        <f t="shared" si="1"/>
        <v>630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f t="shared" si="2"/>
        <v>16380</v>
      </c>
      <c r="V18" s="103"/>
      <c r="W18" s="116">
        <v>16800</v>
      </c>
    </row>
    <row r="19" spans="2:23" x14ac:dyDescent="0.2">
      <c r="B19" s="110">
        <f>B18+0.1</f>
        <v>2.7</v>
      </c>
      <c r="C19" s="103" t="s">
        <v>30</v>
      </c>
      <c r="D19" s="94" t="s">
        <v>38</v>
      </c>
      <c r="E19" s="106">
        <f>E17</f>
        <v>0.3</v>
      </c>
      <c r="F19" s="103" t="s">
        <v>22</v>
      </c>
      <c r="G19" s="93">
        <v>282000</v>
      </c>
      <c r="H19" s="106">
        <v>0</v>
      </c>
      <c r="I19" s="93">
        <f t="shared" si="0"/>
        <v>84600</v>
      </c>
      <c r="J19" s="108"/>
      <c r="K19" s="93">
        <f t="shared" si="3"/>
        <v>0</v>
      </c>
      <c r="L19" s="93">
        <v>0</v>
      </c>
      <c r="M19" s="93"/>
      <c r="N19" s="93">
        <f t="shared" si="1"/>
        <v>3384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f t="shared" si="2"/>
        <v>87984</v>
      </c>
      <c r="V19" s="103"/>
      <c r="W19" s="116">
        <v>73800</v>
      </c>
    </row>
    <row r="20" spans="2:23" s="18" customFormat="1" ht="15" customHeight="1" x14ac:dyDescent="0.2">
      <c r="B20" s="114"/>
      <c r="C20" s="98" t="s">
        <v>151</v>
      </c>
      <c r="D20" s="99"/>
      <c r="E20" s="99"/>
      <c r="F20" s="99"/>
      <c r="G20" s="99"/>
      <c r="H20" s="100"/>
      <c r="I20" s="97">
        <f>SUM(I12:I19)</f>
        <v>1601682.9</v>
      </c>
      <c r="J20" s="112"/>
      <c r="K20" s="97"/>
      <c r="L20" s="97"/>
      <c r="M20" s="97"/>
      <c r="N20" s="97">
        <f>I20*$N$1</f>
        <v>64067.315999999999</v>
      </c>
      <c r="O20" s="97"/>
      <c r="P20" s="97"/>
      <c r="Q20" s="97"/>
      <c r="R20" s="97"/>
      <c r="S20" s="97"/>
      <c r="T20" s="97"/>
      <c r="U20" s="97"/>
      <c r="V20" s="91"/>
      <c r="W20" s="117">
        <f>SUM(W12:W19)</f>
        <v>1613100</v>
      </c>
    </row>
    <row r="21" spans="2:23" s="18" customFormat="1" x14ac:dyDescent="0.2">
      <c r="B21" s="19"/>
      <c r="C21" s="7"/>
      <c r="E21" s="20"/>
      <c r="F21" s="7"/>
      <c r="G21" s="21"/>
      <c r="H21" s="20"/>
      <c r="I21" s="13"/>
      <c r="J21" s="22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3"/>
      <c r="W21" s="85"/>
    </row>
    <row r="22" spans="2:23" s="18" customFormat="1" x14ac:dyDescent="0.2">
      <c r="B22" s="19"/>
      <c r="C22" s="7"/>
      <c r="E22" s="20"/>
      <c r="F22" s="7"/>
      <c r="G22" s="21"/>
      <c r="H22" s="20"/>
      <c r="I22" s="13">
        <f>I8+I9+I20+'Project Cost 1'!G12</f>
        <v>5325902.9000000004</v>
      </c>
      <c r="J22" s="22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3"/>
      <c r="W22" s="85">
        <f>W8+W9+W20+'Project Cost 1'!H12</f>
        <v>5475900</v>
      </c>
    </row>
    <row r="23" spans="2:23" s="18" customFormat="1" x14ac:dyDescent="0.2">
      <c r="B23" s="19"/>
      <c r="C23" s="7"/>
      <c r="D23" s="8"/>
      <c r="E23" s="20"/>
      <c r="F23" s="7"/>
      <c r="G23" s="21"/>
      <c r="H23" s="20"/>
      <c r="I23" s="13"/>
      <c r="J23" s="22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3"/>
      <c r="W23" s="85"/>
    </row>
    <row r="24" spans="2:23" s="18" customFormat="1" x14ac:dyDescent="0.2">
      <c r="B24" s="19"/>
      <c r="C24" s="7"/>
      <c r="D24" s="8"/>
      <c r="E24" s="20"/>
      <c r="F24" s="7"/>
      <c r="G24" s="21"/>
      <c r="H24" s="20"/>
      <c r="I24" s="13"/>
      <c r="J24" s="22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3"/>
      <c r="W24" s="85"/>
    </row>
    <row r="25" spans="2:23" s="18" customFormat="1" x14ac:dyDescent="0.2">
      <c r="B25" s="19"/>
      <c r="C25" s="7"/>
      <c r="D25" s="8"/>
      <c r="E25" s="20"/>
      <c r="F25" s="7"/>
      <c r="G25" s="21"/>
      <c r="H25" s="20"/>
      <c r="I25" s="13"/>
      <c r="J25" s="22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3"/>
      <c r="W25" s="85"/>
    </row>
    <row r="26" spans="2:23" x14ac:dyDescent="0.2">
      <c r="B26" s="17"/>
      <c r="C26" s="2"/>
      <c r="D26" s="86"/>
      <c r="E26" s="4"/>
      <c r="F26" s="2"/>
      <c r="G26" s="10"/>
      <c r="H26" s="4"/>
      <c r="I26" s="11"/>
      <c r="J26" s="12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</row>
    <row r="27" spans="2:23" x14ac:dyDescent="0.2">
      <c r="B27" s="17">
        <f>B19+0.1</f>
        <v>2.8000000000000003</v>
      </c>
      <c r="C27" s="2" t="s">
        <v>39</v>
      </c>
      <c r="D27" s="9" t="s">
        <v>40</v>
      </c>
      <c r="E27" s="4">
        <f>E17</f>
        <v>0.3</v>
      </c>
      <c r="F27" s="2" t="s">
        <v>22</v>
      </c>
      <c r="G27" s="10">
        <v>45000</v>
      </c>
      <c r="H27" s="4">
        <v>0</v>
      </c>
      <c r="I27" s="11">
        <f t="shared" si="0"/>
        <v>13500</v>
      </c>
      <c r="J27" s="12"/>
      <c r="K27" s="10">
        <f t="shared" si="3"/>
        <v>0</v>
      </c>
      <c r="L27" s="10">
        <v>0</v>
      </c>
      <c r="M27" s="10"/>
      <c r="N27" s="10">
        <f t="shared" si="1"/>
        <v>540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1">
        <f t="shared" si="2"/>
        <v>14040</v>
      </c>
    </row>
    <row r="28" spans="2:23" x14ac:dyDescent="0.2">
      <c r="B28" s="17">
        <v>2.9</v>
      </c>
      <c r="C28" s="2" t="s">
        <v>39</v>
      </c>
      <c r="D28" s="9" t="s">
        <v>41</v>
      </c>
      <c r="E28" s="2">
        <v>1</v>
      </c>
      <c r="F28" s="2" t="s">
        <v>22</v>
      </c>
      <c r="G28" s="10">
        <v>15000</v>
      </c>
      <c r="H28" s="4">
        <v>0</v>
      </c>
      <c r="I28" s="11">
        <f t="shared" si="0"/>
        <v>15000</v>
      </c>
      <c r="J28" s="12"/>
      <c r="K28" s="10">
        <f t="shared" si="3"/>
        <v>0</v>
      </c>
      <c r="L28" s="10">
        <v>0</v>
      </c>
      <c r="M28" s="10"/>
      <c r="N28" s="10">
        <f t="shared" si="1"/>
        <v>600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1">
        <f t="shared" si="2"/>
        <v>15600</v>
      </c>
    </row>
    <row r="29" spans="2:23" x14ac:dyDescent="0.2">
      <c r="B29" s="17" t="s">
        <v>42</v>
      </c>
      <c r="C29" s="2" t="s">
        <v>39</v>
      </c>
      <c r="D29" s="9" t="s">
        <v>43</v>
      </c>
      <c r="E29" s="2">
        <v>1</v>
      </c>
      <c r="F29" s="2" t="s">
        <v>22</v>
      </c>
      <c r="G29" s="10">
        <v>10000</v>
      </c>
      <c r="H29" s="4">
        <v>0</v>
      </c>
      <c r="I29" s="11">
        <f t="shared" si="0"/>
        <v>10000</v>
      </c>
      <c r="J29" s="12"/>
      <c r="K29" s="10">
        <f t="shared" si="3"/>
        <v>0</v>
      </c>
      <c r="L29" s="10">
        <v>0</v>
      </c>
      <c r="M29" s="10"/>
      <c r="N29" s="10">
        <f t="shared" si="1"/>
        <v>400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1">
        <f t="shared" si="2"/>
        <v>10400</v>
      </c>
    </row>
    <row r="30" spans="2:23" x14ac:dyDescent="0.2">
      <c r="B30" s="17" t="s">
        <v>44</v>
      </c>
      <c r="C30" s="2" t="s">
        <v>39</v>
      </c>
      <c r="D30" s="9" t="s">
        <v>45</v>
      </c>
      <c r="E30" s="2">
        <v>1</v>
      </c>
      <c r="F30" s="2" t="s">
        <v>22</v>
      </c>
      <c r="G30" s="10">
        <v>4500</v>
      </c>
      <c r="H30" s="4">
        <v>0</v>
      </c>
      <c r="I30" s="11">
        <f t="shared" si="0"/>
        <v>4500</v>
      </c>
      <c r="J30" s="12"/>
      <c r="K30" s="10">
        <f t="shared" si="3"/>
        <v>0</v>
      </c>
      <c r="L30" s="10">
        <v>0</v>
      </c>
      <c r="M30" s="10"/>
      <c r="N30" s="10">
        <f t="shared" si="1"/>
        <v>180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1">
        <f t="shared" si="2"/>
        <v>4680</v>
      </c>
    </row>
    <row r="31" spans="2:23" x14ac:dyDescent="0.2">
      <c r="B31" s="17" t="s">
        <v>46</v>
      </c>
      <c r="C31" s="2" t="s">
        <v>39</v>
      </c>
      <c r="D31" s="9" t="s">
        <v>47</v>
      </c>
      <c r="E31" s="2">
        <v>1</v>
      </c>
      <c r="F31" s="2" t="s">
        <v>22</v>
      </c>
      <c r="G31" s="10">
        <v>4500</v>
      </c>
      <c r="H31" s="4">
        <v>0</v>
      </c>
      <c r="I31" s="11">
        <f t="shared" si="0"/>
        <v>4500</v>
      </c>
      <c r="J31" s="12"/>
      <c r="K31" s="10">
        <f t="shared" si="3"/>
        <v>0</v>
      </c>
      <c r="L31" s="10">
        <v>0</v>
      </c>
      <c r="M31" s="10"/>
      <c r="N31" s="10">
        <f t="shared" si="1"/>
        <v>180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1">
        <f t="shared" si="2"/>
        <v>4680</v>
      </c>
    </row>
    <row r="32" spans="2:23" x14ac:dyDescent="0.2">
      <c r="B32" s="17" t="s">
        <v>48</v>
      </c>
      <c r="C32" s="2" t="s">
        <v>39</v>
      </c>
      <c r="D32" s="9" t="s">
        <v>49</v>
      </c>
      <c r="E32" s="2">
        <v>1</v>
      </c>
      <c r="F32" s="2" t="s">
        <v>22</v>
      </c>
      <c r="G32" s="10">
        <v>5000</v>
      </c>
      <c r="H32" s="4">
        <v>0</v>
      </c>
      <c r="I32" s="11">
        <f t="shared" si="0"/>
        <v>5000</v>
      </c>
      <c r="J32" s="12"/>
      <c r="K32" s="10">
        <f t="shared" si="3"/>
        <v>0</v>
      </c>
      <c r="L32" s="10">
        <v>0</v>
      </c>
      <c r="M32" s="10"/>
      <c r="N32" s="10">
        <f t="shared" si="1"/>
        <v>200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1">
        <f t="shared" si="2"/>
        <v>5200</v>
      </c>
    </row>
    <row r="33" spans="2:23" x14ac:dyDescent="0.2">
      <c r="B33" s="17" t="s">
        <v>50</v>
      </c>
      <c r="C33" s="2" t="s">
        <v>39</v>
      </c>
      <c r="D33" s="9" t="s">
        <v>51</v>
      </c>
      <c r="E33" s="4">
        <f>100%-$E$19</f>
        <v>0.7</v>
      </c>
      <c r="F33" s="2" t="s">
        <v>22</v>
      </c>
      <c r="G33" s="10">
        <v>400000</v>
      </c>
      <c r="H33" s="4">
        <v>0</v>
      </c>
      <c r="I33" s="11">
        <f t="shared" si="0"/>
        <v>280000</v>
      </c>
      <c r="J33" s="12"/>
      <c r="K33" s="10">
        <f t="shared" si="3"/>
        <v>0</v>
      </c>
      <c r="L33" s="10">
        <v>0</v>
      </c>
      <c r="M33" s="10"/>
      <c r="N33" s="10">
        <f t="shared" si="1"/>
        <v>11200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1">
        <f t="shared" si="2"/>
        <v>291200</v>
      </c>
    </row>
    <row r="34" spans="2:23" s="18" customFormat="1" x14ac:dyDescent="0.2">
      <c r="B34" s="19"/>
      <c r="C34" s="7" t="s">
        <v>52</v>
      </c>
      <c r="D34" s="8" t="s">
        <v>53</v>
      </c>
      <c r="E34" s="20"/>
      <c r="F34" s="7"/>
      <c r="G34" s="21">
        <f>SUM(G12:G33)</f>
        <v>2430971</v>
      </c>
      <c r="H34" s="20"/>
      <c r="I34" s="13">
        <f>SUM(I12:I33)</f>
        <v>8861768.6999999993</v>
      </c>
      <c r="J34" s="22"/>
      <c r="K34" s="21"/>
      <c r="L34" s="21"/>
      <c r="M34" s="21"/>
      <c r="N34" s="21">
        <f t="shared" si="1"/>
        <v>354470.74799999996</v>
      </c>
      <c r="O34" s="21"/>
      <c r="P34" s="21"/>
      <c r="Q34" s="21"/>
      <c r="R34" s="21"/>
      <c r="S34" s="21"/>
      <c r="T34" s="21"/>
      <c r="U34" s="13">
        <f>SUM(U12:U33)</f>
        <v>2075800.216</v>
      </c>
      <c r="W34" s="85"/>
    </row>
    <row r="35" spans="2:23" s="18" customFormat="1" x14ac:dyDescent="0.2">
      <c r="B35" s="19"/>
      <c r="C35" s="7"/>
      <c r="D35" s="8"/>
      <c r="E35" s="20"/>
      <c r="F35" s="7"/>
      <c r="G35" s="21"/>
      <c r="H35" s="20"/>
      <c r="I35" s="13"/>
      <c r="J35" s="22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13"/>
      <c r="W35" s="85"/>
    </row>
    <row r="36" spans="2:23" x14ac:dyDescent="0.2">
      <c r="B36" s="7">
        <v>3</v>
      </c>
      <c r="C36" s="7" t="s">
        <v>54</v>
      </c>
      <c r="D36" s="8" t="s">
        <v>55</v>
      </c>
      <c r="E36" s="7"/>
      <c r="F36" s="7"/>
      <c r="G36" s="10"/>
      <c r="H36" s="4"/>
      <c r="I36" s="11"/>
      <c r="J36" s="12"/>
      <c r="K36" s="14"/>
      <c r="L36" s="15"/>
      <c r="M36" s="14"/>
      <c r="N36" s="14"/>
      <c r="O36" s="14"/>
      <c r="P36" s="14"/>
      <c r="Q36" s="14"/>
      <c r="R36" s="14"/>
      <c r="S36" s="14"/>
      <c r="T36" s="14"/>
      <c r="U36" s="16"/>
    </row>
    <row r="37" spans="2:23" x14ac:dyDescent="0.2">
      <c r="B37" s="17" t="s">
        <v>56</v>
      </c>
      <c r="C37" s="2" t="s">
        <v>30</v>
      </c>
      <c r="D37" s="9" t="s">
        <v>32</v>
      </c>
      <c r="E37" s="2">
        <v>1</v>
      </c>
      <c r="F37" s="2" t="s">
        <v>22</v>
      </c>
      <c r="G37" s="10">
        <v>768000</v>
      </c>
      <c r="H37" s="4">
        <v>0</v>
      </c>
      <c r="I37" s="11">
        <f>(G37-H37*G37)*E37</f>
        <v>768000</v>
      </c>
      <c r="J37" s="12"/>
      <c r="K37" s="10">
        <v>4000</v>
      </c>
      <c r="L37" s="10">
        <v>0</v>
      </c>
      <c r="M37" s="10"/>
      <c r="N37" s="10">
        <f>I37*$N$1</f>
        <v>30720</v>
      </c>
      <c r="O37" s="10">
        <v>0</v>
      </c>
      <c r="P37" s="10">
        <v>5000</v>
      </c>
      <c r="Q37" s="10">
        <v>1000</v>
      </c>
      <c r="R37" s="10">
        <v>2000</v>
      </c>
      <c r="S37" s="10">
        <v>6750</v>
      </c>
      <c r="T37" s="10">
        <v>0</v>
      </c>
      <c r="U37" s="11">
        <f>I37+K37+L37+N37+SUM(O37:T37)</f>
        <v>817470</v>
      </c>
    </row>
    <row r="38" spans="2:23" s="18" customFormat="1" x14ac:dyDescent="0.2">
      <c r="B38" s="25"/>
      <c r="C38" s="7" t="s">
        <v>57</v>
      </c>
      <c r="D38" s="8" t="s">
        <v>58</v>
      </c>
      <c r="E38" s="7"/>
      <c r="F38" s="7"/>
      <c r="G38" s="21"/>
      <c r="H38" s="20"/>
      <c r="I38" s="13"/>
      <c r="J38" s="22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3">
        <f>SUM(U37)</f>
        <v>817470</v>
      </c>
      <c r="W38" s="85"/>
    </row>
    <row r="39" spans="2:23" s="18" customFormat="1" x14ac:dyDescent="0.2">
      <c r="B39" s="25"/>
      <c r="C39" s="7"/>
      <c r="D39" s="8"/>
      <c r="E39" s="7"/>
      <c r="F39" s="7"/>
      <c r="G39" s="21"/>
      <c r="H39" s="20"/>
      <c r="I39" s="13"/>
      <c r="J39" s="22"/>
      <c r="K39" s="23"/>
      <c r="L39" s="24"/>
      <c r="M39" s="23"/>
      <c r="N39" s="23"/>
      <c r="O39" s="23"/>
      <c r="P39" s="23"/>
      <c r="Q39" s="23"/>
      <c r="R39" s="23"/>
      <c r="S39" s="23"/>
      <c r="T39" s="23"/>
      <c r="U39" s="16"/>
      <c r="W39" s="85"/>
    </row>
    <row r="40" spans="2:23" x14ac:dyDescent="0.2">
      <c r="B40" s="7">
        <v>4</v>
      </c>
      <c r="C40" s="7" t="s">
        <v>59</v>
      </c>
      <c r="D40" s="8" t="s">
        <v>60</v>
      </c>
      <c r="E40" s="7"/>
      <c r="F40" s="7"/>
      <c r="G40" s="10"/>
      <c r="H40" s="4"/>
      <c r="I40" s="11"/>
      <c r="J40" s="12"/>
      <c r="K40" s="14"/>
      <c r="L40" s="15"/>
      <c r="M40" s="14"/>
      <c r="N40" s="14"/>
      <c r="O40" s="14"/>
      <c r="P40" s="14"/>
      <c r="Q40" s="14"/>
      <c r="R40" s="14"/>
      <c r="S40" s="14"/>
      <c r="T40" s="14"/>
      <c r="U40" s="16"/>
    </row>
    <row r="41" spans="2:23" x14ac:dyDescent="0.2">
      <c r="B41" s="17" t="s">
        <v>56</v>
      </c>
      <c r="C41" s="26" t="s">
        <v>59</v>
      </c>
      <c r="D41" s="9" t="s">
        <v>61</v>
      </c>
      <c r="E41" s="2">
        <v>1</v>
      </c>
      <c r="F41" s="2" t="s">
        <v>22</v>
      </c>
      <c r="G41" s="10">
        <v>4500</v>
      </c>
      <c r="H41" s="4">
        <v>0</v>
      </c>
      <c r="I41" s="11">
        <f t="shared" ref="I41:I50" si="4">(G41-H41*G41)*E41</f>
        <v>4500</v>
      </c>
      <c r="J41" s="12"/>
      <c r="K41" s="10">
        <f t="shared" ref="K41:K51" si="5">J41*G41</f>
        <v>0</v>
      </c>
      <c r="L41" s="10">
        <v>0</v>
      </c>
      <c r="M41" s="10"/>
      <c r="N41" s="10">
        <f t="shared" ref="N41:N46" si="6">I41*$N$1</f>
        <v>180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1">
        <f>I41+K41+L41+N41+SUM(O41:T41)</f>
        <v>4680</v>
      </c>
    </row>
    <row r="42" spans="2:23" x14ac:dyDescent="0.2">
      <c r="B42" s="27">
        <f t="shared" ref="B42:B49" si="7">B41+0.1</f>
        <v>3.2</v>
      </c>
      <c r="C42" s="26" t="s">
        <v>59</v>
      </c>
      <c r="D42" s="9" t="s">
        <v>62</v>
      </c>
      <c r="E42" s="2">
        <v>1</v>
      </c>
      <c r="F42" s="2" t="s">
        <v>22</v>
      </c>
      <c r="G42" s="10">
        <f>1.5*16*11.5*30*60</f>
        <v>496800</v>
      </c>
      <c r="H42" s="4">
        <v>0</v>
      </c>
      <c r="I42" s="11">
        <f t="shared" si="4"/>
        <v>496800</v>
      </c>
      <c r="J42" s="12"/>
      <c r="K42" s="10">
        <f t="shared" si="5"/>
        <v>0</v>
      </c>
      <c r="L42" s="10">
        <v>0</v>
      </c>
      <c r="M42" s="10"/>
      <c r="N42" s="10">
        <f t="shared" si="6"/>
        <v>19872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1">
        <f t="shared" si="2"/>
        <v>516672</v>
      </c>
    </row>
    <row r="43" spans="2:23" x14ac:dyDescent="0.2">
      <c r="B43" s="27">
        <f t="shared" si="7"/>
        <v>3.3000000000000003</v>
      </c>
      <c r="C43" s="26" t="s">
        <v>59</v>
      </c>
      <c r="D43" s="9" t="s">
        <v>63</v>
      </c>
      <c r="E43" s="4">
        <f>E17</f>
        <v>0.3</v>
      </c>
      <c r="F43" s="2" t="s">
        <v>22</v>
      </c>
      <c r="G43" s="10">
        <f>4*2.5*120*30*60</f>
        <v>2160000</v>
      </c>
      <c r="H43" s="4">
        <v>0</v>
      </c>
      <c r="I43" s="11">
        <f t="shared" si="4"/>
        <v>648000</v>
      </c>
      <c r="J43" s="12"/>
      <c r="K43" s="10">
        <f t="shared" si="5"/>
        <v>0</v>
      </c>
      <c r="L43" s="10">
        <v>0</v>
      </c>
      <c r="M43" s="10"/>
      <c r="N43" s="10">
        <f t="shared" si="6"/>
        <v>25920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1">
        <f t="shared" si="2"/>
        <v>673920</v>
      </c>
    </row>
    <row r="44" spans="2:23" x14ac:dyDescent="0.2">
      <c r="B44" s="27">
        <f t="shared" si="7"/>
        <v>3.4000000000000004</v>
      </c>
      <c r="C44" s="26" t="s">
        <v>59</v>
      </c>
      <c r="D44" s="9" t="s">
        <v>64</v>
      </c>
      <c r="E44" s="2">
        <v>1</v>
      </c>
      <c r="F44" s="2" t="s">
        <v>22</v>
      </c>
      <c r="G44" s="10">
        <v>2051.9999999999995</v>
      </c>
      <c r="H44" s="4">
        <v>0</v>
      </c>
      <c r="I44" s="11">
        <f t="shared" si="4"/>
        <v>2051.9999999999995</v>
      </c>
      <c r="J44" s="12"/>
      <c r="K44" s="10">
        <f t="shared" si="5"/>
        <v>0</v>
      </c>
      <c r="L44" s="10">
        <v>0</v>
      </c>
      <c r="M44" s="10"/>
      <c r="N44" s="10">
        <f t="shared" si="6"/>
        <v>82.079999999999984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1">
        <f t="shared" si="2"/>
        <v>2134.0799999999995</v>
      </c>
    </row>
    <row r="45" spans="2:23" x14ac:dyDescent="0.2">
      <c r="B45" s="27">
        <f t="shared" si="7"/>
        <v>3.5000000000000004</v>
      </c>
      <c r="C45" s="26" t="s">
        <v>59</v>
      </c>
      <c r="D45" s="9" t="s">
        <v>65</v>
      </c>
      <c r="E45" s="2">
        <v>1</v>
      </c>
      <c r="F45" s="2" t="s">
        <v>22</v>
      </c>
      <c r="G45" s="10">
        <v>15120</v>
      </c>
      <c r="H45" s="4">
        <v>0</v>
      </c>
      <c r="I45" s="11">
        <f t="shared" si="4"/>
        <v>15120</v>
      </c>
      <c r="J45" s="12"/>
      <c r="K45" s="10">
        <f t="shared" si="5"/>
        <v>0</v>
      </c>
      <c r="L45" s="10">
        <v>0</v>
      </c>
      <c r="M45" s="10"/>
      <c r="N45" s="10">
        <f t="shared" si="6"/>
        <v>604.80000000000007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1">
        <f t="shared" si="2"/>
        <v>15724.8</v>
      </c>
    </row>
    <row r="46" spans="2:23" x14ac:dyDescent="0.2">
      <c r="B46" s="27">
        <f t="shared" si="7"/>
        <v>3.6000000000000005</v>
      </c>
      <c r="C46" s="26" t="s">
        <v>59</v>
      </c>
      <c r="D46" s="9" t="s">
        <v>66</v>
      </c>
      <c r="E46" s="2">
        <v>1</v>
      </c>
      <c r="F46" s="2" t="s">
        <v>22</v>
      </c>
      <c r="G46" s="10">
        <v>14400</v>
      </c>
      <c r="H46" s="4">
        <v>0</v>
      </c>
      <c r="I46" s="11">
        <f t="shared" si="4"/>
        <v>14400</v>
      </c>
      <c r="J46" s="12"/>
      <c r="K46" s="10">
        <f t="shared" si="5"/>
        <v>0</v>
      </c>
      <c r="L46" s="10">
        <v>0</v>
      </c>
      <c r="M46" s="10"/>
      <c r="N46" s="10">
        <f t="shared" si="6"/>
        <v>576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1">
        <f t="shared" si="2"/>
        <v>14976</v>
      </c>
    </row>
    <row r="47" spans="2:23" x14ac:dyDescent="0.2">
      <c r="B47" s="27">
        <f t="shared" si="7"/>
        <v>3.7000000000000006</v>
      </c>
      <c r="C47" s="26" t="s">
        <v>59</v>
      </c>
      <c r="D47" s="9" t="s">
        <v>67</v>
      </c>
      <c r="E47" s="4">
        <f>E17</f>
        <v>0.3</v>
      </c>
      <c r="F47" s="2" t="s">
        <v>22</v>
      </c>
      <c r="G47" s="10">
        <v>57600</v>
      </c>
      <c r="H47" s="4">
        <v>0</v>
      </c>
      <c r="I47" s="11">
        <f t="shared" si="4"/>
        <v>17280</v>
      </c>
      <c r="J47" s="12"/>
      <c r="K47" s="10">
        <f t="shared" si="5"/>
        <v>0</v>
      </c>
      <c r="L47" s="10">
        <v>0</v>
      </c>
      <c r="M47" s="10"/>
      <c r="N47" s="10">
        <f t="shared" si="1"/>
        <v>691.2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1">
        <f t="shared" si="2"/>
        <v>17971.2</v>
      </c>
    </row>
    <row r="48" spans="2:23" x14ac:dyDescent="0.2">
      <c r="B48" s="27">
        <f t="shared" si="7"/>
        <v>3.8000000000000007</v>
      </c>
      <c r="C48" s="26" t="s">
        <v>59</v>
      </c>
      <c r="D48" s="9" t="s">
        <v>68</v>
      </c>
      <c r="E48" s="2">
        <v>1</v>
      </c>
      <c r="F48" s="2" t="s">
        <v>22</v>
      </c>
      <c r="G48" s="10">
        <v>7200</v>
      </c>
      <c r="H48" s="4">
        <v>0</v>
      </c>
      <c r="I48" s="11">
        <f t="shared" si="4"/>
        <v>7200</v>
      </c>
      <c r="J48" s="12"/>
      <c r="K48" s="10">
        <f t="shared" si="5"/>
        <v>0</v>
      </c>
      <c r="L48" s="10">
        <v>0</v>
      </c>
      <c r="M48" s="10"/>
      <c r="N48" s="10">
        <f t="shared" si="1"/>
        <v>288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1">
        <f t="shared" si="2"/>
        <v>7488</v>
      </c>
    </row>
    <row r="49" spans="2:21" x14ac:dyDescent="0.2">
      <c r="B49" s="27">
        <f t="shared" si="7"/>
        <v>3.9000000000000008</v>
      </c>
      <c r="C49" s="26" t="s">
        <v>59</v>
      </c>
      <c r="D49" s="9" t="s">
        <v>69</v>
      </c>
      <c r="E49" s="2">
        <v>1</v>
      </c>
      <c r="F49" s="2" t="s">
        <v>22</v>
      </c>
      <c r="G49" s="10">
        <v>14400</v>
      </c>
      <c r="H49" s="4">
        <v>0</v>
      </c>
      <c r="I49" s="11">
        <f t="shared" si="4"/>
        <v>14400</v>
      </c>
      <c r="J49" s="12"/>
      <c r="K49" s="10">
        <f t="shared" si="5"/>
        <v>0</v>
      </c>
      <c r="L49" s="10">
        <v>0</v>
      </c>
      <c r="M49" s="10"/>
      <c r="N49" s="10">
        <f t="shared" si="1"/>
        <v>576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1">
        <f t="shared" si="2"/>
        <v>14976</v>
      </c>
    </row>
    <row r="50" spans="2:21" x14ac:dyDescent="0.2">
      <c r="B50" s="17" t="s">
        <v>70</v>
      </c>
      <c r="C50" s="26" t="s">
        <v>59</v>
      </c>
      <c r="D50" s="9" t="s">
        <v>71</v>
      </c>
      <c r="E50" s="4">
        <f>E17</f>
        <v>0.3</v>
      </c>
      <c r="F50" s="2" t="s">
        <v>22</v>
      </c>
      <c r="G50" s="10">
        <v>59400</v>
      </c>
      <c r="H50" s="4">
        <v>0</v>
      </c>
      <c r="I50" s="11">
        <f t="shared" si="4"/>
        <v>17820</v>
      </c>
      <c r="J50" s="12"/>
      <c r="K50" s="10">
        <f t="shared" si="5"/>
        <v>0</v>
      </c>
      <c r="L50" s="10">
        <v>0</v>
      </c>
      <c r="M50" s="10"/>
      <c r="N50" s="10">
        <f t="shared" si="1"/>
        <v>712.80000000000007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1">
        <f t="shared" si="2"/>
        <v>18532.8</v>
      </c>
    </row>
    <row r="51" spans="2:21" x14ac:dyDescent="0.2">
      <c r="B51" s="17" t="s">
        <v>72</v>
      </c>
      <c r="C51" s="26" t="s">
        <v>59</v>
      </c>
      <c r="D51" s="9" t="s">
        <v>73</v>
      </c>
      <c r="E51" s="2">
        <v>1</v>
      </c>
      <c r="F51" s="2" t="s">
        <v>74</v>
      </c>
      <c r="G51" s="10">
        <v>150000</v>
      </c>
      <c r="H51" s="4">
        <v>0</v>
      </c>
      <c r="I51" s="11">
        <f>G51-H51*G51</f>
        <v>150000</v>
      </c>
      <c r="J51" s="12"/>
      <c r="K51" s="10">
        <f t="shared" si="5"/>
        <v>0</v>
      </c>
      <c r="L51" s="10">
        <v>0</v>
      </c>
      <c r="M51" s="10"/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1">
        <f>I51+K51+L51+N51+SUM(O51:T51)</f>
        <v>150000</v>
      </c>
    </row>
    <row r="52" spans="2:21" x14ac:dyDescent="0.2">
      <c r="B52" s="26"/>
      <c r="C52" s="7" t="s">
        <v>57</v>
      </c>
      <c r="D52" s="8" t="s">
        <v>75</v>
      </c>
      <c r="E52" s="2"/>
      <c r="F52" s="2"/>
      <c r="G52" s="14"/>
      <c r="H52" s="4"/>
      <c r="I52" s="28"/>
      <c r="J52" s="12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3">
        <f>SUM(U41:U51)</f>
        <v>1437074.8800000001</v>
      </c>
    </row>
    <row r="53" spans="2:21" x14ac:dyDescent="0.2">
      <c r="K53" s="30"/>
    </row>
    <row r="54" spans="2:21" x14ac:dyDescent="0.2">
      <c r="B54" s="31"/>
      <c r="C54" s="31"/>
      <c r="D54" s="32" t="s">
        <v>76</v>
      </c>
      <c r="E54" s="31"/>
      <c r="F54" s="31"/>
      <c r="G54" s="33"/>
      <c r="H54" s="31"/>
      <c r="I54" s="33"/>
      <c r="J54" s="33"/>
      <c r="K54" s="34"/>
      <c r="L54" s="33"/>
      <c r="M54" s="33"/>
      <c r="N54" s="33"/>
      <c r="O54" s="33"/>
      <c r="P54" s="33"/>
      <c r="Q54" s="33"/>
      <c r="R54" s="33"/>
      <c r="S54" s="33"/>
      <c r="T54" s="33"/>
      <c r="U54" s="35">
        <f>U34+U52+U38</f>
        <v>4330345.0959999999</v>
      </c>
    </row>
    <row r="55" spans="2:21" x14ac:dyDescent="0.2">
      <c r="K55" s="30"/>
      <c r="U55" s="36">
        <f>U54-U51</f>
        <v>4180345.0959999999</v>
      </c>
    </row>
    <row r="56" spans="2:21" x14ac:dyDescent="0.2">
      <c r="K56" s="30"/>
      <c r="U56" s="36">
        <v>4180345</v>
      </c>
    </row>
    <row r="57" spans="2:21" x14ac:dyDescent="0.2">
      <c r="U57" s="37">
        <f>U55-U56</f>
        <v>9.5999999903142452E-2</v>
      </c>
    </row>
  </sheetData>
  <mergeCells count="2">
    <mergeCell ref="C10:W10"/>
    <mergeCell ref="C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E78C-42B3-41F0-8743-7496AB34BDB6}">
  <dimension ref="B2:X52"/>
  <sheetViews>
    <sheetView zoomScaleNormal="100" workbookViewId="0">
      <selection activeCell="I9" sqref="I9"/>
    </sheetView>
  </sheetViews>
  <sheetFormatPr defaultColWidth="8.7109375" defaultRowHeight="12.75" x14ac:dyDescent="0.25"/>
  <cols>
    <col min="1" max="1" width="5.5703125" style="3" bestFit="1" customWidth="1"/>
    <col min="2" max="2" width="10.5703125" style="9" bestFit="1" customWidth="1"/>
    <col min="3" max="3" width="23.140625" style="42" bestFit="1" customWidth="1"/>
    <col min="4" max="4" width="66.85546875" style="9" customWidth="1"/>
    <col min="5" max="6" width="7" style="2" hidden="1" customWidth="1"/>
    <col min="7" max="7" width="11.140625" style="2" customWidth="1"/>
    <col min="8" max="8" width="10" style="2" customWidth="1"/>
    <col min="9" max="9" width="11" style="2" customWidth="1"/>
    <col min="10" max="10" width="10" style="2" customWidth="1"/>
    <col min="11" max="11" width="14" style="2" customWidth="1"/>
    <col min="12" max="12" width="12.42578125" style="2" customWidth="1"/>
    <col min="13" max="13" width="10.28515625" style="2" customWidth="1"/>
    <col min="14" max="15" width="14" style="2" customWidth="1"/>
    <col min="16" max="16" width="16.7109375" style="2" customWidth="1"/>
    <col min="17" max="17" width="4.42578125" style="2" customWidth="1"/>
    <col min="18" max="18" width="4.85546875" style="3" customWidth="1"/>
    <col min="19" max="19" width="8.7109375" style="3" customWidth="1"/>
    <col min="20" max="20" width="11.42578125" style="3" customWidth="1"/>
    <col min="21" max="22" width="8.7109375" style="3" customWidth="1"/>
    <col min="23" max="259" width="8.7109375" style="3"/>
    <col min="260" max="260" width="5.5703125" style="3" bestFit="1" customWidth="1"/>
    <col min="261" max="261" width="10.5703125" style="3" bestFit="1" customWidth="1"/>
    <col min="262" max="262" width="24.5703125" style="3" bestFit="1" customWidth="1"/>
    <col min="263" max="263" width="73" style="3" bestFit="1" customWidth="1"/>
    <col min="264" max="265" width="7" style="3" bestFit="1" customWidth="1"/>
    <col min="266" max="266" width="9.42578125" style="3" bestFit="1" customWidth="1"/>
    <col min="267" max="268" width="7.85546875" style="3" bestFit="1" customWidth="1"/>
    <col min="269" max="269" width="10.85546875" style="3" bestFit="1" customWidth="1"/>
    <col min="270" max="270" width="9.28515625" style="3" bestFit="1" customWidth="1"/>
    <col min="271" max="271" width="7.85546875" style="3" bestFit="1" customWidth="1"/>
    <col min="272" max="272" width="17.85546875" style="3" bestFit="1" customWidth="1"/>
    <col min="273" max="273" width="4.42578125" style="3" bestFit="1" customWidth="1"/>
    <col min="274" max="274" width="4.85546875" style="3" bestFit="1" customWidth="1"/>
    <col min="275" max="275" width="8.7109375" style="3"/>
    <col min="276" max="276" width="11.42578125" style="3" bestFit="1" customWidth="1"/>
    <col min="277" max="515" width="8.7109375" style="3"/>
    <col min="516" max="516" width="5.5703125" style="3" bestFit="1" customWidth="1"/>
    <col min="517" max="517" width="10.5703125" style="3" bestFit="1" customWidth="1"/>
    <col min="518" max="518" width="24.5703125" style="3" bestFit="1" customWidth="1"/>
    <col min="519" max="519" width="73" style="3" bestFit="1" customWidth="1"/>
    <col min="520" max="521" width="7" style="3" bestFit="1" customWidth="1"/>
    <col min="522" max="522" width="9.42578125" style="3" bestFit="1" customWidth="1"/>
    <col min="523" max="524" width="7.85546875" style="3" bestFit="1" customWidth="1"/>
    <col min="525" max="525" width="10.85546875" style="3" bestFit="1" customWidth="1"/>
    <col min="526" max="526" width="9.28515625" style="3" bestFit="1" customWidth="1"/>
    <col min="527" max="527" width="7.85546875" style="3" bestFit="1" customWidth="1"/>
    <col min="528" max="528" width="17.85546875" style="3" bestFit="1" customWidth="1"/>
    <col min="529" max="529" width="4.42578125" style="3" bestFit="1" customWidth="1"/>
    <col min="530" max="530" width="4.85546875" style="3" bestFit="1" customWidth="1"/>
    <col min="531" max="531" width="8.7109375" style="3"/>
    <col min="532" max="532" width="11.42578125" style="3" bestFit="1" customWidth="1"/>
    <col min="533" max="771" width="8.7109375" style="3"/>
    <col min="772" max="772" width="5.5703125" style="3" bestFit="1" customWidth="1"/>
    <col min="773" max="773" width="10.5703125" style="3" bestFit="1" customWidth="1"/>
    <col min="774" max="774" width="24.5703125" style="3" bestFit="1" customWidth="1"/>
    <col min="775" max="775" width="73" style="3" bestFit="1" customWidth="1"/>
    <col min="776" max="777" width="7" style="3" bestFit="1" customWidth="1"/>
    <col min="778" max="778" width="9.42578125" style="3" bestFit="1" customWidth="1"/>
    <col min="779" max="780" width="7.85546875" style="3" bestFit="1" customWidth="1"/>
    <col min="781" max="781" width="10.85546875" style="3" bestFit="1" customWidth="1"/>
    <col min="782" max="782" width="9.28515625" style="3" bestFit="1" customWidth="1"/>
    <col min="783" max="783" width="7.85546875" style="3" bestFit="1" customWidth="1"/>
    <col min="784" max="784" width="17.85546875" style="3" bestFit="1" customWidth="1"/>
    <col min="785" max="785" width="4.42578125" style="3" bestFit="1" customWidth="1"/>
    <col min="786" max="786" width="4.85546875" style="3" bestFit="1" customWidth="1"/>
    <col min="787" max="787" width="8.7109375" style="3"/>
    <col min="788" max="788" width="11.42578125" style="3" bestFit="1" customWidth="1"/>
    <col min="789" max="1027" width="8.7109375" style="3"/>
    <col min="1028" max="1028" width="5.5703125" style="3" bestFit="1" customWidth="1"/>
    <col min="1029" max="1029" width="10.5703125" style="3" bestFit="1" customWidth="1"/>
    <col min="1030" max="1030" width="24.5703125" style="3" bestFit="1" customWidth="1"/>
    <col min="1031" max="1031" width="73" style="3" bestFit="1" customWidth="1"/>
    <col min="1032" max="1033" width="7" style="3" bestFit="1" customWidth="1"/>
    <col min="1034" max="1034" width="9.42578125" style="3" bestFit="1" customWidth="1"/>
    <col min="1035" max="1036" width="7.85546875" style="3" bestFit="1" customWidth="1"/>
    <col min="1037" max="1037" width="10.85546875" style="3" bestFit="1" customWidth="1"/>
    <col min="1038" max="1038" width="9.28515625" style="3" bestFit="1" customWidth="1"/>
    <col min="1039" max="1039" width="7.85546875" style="3" bestFit="1" customWidth="1"/>
    <col min="1040" max="1040" width="17.85546875" style="3" bestFit="1" customWidth="1"/>
    <col min="1041" max="1041" width="4.42578125" style="3" bestFit="1" customWidth="1"/>
    <col min="1042" max="1042" width="4.85546875" style="3" bestFit="1" customWidth="1"/>
    <col min="1043" max="1043" width="8.7109375" style="3"/>
    <col min="1044" max="1044" width="11.42578125" style="3" bestFit="1" customWidth="1"/>
    <col min="1045" max="1283" width="8.7109375" style="3"/>
    <col min="1284" max="1284" width="5.5703125" style="3" bestFit="1" customWidth="1"/>
    <col min="1285" max="1285" width="10.5703125" style="3" bestFit="1" customWidth="1"/>
    <col min="1286" max="1286" width="24.5703125" style="3" bestFit="1" customWidth="1"/>
    <col min="1287" max="1287" width="73" style="3" bestFit="1" customWidth="1"/>
    <col min="1288" max="1289" width="7" style="3" bestFit="1" customWidth="1"/>
    <col min="1290" max="1290" width="9.42578125" style="3" bestFit="1" customWidth="1"/>
    <col min="1291" max="1292" width="7.85546875" style="3" bestFit="1" customWidth="1"/>
    <col min="1293" max="1293" width="10.85546875" style="3" bestFit="1" customWidth="1"/>
    <col min="1294" max="1294" width="9.28515625" style="3" bestFit="1" customWidth="1"/>
    <col min="1295" max="1295" width="7.85546875" style="3" bestFit="1" customWidth="1"/>
    <col min="1296" max="1296" width="17.85546875" style="3" bestFit="1" customWidth="1"/>
    <col min="1297" max="1297" width="4.42578125" style="3" bestFit="1" customWidth="1"/>
    <col min="1298" max="1298" width="4.85546875" style="3" bestFit="1" customWidth="1"/>
    <col min="1299" max="1299" width="8.7109375" style="3"/>
    <col min="1300" max="1300" width="11.42578125" style="3" bestFit="1" customWidth="1"/>
    <col min="1301" max="1539" width="8.7109375" style="3"/>
    <col min="1540" max="1540" width="5.5703125" style="3" bestFit="1" customWidth="1"/>
    <col min="1541" max="1541" width="10.5703125" style="3" bestFit="1" customWidth="1"/>
    <col min="1542" max="1542" width="24.5703125" style="3" bestFit="1" customWidth="1"/>
    <col min="1543" max="1543" width="73" style="3" bestFit="1" customWidth="1"/>
    <col min="1544" max="1545" width="7" style="3" bestFit="1" customWidth="1"/>
    <col min="1546" max="1546" width="9.42578125" style="3" bestFit="1" customWidth="1"/>
    <col min="1547" max="1548" width="7.85546875" style="3" bestFit="1" customWidth="1"/>
    <col min="1549" max="1549" width="10.85546875" style="3" bestFit="1" customWidth="1"/>
    <col min="1550" max="1550" width="9.28515625" style="3" bestFit="1" customWidth="1"/>
    <col min="1551" max="1551" width="7.85546875" style="3" bestFit="1" customWidth="1"/>
    <col min="1552" max="1552" width="17.85546875" style="3" bestFit="1" customWidth="1"/>
    <col min="1553" max="1553" width="4.42578125" style="3" bestFit="1" customWidth="1"/>
    <col min="1554" max="1554" width="4.85546875" style="3" bestFit="1" customWidth="1"/>
    <col min="1555" max="1555" width="8.7109375" style="3"/>
    <col min="1556" max="1556" width="11.42578125" style="3" bestFit="1" customWidth="1"/>
    <col min="1557" max="1795" width="8.7109375" style="3"/>
    <col min="1796" max="1796" width="5.5703125" style="3" bestFit="1" customWidth="1"/>
    <col min="1797" max="1797" width="10.5703125" style="3" bestFit="1" customWidth="1"/>
    <col min="1798" max="1798" width="24.5703125" style="3" bestFit="1" customWidth="1"/>
    <col min="1799" max="1799" width="73" style="3" bestFit="1" customWidth="1"/>
    <col min="1800" max="1801" width="7" style="3" bestFit="1" customWidth="1"/>
    <col min="1802" max="1802" width="9.42578125" style="3" bestFit="1" customWidth="1"/>
    <col min="1803" max="1804" width="7.85546875" style="3" bestFit="1" customWidth="1"/>
    <col min="1805" max="1805" width="10.85546875" style="3" bestFit="1" customWidth="1"/>
    <col min="1806" max="1806" width="9.28515625" style="3" bestFit="1" customWidth="1"/>
    <col min="1807" max="1807" width="7.85546875" style="3" bestFit="1" customWidth="1"/>
    <col min="1808" max="1808" width="17.85546875" style="3" bestFit="1" customWidth="1"/>
    <col min="1809" max="1809" width="4.42578125" style="3" bestFit="1" customWidth="1"/>
    <col min="1810" max="1810" width="4.85546875" style="3" bestFit="1" customWidth="1"/>
    <col min="1811" max="1811" width="8.7109375" style="3"/>
    <col min="1812" max="1812" width="11.42578125" style="3" bestFit="1" customWidth="1"/>
    <col min="1813" max="2051" width="8.7109375" style="3"/>
    <col min="2052" max="2052" width="5.5703125" style="3" bestFit="1" customWidth="1"/>
    <col min="2053" max="2053" width="10.5703125" style="3" bestFit="1" customWidth="1"/>
    <col min="2054" max="2054" width="24.5703125" style="3" bestFit="1" customWidth="1"/>
    <col min="2055" max="2055" width="73" style="3" bestFit="1" customWidth="1"/>
    <col min="2056" max="2057" width="7" style="3" bestFit="1" customWidth="1"/>
    <col min="2058" max="2058" width="9.42578125" style="3" bestFit="1" customWidth="1"/>
    <col min="2059" max="2060" width="7.85546875" style="3" bestFit="1" customWidth="1"/>
    <col min="2061" max="2061" width="10.85546875" style="3" bestFit="1" customWidth="1"/>
    <col min="2062" max="2062" width="9.28515625" style="3" bestFit="1" customWidth="1"/>
    <col min="2063" max="2063" width="7.85546875" style="3" bestFit="1" customWidth="1"/>
    <col min="2064" max="2064" width="17.85546875" style="3" bestFit="1" customWidth="1"/>
    <col min="2065" max="2065" width="4.42578125" style="3" bestFit="1" customWidth="1"/>
    <col min="2066" max="2066" width="4.85546875" style="3" bestFit="1" customWidth="1"/>
    <col min="2067" max="2067" width="8.7109375" style="3"/>
    <col min="2068" max="2068" width="11.42578125" style="3" bestFit="1" customWidth="1"/>
    <col min="2069" max="2307" width="8.7109375" style="3"/>
    <col min="2308" max="2308" width="5.5703125" style="3" bestFit="1" customWidth="1"/>
    <col min="2309" max="2309" width="10.5703125" style="3" bestFit="1" customWidth="1"/>
    <col min="2310" max="2310" width="24.5703125" style="3" bestFit="1" customWidth="1"/>
    <col min="2311" max="2311" width="73" style="3" bestFit="1" customWidth="1"/>
    <col min="2312" max="2313" width="7" style="3" bestFit="1" customWidth="1"/>
    <col min="2314" max="2314" width="9.42578125" style="3" bestFit="1" customWidth="1"/>
    <col min="2315" max="2316" width="7.85546875" style="3" bestFit="1" customWidth="1"/>
    <col min="2317" max="2317" width="10.85546875" style="3" bestFit="1" customWidth="1"/>
    <col min="2318" max="2318" width="9.28515625" style="3" bestFit="1" customWidth="1"/>
    <col min="2319" max="2319" width="7.85546875" style="3" bestFit="1" customWidth="1"/>
    <col min="2320" max="2320" width="17.85546875" style="3" bestFit="1" customWidth="1"/>
    <col min="2321" max="2321" width="4.42578125" style="3" bestFit="1" customWidth="1"/>
    <col min="2322" max="2322" width="4.85546875" style="3" bestFit="1" customWidth="1"/>
    <col min="2323" max="2323" width="8.7109375" style="3"/>
    <col min="2324" max="2324" width="11.42578125" style="3" bestFit="1" customWidth="1"/>
    <col min="2325" max="2563" width="8.7109375" style="3"/>
    <col min="2564" max="2564" width="5.5703125" style="3" bestFit="1" customWidth="1"/>
    <col min="2565" max="2565" width="10.5703125" style="3" bestFit="1" customWidth="1"/>
    <col min="2566" max="2566" width="24.5703125" style="3" bestFit="1" customWidth="1"/>
    <col min="2567" max="2567" width="73" style="3" bestFit="1" customWidth="1"/>
    <col min="2568" max="2569" width="7" style="3" bestFit="1" customWidth="1"/>
    <col min="2570" max="2570" width="9.42578125" style="3" bestFit="1" customWidth="1"/>
    <col min="2571" max="2572" width="7.85546875" style="3" bestFit="1" customWidth="1"/>
    <col min="2573" max="2573" width="10.85546875" style="3" bestFit="1" customWidth="1"/>
    <col min="2574" max="2574" width="9.28515625" style="3" bestFit="1" customWidth="1"/>
    <col min="2575" max="2575" width="7.85546875" style="3" bestFit="1" customWidth="1"/>
    <col min="2576" max="2576" width="17.85546875" style="3" bestFit="1" customWidth="1"/>
    <col min="2577" max="2577" width="4.42578125" style="3" bestFit="1" customWidth="1"/>
    <col min="2578" max="2578" width="4.85546875" style="3" bestFit="1" customWidth="1"/>
    <col min="2579" max="2579" width="8.7109375" style="3"/>
    <col min="2580" max="2580" width="11.42578125" style="3" bestFit="1" customWidth="1"/>
    <col min="2581" max="2819" width="8.7109375" style="3"/>
    <col min="2820" max="2820" width="5.5703125" style="3" bestFit="1" customWidth="1"/>
    <col min="2821" max="2821" width="10.5703125" style="3" bestFit="1" customWidth="1"/>
    <col min="2822" max="2822" width="24.5703125" style="3" bestFit="1" customWidth="1"/>
    <col min="2823" max="2823" width="73" style="3" bestFit="1" customWidth="1"/>
    <col min="2824" max="2825" width="7" style="3" bestFit="1" customWidth="1"/>
    <col min="2826" max="2826" width="9.42578125" style="3" bestFit="1" customWidth="1"/>
    <col min="2827" max="2828" width="7.85546875" style="3" bestFit="1" customWidth="1"/>
    <col min="2829" max="2829" width="10.85546875" style="3" bestFit="1" customWidth="1"/>
    <col min="2830" max="2830" width="9.28515625" style="3" bestFit="1" customWidth="1"/>
    <col min="2831" max="2831" width="7.85546875" style="3" bestFit="1" customWidth="1"/>
    <col min="2832" max="2832" width="17.85546875" style="3" bestFit="1" customWidth="1"/>
    <col min="2833" max="2833" width="4.42578125" style="3" bestFit="1" customWidth="1"/>
    <col min="2834" max="2834" width="4.85546875" style="3" bestFit="1" customWidth="1"/>
    <col min="2835" max="2835" width="8.7109375" style="3"/>
    <col min="2836" max="2836" width="11.42578125" style="3" bestFit="1" customWidth="1"/>
    <col min="2837" max="3075" width="8.7109375" style="3"/>
    <col min="3076" max="3076" width="5.5703125" style="3" bestFit="1" customWidth="1"/>
    <col min="3077" max="3077" width="10.5703125" style="3" bestFit="1" customWidth="1"/>
    <col min="3078" max="3078" width="24.5703125" style="3" bestFit="1" customWidth="1"/>
    <col min="3079" max="3079" width="73" style="3" bestFit="1" customWidth="1"/>
    <col min="3080" max="3081" width="7" style="3" bestFit="1" customWidth="1"/>
    <col min="3082" max="3082" width="9.42578125" style="3" bestFit="1" customWidth="1"/>
    <col min="3083" max="3084" width="7.85546875" style="3" bestFit="1" customWidth="1"/>
    <col min="3085" max="3085" width="10.85546875" style="3" bestFit="1" customWidth="1"/>
    <col min="3086" max="3086" width="9.28515625" style="3" bestFit="1" customWidth="1"/>
    <col min="3087" max="3087" width="7.85546875" style="3" bestFit="1" customWidth="1"/>
    <col min="3088" max="3088" width="17.85546875" style="3" bestFit="1" customWidth="1"/>
    <col min="3089" max="3089" width="4.42578125" style="3" bestFit="1" customWidth="1"/>
    <col min="3090" max="3090" width="4.85546875" style="3" bestFit="1" customWidth="1"/>
    <col min="3091" max="3091" width="8.7109375" style="3"/>
    <col min="3092" max="3092" width="11.42578125" style="3" bestFit="1" customWidth="1"/>
    <col min="3093" max="3331" width="8.7109375" style="3"/>
    <col min="3332" max="3332" width="5.5703125" style="3" bestFit="1" customWidth="1"/>
    <col min="3333" max="3333" width="10.5703125" style="3" bestFit="1" customWidth="1"/>
    <col min="3334" max="3334" width="24.5703125" style="3" bestFit="1" customWidth="1"/>
    <col min="3335" max="3335" width="73" style="3" bestFit="1" customWidth="1"/>
    <col min="3336" max="3337" width="7" style="3" bestFit="1" customWidth="1"/>
    <col min="3338" max="3338" width="9.42578125" style="3" bestFit="1" customWidth="1"/>
    <col min="3339" max="3340" width="7.85546875" style="3" bestFit="1" customWidth="1"/>
    <col min="3341" max="3341" width="10.85546875" style="3" bestFit="1" customWidth="1"/>
    <col min="3342" max="3342" width="9.28515625" style="3" bestFit="1" customWidth="1"/>
    <col min="3343" max="3343" width="7.85546875" style="3" bestFit="1" customWidth="1"/>
    <col min="3344" max="3344" width="17.85546875" style="3" bestFit="1" customWidth="1"/>
    <col min="3345" max="3345" width="4.42578125" style="3" bestFit="1" customWidth="1"/>
    <col min="3346" max="3346" width="4.85546875" style="3" bestFit="1" customWidth="1"/>
    <col min="3347" max="3347" width="8.7109375" style="3"/>
    <col min="3348" max="3348" width="11.42578125" style="3" bestFit="1" customWidth="1"/>
    <col min="3349" max="3587" width="8.7109375" style="3"/>
    <col min="3588" max="3588" width="5.5703125" style="3" bestFit="1" customWidth="1"/>
    <col min="3589" max="3589" width="10.5703125" style="3" bestFit="1" customWidth="1"/>
    <col min="3590" max="3590" width="24.5703125" style="3" bestFit="1" customWidth="1"/>
    <col min="3591" max="3591" width="73" style="3" bestFit="1" customWidth="1"/>
    <col min="3592" max="3593" width="7" style="3" bestFit="1" customWidth="1"/>
    <col min="3594" max="3594" width="9.42578125" style="3" bestFit="1" customWidth="1"/>
    <col min="3595" max="3596" width="7.85546875" style="3" bestFit="1" customWidth="1"/>
    <col min="3597" max="3597" width="10.85546875" style="3" bestFit="1" customWidth="1"/>
    <col min="3598" max="3598" width="9.28515625" style="3" bestFit="1" customWidth="1"/>
    <col min="3599" max="3599" width="7.85546875" style="3" bestFit="1" customWidth="1"/>
    <col min="3600" max="3600" width="17.85546875" style="3" bestFit="1" customWidth="1"/>
    <col min="3601" max="3601" width="4.42578125" style="3" bestFit="1" customWidth="1"/>
    <col min="3602" max="3602" width="4.85546875" style="3" bestFit="1" customWidth="1"/>
    <col min="3603" max="3603" width="8.7109375" style="3"/>
    <col min="3604" max="3604" width="11.42578125" style="3" bestFit="1" customWidth="1"/>
    <col min="3605" max="3843" width="8.7109375" style="3"/>
    <col min="3844" max="3844" width="5.5703125" style="3" bestFit="1" customWidth="1"/>
    <col min="3845" max="3845" width="10.5703125" style="3" bestFit="1" customWidth="1"/>
    <col min="3846" max="3846" width="24.5703125" style="3" bestFit="1" customWidth="1"/>
    <col min="3847" max="3847" width="73" style="3" bestFit="1" customWidth="1"/>
    <col min="3848" max="3849" width="7" style="3" bestFit="1" customWidth="1"/>
    <col min="3850" max="3850" width="9.42578125" style="3" bestFit="1" customWidth="1"/>
    <col min="3851" max="3852" width="7.85546875" style="3" bestFit="1" customWidth="1"/>
    <col min="3853" max="3853" width="10.85546875" style="3" bestFit="1" customWidth="1"/>
    <col min="3854" max="3854" width="9.28515625" style="3" bestFit="1" customWidth="1"/>
    <col min="3855" max="3855" width="7.85546875" style="3" bestFit="1" customWidth="1"/>
    <col min="3856" max="3856" width="17.85546875" style="3" bestFit="1" customWidth="1"/>
    <col min="3857" max="3857" width="4.42578125" style="3" bestFit="1" customWidth="1"/>
    <col min="3858" max="3858" width="4.85546875" style="3" bestFit="1" customWidth="1"/>
    <col min="3859" max="3859" width="8.7109375" style="3"/>
    <col min="3860" max="3860" width="11.42578125" style="3" bestFit="1" customWidth="1"/>
    <col min="3861" max="4099" width="8.7109375" style="3"/>
    <col min="4100" max="4100" width="5.5703125" style="3" bestFit="1" customWidth="1"/>
    <col min="4101" max="4101" width="10.5703125" style="3" bestFit="1" customWidth="1"/>
    <col min="4102" max="4102" width="24.5703125" style="3" bestFit="1" customWidth="1"/>
    <col min="4103" max="4103" width="73" style="3" bestFit="1" customWidth="1"/>
    <col min="4104" max="4105" width="7" style="3" bestFit="1" customWidth="1"/>
    <col min="4106" max="4106" width="9.42578125" style="3" bestFit="1" customWidth="1"/>
    <col min="4107" max="4108" width="7.85546875" style="3" bestFit="1" customWidth="1"/>
    <col min="4109" max="4109" width="10.85546875" style="3" bestFit="1" customWidth="1"/>
    <col min="4110" max="4110" width="9.28515625" style="3" bestFit="1" customWidth="1"/>
    <col min="4111" max="4111" width="7.85546875" style="3" bestFit="1" customWidth="1"/>
    <col min="4112" max="4112" width="17.85546875" style="3" bestFit="1" customWidth="1"/>
    <col min="4113" max="4113" width="4.42578125" style="3" bestFit="1" customWidth="1"/>
    <col min="4114" max="4114" width="4.85546875" style="3" bestFit="1" customWidth="1"/>
    <col min="4115" max="4115" width="8.7109375" style="3"/>
    <col min="4116" max="4116" width="11.42578125" style="3" bestFit="1" customWidth="1"/>
    <col min="4117" max="4355" width="8.7109375" style="3"/>
    <col min="4356" max="4356" width="5.5703125" style="3" bestFit="1" customWidth="1"/>
    <col min="4357" max="4357" width="10.5703125" style="3" bestFit="1" customWidth="1"/>
    <col min="4358" max="4358" width="24.5703125" style="3" bestFit="1" customWidth="1"/>
    <col min="4359" max="4359" width="73" style="3" bestFit="1" customWidth="1"/>
    <col min="4360" max="4361" width="7" style="3" bestFit="1" customWidth="1"/>
    <col min="4362" max="4362" width="9.42578125" style="3" bestFit="1" customWidth="1"/>
    <col min="4363" max="4364" width="7.85546875" style="3" bestFit="1" customWidth="1"/>
    <col min="4365" max="4365" width="10.85546875" style="3" bestFit="1" customWidth="1"/>
    <col min="4366" max="4366" width="9.28515625" style="3" bestFit="1" customWidth="1"/>
    <col min="4367" max="4367" width="7.85546875" style="3" bestFit="1" customWidth="1"/>
    <col min="4368" max="4368" width="17.85546875" style="3" bestFit="1" customWidth="1"/>
    <col min="4369" max="4369" width="4.42578125" style="3" bestFit="1" customWidth="1"/>
    <col min="4370" max="4370" width="4.85546875" style="3" bestFit="1" customWidth="1"/>
    <col min="4371" max="4371" width="8.7109375" style="3"/>
    <col min="4372" max="4372" width="11.42578125" style="3" bestFit="1" customWidth="1"/>
    <col min="4373" max="4611" width="8.7109375" style="3"/>
    <col min="4612" max="4612" width="5.5703125" style="3" bestFit="1" customWidth="1"/>
    <col min="4613" max="4613" width="10.5703125" style="3" bestFit="1" customWidth="1"/>
    <col min="4614" max="4614" width="24.5703125" style="3" bestFit="1" customWidth="1"/>
    <col min="4615" max="4615" width="73" style="3" bestFit="1" customWidth="1"/>
    <col min="4616" max="4617" width="7" style="3" bestFit="1" customWidth="1"/>
    <col min="4618" max="4618" width="9.42578125" style="3" bestFit="1" customWidth="1"/>
    <col min="4619" max="4620" width="7.85546875" style="3" bestFit="1" customWidth="1"/>
    <col min="4621" max="4621" width="10.85546875" style="3" bestFit="1" customWidth="1"/>
    <col min="4622" max="4622" width="9.28515625" style="3" bestFit="1" customWidth="1"/>
    <col min="4623" max="4623" width="7.85546875" style="3" bestFit="1" customWidth="1"/>
    <col min="4624" max="4624" width="17.85546875" style="3" bestFit="1" customWidth="1"/>
    <col min="4625" max="4625" width="4.42578125" style="3" bestFit="1" customWidth="1"/>
    <col min="4626" max="4626" width="4.85546875" style="3" bestFit="1" customWidth="1"/>
    <col min="4627" max="4627" width="8.7109375" style="3"/>
    <col min="4628" max="4628" width="11.42578125" style="3" bestFit="1" customWidth="1"/>
    <col min="4629" max="4867" width="8.7109375" style="3"/>
    <col min="4868" max="4868" width="5.5703125" style="3" bestFit="1" customWidth="1"/>
    <col min="4869" max="4869" width="10.5703125" style="3" bestFit="1" customWidth="1"/>
    <col min="4870" max="4870" width="24.5703125" style="3" bestFit="1" customWidth="1"/>
    <col min="4871" max="4871" width="73" style="3" bestFit="1" customWidth="1"/>
    <col min="4872" max="4873" width="7" style="3" bestFit="1" customWidth="1"/>
    <col min="4874" max="4874" width="9.42578125" style="3" bestFit="1" customWidth="1"/>
    <col min="4875" max="4876" width="7.85546875" style="3" bestFit="1" customWidth="1"/>
    <col min="4877" max="4877" width="10.85546875" style="3" bestFit="1" customWidth="1"/>
    <col min="4878" max="4878" width="9.28515625" style="3" bestFit="1" customWidth="1"/>
    <col min="4879" max="4879" width="7.85546875" style="3" bestFit="1" customWidth="1"/>
    <col min="4880" max="4880" width="17.85546875" style="3" bestFit="1" customWidth="1"/>
    <col min="4881" max="4881" width="4.42578125" style="3" bestFit="1" customWidth="1"/>
    <col min="4882" max="4882" width="4.85546875" style="3" bestFit="1" customWidth="1"/>
    <col min="4883" max="4883" width="8.7109375" style="3"/>
    <col min="4884" max="4884" width="11.42578125" style="3" bestFit="1" customWidth="1"/>
    <col min="4885" max="5123" width="8.7109375" style="3"/>
    <col min="5124" max="5124" width="5.5703125" style="3" bestFit="1" customWidth="1"/>
    <col min="5125" max="5125" width="10.5703125" style="3" bestFit="1" customWidth="1"/>
    <col min="5126" max="5126" width="24.5703125" style="3" bestFit="1" customWidth="1"/>
    <col min="5127" max="5127" width="73" style="3" bestFit="1" customWidth="1"/>
    <col min="5128" max="5129" width="7" style="3" bestFit="1" customWidth="1"/>
    <col min="5130" max="5130" width="9.42578125" style="3" bestFit="1" customWidth="1"/>
    <col min="5131" max="5132" width="7.85546875" style="3" bestFit="1" customWidth="1"/>
    <col min="5133" max="5133" width="10.85546875" style="3" bestFit="1" customWidth="1"/>
    <col min="5134" max="5134" width="9.28515625" style="3" bestFit="1" customWidth="1"/>
    <col min="5135" max="5135" width="7.85546875" style="3" bestFit="1" customWidth="1"/>
    <col min="5136" max="5136" width="17.85546875" style="3" bestFit="1" customWidth="1"/>
    <col min="5137" max="5137" width="4.42578125" style="3" bestFit="1" customWidth="1"/>
    <col min="5138" max="5138" width="4.85546875" style="3" bestFit="1" customWidth="1"/>
    <col min="5139" max="5139" width="8.7109375" style="3"/>
    <col min="5140" max="5140" width="11.42578125" style="3" bestFit="1" customWidth="1"/>
    <col min="5141" max="5379" width="8.7109375" style="3"/>
    <col min="5380" max="5380" width="5.5703125" style="3" bestFit="1" customWidth="1"/>
    <col min="5381" max="5381" width="10.5703125" style="3" bestFit="1" customWidth="1"/>
    <col min="5382" max="5382" width="24.5703125" style="3" bestFit="1" customWidth="1"/>
    <col min="5383" max="5383" width="73" style="3" bestFit="1" customWidth="1"/>
    <col min="5384" max="5385" width="7" style="3" bestFit="1" customWidth="1"/>
    <col min="5386" max="5386" width="9.42578125" style="3" bestFit="1" customWidth="1"/>
    <col min="5387" max="5388" width="7.85546875" style="3" bestFit="1" customWidth="1"/>
    <col min="5389" max="5389" width="10.85546875" style="3" bestFit="1" customWidth="1"/>
    <col min="5390" max="5390" width="9.28515625" style="3" bestFit="1" customWidth="1"/>
    <col min="5391" max="5391" width="7.85546875" style="3" bestFit="1" customWidth="1"/>
    <col min="5392" max="5392" width="17.85546875" style="3" bestFit="1" customWidth="1"/>
    <col min="5393" max="5393" width="4.42578125" style="3" bestFit="1" customWidth="1"/>
    <col min="5394" max="5394" width="4.85546875" style="3" bestFit="1" customWidth="1"/>
    <col min="5395" max="5395" width="8.7109375" style="3"/>
    <col min="5396" max="5396" width="11.42578125" style="3" bestFit="1" customWidth="1"/>
    <col min="5397" max="5635" width="8.7109375" style="3"/>
    <col min="5636" max="5636" width="5.5703125" style="3" bestFit="1" customWidth="1"/>
    <col min="5637" max="5637" width="10.5703125" style="3" bestFit="1" customWidth="1"/>
    <col min="5638" max="5638" width="24.5703125" style="3" bestFit="1" customWidth="1"/>
    <col min="5639" max="5639" width="73" style="3" bestFit="1" customWidth="1"/>
    <col min="5640" max="5641" width="7" style="3" bestFit="1" customWidth="1"/>
    <col min="5642" max="5642" width="9.42578125" style="3" bestFit="1" customWidth="1"/>
    <col min="5643" max="5644" width="7.85546875" style="3" bestFit="1" customWidth="1"/>
    <col min="5645" max="5645" width="10.85546875" style="3" bestFit="1" customWidth="1"/>
    <col min="5646" max="5646" width="9.28515625" style="3" bestFit="1" customWidth="1"/>
    <col min="5647" max="5647" width="7.85546875" style="3" bestFit="1" customWidth="1"/>
    <col min="5648" max="5648" width="17.85546875" style="3" bestFit="1" customWidth="1"/>
    <col min="5649" max="5649" width="4.42578125" style="3" bestFit="1" customWidth="1"/>
    <col min="5650" max="5650" width="4.85546875" style="3" bestFit="1" customWidth="1"/>
    <col min="5651" max="5651" width="8.7109375" style="3"/>
    <col min="5652" max="5652" width="11.42578125" style="3" bestFit="1" customWidth="1"/>
    <col min="5653" max="5891" width="8.7109375" style="3"/>
    <col min="5892" max="5892" width="5.5703125" style="3" bestFit="1" customWidth="1"/>
    <col min="5893" max="5893" width="10.5703125" style="3" bestFit="1" customWidth="1"/>
    <col min="5894" max="5894" width="24.5703125" style="3" bestFit="1" customWidth="1"/>
    <col min="5895" max="5895" width="73" style="3" bestFit="1" customWidth="1"/>
    <col min="5896" max="5897" width="7" style="3" bestFit="1" customWidth="1"/>
    <col min="5898" max="5898" width="9.42578125" style="3" bestFit="1" customWidth="1"/>
    <col min="5899" max="5900" width="7.85546875" style="3" bestFit="1" customWidth="1"/>
    <col min="5901" max="5901" width="10.85546875" style="3" bestFit="1" customWidth="1"/>
    <col min="5902" max="5902" width="9.28515625" style="3" bestFit="1" customWidth="1"/>
    <col min="5903" max="5903" width="7.85546875" style="3" bestFit="1" customWidth="1"/>
    <col min="5904" max="5904" width="17.85546875" style="3" bestFit="1" customWidth="1"/>
    <col min="5905" max="5905" width="4.42578125" style="3" bestFit="1" customWidth="1"/>
    <col min="5906" max="5906" width="4.85546875" style="3" bestFit="1" customWidth="1"/>
    <col min="5907" max="5907" width="8.7109375" style="3"/>
    <col min="5908" max="5908" width="11.42578125" style="3" bestFit="1" customWidth="1"/>
    <col min="5909" max="6147" width="8.7109375" style="3"/>
    <col min="6148" max="6148" width="5.5703125" style="3" bestFit="1" customWidth="1"/>
    <col min="6149" max="6149" width="10.5703125" style="3" bestFit="1" customWidth="1"/>
    <col min="6150" max="6150" width="24.5703125" style="3" bestFit="1" customWidth="1"/>
    <col min="6151" max="6151" width="73" style="3" bestFit="1" customWidth="1"/>
    <col min="6152" max="6153" width="7" style="3" bestFit="1" customWidth="1"/>
    <col min="6154" max="6154" width="9.42578125" style="3" bestFit="1" customWidth="1"/>
    <col min="6155" max="6156" width="7.85546875" style="3" bestFit="1" customWidth="1"/>
    <col min="6157" max="6157" width="10.85546875" style="3" bestFit="1" customWidth="1"/>
    <col min="6158" max="6158" width="9.28515625" style="3" bestFit="1" customWidth="1"/>
    <col min="6159" max="6159" width="7.85546875" style="3" bestFit="1" customWidth="1"/>
    <col min="6160" max="6160" width="17.85546875" style="3" bestFit="1" customWidth="1"/>
    <col min="6161" max="6161" width="4.42578125" style="3" bestFit="1" customWidth="1"/>
    <col min="6162" max="6162" width="4.85546875" style="3" bestFit="1" customWidth="1"/>
    <col min="6163" max="6163" width="8.7109375" style="3"/>
    <col min="6164" max="6164" width="11.42578125" style="3" bestFit="1" customWidth="1"/>
    <col min="6165" max="6403" width="8.7109375" style="3"/>
    <col min="6404" max="6404" width="5.5703125" style="3" bestFit="1" customWidth="1"/>
    <col min="6405" max="6405" width="10.5703125" style="3" bestFit="1" customWidth="1"/>
    <col min="6406" max="6406" width="24.5703125" style="3" bestFit="1" customWidth="1"/>
    <col min="6407" max="6407" width="73" style="3" bestFit="1" customWidth="1"/>
    <col min="6408" max="6409" width="7" style="3" bestFit="1" customWidth="1"/>
    <col min="6410" max="6410" width="9.42578125" style="3" bestFit="1" customWidth="1"/>
    <col min="6411" max="6412" width="7.85546875" style="3" bestFit="1" customWidth="1"/>
    <col min="6413" max="6413" width="10.85546875" style="3" bestFit="1" customWidth="1"/>
    <col min="6414" max="6414" width="9.28515625" style="3" bestFit="1" customWidth="1"/>
    <col min="6415" max="6415" width="7.85546875" style="3" bestFit="1" customWidth="1"/>
    <col min="6416" max="6416" width="17.85546875" style="3" bestFit="1" customWidth="1"/>
    <col min="6417" max="6417" width="4.42578125" style="3" bestFit="1" customWidth="1"/>
    <col min="6418" max="6418" width="4.85546875" style="3" bestFit="1" customWidth="1"/>
    <col min="6419" max="6419" width="8.7109375" style="3"/>
    <col min="6420" max="6420" width="11.42578125" style="3" bestFit="1" customWidth="1"/>
    <col min="6421" max="6659" width="8.7109375" style="3"/>
    <col min="6660" max="6660" width="5.5703125" style="3" bestFit="1" customWidth="1"/>
    <col min="6661" max="6661" width="10.5703125" style="3" bestFit="1" customWidth="1"/>
    <col min="6662" max="6662" width="24.5703125" style="3" bestFit="1" customWidth="1"/>
    <col min="6663" max="6663" width="73" style="3" bestFit="1" customWidth="1"/>
    <col min="6664" max="6665" width="7" style="3" bestFit="1" customWidth="1"/>
    <col min="6666" max="6666" width="9.42578125" style="3" bestFit="1" customWidth="1"/>
    <col min="6667" max="6668" width="7.85546875" style="3" bestFit="1" customWidth="1"/>
    <col min="6669" max="6669" width="10.85546875" style="3" bestFit="1" customWidth="1"/>
    <col min="6670" max="6670" width="9.28515625" style="3" bestFit="1" customWidth="1"/>
    <col min="6671" max="6671" width="7.85546875" style="3" bestFit="1" customWidth="1"/>
    <col min="6672" max="6672" width="17.85546875" style="3" bestFit="1" customWidth="1"/>
    <col min="6673" max="6673" width="4.42578125" style="3" bestFit="1" customWidth="1"/>
    <col min="6674" max="6674" width="4.85546875" style="3" bestFit="1" customWidth="1"/>
    <col min="6675" max="6675" width="8.7109375" style="3"/>
    <col min="6676" max="6676" width="11.42578125" style="3" bestFit="1" customWidth="1"/>
    <col min="6677" max="6915" width="8.7109375" style="3"/>
    <col min="6916" max="6916" width="5.5703125" style="3" bestFit="1" customWidth="1"/>
    <col min="6917" max="6917" width="10.5703125" style="3" bestFit="1" customWidth="1"/>
    <col min="6918" max="6918" width="24.5703125" style="3" bestFit="1" customWidth="1"/>
    <col min="6919" max="6919" width="73" style="3" bestFit="1" customWidth="1"/>
    <col min="6920" max="6921" width="7" style="3" bestFit="1" customWidth="1"/>
    <col min="6922" max="6922" width="9.42578125" style="3" bestFit="1" customWidth="1"/>
    <col min="6923" max="6924" width="7.85546875" style="3" bestFit="1" customWidth="1"/>
    <col min="6925" max="6925" width="10.85546875" style="3" bestFit="1" customWidth="1"/>
    <col min="6926" max="6926" width="9.28515625" style="3" bestFit="1" customWidth="1"/>
    <col min="6927" max="6927" width="7.85546875" style="3" bestFit="1" customWidth="1"/>
    <col min="6928" max="6928" width="17.85546875" style="3" bestFit="1" customWidth="1"/>
    <col min="6929" max="6929" width="4.42578125" style="3" bestFit="1" customWidth="1"/>
    <col min="6930" max="6930" width="4.85546875" style="3" bestFit="1" customWidth="1"/>
    <col min="6931" max="6931" width="8.7109375" style="3"/>
    <col min="6932" max="6932" width="11.42578125" style="3" bestFit="1" customWidth="1"/>
    <col min="6933" max="7171" width="8.7109375" style="3"/>
    <col min="7172" max="7172" width="5.5703125" style="3" bestFit="1" customWidth="1"/>
    <col min="7173" max="7173" width="10.5703125" style="3" bestFit="1" customWidth="1"/>
    <col min="7174" max="7174" width="24.5703125" style="3" bestFit="1" customWidth="1"/>
    <col min="7175" max="7175" width="73" style="3" bestFit="1" customWidth="1"/>
    <col min="7176" max="7177" width="7" style="3" bestFit="1" customWidth="1"/>
    <col min="7178" max="7178" width="9.42578125" style="3" bestFit="1" customWidth="1"/>
    <col min="7179" max="7180" width="7.85546875" style="3" bestFit="1" customWidth="1"/>
    <col min="7181" max="7181" width="10.85546875" style="3" bestFit="1" customWidth="1"/>
    <col min="7182" max="7182" width="9.28515625" style="3" bestFit="1" customWidth="1"/>
    <col min="7183" max="7183" width="7.85546875" style="3" bestFit="1" customWidth="1"/>
    <col min="7184" max="7184" width="17.85546875" style="3" bestFit="1" customWidth="1"/>
    <col min="7185" max="7185" width="4.42578125" style="3" bestFit="1" customWidth="1"/>
    <col min="7186" max="7186" width="4.85546875" style="3" bestFit="1" customWidth="1"/>
    <col min="7187" max="7187" width="8.7109375" style="3"/>
    <col min="7188" max="7188" width="11.42578125" style="3" bestFit="1" customWidth="1"/>
    <col min="7189" max="7427" width="8.7109375" style="3"/>
    <col min="7428" max="7428" width="5.5703125" style="3" bestFit="1" customWidth="1"/>
    <col min="7429" max="7429" width="10.5703125" style="3" bestFit="1" customWidth="1"/>
    <col min="7430" max="7430" width="24.5703125" style="3" bestFit="1" customWidth="1"/>
    <col min="7431" max="7431" width="73" style="3" bestFit="1" customWidth="1"/>
    <col min="7432" max="7433" width="7" style="3" bestFit="1" customWidth="1"/>
    <col min="7434" max="7434" width="9.42578125" style="3" bestFit="1" customWidth="1"/>
    <col min="7435" max="7436" width="7.85546875" style="3" bestFit="1" customWidth="1"/>
    <col min="7437" max="7437" width="10.85546875" style="3" bestFit="1" customWidth="1"/>
    <col min="7438" max="7438" width="9.28515625" style="3" bestFit="1" customWidth="1"/>
    <col min="7439" max="7439" width="7.85546875" style="3" bestFit="1" customWidth="1"/>
    <col min="7440" max="7440" width="17.85546875" style="3" bestFit="1" customWidth="1"/>
    <col min="7441" max="7441" width="4.42578125" style="3" bestFit="1" customWidth="1"/>
    <col min="7442" max="7442" width="4.85546875" style="3" bestFit="1" customWidth="1"/>
    <col min="7443" max="7443" width="8.7109375" style="3"/>
    <col min="7444" max="7444" width="11.42578125" style="3" bestFit="1" customWidth="1"/>
    <col min="7445" max="7683" width="8.7109375" style="3"/>
    <col min="7684" max="7684" width="5.5703125" style="3" bestFit="1" customWidth="1"/>
    <col min="7685" max="7685" width="10.5703125" style="3" bestFit="1" customWidth="1"/>
    <col min="7686" max="7686" width="24.5703125" style="3" bestFit="1" customWidth="1"/>
    <col min="7687" max="7687" width="73" style="3" bestFit="1" customWidth="1"/>
    <col min="7688" max="7689" width="7" style="3" bestFit="1" customWidth="1"/>
    <col min="7690" max="7690" width="9.42578125" style="3" bestFit="1" customWidth="1"/>
    <col min="7691" max="7692" width="7.85546875" style="3" bestFit="1" customWidth="1"/>
    <col min="7693" max="7693" width="10.85546875" style="3" bestFit="1" customWidth="1"/>
    <col min="7694" max="7694" width="9.28515625" style="3" bestFit="1" customWidth="1"/>
    <col min="7695" max="7695" width="7.85546875" style="3" bestFit="1" customWidth="1"/>
    <col min="7696" max="7696" width="17.85546875" style="3" bestFit="1" customWidth="1"/>
    <col min="7697" max="7697" width="4.42578125" style="3" bestFit="1" customWidth="1"/>
    <col min="7698" max="7698" width="4.85546875" style="3" bestFit="1" customWidth="1"/>
    <col min="7699" max="7699" width="8.7109375" style="3"/>
    <col min="7700" max="7700" width="11.42578125" style="3" bestFit="1" customWidth="1"/>
    <col min="7701" max="7939" width="8.7109375" style="3"/>
    <col min="7940" max="7940" width="5.5703125" style="3" bestFit="1" customWidth="1"/>
    <col min="7941" max="7941" width="10.5703125" style="3" bestFit="1" customWidth="1"/>
    <col min="7942" max="7942" width="24.5703125" style="3" bestFit="1" customWidth="1"/>
    <col min="7943" max="7943" width="73" style="3" bestFit="1" customWidth="1"/>
    <col min="7944" max="7945" width="7" style="3" bestFit="1" customWidth="1"/>
    <col min="7946" max="7946" width="9.42578125" style="3" bestFit="1" customWidth="1"/>
    <col min="7947" max="7948" width="7.85546875" style="3" bestFit="1" customWidth="1"/>
    <col min="7949" max="7949" width="10.85546875" style="3" bestFit="1" customWidth="1"/>
    <col min="7950" max="7950" width="9.28515625" style="3" bestFit="1" customWidth="1"/>
    <col min="7951" max="7951" width="7.85546875" style="3" bestFit="1" customWidth="1"/>
    <col min="7952" max="7952" width="17.85546875" style="3" bestFit="1" customWidth="1"/>
    <col min="7953" max="7953" width="4.42578125" style="3" bestFit="1" customWidth="1"/>
    <col min="7954" max="7954" width="4.85546875" style="3" bestFit="1" customWidth="1"/>
    <col min="7955" max="7955" width="8.7109375" style="3"/>
    <col min="7956" max="7956" width="11.42578125" style="3" bestFit="1" customWidth="1"/>
    <col min="7957" max="8195" width="8.7109375" style="3"/>
    <col min="8196" max="8196" width="5.5703125" style="3" bestFit="1" customWidth="1"/>
    <col min="8197" max="8197" width="10.5703125" style="3" bestFit="1" customWidth="1"/>
    <col min="8198" max="8198" width="24.5703125" style="3" bestFit="1" customWidth="1"/>
    <col min="8199" max="8199" width="73" style="3" bestFit="1" customWidth="1"/>
    <col min="8200" max="8201" width="7" style="3" bestFit="1" customWidth="1"/>
    <col min="8202" max="8202" width="9.42578125" style="3" bestFit="1" customWidth="1"/>
    <col min="8203" max="8204" width="7.85546875" style="3" bestFit="1" customWidth="1"/>
    <col min="8205" max="8205" width="10.85546875" style="3" bestFit="1" customWidth="1"/>
    <col min="8206" max="8206" width="9.28515625" style="3" bestFit="1" customWidth="1"/>
    <col min="8207" max="8207" width="7.85546875" style="3" bestFit="1" customWidth="1"/>
    <col min="8208" max="8208" width="17.85546875" style="3" bestFit="1" customWidth="1"/>
    <col min="8209" max="8209" width="4.42578125" style="3" bestFit="1" customWidth="1"/>
    <col min="8210" max="8210" width="4.85546875" style="3" bestFit="1" customWidth="1"/>
    <col min="8211" max="8211" width="8.7109375" style="3"/>
    <col min="8212" max="8212" width="11.42578125" style="3" bestFit="1" customWidth="1"/>
    <col min="8213" max="8451" width="8.7109375" style="3"/>
    <col min="8452" max="8452" width="5.5703125" style="3" bestFit="1" customWidth="1"/>
    <col min="8453" max="8453" width="10.5703125" style="3" bestFit="1" customWidth="1"/>
    <col min="8454" max="8454" width="24.5703125" style="3" bestFit="1" customWidth="1"/>
    <col min="8455" max="8455" width="73" style="3" bestFit="1" customWidth="1"/>
    <col min="8456" max="8457" width="7" style="3" bestFit="1" customWidth="1"/>
    <col min="8458" max="8458" width="9.42578125" style="3" bestFit="1" customWidth="1"/>
    <col min="8459" max="8460" width="7.85546875" style="3" bestFit="1" customWidth="1"/>
    <col min="8461" max="8461" width="10.85546875" style="3" bestFit="1" customWidth="1"/>
    <col min="8462" max="8462" width="9.28515625" style="3" bestFit="1" customWidth="1"/>
    <col min="8463" max="8463" width="7.85546875" style="3" bestFit="1" customWidth="1"/>
    <col min="8464" max="8464" width="17.85546875" style="3" bestFit="1" customWidth="1"/>
    <col min="8465" max="8465" width="4.42578125" style="3" bestFit="1" customWidth="1"/>
    <col min="8466" max="8466" width="4.85546875" style="3" bestFit="1" customWidth="1"/>
    <col min="8467" max="8467" width="8.7109375" style="3"/>
    <col min="8468" max="8468" width="11.42578125" style="3" bestFit="1" customWidth="1"/>
    <col min="8469" max="8707" width="8.7109375" style="3"/>
    <col min="8708" max="8708" width="5.5703125" style="3" bestFit="1" customWidth="1"/>
    <col min="8709" max="8709" width="10.5703125" style="3" bestFit="1" customWidth="1"/>
    <col min="8710" max="8710" width="24.5703125" style="3" bestFit="1" customWidth="1"/>
    <col min="8711" max="8711" width="73" style="3" bestFit="1" customWidth="1"/>
    <col min="8712" max="8713" width="7" style="3" bestFit="1" customWidth="1"/>
    <col min="8714" max="8714" width="9.42578125" style="3" bestFit="1" customWidth="1"/>
    <col min="8715" max="8716" width="7.85546875" style="3" bestFit="1" customWidth="1"/>
    <col min="8717" max="8717" width="10.85546875" style="3" bestFit="1" customWidth="1"/>
    <col min="8718" max="8718" width="9.28515625" style="3" bestFit="1" customWidth="1"/>
    <col min="8719" max="8719" width="7.85546875" style="3" bestFit="1" customWidth="1"/>
    <col min="8720" max="8720" width="17.85546875" style="3" bestFit="1" customWidth="1"/>
    <col min="8721" max="8721" width="4.42578125" style="3" bestFit="1" customWidth="1"/>
    <col min="8722" max="8722" width="4.85546875" style="3" bestFit="1" customWidth="1"/>
    <col min="8723" max="8723" width="8.7109375" style="3"/>
    <col min="8724" max="8724" width="11.42578125" style="3" bestFit="1" customWidth="1"/>
    <col min="8725" max="8963" width="8.7109375" style="3"/>
    <col min="8964" max="8964" width="5.5703125" style="3" bestFit="1" customWidth="1"/>
    <col min="8965" max="8965" width="10.5703125" style="3" bestFit="1" customWidth="1"/>
    <col min="8966" max="8966" width="24.5703125" style="3" bestFit="1" customWidth="1"/>
    <col min="8967" max="8967" width="73" style="3" bestFit="1" customWidth="1"/>
    <col min="8968" max="8969" width="7" style="3" bestFit="1" customWidth="1"/>
    <col min="8970" max="8970" width="9.42578125" style="3" bestFit="1" customWidth="1"/>
    <col min="8971" max="8972" width="7.85546875" style="3" bestFit="1" customWidth="1"/>
    <col min="8973" max="8973" width="10.85546875" style="3" bestFit="1" customWidth="1"/>
    <col min="8974" max="8974" width="9.28515625" style="3" bestFit="1" customWidth="1"/>
    <col min="8975" max="8975" width="7.85546875" style="3" bestFit="1" customWidth="1"/>
    <col min="8976" max="8976" width="17.85546875" style="3" bestFit="1" customWidth="1"/>
    <col min="8977" max="8977" width="4.42578125" style="3" bestFit="1" customWidth="1"/>
    <col min="8978" max="8978" width="4.85546875" style="3" bestFit="1" customWidth="1"/>
    <col min="8979" max="8979" width="8.7109375" style="3"/>
    <col min="8980" max="8980" width="11.42578125" style="3" bestFit="1" customWidth="1"/>
    <col min="8981" max="9219" width="8.7109375" style="3"/>
    <col min="9220" max="9220" width="5.5703125" style="3" bestFit="1" customWidth="1"/>
    <col min="9221" max="9221" width="10.5703125" style="3" bestFit="1" customWidth="1"/>
    <col min="9222" max="9222" width="24.5703125" style="3" bestFit="1" customWidth="1"/>
    <col min="9223" max="9223" width="73" style="3" bestFit="1" customWidth="1"/>
    <col min="9224" max="9225" width="7" style="3" bestFit="1" customWidth="1"/>
    <col min="9226" max="9226" width="9.42578125" style="3" bestFit="1" customWidth="1"/>
    <col min="9227" max="9228" width="7.85546875" style="3" bestFit="1" customWidth="1"/>
    <col min="9229" max="9229" width="10.85546875" style="3" bestFit="1" customWidth="1"/>
    <col min="9230" max="9230" width="9.28515625" style="3" bestFit="1" customWidth="1"/>
    <col min="9231" max="9231" width="7.85546875" style="3" bestFit="1" customWidth="1"/>
    <col min="9232" max="9232" width="17.85546875" style="3" bestFit="1" customWidth="1"/>
    <col min="9233" max="9233" width="4.42578125" style="3" bestFit="1" customWidth="1"/>
    <col min="9234" max="9234" width="4.85546875" style="3" bestFit="1" customWidth="1"/>
    <col min="9235" max="9235" width="8.7109375" style="3"/>
    <col min="9236" max="9236" width="11.42578125" style="3" bestFit="1" customWidth="1"/>
    <col min="9237" max="9475" width="8.7109375" style="3"/>
    <col min="9476" max="9476" width="5.5703125" style="3" bestFit="1" customWidth="1"/>
    <col min="9477" max="9477" width="10.5703125" style="3" bestFit="1" customWidth="1"/>
    <col min="9478" max="9478" width="24.5703125" style="3" bestFit="1" customWidth="1"/>
    <col min="9479" max="9479" width="73" style="3" bestFit="1" customWidth="1"/>
    <col min="9480" max="9481" width="7" style="3" bestFit="1" customWidth="1"/>
    <col min="9482" max="9482" width="9.42578125" style="3" bestFit="1" customWidth="1"/>
    <col min="9483" max="9484" width="7.85546875" style="3" bestFit="1" customWidth="1"/>
    <col min="9485" max="9485" width="10.85546875" style="3" bestFit="1" customWidth="1"/>
    <col min="9486" max="9486" width="9.28515625" style="3" bestFit="1" customWidth="1"/>
    <col min="9487" max="9487" width="7.85546875" style="3" bestFit="1" customWidth="1"/>
    <col min="9488" max="9488" width="17.85546875" style="3" bestFit="1" customWidth="1"/>
    <col min="9489" max="9489" width="4.42578125" style="3" bestFit="1" customWidth="1"/>
    <col min="9490" max="9490" width="4.85546875" style="3" bestFit="1" customWidth="1"/>
    <col min="9491" max="9491" width="8.7109375" style="3"/>
    <col min="9492" max="9492" width="11.42578125" style="3" bestFit="1" customWidth="1"/>
    <col min="9493" max="9731" width="8.7109375" style="3"/>
    <col min="9732" max="9732" width="5.5703125" style="3" bestFit="1" customWidth="1"/>
    <col min="9733" max="9733" width="10.5703125" style="3" bestFit="1" customWidth="1"/>
    <col min="9734" max="9734" width="24.5703125" style="3" bestFit="1" customWidth="1"/>
    <col min="9735" max="9735" width="73" style="3" bestFit="1" customWidth="1"/>
    <col min="9736" max="9737" width="7" style="3" bestFit="1" customWidth="1"/>
    <col min="9738" max="9738" width="9.42578125" style="3" bestFit="1" customWidth="1"/>
    <col min="9739" max="9740" width="7.85546875" style="3" bestFit="1" customWidth="1"/>
    <col min="9741" max="9741" width="10.85546875" style="3" bestFit="1" customWidth="1"/>
    <col min="9742" max="9742" width="9.28515625" style="3" bestFit="1" customWidth="1"/>
    <col min="9743" max="9743" width="7.85546875" style="3" bestFit="1" customWidth="1"/>
    <col min="9744" max="9744" width="17.85546875" style="3" bestFit="1" customWidth="1"/>
    <col min="9745" max="9745" width="4.42578125" style="3" bestFit="1" customWidth="1"/>
    <col min="9746" max="9746" width="4.85546875" style="3" bestFit="1" customWidth="1"/>
    <col min="9747" max="9747" width="8.7109375" style="3"/>
    <col min="9748" max="9748" width="11.42578125" style="3" bestFit="1" customWidth="1"/>
    <col min="9749" max="9987" width="8.7109375" style="3"/>
    <col min="9988" max="9988" width="5.5703125" style="3" bestFit="1" customWidth="1"/>
    <col min="9989" max="9989" width="10.5703125" style="3" bestFit="1" customWidth="1"/>
    <col min="9990" max="9990" width="24.5703125" style="3" bestFit="1" customWidth="1"/>
    <col min="9991" max="9991" width="73" style="3" bestFit="1" customWidth="1"/>
    <col min="9992" max="9993" width="7" style="3" bestFit="1" customWidth="1"/>
    <col min="9994" max="9994" width="9.42578125" style="3" bestFit="1" customWidth="1"/>
    <col min="9995" max="9996" width="7.85546875" style="3" bestFit="1" customWidth="1"/>
    <col min="9997" max="9997" width="10.85546875" style="3" bestFit="1" customWidth="1"/>
    <col min="9998" max="9998" width="9.28515625" style="3" bestFit="1" customWidth="1"/>
    <col min="9999" max="9999" width="7.85546875" style="3" bestFit="1" customWidth="1"/>
    <col min="10000" max="10000" width="17.85546875" style="3" bestFit="1" customWidth="1"/>
    <col min="10001" max="10001" width="4.42578125" style="3" bestFit="1" customWidth="1"/>
    <col min="10002" max="10002" width="4.85546875" style="3" bestFit="1" customWidth="1"/>
    <col min="10003" max="10003" width="8.7109375" style="3"/>
    <col min="10004" max="10004" width="11.42578125" style="3" bestFit="1" customWidth="1"/>
    <col min="10005" max="10243" width="8.7109375" style="3"/>
    <col min="10244" max="10244" width="5.5703125" style="3" bestFit="1" customWidth="1"/>
    <col min="10245" max="10245" width="10.5703125" style="3" bestFit="1" customWidth="1"/>
    <col min="10246" max="10246" width="24.5703125" style="3" bestFit="1" customWidth="1"/>
    <col min="10247" max="10247" width="73" style="3" bestFit="1" customWidth="1"/>
    <col min="10248" max="10249" width="7" style="3" bestFit="1" customWidth="1"/>
    <col min="10250" max="10250" width="9.42578125" style="3" bestFit="1" customWidth="1"/>
    <col min="10251" max="10252" width="7.85546875" style="3" bestFit="1" customWidth="1"/>
    <col min="10253" max="10253" width="10.85546875" style="3" bestFit="1" customWidth="1"/>
    <col min="10254" max="10254" width="9.28515625" style="3" bestFit="1" customWidth="1"/>
    <col min="10255" max="10255" width="7.85546875" style="3" bestFit="1" customWidth="1"/>
    <col min="10256" max="10256" width="17.85546875" style="3" bestFit="1" customWidth="1"/>
    <col min="10257" max="10257" width="4.42578125" style="3" bestFit="1" customWidth="1"/>
    <col min="10258" max="10258" width="4.85546875" style="3" bestFit="1" customWidth="1"/>
    <col min="10259" max="10259" width="8.7109375" style="3"/>
    <col min="10260" max="10260" width="11.42578125" style="3" bestFit="1" customWidth="1"/>
    <col min="10261" max="10499" width="8.7109375" style="3"/>
    <col min="10500" max="10500" width="5.5703125" style="3" bestFit="1" customWidth="1"/>
    <col min="10501" max="10501" width="10.5703125" style="3" bestFit="1" customWidth="1"/>
    <col min="10502" max="10502" width="24.5703125" style="3" bestFit="1" customWidth="1"/>
    <col min="10503" max="10503" width="73" style="3" bestFit="1" customWidth="1"/>
    <col min="10504" max="10505" width="7" style="3" bestFit="1" customWidth="1"/>
    <col min="10506" max="10506" width="9.42578125" style="3" bestFit="1" customWidth="1"/>
    <col min="10507" max="10508" width="7.85546875" style="3" bestFit="1" customWidth="1"/>
    <col min="10509" max="10509" width="10.85546875" style="3" bestFit="1" customWidth="1"/>
    <col min="10510" max="10510" width="9.28515625" style="3" bestFit="1" customWidth="1"/>
    <col min="10511" max="10511" width="7.85546875" style="3" bestFit="1" customWidth="1"/>
    <col min="10512" max="10512" width="17.85546875" style="3" bestFit="1" customWidth="1"/>
    <col min="10513" max="10513" width="4.42578125" style="3" bestFit="1" customWidth="1"/>
    <col min="10514" max="10514" width="4.85546875" style="3" bestFit="1" customWidth="1"/>
    <col min="10515" max="10515" width="8.7109375" style="3"/>
    <col min="10516" max="10516" width="11.42578125" style="3" bestFit="1" customWidth="1"/>
    <col min="10517" max="10755" width="8.7109375" style="3"/>
    <col min="10756" max="10756" width="5.5703125" style="3" bestFit="1" customWidth="1"/>
    <col min="10757" max="10757" width="10.5703125" style="3" bestFit="1" customWidth="1"/>
    <col min="10758" max="10758" width="24.5703125" style="3" bestFit="1" customWidth="1"/>
    <col min="10759" max="10759" width="73" style="3" bestFit="1" customWidth="1"/>
    <col min="10760" max="10761" width="7" style="3" bestFit="1" customWidth="1"/>
    <col min="10762" max="10762" width="9.42578125" style="3" bestFit="1" customWidth="1"/>
    <col min="10763" max="10764" width="7.85546875" style="3" bestFit="1" customWidth="1"/>
    <col min="10765" max="10765" width="10.85546875" style="3" bestFit="1" customWidth="1"/>
    <col min="10766" max="10766" width="9.28515625" style="3" bestFit="1" customWidth="1"/>
    <col min="10767" max="10767" width="7.85546875" style="3" bestFit="1" customWidth="1"/>
    <col min="10768" max="10768" width="17.85546875" style="3" bestFit="1" customWidth="1"/>
    <col min="10769" max="10769" width="4.42578125" style="3" bestFit="1" customWidth="1"/>
    <col min="10770" max="10770" width="4.85546875" style="3" bestFit="1" customWidth="1"/>
    <col min="10771" max="10771" width="8.7109375" style="3"/>
    <col min="10772" max="10772" width="11.42578125" style="3" bestFit="1" customWidth="1"/>
    <col min="10773" max="11011" width="8.7109375" style="3"/>
    <col min="11012" max="11012" width="5.5703125" style="3" bestFit="1" customWidth="1"/>
    <col min="11013" max="11013" width="10.5703125" style="3" bestFit="1" customWidth="1"/>
    <col min="11014" max="11014" width="24.5703125" style="3" bestFit="1" customWidth="1"/>
    <col min="11015" max="11015" width="73" style="3" bestFit="1" customWidth="1"/>
    <col min="11016" max="11017" width="7" style="3" bestFit="1" customWidth="1"/>
    <col min="11018" max="11018" width="9.42578125" style="3" bestFit="1" customWidth="1"/>
    <col min="11019" max="11020" width="7.85546875" style="3" bestFit="1" customWidth="1"/>
    <col min="11021" max="11021" width="10.85546875" style="3" bestFit="1" customWidth="1"/>
    <col min="11022" max="11022" width="9.28515625" style="3" bestFit="1" customWidth="1"/>
    <col min="11023" max="11023" width="7.85546875" style="3" bestFit="1" customWidth="1"/>
    <col min="11024" max="11024" width="17.85546875" style="3" bestFit="1" customWidth="1"/>
    <col min="11025" max="11025" width="4.42578125" style="3" bestFit="1" customWidth="1"/>
    <col min="11026" max="11026" width="4.85546875" style="3" bestFit="1" customWidth="1"/>
    <col min="11027" max="11027" width="8.7109375" style="3"/>
    <col min="11028" max="11028" width="11.42578125" style="3" bestFit="1" customWidth="1"/>
    <col min="11029" max="11267" width="8.7109375" style="3"/>
    <col min="11268" max="11268" width="5.5703125" style="3" bestFit="1" customWidth="1"/>
    <col min="11269" max="11269" width="10.5703125" style="3" bestFit="1" customWidth="1"/>
    <col min="11270" max="11270" width="24.5703125" style="3" bestFit="1" customWidth="1"/>
    <col min="11271" max="11271" width="73" style="3" bestFit="1" customWidth="1"/>
    <col min="11272" max="11273" width="7" style="3" bestFit="1" customWidth="1"/>
    <col min="11274" max="11274" width="9.42578125" style="3" bestFit="1" customWidth="1"/>
    <col min="11275" max="11276" width="7.85546875" style="3" bestFit="1" customWidth="1"/>
    <col min="11277" max="11277" width="10.85546875" style="3" bestFit="1" customWidth="1"/>
    <col min="11278" max="11278" width="9.28515625" style="3" bestFit="1" customWidth="1"/>
    <col min="11279" max="11279" width="7.85546875" style="3" bestFit="1" customWidth="1"/>
    <col min="11280" max="11280" width="17.85546875" style="3" bestFit="1" customWidth="1"/>
    <col min="11281" max="11281" width="4.42578125" style="3" bestFit="1" customWidth="1"/>
    <col min="11282" max="11282" width="4.85546875" style="3" bestFit="1" customWidth="1"/>
    <col min="11283" max="11283" width="8.7109375" style="3"/>
    <col min="11284" max="11284" width="11.42578125" style="3" bestFit="1" customWidth="1"/>
    <col min="11285" max="11523" width="8.7109375" style="3"/>
    <col min="11524" max="11524" width="5.5703125" style="3" bestFit="1" customWidth="1"/>
    <col min="11525" max="11525" width="10.5703125" style="3" bestFit="1" customWidth="1"/>
    <col min="11526" max="11526" width="24.5703125" style="3" bestFit="1" customWidth="1"/>
    <col min="11527" max="11527" width="73" style="3" bestFit="1" customWidth="1"/>
    <col min="11528" max="11529" width="7" style="3" bestFit="1" customWidth="1"/>
    <col min="11530" max="11530" width="9.42578125" style="3" bestFit="1" customWidth="1"/>
    <col min="11531" max="11532" width="7.85546875" style="3" bestFit="1" customWidth="1"/>
    <col min="11533" max="11533" width="10.85546875" style="3" bestFit="1" customWidth="1"/>
    <col min="11534" max="11534" width="9.28515625" style="3" bestFit="1" customWidth="1"/>
    <col min="11535" max="11535" width="7.85546875" style="3" bestFit="1" customWidth="1"/>
    <col min="11536" max="11536" width="17.85546875" style="3" bestFit="1" customWidth="1"/>
    <col min="11537" max="11537" width="4.42578125" style="3" bestFit="1" customWidth="1"/>
    <col min="11538" max="11538" width="4.85546875" style="3" bestFit="1" customWidth="1"/>
    <col min="11539" max="11539" width="8.7109375" style="3"/>
    <col min="11540" max="11540" width="11.42578125" style="3" bestFit="1" customWidth="1"/>
    <col min="11541" max="11779" width="8.7109375" style="3"/>
    <col min="11780" max="11780" width="5.5703125" style="3" bestFit="1" customWidth="1"/>
    <col min="11781" max="11781" width="10.5703125" style="3" bestFit="1" customWidth="1"/>
    <col min="11782" max="11782" width="24.5703125" style="3" bestFit="1" customWidth="1"/>
    <col min="11783" max="11783" width="73" style="3" bestFit="1" customWidth="1"/>
    <col min="11784" max="11785" width="7" style="3" bestFit="1" customWidth="1"/>
    <col min="11786" max="11786" width="9.42578125" style="3" bestFit="1" customWidth="1"/>
    <col min="11787" max="11788" width="7.85546875" style="3" bestFit="1" customWidth="1"/>
    <col min="11789" max="11789" width="10.85546875" style="3" bestFit="1" customWidth="1"/>
    <col min="11790" max="11790" width="9.28515625" style="3" bestFit="1" customWidth="1"/>
    <col min="11791" max="11791" width="7.85546875" style="3" bestFit="1" customWidth="1"/>
    <col min="11792" max="11792" width="17.85546875" style="3" bestFit="1" customWidth="1"/>
    <col min="11793" max="11793" width="4.42578125" style="3" bestFit="1" customWidth="1"/>
    <col min="11794" max="11794" width="4.85546875" style="3" bestFit="1" customWidth="1"/>
    <col min="11795" max="11795" width="8.7109375" style="3"/>
    <col min="11796" max="11796" width="11.42578125" style="3" bestFit="1" customWidth="1"/>
    <col min="11797" max="12035" width="8.7109375" style="3"/>
    <col min="12036" max="12036" width="5.5703125" style="3" bestFit="1" customWidth="1"/>
    <col min="12037" max="12037" width="10.5703125" style="3" bestFit="1" customWidth="1"/>
    <col min="12038" max="12038" width="24.5703125" style="3" bestFit="1" customWidth="1"/>
    <col min="12039" max="12039" width="73" style="3" bestFit="1" customWidth="1"/>
    <col min="12040" max="12041" width="7" style="3" bestFit="1" customWidth="1"/>
    <col min="12042" max="12042" width="9.42578125" style="3" bestFit="1" customWidth="1"/>
    <col min="12043" max="12044" width="7.85546875" style="3" bestFit="1" customWidth="1"/>
    <col min="12045" max="12045" width="10.85546875" style="3" bestFit="1" customWidth="1"/>
    <col min="12046" max="12046" width="9.28515625" style="3" bestFit="1" customWidth="1"/>
    <col min="12047" max="12047" width="7.85546875" style="3" bestFit="1" customWidth="1"/>
    <col min="12048" max="12048" width="17.85546875" style="3" bestFit="1" customWidth="1"/>
    <col min="12049" max="12049" width="4.42578125" style="3" bestFit="1" customWidth="1"/>
    <col min="12050" max="12050" width="4.85546875" style="3" bestFit="1" customWidth="1"/>
    <col min="12051" max="12051" width="8.7109375" style="3"/>
    <col min="12052" max="12052" width="11.42578125" style="3" bestFit="1" customWidth="1"/>
    <col min="12053" max="12291" width="8.7109375" style="3"/>
    <col min="12292" max="12292" width="5.5703125" style="3" bestFit="1" customWidth="1"/>
    <col min="12293" max="12293" width="10.5703125" style="3" bestFit="1" customWidth="1"/>
    <col min="12294" max="12294" width="24.5703125" style="3" bestFit="1" customWidth="1"/>
    <col min="12295" max="12295" width="73" style="3" bestFit="1" customWidth="1"/>
    <col min="12296" max="12297" width="7" style="3" bestFit="1" customWidth="1"/>
    <col min="12298" max="12298" width="9.42578125" style="3" bestFit="1" customWidth="1"/>
    <col min="12299" max="12300" width="7.85546875" style="3" bestFit="1" customWidth="1"/>
    <col min="12301" max="12301" width="10.85546875" style="3" bestFit="1" customWidth="1"/>
    <col min="12302" max="12302" width="9.28515625" style="3" bestFit="1" customWidth="1"/>
    <col min="12303" max="12303" width="7.85546875" style="3" bestFit="1" customWidth="1"/>
    <col min="12304" max="12304" width="17.85546875" style="3" bestFit="1" customWidth="1"/>
    <col min="12305" max="12305" width="4.42578125" style="3" bestFit="1" customWidth="1"/>
    <col min="12306" max="12306" width="4.85546875" style="3" bestFit="1" customWidth="1"/>
    <col min="12307" max="12307" width="8.7109375" style="3"/>
    <col min="12308" max="12308" width="11.42578125" style="3" bestFit="1" customWidth="1"/>
    <col min="12309" max="12547" width="8.7109375" style="3"/>
    <col min="12548" max="12548" width="5.5703125" style="3" bestFit="1" customWidth="1"/>
    <col min="12549" max="12549" width="10.5703125" style="3" bestFit="1" customWidth="1"/>
    <col min="12550" max="12550" width="24.5703125" style="3" bestFit="1" customWidth="1"/>
    <col min="12551" max="12551" width="73" style="3" bestFit="1" customWidth="1"/>
    <col min="12552" max="12553" width="7" style="3" bestFit="1" customWidth="1"/>
    <col min="12554" max="12554" width="9.42578125" style="3" bestFit="1" customWidth="1"/>
    <col min="12555" max="12556" width="7.85546875" style="3" bestFit="1" customWidth="1"/>
    <col min="12557" max="12557" width="10.85546875" style="3" bestFit="1" customWidth="1"/>
    <col min="12558" max="12558" width="9.28515625" style="3" bestFit="1" customWidth="1"/>
    <col min="12559" max="12559" width="7.85546875" style="3" bestFit="1" customWidth="1"/>
    <col min="12560" max="12560" width="17.85546875" style="3" bestFit="1" customWidth="1"/>
    <col min="12561" max="12561" width="4.42578125" style="3" bestFit="1" customWidth="1"/>
    <col min="12562" max="12562" width="4.85546875" style="3" bestFit="1" customWidth="1"/>
    <col min="12563" max="12563" width="8.7109375" style="3"/>
    <col min="12564" max="12564" width="11.42578125" style="3" bestFit="1" customWidth="1"/>
    <col min="12565" max="12803" width="8.7109375" style="3"/>
    <col min="12804" max="12804" width="5.5703125" style="3" bestFit="1" customWidth="1"/>
    <col min="12805" max="12805" width="10.5703125" style="3" bestFit="1" customWidth="1"/>
    <col min="12806" max="12806" width="24.5703125" style="3" bestFit="1" customWidth="1"/>
    <col min="12807" max="12807" width="73" style="3" bestFit="1" customWidth="1"/>
    <col min="12808" max="12809" width="7" style="3" bestFit="1" customWidth="1"/>
    <col min="12810" max="12810" width="9.42578125" style="3" bestFit="1" customWidth="1"/>
    <col min="12811" max="12812" width="7.85546875" style="3" bestFit="1" customWidth="1"/>
    <col min="12813" max="12813" width="10.85546875" style="3" bestFit="1" customWidth="1"/>
    <col min="12814" max="12814" width="9.28515625" style="3" bestFit="1" customWidth="1"/>
    <col min="12815" max="12815" width="7.85546875" style="3" bestFit="1" customWidth="1"/>
    <col min="12816" max="12816" width="17.85546875" style="3" bestFit="1" customWidth="1"/>
    <col min="12817" max="12817" width="4.42578125" style="3" bestFit="1" customWidth="1"/>
    <col min="12818" max="12818" width="4.85546875" style="3" bestFit="1" customWidth="1"/>
    <col min="12819" max="12819" width="8.7109375" style="3"/>
    <col min="12820" max="12820" width="11.42578125" style="3" bestFit="1" customWidth="1"/>
    <col min="12821" max="13059" width="8.7109375" style="3"/>
    <col min="13060" max="13060" width="5.5703125" style="3" bestFit="1" customWidth="1"/>
    <col min="13061" max="13061" width="10.5703125" style="3" bestFit="1" customWidth="1"/>
    <col min="13062" max="13062" width="24.5703125" style="3" bestFit="1" customWidth="1"/>
    <col min="13063" max="13063" width="73" style="3" bestFit="1" customWidth="1"/>
    <col min="13064" max="13065" width="7" style="3" bestFit="1" customWidth="1"/>
    <col min="13066" max="13066" width="9.42578125" style="3" bestFit="1" customWidth="1"/>
    <col min="13067" max="13068" width="7.85546875" style="3" bestFit="1" customWidth="1"/>
    <col min="13069" max="13069" width="10.85546875" style="3" bestFit="1" customWidth="1"/>
    <col min="13070" max="13070" width="9.28515625" style="3" bestFit="1" customWidth="1"/>
    <col min="13071" max="13071" width="7.85546875" style="3" bestFit="1" customWidth="1"/>
    <col min="13072" max="13072" width="17.85546875" style="3" bestFit="1" customWidth="1"/>
    <col min="13073" max="13073" width="4.42578125" style="3" bestFit="1" customWidth="1"/>
    <col min="13074" max="13074" width="4.85546875" style="3" bestFit="1" customWidth="1"/>
    <col min="13075" max="13075" width="8.7109375" style="3"/>
    <col min="13076" max="13076" width="11.42578125" style="3" bestFit="1" customWidth="1"/>
    <col min="13077" max="13315" width="8.7109375" style="3"/>
    <col min="13316" max="13316" width="5.5703125" style="3" bestFit="1" customWidth="1"/>
    <col min="13317" max="13317" width="10.5703125" style="3" bestFit="1" customWidth="1"/>
    <col min="13318" max="13318" width="24.5703125" style="3" bestFit="1" customWidth="1"/>
    <col min="13319" max="13319" width="73" style="3" bestFit="1" customWidth="1"/>
    <col min="13320" max="13321" width="7" style="3" bestFit="1" customWidth="1"/>
    <col min="13322" max="13322" width="9.42578125" style="3" bestFit="1" customWidth="1"/>
    <col min="13323" max="13324" width="7.85546875" style="3" bestFit="1" customWidth="1"/>
    <col min="13325" max="13325" width="10.85546875" style="3" bestFit="1" customWidth="1"/>
    <col min="13326" max="13326" width="9.28515625" style="3" bestFit="1" customWidth="1"/>
    <col min="13327" max="13327" width="7.85546875" style="3" bestFit="1" customWidth="1"/>
    <col min="13328" max="13328" width="17.85546875" style="3" bestFit="1" customWidth="1"/>
    <col min="13329" max="13329" width="4.42578125" style="3" bestFit="1" customWidth="1"/>
    <col min="13330" max="13330" width="4.85546875" style="3" bestFit="1" customWidth="1"/>
    <col min="13331" max="13331" width="8.7109375" style="3"/>
    <col min="13332" max="13332" width="11.42578125" style="3" bestFit="1" customWidth="1"/>
    <col min="13333" max="13571" width="8.7109375" style="3"/>
    <col min="13572" max="13572" width="5.5703125" style="3" bestFit="1" customWidth="1"/>
    <col min="13573" max="13573" width="10.5703125" style="3" bestFit="1" customWidth="1"/>
    <col min="13574" max="13574" width="24.5703125" style="3" bestFit="1" customWidth="1"/>
    <col min="13575" max="13575" width="73" style="3" bestFit="1" customWidth="1"/>
    <col min="13576" max="13577" width="7" style="3" bestFit="1" customWidth="1"/>
    <col min="13578" max="13578" width="9.42578125" style="3" bestFit="1" customWidth="1"/>
    <col min="13579" max="13580" width="7.85546875" style="3" bestFit="1" customWidth="1"/>
    <col min="13581" max="13581" width="10.85546875" style="3" bestFit="1" customWidth="1"/>
    <col min="13582" max="13582" width="9.28515625" style="3" bestFit="1" customWidth="1"/>
    <col min="13583" max="13583" width="7.85546875" style="3" bestFit="1" customWidth="1"/>
    <col min="13584" max="13584" width="17.85546875" style="3" bestFit="1" customWidth="1"/>
    <col min="13585" max="13585" width="4.42578125" style="3" bestFit="1" customWidth="1"/>
    <col min="13586" max="13586" width="4.85546875" style="3" bestFit="1" customWidth="1"/>
    <col min="13587" max="13587" width="8.7109375" style="3"/>
    <col min="13588" max="13588" width="11.42578125" style="3" bestFit="1" customWidth="1"/>
    <col min="13589" max="13827" width="8.7109375" style="3"/>
    <col min="13828" max="13828" width="5.5703125" style="3" bestFit="1" customWidth="1"/>
    <col min="13829" max="13829" width="10.5703125" style="3" bestFit="1" customWidth="1"/>
    <col min="13830" max="13830" width="24.5703125" style="3" bestFit="1" customWidth="1"/>
    <col min="13831" max="13831" width="73" style="3" bestFit="1" customWidth="1"/>
    <col min="13832" max="13833" width="7" style="3" bestFit="1" customWidth="1"/>
    <col min="13834" max="13834" width="9.42578125" style="3" bestFit="1" customWidth="1"/>
    <col min="13835" max="13836" width="7.85546875" style="3" bestFit="1" customWidth="1"/>
    <col min="13837" max="13837" width="10.85546875" style="3" bestFit="1" customWidth="1"/>
    <col min="13838" max="13838" width="9.28515625" style="3" bestFit="1" customWidth="1"/>
    <col min="13839" max="13839" width="7.85546875" style="3" bestFit="1" customWidth="1"/>
    <col min="13840" max="13840" width="17.85546875" style="3" bestFit="1" customWidth="1"/>
    <col min="13841" max="13841" width="4.42578125" style="3" bestFit="1" customWidth="1"/>
    <col min="13842" max="13842" width="4.85546875" style="3" bestFit="1" customWidth="1"/>
    <col min="13843" max="13843" width="8.7109375" style="3"/>
    <col min="13844" max="13844" width="11.42578125" style="3" bestFit="1" customWidth="1"/>
    <col min="13845" max="14083" width="8.7109375" style="3"/>
    <col min="14084" max="14084" width="5.5703125" style="3" bestFit="1" customWidth="1"/>
    <col min="14085" max="14085" width="10.5703125" style="3" bestFit="1" customWidth="1"/>
    <col min="14086" max="14086" width="24.5703125" style="3" bestFit="1" customWidth="1"/>
    <col min="14087" max="14087" width="73" style="3" bestFit="1" customWidth="1"/>
    <col min="14088" max="14089" width="7" style="3" bestFit="1" customWidth="1"/>
    <col min="14090" max="14090" width="9.42578125" style="3" bestFit="1" customWidth="1"/>
    <col min="14091" max="14092" width="7.85546875" style="3" bestFit="1" customWidth="1"/>
    <col min="14093" max="14093" width="10.85546875" style="3" bestFit="1" customWidth="1"/>
    <col min="14094" max="14094" width="9.28515625" style="3" bestFit="1" customWidth="1"/>
    <col min="14095" max="14095" width="7.85546875" style="3" bestFit="1" customWidth="1"/>
    <col min="14096" max="14096" width="17.85546875" style="3" bestFit="1" customWidth="1"/>
    <col min="14097" max="14097" width="4.42578125" style="3" bestFit="1" customWidth="1"/>
    <col min="14098" max="14098" width="4.85546875" style="3" bestFit="1" customWidth="1"/>
    <col min="14099" max="14099" width="8.7109375" style="3"/>
    <col min="14100" max="14100" width="11.42578125" style="3" bestFit="1" customWidth="1"/>
    <col min="14101" max="14339" width="8.7109375" style="3"/>
    <col min="14340" max="14340" width="5.5703125" style="3" bestFit="1" customWidth="1"/>
    <col min="14341" max="14341" width="10.5703125" style="3" bestFit="1" customWidth="1"/>
    <col min="14342" max="14342" width="24.5703125" style="3" bestFit="1" customWidth="1"/>
    <col min="14343" max="14343" width="73" style="3" bestFit="1" customWidth="1"/>
    <col min="14344" max="14345" width="7" style="3" bestFit="1" customWidth="1"/>
    <col min="14346" max="14346" width="9.42578125" style="3" bestFit="1" customWidth="1"/>
    <col min="14347" max="14348" width="7.85546875" style="3" bestFit="1" customWidth="1"/>
    <col min="14349" max="14349" width="10.85546875" style="3" bestFit="1" customWidth="1"/>
    <col min="14350" max="14350" width="9.28515625" style="3" bestFit="1" customWidth="1"/>
    <col min="14351" max="14351" width="7.85546875" style="3" bestFit="1" customWidth="1"/>
    <col min="14352" max="14352" width="17.85546875" style="3" bestFit="1" customWidth="1"/>
    <col min="14353" max="14353" width="4.42578125" style="3" bestFit="1" customWidth="1"/>
    <col min="14354" max="14354" width="4.85546875" style="3" bestFit="1" customWidth="1"/>
    <col min="14355" max="14355" width="8.7109375" style="3"/>
    <col min="14356" max="14356" width="11.42578125" style="3" bestFit="1" customWidth="1"/>
    <col min="14357" max="14595" width="8.7109375" style="3"/>
    <col min="14596" max="14596" width="5.5703125" style="3" bestFit="1" customWidth="1"/>
    <col min="14597" max="14597" width="10.5703125" style="3" bestFit="1" customWidth="1"/>
    <col min="14598" max="14598" width="24.5703125" style="3" bestFit="1" customWidth="1"/>
    <col min="14599" max="14599" width="73" style="3" bestFit="1" customWidth="1"/>
    <col min="14600" max="14601" width="7" style="3" bestFit="1" customWidth="1"/>
    <col min="14602" max="14602" width="9.42578125" style="3" bestFit="1" customWidth="1"/>
    <col min="14603" max="14604" width="7.85546875" style="3" bestFit="1" customWidth="1"/>
    <col min="14605" max="14605" width="10.85546875" style="3" bestFit="1" customWidth="1"/>
    <col min="14606" max="14606" width="9.28515625" style="3" bestFit="1" customWidth="1"/>
    <col min="14607" max="14607" width="7.85546875" style="3" bestFit="1" customWidth="1"/>
    <col min="14608" max="14608" width="17.85546875" style="3" bestFit="1" customWidth="1"/>
    <col min="14609" max="14609" width="4.42578125" style="3" bestFit="1" customWidth="1"/>
    <col min="14610" max="14610" width="4.85546875" style="3" bestFit="1" customWidth="1"/>
    <col min="14611" max="14611" width="8.7109375" style="3"/>
    <col min="14612" max="14612" width="11.42578125" style="3" bestFit="1" customWidth="1"/>
    <col min="14613" max="14851" width="8.7109375" style="3"/>
    <col min="14852" max="14852" width="5.5703125" style="3" bestFit="1" customWidth="1"/>
    <col min="14853" max="14853" width="10.5703125" style="3" bestFit="1" customWidth="1"/>
    <col min="14854" max="14854" width="24.5703125" style="3" bestFit="1" customWidth="1"/>
    <col min="14855" max="14855" width="73" style="3" bestFit="1" customWidth="1"/>
    <col min="14856" max="14857" width="7" style="3" bestFit="1" customWidth="1"/>
    <col min="14858" max="14858" width="9.42578125" style="3" bestFit="1" customWidth="1"/>
    <col min="14859" max="14860" width="7.85546875" style="3" bestFit="1" customWidth="1"/>
    <col min="14861" max="14861" width="10.85546875" style="3" bestFit="1" customWidth="1"/>
    <col min="14862" max="14862" width="9.28515625" style="3" bestFit="1" customWidth="1"/>
    <col min="14863" max="14863" width="7.85546875" style="3" bestFit="1" customWidth="1"/>
    <col min="14864" max="14864" width="17.85546875" style="3" bestFit="1" customWidth="1"/>
    <col min="14865" max="14865" width="4.42578125" style="3" bestFit="1" customWidth="1"/>
    <col min="14866" max="14866" width="4.85546875" style="3" bestFit="1" customWidth="1"/>
    <col min="14867" max="14867" width="8.7109375" style="3"/>
    <col min="14868" max="14868" width="11.42578125" style="3" bestFit="1" customWidth="1"/>
    <col min="14869" max="15107" width="8.7109375" style="3"/>
    <col min="15108" max="15108" width="5.5703125" style="3" bestFit="1" customWidth="1"/>
    <col min="15109" max="15109" width="10.5703125" style="3" bestFit="1" customWidth="1"/>
    <col min="15110" max="15110" width="24.5703125" style="3" bestFit="1" customWidth="1"/>
    <col min="15111" max="15111" width="73" style="3" bestFit="1" customWidth="1"/>
    <col min="15112" max="15113" width="7" style="3" bestFit="1" customWidth="1"/>
    <col min="15114" max="15114" width="9.42578125" style="3" bestFit="1" customWidth="1"/>
    <col min="15115" max="15116" width="7.85546875" style="3" bestFit="1" customWidth="1"/>
    <col min="15117" max="15117" width="10.85546875" style="3" bestFit="1" customWidth="1"/>
    <col min="15118" max="15118" width="9.28515625" style="3" bestFit="1" customWidth="1"/>
    <col min="15119" max="15119" width="7.85546875" style="3" bestFit="1" customWidth="1"/>
    <col min="15120" max="15120" width="17.85546875" style="3" bestFit="1" customWidth="1"/>
    <col min="15121" max="15121" width="4.42578125" style="3" bestFit="1" customWidth="1"/>
    <col min="15122" max="15122" width="4.85546875" style="3" bestFit="1" customWidth="1"/>
    <col min="15123" max="15123" width="8.7109375" style="3"/>
    <col min="15124" max="15124" width="11.42578125" style="3" bestFit="1" customWidth="1"/>
    <col min="15125" max="15363" width="8.7109375" style="3"/>
    <col min="15364" max="15364" width="5.5703125" style="3" bestFit="1" customWidth="1"/>
    <col min="15365" max="15365" width="10.5703125" style="3" bestFit="1" customWidth="1"/>
    <col min="15366" max="15366" width="24.5703125" style="3" bestFit="1" customWidth="1"/>
    <col min="15367" max="15367" width="73" style="3" bestFit="1" customWidth="1"/>
    <col min="15368" max="15369" width="7" style="3" bestFit="1" customWidth="1"/>
    <col min="15370" max="15370" width="9.42578125" style="3" bestFit="1" customWidth="1"/>
    <col min="15371" max="15372" width="7.85546875" style="3" bestFit="1" customWidth="1"/>
    <col min="15373" max="15373" width="10.85546875" style="3" bestFit="1" customWidth="1"/>
    <col min="15374" max="15374" width="9.28515625" style="3" bestFit="1" customWidth="1"/>
    <col min="15375" max="15375" width="7.85546875" style="3" bestFit="1" customWidth="1"/>
    <col min="15376" max="15376" width="17.85546875" style="3" bestFit="1" customWidth="1"/>
    <col min="15377" max="15377" width="4.42578125" style="3" bestFit="1" customWidth="1"/>
    <col min="15378" max="15378" width="4.85546875" style="3" bestFit="1" customWidth="1"/>
    <col min="15379" max="15379" width="8.7109375" style="3"/>
    <col min="15380" max="15380" width="11.42578125" style="3" bestFit="1" customWidth="1"/>
    <col min="15381" max="15619" width="8.7109375" style="3"/>
    <col min="15620" max="15620" width="5.5703125" style="3" bestFit="1" customWidth="1"/>
    <col min="15621" max="15621" width="10.5703125" style="3" bestFit="1" customWidth="1"/>
    <col min="15622" max="15622" width="24.5703125" style="3" bestFit="1" customWidth="1"/>
    <col min="15623" max="15623" width="73" style="3" bestFit="1" customWidth="1"/>
    <col min="15624" max="15625" width="7" style="3" bestFit="1" customWidth="1"/>
    <col min="15626" max="15626" width="9.42578125" style="3" bestFit="1" customWidth="1"/>
    <col min="15627" max="15628" width="7.85546875" style="3" bestFit="1" customWidth="1"/>
    <col min="15629" max="15629" width="10.85546875" style="3" bestFit="1" customWidth="1"/>
    <col min="15630" max="15630" width="9.28515625" style="3" bestFit="1" customWidth="1"/>
    <col min="15631" max="15631" width="7.85546875" style="3" bestFit="1" customWidth="1"/>
    <col min="15632" max="15632" width="17.85546875" style="3" bestFit="1" customWidth="1"/>
    <col min="15633" max="15633" width="4.42578125" style="3" bestFit="1" customWidth="1"/>
    <col min="15634" max="15634" width="4.85546875" style="3" bestFit="1" customWidth="1"/>
    <col min="15635" max="15635" width="8.7109375" style="3"/>
    <col min="15636" max="15636" width="11.42578125" style="3" bestFit="1" customWidth="1"/>
    <col min="15637" max="15875" width="8.7109375" style="3"/>
    <col min="15876" max="15876" width="5.5703125" style="3" bestFit="1" customWidth="1"/>
    <col min="15877" max="15877" width="10.5703125" style="3" bestFit="1" customWidth="1"/>
    <col min="15878" max="15878" width="24.5703125" style="3" bestFit="1" customWidth="1"/>
    <col min="15879" max="15879" width="73" style="3" bestFit="1" customWidth="1"/>
    <col min="15880" max="15881" width="7" style="3" bestFit="1" customWidth="1"/>
    <col min="15882" max="15882" width="9.42578125" style="3" bestFit="1" customWidth="1"/>
    <col min="15883" max="15884" width="7.85546875" style="3" bestFit="1" customWidth="1"/>
    <col min="15885" max="15885" width="10.85546875" style="3" bestFit="1" customWidth="1"/>
    <col min="15886" max="15886" width="9.28515625" style="3" bestFit="1" customWidth="1"/>
    <col min="15887" max="15887" width="7.85546875" style="3" bestFit="1" customWidth="1"/>
    <col min="15888" max="15888" width="17.85546875" style="3" bestFit="1" customWidth="1"/>
    <col min="15889" max="15889" width="4.42578125" style="3" bestFit="1" customWidth="1"/>
    <col min="15890" max="15890" width="4.85546875" style="3" bestFit="1" customWidth="1"/>
    <col min="15891" max="15891" width="8.7109375" style="3"/>
    <col min="15892" max="15892" width="11.42578125" style="3" bestFit="1" customWidth="1"/>
    <col min="15893" max="16131" width="8.7109375" style="3"/>
    <col min="16132" max="16132" width="5.5703125" style="3" bestFit="1" customWidth="1"/>
    <col min="16133" max="16133" width="10.5703125" style="3" bestFit="1" customWidth="1"/>
    <col min="16134" max="16134" width="24.5703125" style="3" bestFit="1" customWidth="1"/>
    <col min="16135" max="16135" width="73" style="3" bestFit="1" customWidth="1"/>
    <col min="16136" max="16137" width="7" style="3" bestFit="1" customWidth="1"/>
    <col min="16138" max="16138" width="9.42578125" style="3" bestFit="1" customWidth="1"/>
    <col min="16139" max="16140" width="7.85546875" style="3" bestFit="1" customWidth="1"/>
    <col min="16141" max="16141" width="10.85546875" style="3" bestFit="1" customWidth="1"/>
    <col min="16142" max="16142" width="9.28515625" style="3" bestFit="1" customWidth="1"/>
    <col min="16143" max="16143" width="7.85546875" style="3" bestFit="1" customWidth="1"/>
    <col min="16144" max="16144" width="17.85546875" style="3" bestFit="1" customWidth="1"/>
    <col min="16145" max="16145" width="4.42578125" style="3" bestFit="1" customWidth="1"/>
    <col min="16146" max="16146" width="4.85546875" style="3" bestFit="1" customWidth="1"/>
    <col min="16147" max="16147" width="8.7109375" style="3"/>
    <col min="16148" max="16148" width="11.42578125" style="3" bestFit="1" customWidth="1"/>
    <col min="16149" max="16384" width="8.7109375" style="3"/>
  </cols>
  <sheetData>
    <row r="2" spans="2:24" x14ac:dyDescent="0.25">
      <c r="B2" s="81" t="s">
        <v>77</v>
      </c>
      <c r="C2" s="81"/>
      <c r="D2" s="8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2:24" x14ac:dyDescent="0.25">
      <c r="B3" s="8"/>
      <c r="C3" s="8"/>
      <c r="D3" s="8"/>
    </row>
    <row r="4" spans="2:24" ht="50.25" x14ac:dyDescent="0.25">
      <c r="B4" s="101" t="s">
        <v>78</v>
      </c>
      <c r="C4" s="102" t="s">
        <v>79</v>
      </c>
      <c r="D4" s="101" t="s">
        <v>80</v>
      </c>
      <c r="E4" s="87" t="s">
        <v>81</v>
      </c>
      <c r="F4" s="87"/>
      <c r="G4" s="88" t="s">
        <v>158</v>
      </c>
      <c r="H4" s="88" t="s">
        <v>157</v>
      </c>
      <c r="I4" s="39"/>
      <c r="J4" s="39"/>
      <c r="K4" s="82" t="s">
        <v>82</v>
      </c>
      <c r="L4" s="82"/>
      <c r="M4" s="40"/>
      <c r="N4" s="82" t="s">
        <v>82</v>
      </c>
      <c r="O4" s="82"/>
      <c r="P4" s="82"/>
      <c r="Q4" s="22"/>
      <c r="V4" s="3" t="s">
        <v>83</v>
      </c>
    </row>
    <row r="5" spans="2:24" ht="13.5" hidden="1" thickBot="1" x14ac:dyDescent="0.3">
      <c r="B5" s="103"/>
      <c r="C5" s="104"/>
      <c r="D5" s="103"/>
      <c r="E5" s="91" t="s">
        <v>84</v>
      </c>
      <c r="F5" s="91" t="s">
        <v>85</v>
      </c>
      <c r="G5" s="91" t="s">
        <v>131</v>
      </c>
      <c r="H5" s="91"/>
      <c r="I5" s="41"/>
      <c r="J5" s="41"/>
      <c r="K5" s="41" t="s">
        <v>84</v>
      </c>
      <c r="L5" s="41" t="s">
        <v>85</v>
      </c>
      <c r="M5" s="41" t="s">
        <v>86</v>
      </c>
      <c r="N5" s="41" t="s">
        <v>87</v>
      </c>
      <c r="O5" s="41" t="s">
        <v>83</v>
      </c>
      <c r="P5" s="41" t="s">
        <v>88</v>
      </c>
      <c r="Q5" s="7"/>
      <c r="U5" s="3">
        <v>251.9</v>
      </c>
      <c r="V5" s="3">
        <v>45.34</v>
      </c>
    </row>
    <row r="6" spans="2:24" x14ac:dyDescent="0.2">
      <c r="B6" s="103" t="s">
        <v>30</v>
      </c>
      <c r="C6" s="90" t="s">
        <v>89</v>
      </c>
      <c r="D6" s="89" t="s">
        <v>90</v>
      </c>
      <c r="E6" s="92">
        <f>'[2]Monthly CF'!D50</f>
        <v>1418</v>
      </c>
      <c r="F6" s="92">
        <f>'[2]Monthly CF'!D59</f>
        <v>764</v>
      </c>
      <c r="G6" s="93">
        <f>1139920</f>
        <v>1139920</v>
      </c>
      <c r="H6" s="93">
        <v>1150000</v>
      </c>
      <c r="I6" s="11"/>
      <c r="J6" s="11"/>
      <c r="K6" s="11">
        <f>(E6*$G6)</f>
        <v>1616406560</v>
      </c>
      <c r="L6" s="11">
        <f>(F6*$G6)</f>
        <v>870898880</v>
      </c>
      <c r="M6" s="68">
        <f t="shared" ref="M6:M11" si="0">E6+F6</f>
        <v>2182</v>
      </c>
      <c r="N6" s="11">
        <f>M6*G6</f>
        <v>2487305440</v>
      </c>
      <c r="O6" s="11">
        <f t="shared" ref="O6:O11" si="1">N6*18%</f>
        <v>447714979.19999999</v>
      </c>
      <c r="P6" s="11">
        <f t="shared" ref="P6:P11" si="2">N6+O6</f>
        <v>2935020419.1999998</v>
      </c>
      <c r="Q6" s="44"/>
      <c r="U6" s="3">
        <v>2.08</v>
      </c>
      <c r="V6" s="3">
        <v>0.38</v>
      </c>
      <c r="X6" s="1" t="s">
        <v>154</v>
      </c>
    </row>
    <row r="7" spans="2:24" x14ac:dyDescent="0.2">
      <c r="B7" s="103" t="s">
        <v>30</v>
      </c>
      <c r="C7" s="90" t="s">
        <v>91</v>
      </c>
      <c r="D7" s="94" t="s">
        <v>92</v>
      </c>
      <c r="E7" s="92">
        <v>0</v>
      </c>
      <c r="F7" s="92">
        <v>195</v>
      </c>
      <c r="G7" s="93">
        <f>106900</f>
        <v>106900</v>
      </c>
      <c r="H7" s="93">
        <v>100000</v>
      </c>
      <c r="I7" s="11"/>
      <c r="J7" s="11"/>
      <c r="K7" s="11">
        <f t="shared" ref="K7:L11" si="3">(E7*$G7)/100</f>
        <v>0</v>
      </c>
      <c r="L7" s="11">
        <f t="shared" si="3"/>
        <v>208455</v>
      </c>
      <c r="M7" s="68">
        <f t="shared" si="0"/>
        <v>195</v>
      </c>
      <c r="N7" s="11">
        <f t="shared" ref="N7:N11" si="4">M7*G7</f>
        <v>20845500</v>
      </c>
      <c r="O7" s="11">
        <f t="shared" si="1"/>
        <v>3752190</v>
      </c>
      <c r="P7" s="11">
        <f t="shared" si="2"/>
        <v>24597690</v>
      </c>
      <c r="Q7" s="44"/>
      <c r="U7" s="3">
        <v>5.46</v>
      </c>
      <c r="V7" s="3">
        <v>0.98</v>
      </c>
      <c r="X7" s="1" t="s">
        <v>154</v>
      </c>
    </row>
    <row r="8" spans="2:24" x14ac:dyDescent="0.2">
      <c r="B8" s="103" t="s">
        <v>30</v>
      </c>
      <c r="C8" s="90" t="s">
        <v>93</v>
      </c>
      <c r="D8" s="94" t="s">
        <v>94</v>
      </c>
      <c r="E8" s="92">
        <v>1418</v>
      </c>
      <c r="F8" s="92">
        <v>569</v>
      </c>
      <c r="G8" s="93">
        <f>27500</f>
        <v>27500</v>
      </c>
      <c r="H8" s="93">
        <v>27800</v>
      </c>
      <c r="I8" s="11"/>
      <c r="J8" s="11"/>
      <c r="K8" s="11">
        <f t="shared" si="3"/>
        <v>389950</v>
      </c>
      <c r="L8" s="11">
        <f t="shared" si="3"/>
        <v>156475</v>
      </c>
      <c r="M8" s="68">
        <f t="shared" si="0"/>
        <v>1987</v>
      </c>
      <c r="N8" s="11">
        <f t="shared" si="4"/>
        <v>54642500</v>
      </c>
      <c r="O8" s="11">
        <f t="shared" si="1"/>
        <v>9835650</v>
      </c>
      <c r="P8" s="11">
        <f t="shared" si="2"/>
        <v>64478150</v>
      </c>
      <c r="Q8" s="44"/>
      <c r="U8" s="3">
        <v>46.69</v>
      </c>
      <c r="V8" s="3">
        <v>8.41</v>
      </c>
      <c r="X8" s="1" t="s">
        <v>154</v>
      </c>
    </row>
    <row r="9" spans="2:24" x14ac:dyDescent="0.25">
      <c r="B9" s="103" t="s">
        <v>30</v>
      </c>
      <c r="C9" s="90" t="s">
        <v>95</v>
      </c>
      <c r="D9" s="94" t="s">
        <v>96</v>
      </c>
      <c r="E9" s="92">
        <v>1418</v>
      </c>
      <c r="F9" s="92">
        <v>569</v>
      </c>
      <c r="G9" s="93">
        <f>235000</f>
        <v>235000</v>
      </c>
      <c r="H9" s="93">
        <v>300000</v>
      </c>
      <c r="I9" s="11"/>
      <c r="J9" s="11"/>
      <c r="K9" s="11">
        <f t="shared" si="3"/>
        <v>3332300</v>
      </c>
      <c r="L9" s="11">
        <f t="shared" si="3"/>
        <v>1337150</v>
      </c>
      <c r="M9" s="68">
        <f t="shared" si="0"/>
        <v>1987</v>
      </c>
      <c r="N9" s="11">
        <f t="shared" si="4"/>
        <v>466945000</v>
      </c>
      <c r="O9" s="11">
        <f t="shared" si="1"/>
        <v>84050100</v>
      </c>
      <c r="P9" s="11">
        <f t="shared" si="2"/>
        <v>550995100</v>
      </c>
      <c r="Q9" s="44"/>
      <c r="U9" s="3">
        <v>6.34</v>
      </c>
      <c r="V9" s="3">
        <v>1.1399999999999999</v>
      </c>
      <c r="X9" s="3" t="s">
        <v>155</v>
      </c>
    </row>
    <row r="10" spans="2:24" x14ac:dyDescent="0.2">
      <c r="B10" s="103" t="s">
        <v>30</v>
      </c>
      <c r="C10" s="90" t="s">
        <v>97</v>
      </c>
      <c r="D10" s="94" t="s">
        <v>98</v>
      </c>
      <c r="E10" s="92">
        <v>0</v>
      </c>
      <c r="F10" s="92">
        <v>195</v>
      </c>
      <c r="G10" s="93">
        <f>325000</f>
        <v>325000</v>
      </c>
      <c r="H10" s="93">
        <v>280000</v>
      </c>
      <c r="I10" s="11"/>
      <c r="J10" s="11"/>
      <c r="K10" s="11">
        <f t="shared" si="3"/>
        <v>0</v>
      </c>
      <c r="L10" s="11">
        <f t="shared" si="3"/>
        <v>633750</v>
      </c>
      <c r="M10" s="68">
        <f t="shared" si="0"/>
        <v>195</v>
      </c>
      <c r="N10" s="11">
        <f t="shared" si="4"/>
        <v>63375000</v>
      </c>
      <c r="O10" s="11">
        <f t="shared" si="1"/>
        <v>11407500</v>
      </c>
      <c r="P10" s="11">
        <f t="shared" si="2"/>
        <v>74782500</v>
      </c>
      <c r="Q10" s="44"/>
      <c r="U10" s="3">
        <v>1.17</v>
      </c>
      <c r="V10" s="3">
        <v>0.21</v>
      </c>
      <c r="X10" s="1" t="s">
        <v>154</v>
      </c>
    </row>
    <row r="11" spans="2:24" x14ac:dyDescent="0.2">
      <c r="B11" s="103" t="s">
        <v>30</v>
      </c>
      <c r="C11" s="90" t="s">
        <v>99</v>
      </c>
      <c r="D11" s="94" t="s">
        <v>100</v>
      </c>
      <c r="E11" s="92">
        <v>1418</v>
      </c>
      <c r="F11" s="92">
        <v>925</v>
      </c>
      <c r="G11" s="93">
        <f>5000</f>
        <v>5000</v>
      </c>
      <c r="H11" s="93">
        <v>5000</v>
      </c>
      <c r="I11" s="11"/>
      <c r="J11" s="11"/>
      <c r="K11" s="11">
        <f t="shared" si="3"/>
        <v>70900</v>
      </c>
      <c r="L11" s="11">
        <f t="shared" si="3"/>
        <v>46250</v>
      </c>
      <c r="M11" s="68">
        <f t="shared" si="0"/>
        <v>2343</v>
      </c>
      <c r="N11" s="11">
        <f t="shared" si="4"/>
        <v>11715000</v>
      </c>
      <c r="O11" s="11">
        <f t="shared" si="1"/>
        <v>2108700</v>
      </c>
      <c r="P11" s="11">
        <f t="shared" si="2"/>
        <v>13823700</v>
      </c>
      <c r="Q11" s="44"/>
      <c r="U11" s="3">
        <f>SUM(U5:U10)</f>
        <v>313.64</v>
      </c>
      <c r="V11" s="3">
        <f>SUM(V5:V10)</f>
        <v>56.46</v>
      </c>
      <c r="X11" s="1" t="s">
        <v>154</v>
      </c>
    </row>
    <row r="12" spans="2:24" s="50" customFormat="1" ht="15" customHeight="1" x14ac:dyDescent="0.25">
      <c r="B12" s="98" t="s">
        <v>151</v>
      </c>
      <c r="C12" s="99"/>
      <c r="D12" s="100"/>
      <c r="E12" s="96"/>
      <c r="F12" s="96"/>
      <c r="G12" s="97">
        <f>SUM(G6:G11)</f>
        <v>1839320</v>
      </c>
      <c r="H12" s="97">
        <f>SUM(H6:H11)</f>
        <v>1862800</v>
      </c>
      <c r="I12" s="66"/>
      <c r="J12" s="66"/>
      <c r="K12" s="66">
        <f>SUM(K6:K11)</f>
        <v>1620199710</v>
      </c>
      <c r="L12" s="66">
        <f>SUM(L6:L11)</f>
        <v>873280960</v>
      </c>
      <c r="M12" s="69"/>
      <c r="N12" s="66">
        <f>SUM(N6:N11)</f>
        <v>3104828440</v>
      </c>
      <c r="O12" s="66">
        <f>SUM(O6:O11)</f>
        <v>558869119.20000005</v>
      </c>
      <c r="P12" s="66">
        <f>SUM(P6:P11)</f>
        <v>3663697559.1999998</v>
      </c>
      <c r="Q12" s="48"/>
      <c r="R12" s="49">
        <f>P12/P$46</f>
        <v>0.43737423369666628</v>
      </c>
    </row>
    <row r="13" spans="2:24" s="50" customFormat="1" x14ac:dyDescent="0.25">
      <c r="B13" s="8"/>
      <c r="C13" s="51"/>
      <c r="D13" s="8"/>
      <c r="E13" s="52"/>
      <c r="F13" s="52"/>
      <c r="G13" s="13"/>
      <c r="H13" s="13"/>
      <c r="I13" s="13"/>
      <c r="J13" s="13"/>
      <c r="K13" s="13"/>
      <c r="L13" s="13"/>
      <c r="M13" s="71"/>
      <c r="N13" s="13"/>
      <c r="O13" s="13"/>
      <c r="P13" s="13"/>
      <c r="Q13" s="48"/>
      <c r="R13" s="49"/>
    </row>
    <row r="14" spans="2:24" s="50" customFormat="1" x14ac:dyDescent="0.25">
      <c r="B14" s="8"/>
      <c r="C14" s="51" t="s">
        <v>153</v>
      </c>
      <c r="D14" s="8" t="s">
        <v>156</v>
      </c>
      <c r="E14" s="52"/>
      <c r="F14" s="52"/>
      <c r="G14" s="13"/>
      <c r="H14" s="13"/>
      <c r="I14" s="13"/>
      <c r="J14" s="13"/>
      <c r="K14" s="13"/>
      <c r="L14" s="13"/>
      <c r="M14" s="71"/>
      <c r="N14" s="13"/>
      <c r="O14" s="13"/>
      <c r="P14" s="13"/>
      <c r="Q14" s="48"/>
      <c r="R14" s="49"/>
    </row>
    <row r="15" spans="2:24" s="50" customFormat="1" x14ac:dyDescent="0.25">
      <c r="B15" s="8"/>
      <c r="C15" s="51"/>
      <c r="D15" s="8"/>
      <c r="E15" s="52"/>
      <c r="F15" s="52"/>
      <c r="G15" s="13"/>
      <c r="H15" s="13"/>
      <c r="I15" s="13"/>
      <c r="J15" s="13"/>
      <c r="K15" s="13"/>
      <c r="L15" s="13"/>
      <c r="M15" s="71"/>
      <c r="N15" s="13"/>
      <c r="O15" s="13"/>
      <c r="P15" s="13"/>
      <c r="Q15" s="48"/>
      <c r="R15" s="49"/>
    </row>
    <row r="16" spans="2:24" s="50" customFormat="1" x14ac:dyDescent="0.25">
      <c r="B16" s="8"/>
      <c r="C16" s="51"/>
      <c r="D16" s="8"/>
      <c r="E16" s="52"/>
      <c r="F16" s="52"/>
      <c r="G16" s="13"/>
      <c r="H16" s="13"/>
      <c r="I16" s="13"/>
      <c r="J16" s="13"/>
      <c r="K16" s="13"/>
      <c r="L16" s="13"/>
      <c r="M16" s="71"/>
      <c r="N16" s="13"/>
      <c r="O16" s="13"/>
      <c r="P16" s="13"/>
      <c r="Q16" s="48"/>
      <c r="R16" s="49"/>
    </row>
    <row r="17" spans="2:18" s="50" customFormat="1" x14ac:dyDescent="0.25">
      <c r="B17" s="8"/>
      <c r="C17" s="51"/>
      <c r="D17" s="8"/>
      <c r="E17" s="52"/>
      <c r="F17" s="52"/>
      <c r="G17" s="13"/>
      <c r="H17" s="13"/>
      <c r="I17" s="13"/>
      <c r="J17" s="13"/>
      <c r="K17" s="13"/>
      <c r="L17" s="13"/>
      <c r="M17" s="71"/>
      <c r="N17" s="13"/>
      <c r="O17" s="13"/>
      <c r="P17" s="13"/>
      <c r="Q17" s="48"/>
      <c r="R17" s="49"/>
    </row>
    <row r="18" spans="2:18" s="50" customFormat="1" x14ac:dyDescent="0.25">
      <c r="B18" s="8"/>
      <c r="C18" s="51"/>
      <c r="D18" s="8"/>
      <c r="E18" s="52"/>
      <c r="F18" s="52"/>
      <c r="G18" s="13"/>
      <c r="H18" s="13"/>
      <c r="I18" s="13"/>
      <c r="J18" s="13"/>
      <c r="K18" s="13"/>
      <c r="L18" s="13"/>
      <c r="M18" s="71"/>
      <c r="N18" s="13"/>
      <c r="O18" s="13"/>
      <c r="P18" s="13"/>
      <c r="Q18" s="48"/>
      <c r="R18" s="49"/>
    </row>
    <row r="19" spans="2:18" s="50" customFormat="1" x14ac:dyDescent="0.25">
      <c r="B19" s="8"/>
      <c r="C19" s="51"/>
      <c r="D19" s="8"/>
      <c r="E19" s="52"/>
      <c r="F19" s="52"/>
      <c r="G19" s="13"/>
      <c r="H19" s="13"/>
      <c r="I19" s="13"/>
      <c r="J19" s="13"/>
      <c r="K19" s="13"/>
      <c r="L19" s="13"/>
      <c r="M19" s="71"/>
      <c r="N19" s="13"/>
      <c r="O19" s="13"/>
      <c r="P19" s="13"/>
      <c r="Q19" s="48"/>
      <c r="R19" s="49"/>
    </row>
    <row r="20" spans="2:18" s="50" customFormat="1" x14ac:dyDescent="0.25">
      <c r="B20" s="8"/>
      <c r="C20" s="51"/>
      <c r="D20" s="8"/>
      <c r="E20" s="52"/>
      <c r="F20" s="52"/>
      <c r="G20" s="13"/>
      <c r="H20" s="13"/>
      <c r="I20" s="13"/>
      <c r="J20" s="13"/>
      <c r="K20" s="13"/>
      <c r="L20" s="13"/>
      <c r="M20" s="71"/>
      <c r="N20" s="13"/>
      <c r="O20" s="13"/>
      <c r="P20" s="13"/>
      <c r="Q20" s="48"/>
      <c r="R20" s="49"/>
    </row>
    <row r="21" spans="2:18" s="50" customFormat="1" x14ac:dyDescent="0.25">
      <c r="B21" s="8"/>
      <c r="C21" s="51"/>
      <c r="D21" s="8"/>
      <c r="E21" s="52"/>
      <c r="F21" s="52"/>
      <c r="G21" s="13"/>
      <c r="H21" s="13"/>
      <c r="I21" s="13"/>
      <c r="J21" s="13"/>
      <c r="K21" s="13"/>
      <c r="L21" s="13"/>
      <c r="M21" s="71"/>
      <c r="N21" s="13"/>
      <c r="O21" s="13"/>
      <c r="P21" s="13"/>
      <c r="Q21" s="48"/>
      <c r="R21" s="49"/>
    </row>
    <row r="22" spans="2:18" s="50" customFormat="1" x14ac:dyDescent="0.25">
      <c r="B22" s="8"/>
      <c r="C22" s="51"/>
      <c r="D22" s="8"/>
      <c r="E22" s="52"/>
      <c r="F22" s="52"/>
      <c r="G22" s="13"/>
      <c r="H22" s="13"/>
      <c r="I22" s="13"/>
      <c r="J22" s="13"/>
      <c r="K22" s="13"/>
      <c r="L22" s="13"/>
      <c r="M22" s="71"/>
      <c r="N22" s="13"/>
      <c r="O22" s="13"/>
      <c r="P22" s="13"/>
      <c r="Q22" s="48"/>
      <c r="R22" s="49"/>
    </row>
    <row r="23" spans="2:18" x14ac:dyDescent="0.25">
      <c r="D23" s="8"/>
      <c r="E23" s="43"/>
      <c r="F23" s="43"/>
      <c r="G23" s="11"/>
      <c r="H23" s="11"/>
      <c r="I23" s="11"/>
      <c r="J23" s="11"/>
      <c r="K23" s="11"/>
      <c r="L23" s="11"/>
      <c r="M23" s="68"/>
      <c r="N23" s="11"/>
      <c r="O23" s="11"/>
      <c r="P23" s="11"/>
      <c r="Q23" s="44"/>
    </row>
    <row r="24" spans="2:18" s="50" customFormat="1" x14ac:dyDescent="0.25">
      <c r="B24" s="8"/>
      <c r="C24" s="51"/>
      <c r="D24" s="8"/>
      <c r="E24" s="52"/>
      <c r="F24" s="52"/>
      <c r="G24" s="67"/>
      <c r="H24" s="67"/>
      <c r="I24" s="67"/>
      <c r="J24" s="67"/>
      <c r="K24" s="70"/>
      <c r="L24" s="70"/>
      <c r="M24" s="71"/>
      <c r="N24" s="71"/>
      <c r="O24" s="71"/>
      <c r="P24" s="71"/>
      <c r="Q24" s="48"/>
      <c r="R24" s="3"/>
    </row>
    <row r="25" spans="2:18" x14ac:dyDescent="0.25">
      <c r="B25" s="9" t="s">
        <v>39</v>
      </c>
      <c r="C25" s="42" t="s">
        <v>89</v>
      </c>
      <c r="D25" s="9" t="s">
        <v>101</v>
      </c>
      <c r="E25" s="43">
        <v>1418</v>
      </c>
      <c r="F25" s="43">
        <v>764</v>
      </c>
      <c r="G25" s="11">
        <f>10000</f>
        <v>10000</v>
      </c>
      <c r="H25" s="11"/>
      <c r="I25" s="11"/>
      <c r="J25" s="11"/>
      <c r="K25" s="11">
        <f t="shared" ref="K25:L30" si="5">(E25*$G25)/100</f>
        <v>141800</v>
      </c>
      <c r="L25" s="11">
        <f t="shared" si="5"/>
        <v>76400</v>
      </c>
      <c r="M25" s="68">
        <f t="shared" ref="M25:M30" si="6">E25+F25</f>
        <v>2182</v>
      </c>
      <c r="N25" s="11">
        <f t="shared" ref="N25:N30" si="7">M25*G25</f>
        <v>21820000</v>
      </c>
      <c r="O25" s="11">
        <f t="shared" ref="O25:O30" si="8">N25*18%</f>
        <v>3927600</v>
      </c>
      <c r="P25" s="11">
        <f t="shared" ref="P25:P30" si="9">N25+O25</f>
        <v>25747600</v>
      </c>
      <c r="Q25" s="44"/>
    </row>
    <row r="26" spans="2:18" x14ac:dyDescent="0.25">
      <c r="B26" s="9" t="s">
        <v>39</v>
      </c>
      <c r="C26" s="42" t="s">
        <v>91</v>
      </c>
      <c r="D26" s="9" t="s">
        <v>102</v>
      </c>
      <c r="E26" s="43">
        <v>0</v>
      </c>
      <c r="F26" s="43">
        <v>195</v>
      </c>
      <c r="G26" s="67">
        <f>4000</f>
        <v>4000</v>
      </c>
      <c r="H26" s="67"/>
      <c r="I26" s="67"/>
      <c r="J26" s="67"/>
      <c r="K26" s="11">
        <f t="shared" si="5"/>
        <v>0</v>
      </c>
      <c r="L26" s="11">
        <f t="shared" si="5"/>
        <v>7800</v>
      </c>
      <c r="M26" s="68">
        <f t="shared" si="6"/>
        <v>195</v>
      </c>
      <c r="N26" s="11">
        <f t="shared" si="7"/>
        <v>780000</v>
      </c>
      <c r="O26" s="11">
        <f t="shared" si="8"/>
        <v>140400</v>
      </c>
      <c r="P26" s="11">
        <f t="shared" si="9"/>
        <v>920400</v>
      </c>
      <c r="Q26" s="44"/>
    </row>
    <row r="27" spans="2:18" x14ac:dyDescent="0.25">
      <c r="B27" s="9" t="s">
        <v>39</v>
      </c>
      <c r="C27" s="42" t="s">
        <v>93</v>
      </c>
      <c r="D27" s="9" t="s">
        <v>103</v>
      </c>
      <c r="E27" s="43">
        <v>1418</v>
      </c>
      <c r="F27" s="43">
        <v>569</v>
      </c>
      <c r="G27" s="67">
        <f>2500</f>
        <v>2500</v>
      </c>
      <c r="H27" s="67"/>
      <c r="I27" s="67"/>
      <c r="J27" s="67"/>
      <c r="K27" s="11">
        <f t="shared" si="5"/>
        <v>35450</v>
      </c>
      <c r="L27" s="11">
        <f t="shared" si="5"/>
        <v>14225</v>
      </c>
      <c r="M27" s="68">
        <f t="shared" si="6"/>
        <v>1987</v>
      </c>
      <c r="N27" s="11">
        <f t="shared" si="7"/>
        <v>4967500</v>
      </c>
      <c r="O27" s="11">
        <f t="shared" si="8"/>
        <v>894150</v>
      </c>
      <c r="P27" s="11">
        <f t="shared" si="9"/>
        <v>5861650</v>
      </c>
      <c r="Q27" s="44"/>
    </row>
    <row r="28" spans="2:18" x14ac:dyDescent="0.25">
      <c r="B28" s="9" t="s">
        <v>39</v>
      </c>
      <c r="C28" s="42" t="s">
        <v>95</v>
      </c>
      <c r="D28" s="9" t="s">
        <v>104</v>
      </c>
      <c r="E28" s="43">
        <v>1418</v>
      </c>
      <c r="F28" s="43">
        <v>569</v>
      </c>
      <c r="G28" s="67">
        <f>55000</f>
        <v>55000</v>
      </c>
      <c r="H28" s="67"/>
      <c r="I28" s="67"/>
      <c r="J28" s="67"/>
      <c r="K28" s="11">
        <f t="shared" si="5"/>
        <v>779900</v>
      </c>
      <c r="L28" s="11">
        <f t="shared" si="5"/>
        <v>312950</v>
      </c>
      <c r="M28" s="68">
        <f t="shared" si="6"/>
        <v>1987</v>
      </c>
      <c r="N28" s="11">
        <f t="shared" si="7"/>
        <v>109285000</v>
      </c>
      <c r="O28" s="11">
        <f t="shared" si="8"/>
        <v>19671300</v>
      </c>
      <c r="P28" s="11">
        <f t="shared" si="9"/>
        <v>128956300</v>
      </c>
      <c r="Q28" s="44"/>
    </row>
    <row r="29" spans="2:18" x14ac:dyDescent="0.25">
      <c r="B29" s="9" t="s">
        <v>39</v>
      </c>
      <c r="C29" s="42" t="s">
        <v>97</v>
      </c>
      <c r="D29" s="9" t="s">
        <v>105</v>
      </c>
      <c r="E29" s="43">
        <v>0</v>
      </c>
      <c r="F29" s="43">
        <v>195</v>
      </c>
      <c r="G29" s="67">
        <f>15000</f>
        <v>15000</v>
      </c>
      <c r="H29" s="67"/>
      <c r="I29" s="67"/>
      <c r="J29" s="67"/>
      <c r="K29" s="11">
        <f t="shared" si="5"/>
        <v>0</v>
      </c>
      <c r="L29" s="11">
        <f t="shared" si="5"/>
        <v>29250</v>
      </c>
      <c r="M29" s="68">
        <f t="shared" si="6"/>
        <v>195</v>
      </c>
      <c r="N29" s="11">
        <f t="shared" si="7"/>
        <v>2925000</v>
      </c>
      <c r="O29" s="11">
        <f t="shared" si="8"/>
        <v>526500</v>
      </c>
      <c r="P29" s="11">
        <f t="shared" si="9"/>
        <v>3451500</v>
      </c>
      <c r="Q29" s="44"/>
    </row>
    <row r="30" spans="2:18" x14ac:dyDescent="0.25">
      <c r="B30" s="9" t="s">
        <v>39</v>
      </c>
      <c r="C30" s="42" t="s">
        <v>99</v>
      </c>
      <c r="D30" s="9" t="s">
        <v>106</v>
      </c>
      <c r="E30" s="43">
        <v>1418</v>
      </c>
      <c r="F30" s="43">
        <v>925</v>
      </c>
      <c r="G30" s="67">
        <f>3000</f>
        <v>3000</v>
      </c>
      <c r="H30" s="67"/>
      <c r="I30" s="67"/>
      <c r="J30" s="67"/>
      <c r="K30" s="11">
        <f t="shared" si="5"/>
        <v>42540</v>
      </c>
      <c r="L30" s="11">
        <f t="shared" si="5"/>
        <v>27750</v>
      </c>
      <c r="M30" s="68">
        <f t="shared" si="6"/>
        <v>2343</v>
      </c>
      <c r="N30" s="11">
        <f t="shared" si="7"/>
        <v>7029000</v>
      </c>
      <c r="O30" s="11">
        <f t="shared" si="8"/>
        <v>1265220</v>
      </c>
      <c r="P30" s="11">
        <f t="shared" si="9"/>
        <v>8294220</v>
      </c>
      <c r="Q30" s="44"/>
    </row>
    <row r="31" spans="2:18" s="50" customFormat="1" x14ac:dyDescent="0.25">
      <c r="B31" s="6"/>
      <c r="C31" s="45"/>
      <c r="D31" s="6" t="s">
        <v>107</v>
      </c>
      <c r="E31" s="46"/>
      <c r="F31" s="46"/>
      <c r="G31" s="66"/>
      <c r="H31" s="66"/>
      <c r="I31" s="66"/>
      <c r="J31" s="66"/>
      <c r="K31" s="66">
        <f>SUM(K25:K30)</f>
        <v>999690</v>
      </c>
      <c r="L31" s="66">
        <f>SUM(L25:L30)</f>
        <v>468375</v>
      </c>
      <c r="M31" s="69"/>
      <c r="N31" s="66">
        <f>SUM(N25:N30)</f>
        <v>146806500</v>
      </c>
      <c r="O31" s="66">
        <f>SUM(O25:O30)</f>
        <v>26425170</v>
      </c>
      <c r="P31" s="66">
        <f>SUM(P25:P30)</f>
        <v>173231670</v>
      </c>
      <c r="Q31" s="48"/>
      <c r="R31" s="49">
        <f>P31/P$46</f>
        <v>2.0680492233313103E-2</v>
      </c>
    </row>
    <row r="32" spans="2:18" s="50" customFormat="1" x14ac:dyDescent="0.25">
      <c r="B32" s="8"/>
      <c r="C32" s="51"/>
      <c r="D32" s="8"/>
      <c r="E32" s="52"/>
      <c r="F32" s="52"/>
      <c r="G32" s="13"/>
      <c r="H32" s="13"/>
      <c r="I32" s="13"/>
      <c r="J32" s="13"/>
      <c r="K32" s="13"/>
      <c r="L32" s="13"/>
      <c r="M32" s="71"/>
      <c r="N32" s="13"/>
      <c r="O32" s="13"/>
      <c r="P32" s="13"/>
      <c r="Q32" s="48"/>
      <c r="R32" s="49"/>
    </row>
    <row r="33" spans="2:20" s="50" customFormat="1" x14ac:dyDescent="0.25">
      <c r="B33" s="8"/>
      <c r="C33" s="51"/>
      <c r="D33" s="8"/>
      <c r="E33" s="52"/>
      <c r="F33" s="52"/>
      <c r="G33" s="13">
        <f>SUM(G6:G30)</f>
        <v>3768140</v>
      </c>
      <c r="H33" s="13"/>
      <c r="I33" s="13"/>
      <c r="J33" s="13"/>
      <c r="K33" s="13"/>
      <c r="L33" s="13"/>
      <c r="M33" s="71"/>
      <c r="N33" s="13"/>
      <c r="O33" s="13"/>
      <c r="P33" s="13"/>
      <c r="Q33" s="48"/>
      <c r="R33" s="49"/>
    </row>
    <row r="34" spans="2:20" s="50" customFormat="1" x14ac:dyDescent="0.25">
      <c r="B34" s="8"/>
      <c r="C34" s="51"/>
      <c r="D34" s="8"/>
      <c r="E34" s="52"/>
      <c r="F34" s="52"/>
      <c r="G34" s="13"/>
      <c r="H34" s="13"/>
      <c r="I34" s="13"/>
      <c r="J34" s="13"/>
      <c r="K34" s="13"/>
      <c r="L34" s="13"/>
      <c r="M34" s="71"/>
      <c r="N34" s="13"/>
      <c r="O34" s="13"/>
      <c r="P34" s="13"/>
      <c r="Q34" s="48"/>
      <c r="R34" s="49"/>
    </row>
    <row r="35" spans="2:20" s="50" customFormat="1" x14ac:dyDescent="0.25">
      <c r="B35" s="8"/>
      <c r="E35" s="52"/>
      <c r="F35" s="52"/>
      <c r="G35" s="13"/>
      <c r="H35" s="13"/>
      <c r="I35" s="13"/>
      <c r="J35" s="13"/>
      <c r="K35" s="13"/>
      <c r="L35" s="13"/>
      <c r="M35" s="71"/>
      <c r="N35" s="13"/>
      <c r="O35" s="13"/>
      <c r="P35" s="13"/>
      <c r="Q35" s="48"/>
      <c r="R35" s="49"/>
    </row>
    <row r="36" spans="2:20" s="50" customFormat="1" x14ac:dyDescent="0.25">
      <c r="B36" s="8"/>
      <c r="C36" s="51"/>
      <c r="D36" s="8"/>
      <c r="E36" s="52"/>
      <c r="F36" s="52"/>
      <c r="G36" s="13"/>
      <c r="H36" s="13"/>
      <c r="I36" s="13"/>
      <c r="J36" s="13"/>
      <c r="K36" s="13"/>
      <c r="L36" s="13"/>
      <c r="M36" s="71"/>
      <c r="N36" s="13"/>
      <c r="O36" s="13"/>
      <c r="P36" s="13"/>
      <c r="Q36" s="48"/>
      <c r="R36" s="49"/>
    </row>
    <row r="37" spans="2:20" x14ac:dyDescent="0.25">
      <c r="B37" s="9" t="s">
        <v>108</v>
      </c>
      <c r="C37" s="42" t="s">
        <v>109</v>
      </c>
      <c r="D37" s="9" t="s">
        <v>110</v>
      </c>
      <c r="E37" s="43">
        <v>1418</v>
      </c>
      <c r="F37" s="43">
        <v>764</v>
      </c>
      <c r="G37" s="11">
        <f>324000</f>
        <v>324000</v>
      </c>
      <c r="H37" s="11"/>
      <c r="I37" s="11"/>
      <c r="J37" s="11"/>
      <c r="K37" s="11">
        <f t="shared" ref="K37:L39" si="10">(E37*$G37)/100</f>
        <v>4594320</v>
      </c>
      <c r="L37" s="11">
        <f t="shared" si="10"/>
        <v>2475360</v>
      </c>
      <c r="M37" s="68">
        <f>E37+F37</f>
        <v>2182</v>
      </c>
      <c r="N37" s="11">
        <f t="shared" ref="N37:N39" si="11">M37*G37</f>
        <v>706968000</v>
      </c>
      <c r="O37" s="11">
        <f>N37*18%</f>
        <v>127254240</v>
      </c>
      <c r="P37" s="11">
        <f>N37+O37</f>
        <v>834222240</v>
      </c>
      <c r="Q37" s="44"/>
      <c r="T37" s="54"/>
    </row>
    <row r="38" spans="2:20" x14ac:dyDescent="0.25">
      <c r="B38" s="9" t="s">
        <v>108</v>
      </c>
      <c r="C38" s="42" t="s">
        <v>109</v>
      </c>
      <c r="D38" s="9" t="s">
        <v>111</v>
      </c>
      <c r="E38" s="43">
        <v>0</v>
      </c>
      <c r="F38" s="43">
        <v>161</v>
      </c>
      <c r="G38" s="11">
        <f>300000</f>
        <v>300000</v>
      </c>
      <c r="H38" s="11"/>
      <c r="I38" s="11"/>
      <c r="J38" s="11"/>
      <c r="K38" s="11">
        <f t="shared" si="10"/>
        <v>0</v>
      </c>
      <c r="L38" s="11">
        <f t="shared" si="10"/>
        <v>483000</v>
      </c>
      <c r="M38" s="68">
        <f>E38+F38</f>
        <v>161</v>
      </c>
      <c r="N38" s="11">
        <f t="shared" si="11"/>
        <v>48300000</v>
      </c>
      <c r="O38" s="11">
        <f>N38*18%</f>
        <v>8694000</v>
      </c>
      <c r="P38" s="11">
        <f>N38+O38</f>
        <v>56994000</v>
      </c>
      <c r="Q38" s="44"/>
    </row>
    <row r="39" spans="2:20" x14ac:dyDescent="0.25">
      <c r="B39" s="9" t="s">
        <v>108</v>
      </c>
      <c r="C39" s="42" t="s">
        <v>109</v>
      </c>
      <c r="D39" s="9" t="s">
        <v>112</v>
      </c>
      <c r="E39" s="43">
        <v>2836</v>
      </c>
      <c r="F39" s="43">
        <v>1850</v>
      </c>
      <c r="G39" s="11">
        <f>122500</f>
        <v>122500</v>
      </c>
      <c r="H39" s="11"/>
      <c r="I39" s="11"/>
      <c r="J39" s="11"/>
      <c r="K39" s="11">
        <f t="shared" si="10"/>
        <v>3474100</v>
      </c>
      <c r="L39" s="11">
        <f t="shared" si="10"/>
        <v>2266250</v>
      </c>
      <c r="M39" s="68">
        <f>E39+F39</f>
        <v>4686</v>
      </c>
      <c r="N39" s="11">
        <f t="shared" si="11"/>
        <v>574035000</v>
      </c>
      <c r="O39" s="11">
        <f>N39*18%</f>
        <v>103326300</v>
      </c>
      <c r="P39" s="11">
        <f>N39+O39</f>
        <v>677361300</v>
      </c>
      <c r="Q39" s="44"/>
    </row>
    <row r="40" spans="2:20" s="50" customFormat="1" x14ac:dyDescent="0.25">
      <c r="B40" s="6"/>
      <c r="C40" s="45"/>
      <c r="D40" s="6" t="s">
        <v>113</v>
      </c>
      <c r="E40" s="5"/>
      <c r="F40" s="5"/>
      <c r="G40" s="66"/>
      <c r="H40" s="66"/>
      <c r="I40" s="66"/>
      <c r="J40" s="66"/>
      <c r="K40" s="66">
        <f>SUM(K37:K39)</f>
        <v>8068420</v>
      </c>
      <c r="L40" s="66">
        <f>SUM(L37:L39)</f>
        <v>5224610</v>
      </c>
      <c r="M40" s="69"/>
      <c r="N40" s="66">
        <f>SUM(N37:N39)</f>
        <v>1329303000</v>
      </c>
      <c r="O40" s="66">
        <f>SUM(O37:O39)</f>
        <v>239274540</v>
      </c>
      <c r="P40" s="66">
        <f>SUM(P37:P39)</f>
        <v>1568577540</v>
      </c>
      <c r="Q40" s="7"/>
      <c r="R40" s="49">
        <f>P40/P$46</f>
        <v>0.18725765117498072</v>
      </c>
    </row>
    <row r="41" spans="2:20" x14ac:dyDescent="0.25">
      <c r="G41" s="11"/>
      <c r="H41" s="11"/>
      <c r="I41" s="11"/>
      <c r="J41" s="11"/>
      <c r="K41" s="11"/>
      <c r="L41" s="11"/>
      <c r="M41" s="68"/>
      <c r="N41" s="11"/>
      <c r="O41" s="11"/>
      <c r="P41" s="11"/>
    </row>
    <row r="42" spans="2:20" x14ac:dyDescent="0.25">
      <c r="B42" s="9" t="s">
        <v>30</v>
      </c>
      <c r="C42" s="42" t="s">
        <v>114</v>
      </c>
      <c r="D42" s="9" t="s">
        <v>90</v>
      </c>
      <c r="E42" s="43">
        <v>1418</v>
      </c>
      <c r="F42" s="43">
        <v>764</v>
      </c>
      <c r="G42" s="11">
        <f>1139920</f>
        <v>1139920</v>
      </c>
      <c r="H42" s="11"/>
      <c r="I42" s="11"/>
      <c r="J42" s="11"/>
      <c r="K42" s="11">
        <f>(E42*$G42)/100</f>
        <v>16164065.6</v>
      </c>
      <c r="L42" s="11">
        <f>(F42*$G42)/100</f>
        <v>8708988.8000000007</v>
      </c>
      <c r="M42" s="68">
        <f>E42+F42</f>
        <v>2182</v>
      </c>
      <c r="N42" s="11">
        <f t="shared" ref="N42:N43" si="12">M42*G42</f>
        <v>2487305440</v>
      </c>
      <c r="O42" s="11">
        <f>N42*18%</f>
        <v>447714979.19999999</v>
      </c>
      <c r="P42" s="11">
        <f>N42+O42</f>
        <v>2935020419.1999998</v>
      </c>
      <c r="Q42" s="44"/>
    </row>
    <row r="43" spans="2:20" x14ac:dyDescent="0.25">
      <c r="B43" s="9" t="s">
        <v>39</v>
      </c>
      <c r="C43" s="42" t="s">
        <v>114</v>
      </c>
      <c r="D43" s="9" t="s">
        <v>101</v>
      </c>
      <c r="E43" s="43">
        <v>1418</v>
      </c>
      <c r="F43" s="43">
        <v>764</v>
      </c>
      <c r="G43" s="11">
        <f>14000</f>
        <v>14000</v>
      </c>
      <c r="H43" s="11"/>
      <c r="I43" s="11"/>
      <c r="J43" s="11"/>
      <c r="K43" s="11">
        <f>(E43*$G43)/100</f>
        <v>198520</v>
      </c>
      <c r="L43" s="11">
        <f>(F43*$G43)/100</f>
        <v>106960</v>
      </c>
      <c r="M43" s="68">
        <f>E43+F43</f>
        <v>2182</v>
      </c>
      <c r="N43" s="11">
        <f t="shared" si="12"/>
        <v>30548000</v>
      </c>
      <c r="O43" s="11">
        <f>N43*18%</f>
        <v>5498640</v>
      </c>
      <c r="P43" s="11">
        <f>N43+O43</f>
        <v>36046640</v>
      </c>
      <c r="Q43" s="44"/>
    </row>
    <row r="44" spans="2:20" s="50" customFormat="1" x14ac:dyDescent="0.25">
      <c r="B44" s="6"/>
      <c r="C44" s="45"/>
      <c r="D44" s="6" t="s">
        <v>115</v>
      </c>
      <c r="E44" s="5"/>
      <c r="F44" s="5"/>
      <c r="G44" s="47"/>
      <c r="H44" s="47"/>
      <c r="I44" s="47"/>
      <c r="J44" s="47"/>
      <c r="K44" s="66">
        <f>SUM(K42:K43)</f>
        <v>16362585.6</v>
      </c>
      <c r="L44" s="66">
        <f>SUM(L42:L43)</f>
        <v>8815948.8000000007</v>
      </c>
      <c r="M44" s="69"/>
      <c r="N44" s="66">
        <f>SUM(N42:N43)</f>
        <v>2517853440</v>
      </c>
      <c r="O44" s="66">
        <f>SUM(O42:O43)</f>
        <v>453213619.19999999</v>
      </c>
      <c r="P44" s="66">
        <f>SUM(P42:P43)</f>
        <v>2971067059.1999998</v>
      </c>
      <c r="Q44" s="7"/>
      <c r="R44" s="49">
        <f>P44/P$46</f>
        <v>0.35468762289503991</v>
      </c>
    </row>
    <row r="45" spans="2:20" x14ac:dyDescent="0.25">
      <c r="G45" s="53"/>
      <c r="H45" s="53"/>
      <c r="I45" s="53"/>
      <c r="J45" s="53"/>
      <c r="K45" s="11"/>
      <c r="L45" s="11"/>
      <c r="M45" s="68"/>
      <c r="N45" s="11"/>
      <c r="O45" s="11"/>
      <c r="P45" s="11"/>
    </row>
    <row r="46" spans="2:20" ht="13.5" thickBot="1" x14ac:dyDescent="0.3">
      <c r="B46" s="55"/>
      <c r="C46" s="56"/>
      <c r="D46" s="55" t="s">
        <v>116</v>
      </c>
      <c r="E46" s="57"/>
      <c r="F46" s="57"/>
      <c r="G46" s="58"/>
      <c r="H46" s="58"/>
      <c r="I46" s="58"/>
      <c r="J46" s="58"/>
      <c r="K46" s="72"/>
      <c r="L46" s="72"/>
      <c r="M46" s="73"/>
      <c r="N46" s="72">
        <f>N12+N31+N40+N44</f>
        <v>7098791380</v>
      </c>
      <c r="O46" s="72">
        <f>O12+O31+O40+O44</f>
        <v>1277782448.4000001</v>
      </c>
      <c r="P46" s="72">
        <f>P12+P31+P40+P44</f>
        <v>8376573828.3999996</v>
      </c>
    </row>
    <row r="47" spans="2:20" x14ac:dyDescent="0.25">
      <c r="G47" s="53"/>
      <c r="H47" s="53"/>
      <c r="I47" s="53"/>
      <c r="J47" s="53"/>
      <c r="K47" s="53"/>
      <c r="L47" s="53"/>
      <c r="N47" s="53"/>
      <c r="O47" s="53"/>
      <c r="P47" s="53"/>
    </row>
    <row r="48" spans="2:20" x14ac:dyDescent="0.25">
      <c r="G48" s="53"/>
      <c r="H48" s="53"/>
      <c r="I48" s="53"/>
      <c r="J48" s="53"/>
      <c r="K48" s="53"/>
      <c r="L48" s="59"/>
      <c r="N48" s="60">
        <f>N46-N44</f>
        <v>4580937940</v>
      </c>
      <c r="O48" s="60">
        <f>O46-O44</f>
        <v>824568829.20000005</v>
      </c>
      <c r="P48" s="60">
        <f>P46-P44</f>
        <v>5405506769.1999998</v>
      </c>
    </row>
    <row r="49" spans="12:16" x14ac:dyDescent="0.25">
      <c r="L49" s="61"/>
      <c r="N49" s="60">
        <f>N12+N31</f>
        <v>3251634940</v>
      </c>
      <c r="O49" s="60">
        <f>O12+O31</f>
        <v>585294289.20000005</v>
      </c>
      <c r="P49" s="60">
        <f>P12+P31</f>
        <v>3836929229.1999998</v>
      </c>
    </row>
    <row r="50" spans="12:16" x14ac:dyDescent="0.25">
      <c r="L50" s="61"/>
      <c r="N50" s="62">
        <f>N40</f>
        <v>1329303000</v>
      </c>
      <c r="O50" s="62">
        <f>O40</f>
        <v>239274540</v>
      </c>
      <c r="P50" s="62">
        <f>P40</f>
        <v>1568577540</v>
      </c>
    </row>
    <row r="51" spans="12:16" x14ac:dyDescent="0.25">
      <c r="N51" s="63"/>
    </row>
    <row r="52" spans="12:16" x14ac:dyDescent="0.25">
      <c r="L52" s="61"/>
      <c r="N52" s="64"/>
    </row>
  </sheetData>
  <mergeCells count="5">
    <mergeCell ref="B2:D2"/>
    <mergeCell ref="E4:F4"/>
    <mergeCell ref="K4:L4"/>
    <mergeCell ref="N4:P4"/>
    <mergeCell ref="B12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A8518-A8FB-404A-AFAF-0EF2E756AC78}">
  <dimension ref="B2:K11"/>
  <sheetViews>
    <sheetView workbookViewId="0">
      <selection activeCell="C6" sqref="C6"/>
    </sheetView>
  </sheetViews>
  <sheetFormatPr defaultRowHeight="12.75" x14ac:dyDescent="0.2"/>
  <cols>
    <col min="1" max="2" width="9.140625" style="78"/>
    <col min="3" max="3" width="71.85546875" style="78" customWidth="1"/>
    <col min="4" max="4" width="29.140625" style="78" bestFit="1" customWidth="1"/>
    <col min="5" max="5" width="10.5703125" style="79" bestFit="1" customWidth="1"/>
    <col min="6" max="6" width="14.28515625" style="80" bestFit="1" customWidth="1"/>
    <col min="7" max="8" width="18.5703125" style="80" bestFit="1" customWidth="1"/>
    <col min="9" max="9" width="9.140625" style="78"/>
    <col min="10" max="11" width="15.85546875" style="78" bestFit="1" customWidth="1"/>
    <col min="12" max="16384" width="9.140625" style="78"/>
  </cols>
  <sheetData>
    <row r="2" spans="2:11" x14ac:dyDescent="0.2">
      <c r="B2" s="75" t="s">
        <v>120</v>
      </c>
      <c r="C2" s="75" t="s">
        <v>1</v>
      </c>
      <c r="D2" s="75" t="s">
        <v>124</v>
      </c>
      <c r="E2" s="76" t="s">
        <v>119</v>
      </c>
      <c r="F2" s="77" t="s">
        <v>117</v>
      </c>
      <c r="G2" s="77" t="s">
        <v>118</v>
      </c>
      <c r="H2" s="77" t="s">
        <v>122</v>
      </c>
    </row>
    <row r="3" spans="2:11" x14ac:dyDescent="0.2">
      <c r="B3" s="78">
        <v>1</v>
      </c>
      <c r="C3" s="78" t="s">
        <v>121</v>
      </c>
      <c r="D3" s="78" t="s">
        <v>123</v>
      </c>
      <c r="E3" s="79">
        <v>2182</v>
      </c>
      <c r="F3" s="80">
        <v>1154484</v>
      </c>
      <c r="G3" s="80">
        <f>F3*E3</f>
        <v>2519084088</v>
      </c>
      <c r="H3" s="80">
        <v>2975491743</v>
      </c>
    </row>
    <row r="4" spans="2:11" x14ac:dyDescent="0.2">
      <c r="B4" s="78">
        <v>2</v>
      </c>
      <c r="C4" s="78" t="s">
        <v>99</v>
      </c>
      <c r="D4" s="78" t="s">
        <v>125</v>
      </c>
      <c r="E4" s="79">
        <v>22712</v>
      </c>
      <c r="F4" s="80">
        <v>25600</v>
      </c>
      <c r="G4" s="80">
        <f>F4*E4</f>
        <v>581427200</v>
      </c>
      <c r="H4" s="80">
        <f>G4+G4*28%</f>
        <v>744226816</v>
      </c>
    </row>
    <row r="5" spans="2:11" x14ac:dyDescent="0.2">
      <c r="B5" s="78">
        <v>3</v>
      </c>
      <c r="C5" s="78" t="s">
        <v>127</v>
      </c>
      <c r="D5" s="78" t="s">
        <v>126</v>
      </c>
      <c r="E5" s="79">
        <v>11000</v>
      </c>
      <c r="F5" s="80">
        <v>24000</v>
      </c>
      <c r="G5" s="80">
        <f>F5*E5</f>
        <v>264000000</v>
      </c>
      <c r="H5" s="80">
        <v>295944000</v>
      </c>
    </row>
    <row r="6" spans="2:11" x14ac:dyDescent="0.2">
      <c r="B6" s="83">
        <v>4</v>
      </c>
      <c r="C6" s="78" t="s">
        <v>129</v>
      </c>
      <c r="D6" s="78" t="s">
        <v>128</v>
      </c>
      <c r="E6" s="79">
        <v>35000</v>
      </c>
      <c r="F6" s="80">
        <v>22000</v>
      </c>
      <c r="G6" s="80">
        <f>F6*E6</f>
        <v>770000000</v>
      </c>
      <c r="H6" s="80">
        <f>G6+G6*18%</f>
        <v>908600000</v>
      </c>
    </row>
    <row r="7" spans="2:11" x14ac:dyDescent="0.2">
      <c r="B7" s="83"/>
      <c r="C7" s="78" t="s">
        <v>130</v>
      </c>
      <c r="D7" s="78" t="s">
        <v>128</v>
      </c>
      <c r="E7" s="79">
        <v>60000</v>
      </c>
      <c r="F7" s="80">
        <v>2000</v>
      </c>
      <c r="G7" s="80">
        <f>F7*E7</f>
        <v>120000000</v>
      </c>
      <c r="H7" s="80">
        <f>G7+G7*18%</f>
        <v>141600000</v>
      </c>
    </row>
    <row r="8" spans="2:11" x14ac:dyDescent="0.2">
      <c r="B8" s="78">
        <v>5</v>
      </c>
      <c r="C8" s="78" t="s">
        <v>132</v>
      </c>
      <c r="D8" s="78" t="s">
        <v>134</v>
      </c>
      <c r="E8" s="79">
        <v>46004</v>
      </c>
      <c r="F8" s="80" t="s">
        <v>133</v>
      </c>
      <c r="G8" s="80">
        <v>2399568640</v>
      </c>
      <c r="H8" s="80">
        <f>G8+G8*18%</f>
        <v>2831490995.1999998</v>
      </c>
      <c r="J8" s="80">
        <v>2916078550</v>
      </c>
      <c r="K8" s="80">
        <f>J8+J8*18%</f>
        <v>3440972689</v>
      </c>
    </row>
    <row r="9" spans="2:11" x14ac:dyDescent="0.2">
      <c r="B9" s="78">
        <v>6</v>
      </c>
      <c r="C9" s="78" t="s">
        <v>135</v>
      </c>
      <c r="D9" s="78" t="s">
        <v>136</v>
      </c>
      <c r="F9" s="80" t="s">
        <v>137</v>
      </c>
    </row>
    <row r="10" spans="2:11" x14ac:dyDescent="0.2">
      <c r="B10" s="78">
        <v>7</v>
      </c>
      <c r="C10" s="78" t="s">
        <v>139</v>
      </c>
      <c r="D10" s="78" t="s">
        <v>138</v>
      </c>
      <c r="F10" s="80">
        <v>76800</v>
      </c>
    </row>
    <row r="11" spans="2:11" x14ac:dyDescent="0.2">
      <c r="H11" s="80">
        <f>SUM(H3:H10)</f>
        <v>7897353554.1999998</v>
      </c>
    </row>
  </sheetData>
  <mergeCells count="1">
    <mergeCell ref="B6:B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4A14-C1F7-4420-B474-1908F8E60B76}">
  <dimension ref="A2:E14"/>
  <sheetViews>
    <sheetView workbookViewId="0">
      <selection activeCell="C15" sqref="C15"/>
    </sheetView>
  </sheetViews>
  <sheetFormatPr defaultRowHeight="15" x14ac:dyDescent="0.25"/>
  <cols>
    <col min="2" max="2" width="38.140625" bestFit="1" customWidth="1"/>
    <col min="3" max="3" width="13.28515625" style="65" bestFit="1" customWidth="1"/>
  </cols>
  <sheetData>
    <row r="2" spans="1:5" x14ac:dyDescent="0.25">
      <c r="B2" s="74" t="s">
        <v>150</v>
      </c>
    </row>
    <row r="3" spans="1:5" x14ac:dyDescent="0.25">
      <c r="A3" t="s">
        <v>141</v>
      </c>
      <c r="C3" s="65" t="s">
        <v>117</v>
      </c>
    </row>
    <row r="4" spans="1:5" x14ac:dyDescent="0.25">
      <c r="A4">
        <v>1</v>
      </c>
      <c r="B4" t="s">
        <v>142</v>
      </c>
      <c r="C4" s="65">
        <v>77560000</v>
      </c>
      <c r="E4" t="s">
        <v>140</v>
      </c>
    </row>
    <row r="5" spans="1:5" x14ac:dyDescent="0.25">
      <c r="B5" t="s">
        <v>143</v>
      </c>
      <c r="C5" s="65">
        <f>C4/50</f>
        <v>1551200</v>
      </c>
    </row>
    <row r="6" spans="1:5" x14ac:dyDescent="0.25">
      <c r="B6" t="s">
        <v>147</v>
      </c>
    </row>
    <row r="7" spans="1:5" x14ac:dyDescent="0.25">
      <c r="B7" t="s">
        <v>148</v>
      </c>
    </row>
    <row r="9" spans="1:5" x14ac:dyDescent="0.25">
      <c r="B9" t="s">
        <v>144</v>
      </c>
      <c r="C9" s="65">
        <v>1218120</v>
      </c>
    </row>
    <row r="10" spans="1:5" x14ac:dyDescent="0.25">
      <c r="B10" t="s">
        <v>145</v>
      </c>
    </row>
    <row r="12" spans="1:5" x14ac:dyDescent="0.25">
      <c r="B12" t="s">
        <v>144</v>
      </c>
      <c r="C12" s="65">
        <v>200480</v>
      </c>
    </row>
    <row r="13" spans="1:5" x14ac:dyDescent="0.25">
      <c r="B13" t="s">
        <v>146</v>
      </c>
    </row>
    <row r="14" spans="1:5" x14ac:dyDescent="0.25">
      <c r="B14" t="s">
        <v>149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Project Cost 2</vt:lpstr>
      <vt:lpstr>Project Cost 1</vt:lpstr>
      <vt:lpstr>Quotations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2023-01-20T11:41:30Z</dcterms:modified>
</cp:coreProperties>
</file>