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In Progress Files\Mahesh Joshi\VIS(2022-23)-PL581-475-804 New\uploads\VIS(2022-23)-PL581-475-804\"/>
    </mc:Choice>
  </mc:AlternateContent>
  <xr:revisionPtr revIDLastSave="0" documentId="13_ncr:1_{213FF749-26D1-4493-8635-26BCF32C59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ing" sheetId="2" r:id="rId1"/>
    <sheet name="Sheet4" sheetId="5" r:id="rId2"/>
    <sheet name="Sheet1" sheetId="1" r:id="rId3"/>
    <sheet name="Sheet2" sheetId="3" r:id="rId4"/>
    <sheet name="Sheet3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J4" i="2"/>
  <c r="J5" i="2"/>
  <c r="J6" i="2"/>
  <c r="J7" i="2"/>
  <c r="J8" i="2"/>
  <c r="J9" i="2"/>
  <c r="J10" i="2"/>
  <c r="J11" i="2"/>
  <c r="J12" i="2"/>
  <c r="J13" i="2"/>
  <c r="O13" i="2"/>
  <c r="M7" i="2"/>
  <c r="M8" i="2"/>
  <c r="M9" i="2"/>
  <c r="M10" i="2"/>
  <c r="M11" i="2"/>
  <c r="M12" i="2"/>
  <c r="M13" i="2"/>
  <c r="M4" i="2"/>
  <c r="M5" i="2"/>
  <c r="M6" i="2"/>
  <c r="G4" i="2"/>
  <c r="O4" i="2" s="1"/>
  <c r="G5" i="2"/>
  <c r="O5" i="2" s="1"/>
  <c r="G6" i="2"/>
  <c r="O6" i="2" s="1"/>
  <c r="G7" i="2"/>
  <c r="O7" i="2" s="1"/>
  <c r="G8" i="2"/>
  <c r="O8" i="2" s="1"/>
  <c r="G9" i="2"/>
  <c r="O9" i="2" s="1"/>
  <c r="G10" i="2"/>
  <c r="O10" i="2" s="1"/>
  <c r="G11" i="2"/>
  <c r="O11" i="2" s="1"/>
  <c r="G12" i="2"/>
  <c r="O12" i="2" s="1"/>
  <c r="U3" i="2"/>
  <c r="U5" i="2"/>
  <c r="U7" i="2" s="1"/>
  <c r="U11" i="2"/>
  <c r="U12" i="2" s="1"/>
  <c r="M3" i="2"/>
  <c r="G3" i="2"/>
  <c r="G14" i="2" s="1"/>
  <c r="U8" i="2"/>
  <c r="I26" i="2"/>
  <c r="H25" i="2"/>
  <c r="E27" i="2"/>
  <c r="E25" i="2"/>
  <c r="P9" i="2" l="1"/>
  <c r="Q9" i="2" s="1"/>
  <c r="S9" i="2" s="1"/>
  <c r="P12" i="2"/>
  <c r="Q12" i="2" s="1"/>
  <c r="S12" i="2" s="1"/>
  <c r="P8" i="2"/>
  <c r="Q8" i="2" s="1"/>
  <c r="S8" i="2" s="1"/>
  <c r="P11" i="2"/>
  <c r="Q11" i="2" s="1"/>
  <c r="S11" i="2" s="1"/>
  <c r="P7" i="2"/>
  <c r="Q7" i="2" s="1"/>
  <c r="S7" i="2" s="1"/>
  <c r="P10" i="2"/>
  <c r="Q10" i="2" s="1"/>
  <c r="S10" i="2" s="1"/>
  <c r="P5" i="2"/>
  <c r="Q5" i="2" s="1"/>
  <c r="S5" i="2" s="1"/>
  <c r="P13" i="2"/>
  <c r="Q13" i="2" s="1"/>
  <c r="S13" i="2" s="1"/>
  <c r="P6" i="2"/>
  <c r="Q6" i="2" s="1"/>
  <c r="S6" i="2" s="1"/>
  <c r="P4" i="2"/>
  <c r="Q4" i="2" s="1"/>
  <c r="S4" i="2" s="1"/>
  <c r="E28" i="2"/>
  <c r="F28" i="2" s="1"/>
  <c r="M6" i="4"/>
  <c r="K5" i="4"/>
  <c r="I5" i="4"/>
  <c r="F6" i="4"/>
  <c r="D4" i="4"/>
  <c r="I3" i="3" l="1"/>
  <c r="G3" i="3"/>
  <c r="D3" i="3"/>
  <c r="J3" i="3" l="1"/>
  <c r="K3" i="3" s="1"/>
  <c r="M3" i="3" s="1"/>
  <c r="G4" i="1" l="1"/>
  <c r="G5" i="1" s="1"/>
  <c r="E5" i="1"/>
  <c r="C5" i="1"/>
  <c r="J3" i="2" l="1"/>
  <c r="O3" i="2" l="1"/>
  <c r="P3" i="2" l="1"/>
  <c r="O14" i="2"/>
  <c r="Q3" i="2"/>
  <c r="Q14" i="2" s="1"/>
  <c r="S3" i="2" l="1"/>
  <c r="U14" i="2" l="1"/>
  <c r="S14" i="2"/>
</calcChain>
</file>

<file path=xl/sharedStrings.xml><?xml version="1.0" encoding="utf-8"?>
<sst xmlns="http://schemas.openxmlformats.org/spreadsheetml/2006/main" count="71" uniqueCount="49">
  <si>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</si>
  <si>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</si>
  <si>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</si>
  <si>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</si>
  <si>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</si>
  <si>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</si>
  <si>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</si>
  <si>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</si>
  <si>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</si>
  <si>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</si>
  <si>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</si>
  <si>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</si>
  <si>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</si>
  <si>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</si>
  <si>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3. The valuation is done by considering the depreciated replacement cost approach.</t>
  </si>
  <si>
    <t>Detoration</t>
  </si>
  <si>
    <t>Details of Building</t>
  </si>
  <si>
    <t>Year of Construction(Approximately)</t>
  </si>
  <si>
    <t>4.We have taken the year of construction from information provided to us during the survey.</t>
  </si>
  <si>
    <t>Floor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</si>
  <si>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</si>
  <si>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</si>
  <si>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</si>
  <si>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</si>
  <si>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</si>
  <si>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Height in feet</t>
  </si>
  <si>
    <t>RCC Framed Structure</t>
  </si>
  <si>
    <t>Covered Area (in sq.mtr)</t>
  </si>
  <si>
    <t>Covered Area 
(in sq ft)</t>
  </si>
  <si>
    <t>Tin Shed</t>
  </si>
  <si>
    <t xml:space="preserve">Ground </t>
  </si>
  <si>
    <t>2.The subject property is consturcted with RCC and the Tin shed Framed type of structures..</t>
  </si>
  <si>
    <t xml:space="preserve">5.As per our site survey we have observed the maintenance of the building is not so good . </t>
  </si>
  <si>
    <t xml:space="preserve">BUILDING VALUATION OF PROPERTY OF M/S.CHANDAN STEELS LTD.| SITUATED AT PROPERTY FACTORY LAND AND BUILDING IN PLOT NO. 31, 32, 33B, 34, 35, 36, REVENUE SURVEY NUMBER 255/P, UMBERGAON NOTIFIED INDUSTRIAL AREA, WITHIN THE VILLAGE LIMIT OF UMBERGAON, DISTRICT- VALSAD, TALUKA-UMBERGAON, LIMITS OF GIDC UMBERGAON, GUJRAT 
</t>
  </si>
  <si>
    <t>Ground</t>
  </si>
  <si>
    <t>Mezzani</t>
  </si>
  <si>
    <t>First</t>
  </si>
  <si>
    <t>Second</t>
  </si>
  <si>
    <t>1. All the details pertaing to the building area statement such as area, floor, etc has been taken from the documents provided to us by the bank and the site survey.</t>
  </si>
  <si>
    <t>New Farnance -Plot No 34</t>
  </si>
  <si>
    <t>6.We have considered the covered area as per the  measurement  done during the site survey and documents provided to us by the bank  i.e 12333.70 sq.m only.</t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</si>
  <si>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mtr.)</t>
    </r>
  </si>
  <si>
    <r>
      <t>Boundary Wall</t>
    </r>
    <r>
      <rPr>
        <b/>
        <i/>
        <sz val="10"/>
        <rFont val="Calibri"/>
        <family val="2"/>
        <scheme val="minor"/>
      </rPr>
      <t>(in Running mtr.)</t>
    </r>
  </si>
  <si>
    <t xml:space="preserve">Wire plant- Plot No 31 </t>
  </si>
  <si>
    <t>Power Plant -Plot No 32</t>
  </si>
  <si>
    <t>Gas Plant - Plot No 33B</t>
  </si>
  <si>
    <t>(Aod) Melting Department) -Plot No 35</t>
  </si>
  <si>
    <t>Chandan Account Office -Plot No 36</t>
  </si>
  <si>
    <t>Security cabin - Plot No-36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</si>
</sst>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9" fontId="2" fillId="2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0" fillId="0" borderId="0" xfId="0" applyNumberFormat="1"/>
    <xf numFmtId="43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166" fontId="0" fillId="0" borderId="0" xfId="6" applyNumberFormat="1" applyFont="1"/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66" fontId="0" fillId="0" borderId="1" xfId="6" applyNumberFormat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165" fontId="0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5" fontId="2" fillId="0" borderId="1" xfId="1" applyNumberFormat="1" applyFont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7">
    <cellStyle name="40% - Accent1" xfId="3" builtinId="31"/>
    <cellStyle name="Comma" xfId="6" builtinId="3"/>
    <cellStyle name="Comma 2" xfId="4" xr:uid="{00000000-0005-0000-0000-000002000000}"/>
    <cellStyle name="Currency" xfId="1" builtinId="4"/>
    <cellStyle name="Currency 2" xfId="5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zoomScale="85" zoomScaleNormal="85" workbookViewId="0">
      <selection activeCell="R12" sqref="R12"/>
    </sheetView>
  </sheetViews>
  <sheetFormatPr defaultRowHeight="15" x14ac:dyDescent="0.25"/>
  <cols>
    <col min="1" max="1" width="7.28515625" customWidth="1"/>
    <col min="2" max="2" width="17.42578125" bestFit="1" customWidth="1"/>
    <col min="3" max="3" width="9.85546875" bestFit="1" customWidth="1"/>
    <col min="4" max="4" width="9" customWidth="1"/>
    <col min="5" max="5" width="16.28515625" bestFit="1" customWidth="1"/>
    <col min="6" max="6" width="9.28515625" bestFit="1" customWidth="1"/>
    <col min="7" max="7" width="9.28515625" customWidth="1"/>
    <col min="8" max="8" width="12.28515625" customWidth="1"/>
    <col min="9" max="9" width="8" customWidth="1"/>
    <col min="10" max="10" width="10.42578125" customWidth="1"/>
    <col min="11" max="11" width="9.42578125" customWidth="1"/>
    <col min="12" max="12" width="7.7109375" customWidth="1"/>
    <col min="13" max="13" width="6.5703125" customWidth="1"/>
    <col min="14" max="14" width="11.85546875" customWidth="1"/>
    <col min="15" max="15" width="14.42578125" customWidth="1"/>
    <col min="16" max="16" width="13.42578125" customWidth="1"/>
    <col min="17" max="17" width="13.28515625" customWidth="1"/>
    <col min="18" max="18" width="8.28515625" customWidth="1"/>
    <col min="19" max="19" width="13.28515625" bestFit="1" customWidth="1"/>
    <col min="21" max="21" width="10.28515625" bestFit="1" customWidth="1"/>
  </cols>
  <sheetData>
    <row r="1" spans="1:21" ht="61.5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1" ht="60" x14ac:dyDescent="0.25">
      <c r="A2" s="1" t="s">
        <v>0</v>
      </c>
      <c r="B2" s="1" t="s">
        <v>16</v>
      </c>
      <c r="C2" s="1" t="s">
        <v>19</v>
      </c>
      <c r="D2" s="1" t="s">
        <v>25</v>
      </c>
      <c r="E2" s="1" t="s">
        <v>1</v>
      </c>
      <c r="F2" s="1" t="s">
        <v>27</v>
      </c>
      <c r="G2" s="19" t="s">
        <v>28</v>
      </c>
      <c r="H2" s="1" t="s">
        <v>17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8</v>
      </c>
      <c r="P2" s="1" t="s">
        <v>9</v>
      </c>
      <c r="Q2" s="1" t="s">
        <v>10</v>
      </c>
      <c r="R2" s="2" t="s">
        <v>15</v>
      </c>
      <c r="S2" s="1" t="s">
        <v>11</v>
      </c>
    </row>
    <row r="3" spans="1:21" ht="30" x14ac:dyDescent="0.25">
      <c r="A3" s="3">
        <v>1</v>
      </c>
      <c r="B3" s="3" t="s">
        <v>43</v>
      </c>
      <c r="C3" s="3" t="s">
        <v>30</v>
      </c>
      <c r="D3" s="3">
        <v>40</v>
      </c>
      <c r="E3" s="3" t="s">
        <v>29</v>
      </c>
      <c r="F3" s="18">
        <v>2765</v>
      </c>
      <c r="G3" s="17">
        <f>F3*10.76</f>
        <v>29751.399999999998</v>
      </c>
      <c r="H3" s="3">
        <v>2003</v>
      </c>
      <c r="I3" s="3">
        <v>2023</v>
      </c>
      <c r="J3" s="3">
        <f t="shared" ref="J3:J13" si="0">I3-H3</f>
        <v>20</v>
      </c>
      <c r="K3" s="3">
        <v>45</v>
      </c>
      <c r="L3" s="4">
        <v>0.1</v>
      </c>
      <c r="M3" s="5">
        <f>(1-L3)/K3</f>
        <v>0.02</v>
      </c>
      <c r="N3" s="22">
        <v>1100</v>
      </c>
      <c r="O3" s="6">
        <f>N3*G3</f>
        <v>32726539.999999996</v>
      </c>
      <c r="P3" s="6">
        <f>O3*M3*J3</f>
        <v>13090615.999999998</v>
      </c>
      <c r="Q3" s="6">
        <f t="shared" ref="Q3:Q13" si="1">MAX(O3-P3,0)</f>
        <v>19635924</v>
      </c>
      <c r="R3" s="7">
        <v>0</v>
      </c>
      <c r="S3" s="6">
        <f>IF(Q3&gt;L3*O3,Q3*(1-R3),O3*L3)</f>
        <v>19635924</v>
      </c>
      <c r="U3">
        <f>1966/3</f>
        <v>655.33333333333337</v>
      </c>
    </row>
    <row r="4" spans="1:21" x14ac:dyDescent="0.25">
      <c r="A4" s="3">
        <v>2</v>
      </c>
      <c r="B4" s="37" t="s">
        <v>44</v>
      </c>
      <c r="C4" s="3" t="s">
        <v>34</v>
      </c>
      <c r="D4" s="3">
        <v>40</v>
      </c>
      <c r="E4" s="3" t="s">
        <v>29</v>
      </c>
      <c r="F4" s="18">
        <v>1710.06</v>
      </c>
      <c r="G4" s="17">
        <f t="shared" ref="G4:G12" si="2">F4*10.76</f>
        <v>18400.245599999998</v>
      </c>
      <c r="H4" s="3">
        <v>2003</v>
      </c>
      <c r="I4" s="3">
        <v>2023</v>
      </c>
      <c r="J4" s="3">
        <f t="shared" si="0"/>
        <v>20</v>
      </c>
      <c r="K4" s="3">
        <v>45</v>
      </c>
      <c r="L4" s="4">
        <v>0.1</v>
      </c>
      <c r="M4" s="5">
        <f t="shared" ref="M4:M13" si="3">(1-L4)/K4</f>
        <v>0.02</v>
      </c>
      <c r="N4" s="22">
        <v>1100</v>
      </c>
      <c r="O4" s="6">
        <f t="shared" ref="O4:O12" si="4">N4*G4</f>
        <v>20240270.159999996</v>
      </c>
      <c r="P4" s="6">
        <f t="shared" ref="P4:P13" si="5">O4*M4*J4</f>
        <v>8096108.0639999993</v>
      </c>
      <c r="Q4" s="6">
        <f t="shared" si="1"/>
        <v>12144162.095999997</v>
      </c>
      <c r="R4" s="7">
        <v>0</v>
      </c>
      <c r="S4" s="6">
        <f t="shared" ref="S4:S13" si="6">IF(Q4&gt;L4*O4,Q4*(1-R4),O4*L4)</f>
        <v>12144162.095999997</v>
      </c>
    </row>
    <row r="5" spans="1:21" ht="30" x14ac:dyDescent="0.25">
      <c r="A5" s="3"/>
      <c r="B5" s="38"/>
      <c r="C5" s="3" t="s">
        <v>35</v>
      </c>
      <c r="D5" s="3">
        <v>10</v>
      </c>
      <c r="E5" s="3" t="s">
        <v>26</v>
      </c>
      <c r="F5" s="18">
        <v>92.93</v>
      </c>
      <c r="G5" s="17">
        <f t="shared" si="2"/>
        <v>999.92680000000007</v>
      </c>
      <c r="H5" s="3">
        <v>2003</v>
      </c>
      <c r="I5" s="3">
        <v>2023</v>
      </c>
      <c r="J5" s="3">
        <f t="shared" si="0"/>
        <v>20</v>
      </c>
      <c r="K5" s="3">
        <v>60</v>
      </c>
      <c r="L5" s="4">
        <v>0.1</v>
      </c>
      <c r="M5" s="5">
        <f t="shared" si="3"/>
        <v>1.5000000000000001E-2</v>
      </c>
      <c r="N5" s="6">
        <v>1200</v>
      </c>
      <c r="O5" s="6">
        <f t="shared" si="4"/>
        <v>1199912.1600000001</v>
      </c>
      <c r="P5" s="6">
        <f t="shared" si="5"/>
        <v>359973.6480000001</v>
      </c>
      <c r="Q5" s="6">
        <f t="shared" si="1"/>
        <v>839938.5120000001</v>
      </c>
      <c r="R5" s="7">
        <v>0</v>
      </c>
      <c r="S5" s="6">
        <f t="shared" si="6"/>
        <v>839938.5120000001</v>
      </c>
      <c r="U5">
        <f>1200/10.76</f>
        <v>111.52416356877323</v>
      </c>
    </row>
    <row r="6" spans="1:21" ht="33" customHeight="1" x14ac:dyDescent="0.25">
      <c r="A6" s="3">
        <v>3</v>
      </c>
      <c r="B6" s="37" t="s">
        <v>45</v>
      </c>
      <c r="C6" s="3" t="s">
        <v>30</v>
      </c>
      <c r="D6" s="3">
        <v>40</v>
      </c>
      <c r="E6" s="3" t="s">
        <v>29</v>
      </c>
      <c r="F6" s="18">
        <v>771.48</v>
      </c>
      <c r="G6" s="17">
        <f t="shared" si="2"/>
        <v>8301.1247999999996</v>
      </c>
      <c r="H6" s="3">
        <v>2003</v>
      </c>
      <c r="I6" s="3">
        <v>2023</v>
      </c>
      <c r="J6" s="3">
        <f t="shared" si="0"/>
        <v>20</v>
      </c>
      <c r="K6" s="3">
        <v>45</v>
      </c>
      <c r="L6" s="4">
        <v>0.1</v>
      </c>
      <c r="M6" s="5">
        <f t="shared" si="3"/>
        <v>0.02</v>
      </c>
      <c r="N6" s="22">
        <v>1100</v>
      </c>
      <c r="O6" s="6">
        <f t="shared" si="4"/>
        <v>9131237.2799999993</v>
      </c>
      <c r="P6" s="6">
        <f t="shared" si="5"/>
        <v>3652494.912</v>
      </c>
      <c r="Q6" s="6">
        <f t="shared" si="1"/>
        <v>5478742.3679999989</v>
      </c>
      <c r="R6" s="7">
        <v>0</v>
      </c>
      <c r="S6" s="6">
        <f t="shared" si="6"/>
        <v>5478742.3679999989</v>
      </c>
    </row>
    <row r="7" spans="1:21" ht="33" customHeight="1" x14ac:dyDescent="0.25">
      <c r="A7" s="3"/>
      <c r="B7" s="38"/>
      <c r="C7" s="3" t="s">
        <v>35</v>
      </c>
      <c r="D7" s="3">
        <v>10</v>
      </c>
      <c r="E7" s="3" t="s">
        <v>26</v>
      </c>
      <c r="F7" s="18">
        <v>111.52</v>
      </c>
      <c r="G7" s="17">
        <f t="shared" si="2"/>
        <v>1199.9551999999999</v>
      </c>
      <c r="H7" s="3">
        <v>2003</v>
      </c>
      <c r="I7" s="3">
        <v>2023</v>
      </c>
      <c r="J7" s="3">
        <f t="shared" si="0"/>
        <v>20</v>
      </c>
      <c r="K7" s="3">
        <v>60</v>
      </c>
      <c r="L7" s="4">
        <v>0.1</v>
      </c>
      <c r="M7" s="5">
        <f t="shared" si="3"/>
        <v>1.5000000000000001E-2</v>
      </c>
      <c r="N7" s="6">
        <v>1200</v>
      </c>
      <c r="O7" s="6">
        <f t="shared" si="4"/>
        <v>1439946.2399999998</v>
      </c>
      <c r="P7" s="6">
        <f t="shared" si="5"/>
        <v>431983.87199999997</v>
      </c>
      <c r="Q7" s="6">
        <f t="shared" si="1"/>
        <v>1007962.3679999998</v>
      </c>
      <c r="R7" s="7">
        <v>0</v>
      </c>
      <c r="S7" s="6">
        <f t="shared" si="6"/>
        <v>1007962.3679999998</v>
      </c>
      <c r="U7" s="12">
        <f>F6-U5</f>
        <v>659.95583643122677</v>
      </c>
    </row>
    <row r="8" spans="1:21" ht="30" x14ac:dyDescent="0.25">
      <c r="A8" s="3">
        <v>4</v>
      </c>
      <c r="B8" s="3" t="s">
        <v>39</v>
      </c>
      <c r="C8" s="3" t="s">
        <v>30</v>
      </c>
      <c r="D8" s="3">
        <v>40</v>
      </c>
      <c r="E8" s="3" t="s">
        <v>29</v>
      </c>
      <c r="F8" s="18">
        <v>2812</v>
      </c>
      <c r="G8" s="17">
        <f t="shared" si="2"/>
        <v>30257.119999999999</v>
      </c>
      <c r="H8" s="3">
        <v>2007</v>
      </c>
      <c r="I8" s="3">
        <v>2023</v>
      </c>
      <c r="J8" s="3">
        <f t="shared" si="0"/>
        <v>16</v>
      </c>
      <c r="K8" s="3">
        <v>45</v>
      </c>
      <c r="L8" s="4">
        <v>0.1</v>
      </c>
      <c r="M8" s="5">
        <f t="shared" si="3"/>
        <v>0.02</v>
      </c>
      <c r="N8" s="22">
        <v>1100</v>
      </c>
      <c r="O8" s="6">
        <f t="shared" si="4"/>
        <v>33282832</v>
      </c>
      <c r="P8" s="6">
        <f t="shared" si="5"/>
        <v>10650506.24</v>
      </c>
      <c r="Q8" s="6">
        <f t="shared" si="1"/>
        <v>22632325.759999998</v>
      </c>
      <c r="R8" s="7">
        <v>0</v>
      </c>
      <c r="S8" s="6">
        <f t="shared" si="6"/>
        <v>22632325.759999998</v>
      </c>
      <c r="U8" s="12">
        <f>F3*10.76</f>
        <v>29751.399999999998</v>
      </c>
    </row>
    <row r="9" spans="1:21" ht="45" x14ac:dyDescent="0.25">
      <c r="A9" s="3">
        <v>5</v>
      </c>
      <c r="B9" s="3" t="s">
        <v>46</v>
      </c>
      <c r="C9" s="3" t="s">
        <v>30</v>
      </c>
      <c r="D9" s="3">
        <v>40</v>
      </c>
      <c r="E9" s="3" t="s">
        <v>29</v>
      </c>
      <c r="F9" s="18">
        <v>2088</v>
      </c>
      <c r="G9" s="17">
        <f t="shared" si="2"/>
        <v>22466.880000000001</v>
      </c>
      <c r="H9" s="3">
        <v>2005</v>
      </c>
      <c r="I9" s="3">
        <v>2023</v>
      </c>
      <c r="J9" s="3">
        <f t="shared" si="0"/>
        <v>18</v>
      </c>
      <c r="K9" s="3">
        <v>45</v>
      </c>
      <c r="L9" s="4">
        <v>0.1</v>
      </c>
      <c r="M9" s="5">
        <f t="shared" si="3"/>
        <v>0.02</v>
      </c>
      <c r="N9" s="22">
        <v>1100</v>
      </c>
      <c r="O9" s="6">
        <f t="shared" si="4"/>
        <v>24713568</v>
      </c>
      <c r="P9" s="6">
        <f t="shared" si="5"/>
        <v>8896884.4800000004</v>
      </c>
      <c r="Q9" s="6">
        <f t="shared" si="1"/>
        <v>15816683.52</v>
      </c>
      <c r="R9" s="7">
        <v>0</v>
      </c>
      <c r="S9" s="6">
        <f t="shared" si="6"/>
        <v>15816683.52</v>
      </c>
    </row>
    <row r="10" spans="1:21" ht="47.25" customHeight="1" x14ac:dyDescent="0.25">
      <c r="A10" s="3">
        <v>6</v>
      </c>
      <c r="B10" s="37" t="s">
        <v>47</v>
      </c>
      <c r="C10" s="3" t="s">
        <v>30</v>
      </c>
      <c r="D10" s="3">
        <v>10</v>
      </c>
      <c r="E10" s="3" t="s">
        <v>26</v>
      </c>
      <c r="F10" s="16">
        <v>655.33000000000004</v>
      </c>
      <c r="G10" s="17">
        <f t="shared" si="2"/>
        <v>7051.3508000000002</v>
      </c>
      <c r="H10" s="3">
        <v>2005</v>
      </c>
      <c r="I10" s="3">
        <v>2023</v>
      </c>
      <c r="J10" s="3">
        <f t="shared" si="0"/>
        <v>18</v>
      </c>
      <c r="K10" s="3">
        <v>60</v>
      </c>
      <c r="L10" s="4">
        <v>0.1</v>
      </c>
      <c r="M10" s="5">
        <f t="shared" si="3"/>
        <v>1.5000000000000001E-2</v>
      </c>
      <c r="N10" s="6">
        <v>1200</v>
      </c>
      <c r="O10" s="6">
        <f t="shared" si="4"/>
        <v>8461620.9600000009</v>
      </c>
      <c r="P10" s="6">
        <f t="shared" si="5"/>
        <v>2284637.6592000001</v>
      </c>
      <c r="Q10" s="6">
        <f t="shared" si="1"/>
        <v>6176983.3008000012</v>
      </c>
      <c r="R10" s="7">
        <v>0</v>
      </c>
      <c r="S10" s="6">
        <f t="shared" si="6"/>
        <v>6176983.3008000012</v>
      </c>
      <c r="U10">
        <v>1803</v>
      </c>
    </row>
    <row r="11" spans="1:21" ht="47.25" customHeight="1" x14ac:dyDescent="0.25">
      <c r="A11" s="3"/>
      <c r="B11" s="39"/>
      <c r="C11" s="3" t="s">
        <v>36</v>
      </c>
      <c r="D11" s="3">
        <v>10</v>
      </c>
      <c r="E11" s="3" t="s">
        <v>26</v>
      </c>
      <c r="F11" s="16">
        <v>655.33000000000004</v>
      </c>
      <c r="G11" s="17">
        <f t="shared" si="2"/>
        <v>7051.3508000000002</v>
      </c>
      <c r="H11" s="3">
        <v>2005</v>
      </c>
      <c r="I11" s="3">
        <v>2023</v>
      </c>
      <c r="J11" s="3">
        <f t="shared" si="0"/>
        <v>18</v>
      </c>
      <c r="K11" s="3">
        <v>60</v>
      </c>
      <c r="L11" s="4">
        <v>0.1</v>
      </c>
      <c r="M11" s="5">
        <f t="shared" si="3"/>
        <v>1.5000000000000001E-2</v>
      </c>
      <c r="N11" s="6">
        <v>1200</v>
      </c>
      <c r="O11" s="6">
        <f t="shared" si="4"/>
        <v>8461620.9600000009</v>
      </c>
      <c r="P11" s="6">
        <f t="shared" si="5"/>
        <v>2284637.6592000001</v>
      </c>
      <c r="Q11" s="6">
        <f t="shared" si="1"/>
        <v>6176983.3008000012</v>
      </c>
      <c r="R11" s="7">
        <v>0</v>
      </c>
      <c r="S11" s="6">
        <f t="shared" si="6"/>
        <v>6176983.3008000012</v>
      </c>
      <c r="U11">
        <f>1000/10.76</f>
        <v>92.936802973977692</v>
      </c>
    </row>
    <row r="12" spans="1:21" ht="47.25" customHeight="1" x14ac:dyDescent="0.25">
      <c r="A12" s="3"/>
      <c r="B12" s="38"/>
      <c r="C12" s="3" t="s">
        <v>37</v>
      </c>
      <c r="D12" s="3">
        <v>10</v>
      </c>
      <c r="E12" s="3" t="s">
        <v>29</v>
      </c>
      <c r="F12" s="16">
        <v>655.33000000000004</v>
      </c>
      <c r="G12" s="17">
        <f t="shared" si="2"/>
        <v>7051.3508000000002</v>
      </c>
      <c r="H12" s="3">
        <v>2005</v>
      </c>
      <c r="I12" s="3">
        <v>2023</v>
      </c>
      <c r="J12" s="3">
        <f t="shared" si="0"/>
        <v>18</v>
      </c>
      <c r="K12" s="3">
        <v>45</v>
      </c>
      <c r="L12" s="4">
        <v>0.1</v>
      </c>
      <c r="M12" s="5">
        <f t="shared" si="3"/>
        <v>0.02</v>
      </c>
      <c r="N12" s="22">
        <v>1100</v>
      </c>
      <c r="O12" s="6">
        <f t="shared" si="4"/>
        <v>7756485.8799999999</v>
      </c>
      <c r="P12" s="6">
        <f t="shared" si="5"/>
        <v>2792334.9168000002</v>
      </c>
      <c r="Q12" s="6">
        <f t="shared" si="1"/>
        <v>4964150.9631999992</v>
      </c>
      <c r="R12" s="7">
        <v>0</v>
      </c>
      <c r="S12" s="6">
        <f t="shared" si="6"/>
        <v>4964150.9631999992</v>
      </c>
      <c r="U12">
        <f>U10-U11</f>
        <v>1710.0631970260224</v>
      </c>
    </row>
    <row r="13" spans="1:21" ht="47.25" customHeight="1" x14ac:dyDescent="0.25">
      <c r="A13" s="3">
        <v>7</v>
      </c>
      <c r="B13" s="3" t="s">
        <v>48</v>
      </c>
      <c r="C13" s="3" t="s">
        <v>34</v>
      </c>
      <c r="D13" s="3">
        <v>9</v>
      </c>
      <c r="E13" s="3" t="s">
        <v>26</v>
      </c>
      <c r="F13" s="16">
        <v>16.72</v>
      </c>
      <c r="G13" s="17">
        <v>180</v>
      </c>
      <c r="H13" s="3">
        <v>2005</v>
      </c>
      <c r="I13" s="3">
        <v>2023</v>
      </c>
      <c r="J13" s="3">
        <f t="shared" si="0"/>
        <v>18</v>
      </c>
      <c r="K13" s="3">
        <v>60</v>
      </c>
      <c r="L13" s="4">
        <v>0.1</v>
      </c>
      <c r="M13" s="5">
        <f t="shared" si="3"/>
        <v>1.5000000000000001E-2</v>
      </c>
      <c r="N13" s="6">
        <v>1200</v>
      </c>
      <c r="O13" s="6">
        <f t="shared" ref="O13" si="7">N13*G13</f>
        <v>216000</v>
      </c>
      <c r="P13" s="6">
        <f t="shared" si="5"/>
        <v>58320.000000000007</v>
      </c>
      <c r="Q13" s="6">
        <f t="shared" si="1"/>
        <v>157680</v>
      </c>
      <c r="R13" s="7">
        <v>0</v>
      </c>
      <c r="S13" s="6">
        <f t="shared" si="6"/>
        <v>157680</v>
      </c>
    </row>
    <row r="14" spans="1:21" x14ac:dyDescent="0.25">
      <c r="A14" s="35" t="s">
        <v>12</v>
      </c>
      <c r="B14" s="35"/>
      <c r="C14" s="35"/>
      <c r="D14" s="35"/>
      <c r="E14" s="35"/>
      <c r="F14" s="13">
        <f>SUM(F3:F13)</f>
        <v>12333.699999999999</v>
      </c>
      <c r="G14" s="20">
        <f>SUM(G3:G13)</f>
        <v>132710.70480000001</v>
      </c>
      <c r="H14" s="35"/>
      <c r="I14" s="35"/>
      <c r="J14" s="35"/>
      <c r="K14" s="35"/>
      <c r="L14" s="35"/>
      <c r="M14" s="35"/>
      <c r="N14" s="35"/>
      <c r="O14" s="8">
        <f>SUM(O3:O13)</f>
        <v>147630033.64000002</v>
      </c>
      <c r="P14" s="8"/>
      <c r="Q14" s="8">
        <f>SUM(Q3:Q13)</f>
        <v>95031536.188799992</v>
      </c>
      <c r="R14" s="9"/>
      <c r="S14" s="6">
        <f>SUM(S3:S13)</f>
        <v>95031536.188799992</v>
      </c>
      <c r="U14" t="e">
        <f>S14/#REF!</f>
        <v>#REF!</v>
      </c>
    </row>
    <row r="15" spans="1:21" x14ac:dyDescent="0.25">
      <c r="A15" s="36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21" x14ac:dyDescent="0.25">
      <c r="A16" s="31" t="s">
        <v>38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22" x14ac:dyDescent="0.25">
      <c r="A17" s="31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22" x14ac:dyDescent="0.25">
      <c r="A18" s="31" t="s">
        <v>14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22" x14ac:dyDescent="0.25">
      <c r="A19" s="31" t="s">
        <v>18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1:22" x14ac:dyDescent="0.25">
      <c r="A20" s="32" t="s">
        <v>32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4"/>
    </row>
    <row r="21" spans="1:22" x14ac:dyDescent="0.25">
      <c r="A21" s="31" t="s">
        <v>40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10"/>
      <c r="U21" s="10"/>
      <c r="V21" s="10"/>
    </row>
    <row r="23" spans="1:22" x14ac:dyDescent="0.25">
      <c r="G23" s="12"/>
    </row>
    <row r="25" spans="1:22" x14ac:dyDescent="0.25">
      <c r="E25">
        <f>75*60</f>
        <v>4500</v>
      </c>
      <c r="H25">
        <f>968*28000</f>
        <v>27104000</v>
      </c>
    </row>
    <row r="26" spans="1:22" x14ac:dyDescent="0.25">
      <c r="I26">
        <f>11100*800</f>
        <v>8880000</v>
      </c>
      <c r="L26" s="11"/>
    </row>
    <row r="27" spans="1:22" x14ac:dyDescent="0.25">
      <c r="E27">
        <f>36*55</f>
        <v>1980</v>
      </c>
    </row>
    <row r="28" spans="1:22" x14ac:dyDescent="0.25">
      <c r="E28">
        <f>E25-E27</f>
        <v>2520</v>
      </c>
      <c r="F28">
        <f>E28*3</f>
        <v>7560</v>
      </c>
    </row>
  </sheetData>
  <mergeCells count="13">
    <mergeCell ref="A1:S1"/>
    <mergeCell ref="A21:S21"/>
    <mergeCell ref="A18:S18"/>
    <mergeCell ref="A19:S19"/>
    <mergeCell ref="A20:S20"/>
    <mergeCell ref="A14:E14"/>
    <mergeCell ref="H14:N14"/>
    <mergeCell ref="A15:S15"/>
    <mergeCell ref="A16:S16"/>
    <mergeCell ref="A17:S17"/>
    <mergeCell ref="B4:B5"/>
    <mergeCell ref="B6:B7"/>
    <mergeCell ref="B10: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"/>
  <sheetViews>
    <sheetView topLeftCell="B1" workbookViewId="0">
      <selection activeCell="M16" sqref="M16"/>
    </sheetView>
  </sheetViews>
  <sheetFormatPr defaultRowHeight="15" x14ac:dyDescent="0.25"/>
  <sheetData>
    <row r="3" spans="2:2" x14ac:dyDescent="0.25">
      <c r="B3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5"/>
  <sheetViews>
    <sheetView workbookViewId="0">
      <selection activeCell="C5" sqref="C5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</cols>
  <sheetData>
    <row r="3" spans="3:7" x14ac:dyDescent="0.25">
      <c r="C3">
        <v>87120</v>
      </c>
      <c r="E3">
        <v>7943455</v>
      </c>
      <c r="G3">
        <v>36000000</v>
      </c>
    </row>
    <row r="4" spans="3:7" x14ac:dyDescent="0.25">
      <c r="C4">
        <v>500</v>
      </c>
      <c r="E4">
        <v>2</v>
      </c>
      <c r="G4">
        <f>60000</f>
        <v>60000</v>
      </c>
    </row>
    <row r="5" spans="3:7" x14ac:dyDescent="0.25">
      <c r="C5" s="14">
        <f>C4*C3</f>
        <v>43560000</v>
      </c>
      <c r="E5" s="14">
        <f>E4*E3</f>
        <v>15886910</v>
      </c>
      <c r="G5">
        <f>G3/G4</f>
        <v>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workbookViewId="0">
      <selection sqref="A1:M3"/>
    </sheetView>
  </sheetViews>
  <sheetFormatPr defaultRowHeight="15" x14ac:dyDescent="0.25"/>
  <cols>
    <col min="1" max="1" width="11.7109375" customWidth="1"/>
    <col min="2" max="2" width="12.85546875" customWidth="1"/>
    <col min="3" max="3" width="9.85546875" customWidth="1"/>
    <col min="4" max="4" width="12.7109375" customWidth="1"/>
    <col min="5" max="5" width="13.5703125" customWidth="1"/>
    <col min="6" max="6" width="7.7109375" hidden="1" customWidth="1"/>
    <col min="7" max="7" width="13.28515625" hidden="1" customWidth="1"/>
    <col min="8" max="8" width="11.85546875" customWidth="1"/>
    <col min="9" max="9" width="11.5703125" hidden="1" customWidth="1"/>
    <col min="10" max="10" width="10.5703125" hidden="1" customWidth="1"/>
    <col min="11" max="11" width="11.5703125" hidden="1" customWidth="1"/>
    <col min="12" max="12" width="13.140625" hidden="1" customWidth="1"/>
    <col min="13" max="13" width="14.5703125" customWidth="1"/>
  </cols>
  <sheetData>
    <row r="1" spans="1:13" ht="15.75" x14ac:dyDescent="0.25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63.75" customHeight="1" x14ac:dyDescent="0.25">
      <c r="A2" s="15" t="s">
        <v>42</v>
      </c>
      <c r="B2" s="15" t="s">
        <v>21</v>
      </c>
      <c r="C2" s="15" t="s">
        <v>2</v>
      </c>
      <c r="D2" s="15" t="s">
        <v>22</v>
      </c>
      <c r="E2" s="15" t="s">
        <v>23</v>
      </c>
      <c r="F2" s="15" t="s">
        <v>5</v>
      </c>
      <c r="G2" s="15" t="s">
        <v>6</v>
      </c>
      <c r="H2" s="15" t="s">
        <v>41</v>
      </c>
      <c r="I2" s="15" t="s">
        <v>8</v>
      </c>
      <c r="J2" s="15" t="s">
        <v>9</v>
      </c>
      <c r="K2" s="15" t="s">
        <v>10</v>
      </c>
      <c r="L2" s="15" t="s">
        <v>24</v>
      </c>
      <c r="M2" s="15" t="s">
        <v>11</v>
      </c>
    </row>
    <row r="3" spans="1:13" ht="18.75" customHeight="1" x14ac:dyDescent="0.25">
      <c r="A3" s="23">
        <v>500</v>
      </c>
      <c r="B3" s="24">
        <v>2003</v>
      </c>
      <c r="C3" s="24">
        <v>2023</v>
      </c>
      <c r="D3" s="24">
        <f>C3-B3</f>
        <v>20</v>
      </c>
      <c r="E3" s="24">
        <v>60</v>
      </c>
      <c r="F3" s="25">
        <v>0.1</v>
      </c>
      <c r="G3" s="26">
        <f>(1-F3)/E3</f>
        <v>1.5000000000000001E-2</v>
      </c>
      <c r="H3" s="27">
        <v>4000</v>
      </c>
      <c r="I3" s="27">
        <f>H3*A3</f>
        <v>2000000</v>
      </c>
      <c r="J3" s="27">
        <f>I3*G3*D3</f>
        <v>600000.00000000012</v>
      </c>
      <c r="K3" s="27">
        <f>MAX(I3-J3,0)</f>
        <v>1400000</v>
      </c>
      <c r="L3" s="28">
        <v>0</v>
      </c>
      <c r="M3" s="29">
        <f>IF(K3&gt;F3*I3,K3*(1-L3),I3*F3)</f>
        <v>1400000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3:M6"/>
  <sheetViews>
    <sheetView workbookViewId="0">
      <selection activeCell="M6" sqref="M6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working</vt:lpstr>
      <vt:lpstr>Sheet4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welcome</cp:lastModifiedBy>
  <dcterms:created xsi:type="dcterms:W3CDTF">2022-07-28T09:17:09Z</dcterms:created>
  <dcterms:modified xsi:type="dcterms:W3CDTF">2023-06-21T11:13:10Z</dcterms:modified>
</cp:coreProperties>
</file>