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VIS(2022-23)-PL583-476-818, Ms GSBA Trust, Roorkee\Working &amp; Report PL583\"/>
    </mc:Choice>
  </mc:AlternateContent>
  <xr:revisionPtr revIDLastSave="0" documentId="13_ncr:1_{C2F079E1-2C8C-4009-ACE4-94AE149CC300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Building Area Details" sheetId="3" r:id="rId2"/>
  </sheets>
  <definedNames>
    <definedName name="_xlnm.Print_Area" localSheetId="0">'Building Valuation'!$B$1:$T$13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26" i="1"/>
  <c r="T20" i="1"/>
  <c r="T19" i="1"/>
  <c r="B2" i="1"/>
  <c r="E28" i="1"/>
  <c r="W10" i="1"/>
  <c r="W9" i="1"/>
  <c r="W8" i="1"/>
  <c r="W7" i="1"/>
  <c r="W6" i="1"/>
  <c r="W5" i="1"/>
  <c r="W4" i="1"/>
  <c r="E27" i="1"/>
  <c r="E20" i="1"/>
  <c r="E23" i="1" s="1"/>
  <c r="Y24" i="1"/>
  <c r="G11" i="3"/>
  <c r="F11" i="3"/>
  <c r="G10" i="3"/>
  <c r="G9" i="3"/>
  <c r="E29" i="1" l="1"/>
  <c r="N8" i="1"/>
  <c r="K8" i="1"/>
  <c r="N7" i="1"/>
  <c r="K7" i="1"/>
  <c r="G8" i="1"/>
  <c r="P8" i="1" s="1"/>
  <c r="Q8" i="1" s="1"/>
  <c r="R8" i="1" s="1"/>
  <c r="T8" i="1" s="1"/>
  <c r="G7" i="1"/>
  <c r="G8" i="3"/>
  <c r="G7" i="3"/>
  <c r="G6" i="3"/>
  <c r="G5" i="3"/>
  <c r="AA22" i="1"/>
  <c r="AA21" i="1"/>
  <c r="Z18" i="1"/>
  <c r="Z21" i="1"/>
  <c r="Z22" i="1" s="1"/>
  <c r="B8" i="3"/>
  <c r="X8" i="1" l="1"/>
  <c r="P7" i="1"/>
  <c r="Q7" i="1"/>
  <c r="R7" i="1" s="1"/>
  <c r="T7" i="1" s="1"/>
  <c r="X7" i="1" s="1"/>
  <c r="F10" i="1"/>
  <c r="K9" i="1" l="1"/>
  <c r="N9" i="1"/>
  <c r="G9" i="1"/>
  <c r="G5" i="1"/>
  <c r="G6" i="1"/>
  <c r="G4" i="1"/>
  <c r="P9" i="1" l="1"/>
  <c r="Q9" i="1" s="1"/>
  <c r="R9" i="1" s="1"/>
  <c r="T9" i="1" s="1"/>
  <c r="X9" i="1" s="1"/>
  <c r="G10" i="1"/>
  <c r="P4" i="1" l="1"/>
  <c r="N6" i="1" l="1"/>
  <c r="K5" i="1"/>
  <c r="K6" i="1"/>
  <c r="P5" i="1" l="1"/>
  <c r="N5" i="1"/>
  <c r="Q5" i="1" l="1"/>
  <c r="R5" i="1" s="1"/>
  <c r="T5" i="1" l="1"/>
  <c r="X5" i="1" s="1"/>
  <c r="N4" i="1"/>
  <c r="K4" i="1" l="1"/>
  <c r="Q4" i="1" s="1"/>
  <c r="R4" i="1" l="1"/>
  <c r="T4" i="1" l="1"/>
  <c r="T10" i="1" s="1"/>
  <c r="X4" i="1" l="1"/>
  <c r="P6" i="1"/>
  <c r="P10" i="1" s="1"/>
  <c r="Q6" i="1" l="1"/>
  <c r="R6" i="1" s="1"/>
  <c r="R10" i="1" s="1"/>
  <c r="T6" i="1" l="1"/>
  <c r="T17" i="1" s="1"/>
  <c r="X6" i="1" l="1"/>
</calcChain>
</file>

<file path=xl/sharedStrings.xml><?xml version="1.0" encoding="utf-8"?>
<sst xmlns="http://schemas.openxmlformats.org/spreadsheetml/2006/main" count="95" uniqueCount="61">
  <si>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</si>
  <si>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</si>
  <si>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</si>
  <si>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</si>
  <si>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</si>
  <si>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</si>
  <si>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</si>
  <si>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</si>
  <si>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</si>
  <si>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First Floor</t>
  </si>
  <si>
    <t xml:space="preserve"> RCC frame structure with  brick wall 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</si>
  <si>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</si>
  <si>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Sr. No.</t>
  </si>
  <si>
    <t>Gross Replacement Value</t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</si>
  <si>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</si>
  <si>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</si>
  <si>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</si>
  <si>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</si>
  <si>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</si>
  <si>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</si>
  <si>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</si>
  <si>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</si>
  <si>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</si>
  <si>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</si>
  <si>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For Premium</t>
  </si>
  <si>
    <t>Ground Floor</t>
  </si>
  <si>
    <r>
      <t xml:space="preserve">Area
</t>
    </r>
    <r>
      <rPr>
        <b/>
        <i/>
        <sz val="9"/>
        <rFont val="Calibri"/>
        <family val="2"/>
        <scheme val="minor"/>
      </rPr>
      <t>(in sq.mtr.)</t>
    </r>
  </si>
  <si>
    <r>
      <t xml:space="preserve">Height </t>
    </r>
    <r>
      <rPr>
        <b/>
        <sz val="9"/>
        <rFont val="Calibri"/>
        <family val="2"/>
        <scheme val="minor"/>
      </rPr>
      <t>(</t>
    </r>
    <r>
      <rPr>
        <b/>
        <i/>
        <sz val="9"/>
        <rFont val="Calibri"/>
        <family val="2"/>
        <scheme val="minor"/>
      </rPr>
      <t>in ft.)</t>
    </r>
  </si>
  <si>
    <r>
      <t xml:space="preserve">Area
</t>
    </r>
    <r>
      <rPr>
        <b/>
        <i/>
        <sz val="9"/>
        <rFont val="Calibri"/>
        <family val="2"/>
        <scheme val="minor"/>
      </rPr>
      <t>(in sq.ft.)</t>
    </r>
  </si>
  <si>
    <t>Plot area</t>
  </si>
  <si>
    <t>Guideline Value
(in Rs.)</t>
  </si>
  <si>
    <t xml:space="preserve"> RCC frame structure with  brick wall without roof (unfinished)</t>
  </si>
  <si>
    <t>Particulars</t>
  </si>
  <si>
    <t>Main Building</t>
  </si>
  <si>
    <t>Building -2</t>
  </si>
  <si>
    <t>Building -3</t>
  </si>
  <si>
    <t>Building -4</t>
  </si>
  <si>
    <t>Meter Room &amp; Guard Room</t>
  </si>
  <si>
    <t xml:space="preserve"> RCC frame structure with brick wall </t>
  </si>
  <si>
    <t>at 4000 per running mtr.</t>
  </si>
  <si>
    <t>1 bigha = 816 sq.yds.</t>
  </si>
  <si>
    <t>bigha</t>
  </si>
  <si>
    <t>sq.yds.</t>
  </si>
  <si>
    <t>hectares</t>
  </si>
  <si>
    <t>per bigha</t>
  </si>
  <si>
    <t>Rate</t>
  </si>
  <si>
    <t>Market Value</t>
  </si>
  <si>
    <t>Guideline Rate</t>
  </si>
  <si>
    <t>per sq.mtr.</t>
  </si>
  <si>
    <t>sq.mtr.</t>
  </si>
  <si>
    <t>Guideline Value</t>
  </si>
  <si>
    <t>Boundary Wall for Guideline Value</t>
  </si>
  <si>
    <t>at 1000 per running mtr.</t>
  </si>
  <si>
    <t>Construction Value</t>
  </si>
  <si>
    <t>Guideline Rate
(in Rs. per sq.mtr.)</t>
  </si>
  <si>
    <t>Age Factor</t>
  </si>
  <si>
    <t>Total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</si>
  <si>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on Moza- Sikandarpur Bhaiswal, Pargana- Bhagwanpur, Tehsil- Roorkee, District- Haridwar.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</si>
  <si>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</si>
  <si>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t>Buy Rate</t>
  </si>
  <si>
    <t>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</si>
</sst>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164" fontId="0" fillId="0" borderId="1" xfId="3" applyNumberFormat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43" fontId="0" fillId="0" borderId="0" xfId="3" applyFont="1" applyBorder="1" applyAlignment="1">
      <alignment horizontal="center" vertical="center" wrapText="1"/>
    </xf>
    <xf numFmtId="164" fontId="0" fillId="0" borderId="0" xfId="3" applyNumberFormat="1" applyFont="1" applyBorder="1" applyAlignment="1">
      <alignment horizontal="center" wrapText="1"/>
    </xf>
    <xf numFmtId="166" fontId="0" fillId="0" borderId="0" xfId="1" applyNumberFormat="1" applyFont="1"/>
    <xf numFmtId="168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164" fontId="2" fillId="0" borderId="0" xfId="3" applyNumberFormat="1" applyFont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4" fontId="0" fillId="0" borderId="0" xfId="3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4"/>
  <sheetViews>
    <sheetView tabSelected="1" zoomScale="85" zoomScaleNormal="85" zoomScaleSheetLayoutView="85" workbookViewId="0">
      <selection activeCell="O22" sqref="O22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4" customWidth="1"/>
    <col min="4" max="4" width="15" style="14" customWidth="1"/>
    <col min="5" max="5" width="20.42578125" style="14" customWidth="1"/>
    <col min="6" max="6" width="8.5703125" style="14" customWidth="1"/>
    <col min="7" max="7" width="8.85546875" style="17" customWidth="1"/>
    <col min="8" max="8" width="7.5703125" customWidth="1"/>
    <col min="9" max="9" width="12.42578125" customWidth="1"/>
    <col min="10" max="10" width="11.7109375" hidden="1" customWidth="1"/>
    <col min="11" max="11" width="10.85546875" customWidth="1"/>
    <col min="12" max="12" width="11.85546875" customWidth="1"/>
    <col min="13" max="13" width="7.7109375" hidden="1" customWidth="1"/>
    <col min="14" max="14" width="16.28515625" hidden="1" customWidth="1"/>
    <col min="15" max="15" width="12.28515625" customWidth="1"/>
    <col min="16" max="16" width="14.28515625" bestFit="1" customWidth="1"/>
    <col min="17" max="17" width="13.42578125" hidden="1" customWidth="1"/>
    <col min="18" max="18" width="16.140625" hidden="1" customWidth="1"/>
    <col min="19" max="19" width="14.28515625" hidden="1" customWidth="1"/>
    <col min="20" max="20" width="15.42578125" style="15" bestFit="1" customWidth="1"/>
    <col min="21" max="21" width="9.85546875" style="15" customWidth="1"/>
    <col min="22" max="22" width="6.85546875" style="15" customWidth="1"/>
    <col min="23" max="23" width="14.42578125" style="15" bestFit="1" customWidth="1"/>
    <col min="24" max="24" width="17" bestFit="1" customWidth="1"/>
    <col min="25" max="25" width="16.42578125" bestFit="1" customWidth="1"/>
    <col min="26" max="27" width="15.42578125" bestFit="1" customWidth="1"/>
  </cols>
  <sheetData>
    <row r="2" spans="2:27" ht="53.25" customHeight="1" x14ac:dyDescent="0.25">
      <c r="B2" s="62" t="str">
        <f>UPPER(("BUILDING VALUATION
G.S.B.A. TRUST
SITUATED AT SIKANDARPUR BHAISWAL, PARGANA- BHAGWANPUR, TEHSIL- ROORKEE, DISTRICT- HARIDWAR"))</f>
        <v>BUILDING VALUATION
G.S.B.A. TRUST
SITUATED AT SIKANDARPUR BHAISWAL, PARGANA- BHAGWANPUR, TEHSIL- ROORKEE, DISTRICT- HARIDWAR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4"/>
    </row>
    <row r="3" spans="2:27" s="12" customFormat="1" ht="60" x14ac:dyDescent="0.25">
      <c r="B3" s="10" t="s">
        <v>12</v>
      </c>
      <c r="C3" s="11" t="s">
        <v>0</v>
      </c>
      <c r="D3" s="11" t="s">
        <v>32</v>
      </c>
      <c r="E3" s="11" t="s">
        <v>3</v>
      </c>
      <c r="F3" s="11" t="s">
        <v>17</v>
      </c>
      <c r="G3" s="16" t="s">
        <v>18</v>
      </c>
      <c r="H3" s="11" t="s">
        <v>19</v>
      </c>
      <c r="I3" s="11" t="s">
        <v>1</v>
      </c>
      <c r="J3" s="36" t="s">
        <v>2</v>
      </c>
      <c r="K3" s="11" t="s">
        <v>20</v>
      </c>
      <c r="L3" s="11" t="s">
        <v>21</v>
      </c>
      <c r="M3" s="36" t="s">
        <v>4</v>
      </c>
      <c r="N3" s="36" t="s">
        <v>6</v>
      </c>
      <c r="O3" s="11" t="s">
        <v>22</v>
      </c>
      <c r="P3" s="11" t="s">
        <v>13</v>
      </c>
      <c r="Q3" s="36" t="s">
        <v>14</v>
      </c>
      <c r="R3" s="36" t="s">
        <v>15</v>
      </c>
      <c r="S3" s="36" t="s">
        <v>7</v>
      </c>
      <c r="T3" s="11" t="s">
        <v>16</v>
      </c>
      <c r="U3" s="11" t="s">
        <v>54</v>
      </c>
      <c r="V3" s="11" t="s">
        <v>55</v>
      </c>
      <c r="W3" s="11" t="s">
        <v>30</v>
      </c>
    </row>
    <row r="4" spans="2:27" ht="30" x14ac:dyDescent="0.25">
      <c r="B4" s="2">
        <v>1</v>
      </c>
      <c r="C4" s="13" t="s">
        <v>25</v>
      </c>
      <c r="D4" s="13" t="s">
        <v>33</v>
      </c>
      <c r="E4" s="13" t="s">
        <v>10</v>
      </c>
      <c r="F4" s="40">
        <v>4087</v>
      </c>
      <c r="G4" s="37">
        <f>F4*10.7639</f>
        <v>43992.059300000001</v>
      </c>
      <c r="H4" s="8">
        <v>12</v>
      </c>
      <c r="I4" s="2">
        <v>2010</v>
      </c>
      <c r="J4" s="2">
        <v>2023</v>
      </c>
      <c r="K4" s="2">
        <f>J4-I4</f>
        <v>13</v>
      </c>
      <c r="L4" s="2">
        <v>60</v>
      </c>
      <c r="M4" s="3">
        <v>0.1</v>
      </c>
      <c r="N4" s="4">
        <f>(1-M4)/L4</f>
        <v>1.5000000000000001E-2</v>
      </c>
      <c r="O4" s="38">
        <v>1500</v>
      </c>
      <c r="P4" s="38">
        <f>O4*G4</f>
        <v>65988088.950000003</v>
      </c>
      <c r="Q4" s="38">
        <f t="shared" ref="Q4" si="0">P4*N4*K4</f>
        <v>12867677.345250001</v>
      </c>
      <c r="R4" s="38">
        <f t="shared" ref="R4" si="1">MAX(P4-Q4,0)</f>
        <v>53120411.60475</v>
      </c>
      <c r="S4" s="39">
        <v>0.05</v>
      </c>
      <c r="T4" s="38">
        <f t="shared" ref="T4:T6" si="2">IF(R4&gt;M4*P4,R4*(1-S4),P4*M4)</f>
        <v>50464391.0245125</v>
      </c>
      <c r="U4" s="38">
        <v>12000</v>
      </c>
      <c r="V4" s="55">
        <v>0.87</v>
      </c>
      <c r="W4" s="38">
        <f>U4*F4*V4</f>
        <v>42668280</v>
      </c>
      <c r="X4" s="9">
        <f>T4/G4</f>
        <v>1147.125</v>
      </c>
      <c r="Y4" s="1"/>
      <c r="Z4" s="1"/>
    </row>
    <row r="5" spans="2:27" ht="30" x14ac:dyDescent="0.25">
      <c r="B5" s="2">
        <v>2</v>
      </c>
      <c r="C5" s="13" t="s">
        <v>9</v>
      </c>
      <c r="D5" s="13" t="s">
        <v>33</v>
      </c>
      <c r="E5" s="13" t="s">
        <v>10</v>
      </c>
      <c r="F5" s="40">
        <v>4087</v>
      </c>
      <c r="G5" s="18">
        <f>F5*10.7639</f>
        <v>43992.059300000001</v>
      </c>
      <c r="H5" s="8">
        <v>12</v>
      </c>
      <c r="I5" s="2">
        <v>2010</v>
      </c>
      <c r="J5" s="2">
        <v>2023</v>
      </c>
      <c r="K5" s="2">
        <f>J5-I5</f>
        <v>13</v>
      </c>
      <c r="L5" s="2">
        <v>60</v>
      </c>
      <c r="M5" s="3">
        <v>0.1</v>
      </c>
      <c r="N5" s="4">
        <f>(1-M5)/L5</f>
        <v>1.5000000000000001E-2</v>
      </c>
      <c r="O5" s="5">
        <v>1500</v>
      </c>
      <c r="P5" s="5">
        <f>O5*G5</f>
        <v>65988088.950000003</v>
      </c>
      <c r="Q5" s="5">
        <f>P5*N5*K5</f>
        <v>12867677.345250001</v>
      </c>
      <c r="R5" s="5">
        <f>MAX(P5-Q5,0)</f>
        <v>53120411.60475</v>
      </c>
      <c r="S5" s="39">
        <v>0.05</v>
      </c>
      <c r="T5" s="5">
        <f t="shared" si="2"/>
        <v>50464391.0245125</v>
      </c>
      <c r="U5" s="38">
        <v>12000</v>
      </c>
      <c r="V5" s="55">
        <v>0.87</v>
      </c>
      <c r="W5" s="38">
        <f t="shared" ref="W5:W9" si="3">U5*F5*V5</f>
        <v>42668280</v>
      </c>
      <c r="X5" s="9">
        <f t="shared" ref="X5:X9" si="4">T5/G5</f>
        <v>1147.125</v>
      </c>
      <c r="Y5" s="1"/>
      <c r="Z5" s="1"/>
    </row>
    <row r="6" spans="2:27" ht="30" x14ac:dyDescent="0.25">
      <c r="B6" s="2">
        <v>3</v>
      </c>
      <c r="C6" s="13" t="s">
        <v>25</v>
      </c>
      <c r="D6" s="13" t="s">
        <v>34</v>
      </c>
      <c r="E6" s="13" t="s">
        <v>10</v>
      </c>
      <c r="F6" s="40">
        <v>415.28</v>
      </c>
      <c r="G6" s="18">
        <f>F6*10.7639</f>
        <v>4470.0323919999992</v>
      </c>
      <c r="H6" s="8">
        <v>12</v>
      </c>
      <c r="I6" s="2">
        <v>2010</v>
      </c>
      <c r="J6" s="2">
        <v>2023</v>
      </c>
      <c r="K6" s="2">
        <f>J6-I6</f>
        <v>13</v>
      </c>
      <c r="L6" s="2">
        <v>60</v>
      </c>
      <c r="M6" s="3">
        <v>0.1</v>
      </c>
      <c r="N6" s="4">
        <f>(1-M6)/L6</f>
        <v>1.5000000000000001E-2</v>
      </c>
      <c r="O6" s="5">
        <v>1400</v>
      </c>
      <c r="P6" s="5">
        <f>O6*G6</f>
        <v>6258045.3487999989</v>
      </c>
      <c r="Q6" s="5">
        <f>P6*N6*K6</f>
        <v>1220318.8430159998</v>
      </c>
      <c r="R6" s="5">
        <f>MAX(P6-Q6,0)</f>
        <v>5037726.5057839993</v>
      </c>
      <c r="S6" s="39">
        <v>0.1</v>
      </c>
      <c r="T6" s="5">
        <f t="shared" si="2"/>
        <v>4533953.8552055992</v>
      </c>
      <c r="U6" s="38">
        <v>12000</v>
      </c>
      <c r="V6" s="55">
        <v>0.87</v>
      </c>
      <c r="W6" s="38">
        <f t="shared" si="3"/>
        <v>4335523.2</v>
      </c>
      <c r="X6" s="9">
        <f t="shared" si="4"/>
        <v>1014.3000000000001</v>
      </c>
      <c r="Y6" s="1"/>
      <c r="Z6" s="1"/>
    </row>
    <row r="7" spans="2:27" ht="30" x14ac:dyDescent="0.25">
      <c r="B7" s="2">
        <v>4</v>
      </c>
      <c r="C7" s="13" t="s">
        <v>25</v>
      </c>
      <c r="D7" s="13" t="s">
        <v>35</v>
      </c>
      <c r="E7" s="13" t="s">
        <v>10</v>
      </c>
      <c r="F7" s="40">
        <v>581.41999999999996</v>
      </c>
      <c r="G7" s="18">
        <f t="shared" ref="G7:G8" si="5">F7*10.7639</f>
        <v>6258.3467379999993</v>
      </c>
      <c r="H7" s="8">
        <v>12</v>
      </c>
      <c r="I7" s="2">
        <v>2010</v>
      </c>
      <c r="J7" s="2">
        <v>2023</v>
      </c>
      <c r="K7" s="2">
        <f t="shared" ref="K7:K8" si="6">J7-I7</f>
        <v>13</v>
      </c>
      <c r="L7" s="2">
        <v>60</v>
      </c>
      <c r="M7" s="3">
        <v>0.1</v>
      </c>
      <c r="N7" s="4">
        <f t="shared" ref="N7:N8" si="7">(1-M7)/L7</f>
        <v>1.5000000000000001E-2</v>
      </c>
      <c r="O7" s="5">
        <v>1400</v>
      </c>
      <c r="P7" s="5">
        <f t="shared" ref="P7:P8" si="8">O7*G7</f>
        <v>8761685.4331999999</v>
      </c>
      <c r="Q7" s="5">
        <f t="shared" ref="Q7:Q8" si="9">P7*N7*K7</f>
        <v>1708528.6594739999</v>
      </c>
      <c r="R7" s="5">
        <f t="shared" ref="R7:R8" si="10">MAX(P7-Q7,0)</f>
        <v>7053156.7737259995</v>
      </c>
      <c r="S7" s="39">
        <v>0.1</v>
      </c>
      <c r="T7" s="5">
        <f t="shared" ref="T7:T8" si="11">IF(R7&gt;M7*P7,R7*(1-S7),P7*M7)</f>
        <v>6347841.0963533996</v>
      </c>
      <c r="U7" s="38">
        <v>12000</v>
      </c>
      <c r="V7" s="55">
        <v>0.87</v>
      </c>
      <c r="W7" s="38">
        <f t="shared" si="3"/>
        <v>6070024.7999999989</v>
      </c>
      <c r="X7" s="9">
        <f t="shared" si="4"/>
        <v>1014.3000000000001</v>
      </c>
      <c r="Y7" s="1"/>
      <c r="Z7" s="1"/>
    </row>
    <row r="8" spans="2:27" ht="60" x14ac:dyDescent="0.25">
      <c r="B8" s="2">
        <v>5</v>
      </c>
      <c r="C8" s="13" t="s">
        <v>25</v>
      </c>
      <c r="D8" s="13" t="s">
        <v>36</v>
      </c>
      <c r="E8" s="13" t="s">
        <v>31</v>
      </c>
      <c r="F8" s="40">
        <v>581.41999999999996</v>
      </c>
      <c r="G8" s="18">
        <f t="shared" si="5"/>
        <v>6258.3467379999993</v>
      </c>
      <c r="H8" s="8">
        <v>12</v>
      </c>
      <c r="I8" s="2">
        <v>2010</v>
      </c>
      <c r="J8" s="2">
        <v>2023</v>
      </c>
      <c r="K8" s="2">
        <f t="shared" si="6"/>
        <v>13</v>
      </c>
      <c r="L8" s="2">
        <v>60</v>
      </c>
      <c r="M8" s="3">
        <v>0.1</v>
      </c>
      <c r="N8" s="4">
        <f t="shared" si="7"/>
        <v>1.5000000000000001E-2</v>
      </c>
      <c r="O8" s="5">
        <v>1100</v>
      </c>
      <c r="P8" s="5">
        <f t="shared" si="8"/>
        <v>6884181.411799999</v>
      </c>
      <c r="Q8" s="5">
        <f t="shared" si="9"/>
        <v>1342415.375301</v>
      </c>
      <c r="R8" s="5">
        <f t="shared" si="10"/>
        <v>5541766.0364989992</v>
      </c>
      <c r="S8" s="39">
        <v>0.15</v>
      </c>
      <c r="T8" s="5">
        <f t="shared" si="11"/>
        <v>4710501.1310241492</v>
      </c>
      <c r="U8" s="38">
        <v>12000</v>
      </c>
      <c r="V8" s="55">
        <v>0.87</v>
      </c>
      <c r="W8" s="38">
        <f t="shared" si="3"/>
        <v>6070024.7999999989</v>
      </c>
      <c r="X8" s="9">
        <f t="shared" si="4"/>
        <v>752.67499999999995</v>
      </c>
      <c r="Y8" s="1"/>
      <c r="Z8" s="1"/>
    </row>
    <row r="9" spans="2:27" ht="30" x14ac:dyDescent="0.25">
      <c r="B9" s="2">
        <v>6</v>
      </c>
      <c r="C9" s="13" t="s">
        <v>25</v>
      </c>
      <c r="D9" s="13" t="s">
        <v>37</v>
      </c>
      <c r="E9" s="13" t="s">
        <v>10</v>
      </c>
      <c r="F9" s="40">
        <v>24.5</v>
      </c>
      <c r="G9" s="18">
        <f>F9*10.7639</f>
        <v>263.71555000000001</v>
      </c>
      <c r="H9" s="8">
        <v>10</v>
      </c>
      <c r="I9" s="2">
        <v>2010</v>
      </c>
      <c r="J9" s="2">
        <v>2023</v>
      </c>
      <c r="K9" s="2">
        <f>J9-I9</f>
        <v>13</v>
      </c>
      <c r="L9" s="2">
        <v>60</v>
      </c>
      <c r="M9" s="3">
        <v>0.1</v>
      </c>
      <c r="N9" s="4">
        <f>(1-M9)/L9</f>
        <v>1.5000000000000001E-2</v>
      </c>
      <c r="O9" s="5">
        <v>1200</v>
      </c>
      <c r="P9" s="5">
        <f>O9*G9</f>
        <v>316458.66000000003</v>
      </c>
      <c r="Q9" s="5">
        <f>P9*N9*K9</f>
        <v>61709.438700000013</v>
      </c>
      <c r="R9" s="5">
        <f>MAX(P9-Q9,0)</f>
        <v>254749.22130000003</v>
      </c>
      <c r="S9" s="39">
        <v>0.1</v>
      </c>
      <c r="T9" s="5">
        <f t="shared" ref="T9" si="12">IF(R9&gt;M9*P9,R9*(1-S9),P9*M9)</f>
        <v>229274.29917000004</v>
      </c>
      <c r="U9" s="38">
        <v>12000</v>
      </c>
      <c r="V9" s="55">
        <v>0.87</v>
      </c>
      <c r="W9" s="38">
        <f t="shared" si="3"/>
        <v>255780</v>
      </c>
      <c r="X9" s="9">
        <f t="shared" si="4"/>
        <v>869.40000000000009</v>
      </c>
      <c r="Y9" s="1"/>
      <c r="Z9" s="1"/>
    </row>
    <row r="10" spans="2:27" x14ac:dyDescent="0.25">
      <c r="B10" s="65" t="s">
        <v>5</v>
      </c>
      <c r="C10" s="65"/>
      <c r="D10" s="65"/>
      <c r="E10" s="65"/>
      <c r="F10" s="44">
        <f>SUM(F4:F9)</f>
        <v>9776.6200000000008</v>
      </c>
      <c r="G10" s="26">
        <f>SUM(G4:G9)</f>
        <v>105234.56001799997</v>
      </c>
      <c r="H10" s="7"/>
      <c r="I10" s="65"/>
      <c r="J10" s="65"/>
      <c r="K10" s="65"/>
      <c r="L10" s="65"/>
      <c r="M10" s="65"/>
      <c r="N10" s="65"/>
      <c r="O10" s="65"/>
      <c r="P10" s="6">
        <f>SUM(P4:P9)</f>
        <v>154196548.7538</v>
      </c>
      <c r="Q10" s="6"/>
      <c r="R10" s="6">
        <f>SUM(R4:R9)</f>
        <v>124128221.74680901</v>
      </c>
      <c r="S10" s="6"/>
      <c r="T10" s="6">
        <f>SUM(T4:T9)</f>
        <v>116750352.43077815</v>
      </c>
      <c r="U10" s="6"/>
      <c r="V10" s="6"/>
      <c r="W10" s="6">
        <f>SUM(W4:W9)</f>
        <v>102067912.8</v>
      </c>
      <c r="X10" s="9"/>
    </row>
    <row r="11" spans="2:27" x14ac:dyDescent="0.25">
      <c r="B11" s="59" t="s">
        <v>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9"/>
    </row>
    <row r="12" spans="2:27" x14ac:dyDescent="0.25">
      <c r="B12" s="66" t="s">
        <v>58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8"/>
      <c r="X12" s="9"/>
    </row>
    <row r="13" spans="2:27" x14ac:dyDescent="0.25">
      <c r="B13" s="59" t="s">
        <v>11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  <c r="X13" s="9"/>
      <c r="Y13" s="25"/>
      <c r="AA13" s="31"/>
    </row>
    <row r="14" spans="2:27" x14ac:dyDescent="0.25">
      <c r="B14" s="59" t="s">
        <v>57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X14" s="9"/>
      <c r="AA14" s="1"/>
    </row>
    <row r="15" spans="2:27" x14ac:dyDescent="0.25">
      <c r="T15" s="29"/>
      <c r="U15" s="29"/>
      <c r="V15" s="29"/>
      <c r="W15" s="29"/>
      <c r="X15" s="9"/>
      <c r="AA15" s="31"/>
    </row>
    <row r="16" spans="2:27" x14ac:dyDescent="0.25">
      <c r="T16" s="30">
        <v>4000000</v>
      </c>
      <c r="X16" s="9"/>
      <c r="AA16" s="19"/>
    </row>
    <row r="17" spans="3:27" x14ac:dyDescent="0.25">
      <c r="C17" s="21"/>
      <c r="D17" s="42" t="s">
        <v>29</v>
      </c>
      <c r="E17" s="24">
        <v>4.1790000000000003</v>
      </c>
      <c r="F17" s="43" t="s">
        <v>43</v>
      </c>
      <c r="H17" s="48" t="s">
        <v>40</v>
      </c>
      <c r="P17" s="56" t="s">
        <v>5</v>
      </c>
      <c r="Q17" s="56"/>
      <c r="R17" s="56"/>
      <c r="S17" s="56"/>
      <c r="T17" s="57">
        <f>T10+E23+T16</f>
        <v>295314333.31313109</v>
      </c>
      <c r="U17" s="30"/>
      <c r="V17" s="30"/>
      <c r="W17" s="30"/>
    </row>
    <row r="18" spans="3:27" x14ac:dyDescent="0.25">
      <c r="C18" s="21"/>
      <c r="E18" s="53">
        <v>41790</v>
      </c>
      <c r="F18" s="14" t="s">
        <v>49</v>
      </c>
      <c r="G18" s="48"/>
      <c r="H18" s="49"/>
      <c r="T18" s="30">
        <v>295300000</v>
      </c>
      <c r="U18" s="30"/>
      <c r="V18" s="30"/>
      <c r="W18" s="30"/>
      <c r="X18" t="s">
        <v>24</v>
      </c>
      <c r="Z18" s="31">
        <f>804.1*120000</f>
        <v>96492000</v>
      </c>
    </row>
    <row r="19" spans="3:27" ht="15" customHeight="1" x14ac:dyDescent="0.25">
      <c r="C19" s="23"/>
      <c r="D19" s="22"/>
      <c r="E19" s="50">
        <v>49980.423999999999</v>
      </c>
      <c r="F19" s="43" t="s">
        <v>42</v>
      </c>
      <c r="G19" s="48"/>
      <c r="H19" s="49"/>
      <c r="T19" s="30">
        <f>T18*0.85</f>
        <v>251005000</v>
      </c>
      <c r="Z19" s="31">
        <v>13100000</v>
      </c>
    </row>
    <row r="20" spans="3:27" x14ac:dyDescent="0.25">
      <c r="D20" s="32"/>
      <c r="E20" s="50">
        <f>E19/816</f>
        <v>61.250519607843138</v>
      </c>
      <c r="F20" s="20" t="s">
        <v>41</v>
      </c>
      <c r="G20" s="48"/>
      <c r="H20" s="49"/>
      <c r="T20" s="28">
        <f>T18*0.75</f>
        <v>221475000</v>
      </c>
      <c r="U20" s="28"/>
      <c r="V20" s="28"/>
      <c r="W20" s="28"/>
      <c r="Z20" s="31">
        <v>2450000</v>
      </c>
      <c r="AA20" s="31">
        <v>112000000</v>
      </c>
    </row>
    <row r="21" spans="3:27" x14ac:dyDescent="0.25">
      <c r="D21" s="33"/>
      <c r="E21" s="24"/>
      <c r="F21" s="20"/>
      <c r="G21" s="48"/>
      <c r="H21" s="49"/>
      <c r="T21" s="28"/>
      <c r="U21" s="28"/>
      <c r="V21" s="28"/>
      <c r="W21" s="28"/>
      <c r="Z21" s="31">
        <f>SUM(Z18:Z20)</f>
        <v>112042000</v>
      </c>
      <c r="AA21" s="35">
        <f>AA20*0.9</f>
        <v>100800000</v>
      </c>
    </row>
    <row r="22" spans="3:27" x14ac:dyDescent="0.25">
      <c r="D22" s="14" t="s">
        <v>45</v>
      </c>
      <c r="E22" s="51">
        <v>2850000</v>
      </c>
      <c r="F22" t="s">
        <v>44</v>
      </c>
      <c r="G22" s="48"/>
      <c r="H22" s="49"/>
      <c r="T22" s="34"/>
      <c r="U22" s="34"/>
      <c r="V22" s="34"/>
      <c r="W22" s="34"/>
      <c r="Z22" s="19">
        <f>Z21*0.9</f>
        <v>100837800</v>
      </c>
      <c r="AA22" s="19">
        <f>AA20*0.75</f>
        <v>84000000</v>
      </c>
    </row>
    <row r="23" spans="3:27" x14ac:dyDescent="0.25">
      <c r="D23" s="54" t="s">
        <v>46</v>
      </c>
      <c r="E23" s="52">
        <f>E22*E20</f>
        <v>174563980.88235295</v>
      </c>
      <c r="G23" s="48"/>
      <c r="H23" s="49"/>
    </row>
    <row r="24" spans="3:27" x14ac:dyDescent="0.25">
      <c r="G24" s="48"/>
      <c r="H24" s="49"/>
      <c r="O24" s="31"/>
      <c r="T24" s="28"/>
      <c r="X24" t="s">
        <v>23</v>
      </c>
      <c r="Y24" s="34">
        <f>875*4000</f>
        <v>3500000</v>
      </c>
      <c r="Z24" t="s">
        <v>39</v>
      </c>
    </row>
    <row r="25" spans="3:27" ht="30" x14ac:dyDescent="0.25">
      <c r="D25" s="14" t="s">
        <v>47</v>
      </c>
      <c r="E25" s="14">
        <v>7500</v>
      </c>
      <c r="F25" s="14" t="s">
        <v>48</v>
      </c>
      <c r="G25" s="48"/>
      <c r="H25" s="49"/>
      <c r="O25" s="31"/>
      <c r="T25" s="46"/>
      <c r="U25" s="47"/>
      <c r="V25" s="47"/>
      <c r="X25" s="14" t="s">
        <v>51</v>
      </c>
      <c r="Y25" s="34">
        <v>0</v>
      </c>
      <c r="Z25" t="s">
        <v>52</v>
      </c>
    </row>
    <row r="26" spans="3:27" ht="30" x14ac:dyDescent="0.25">
      <c r="D26" s="54" t="s">
        <v>50</v>
      </c>
      <c r="E26" s="58">
        <f>E25*E18*1.15</f>
        <v>360438750</v>
      </c>
      <c r="I26" s="19"/>
      <c r="O26" s="45"/>
      <c r="T26" s="17"/>
    </row>
    <row r="27" spans="3:27" x14ac:dyDescent="0.25">
      <c r="D27" s="14" t="s">
        <v>23</v>
      </c>
      <c r="E27" s="51">
        <f>Y25</f>
        <v>0</v>
      </c>
      <c r="T27" s="17"/>
    </row>
    <row r="28" spans="3:27" ht="30" x14ac:dyDescent="0.25">
      <c r="D28" s="14" t="s">
        <v>53</v>
      </c>
      <c r="E28" s="51">
        <f>W10</f>
        <v>102067912.8</v>
      </c>
    </row>
    <row r="29" spans="3:27" x14ac:dyDescent="0.25">
      <c r="D29" s="54" t="s">
        <v>56</v>
      </c>
      <c r="E29" s="58">
        <f>SUM(E26:E28)</f>
        <v>462506662.80000001</v>
      </c>
    </row>
    <row r="32" spans="3:27" x14ac:dyDescent="0.25">
      <c r="D32" s="14" t="s">
        <v>59</v>
      </c>
      <c r="E32" s="51">
        <v>4701000</v>
      </c>
    </row>
    <row r="33" spans="4:5" x14ac:dyDescent="0.25">
      <c r="D33" s="14" t="s">
        <v>60</v>
      </c>
      <c r="E33" s="51">
        <v>376100</v>
      </c>
    </row>
    <row r="34" spans="4:5" x14ac:dyDescent="0.25">
      <c r="E34" s="58">
        <f>SUM(E32:E33)</f>
        <v>5077100</v>
      </c>
    </row>
  </sheetData>
  <mergeCells count="7">
    <mergeCell ref="B14:W14"/>
    <mergeCell ref="B2:W2"/>
    <mergeCell ref="B10:E10"/>
    <mergeCell ref="I10:O10"/>
    <mergeCell ref="B11:W11"/>
    <mergeCell ref="B12:W12"/>
    <mergeCell ref="B13:W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11"/>
  <sheetViews>
    <sheetView zoomScaleNormal="100" workbookViewId="0">
      <selection activeCell="G11" sqref="G11"/>
    </sheetView>
  </sheetViews>
  <sheetFormatPr defaultRowHeight="15" x14ac:dyDescent="0.25"/>
  <cols>
    <col min="2" max="2" width="6.85546875" bestFit="1" customWidth="1"/>
    <col min="3" max="3" width="14.7109375" style="14" bestFit="1" customWidth="1"/>
    <col min="4" max="4" width="14.7109375" style="14" customWidth="1"/>
    <col min="5" max="5" width="23.85546875" style="14" bestFit="1" customWidth="1"/>
    <col min="6" max="6" width="9.7109375" style="14" bestFit="1" customWidth="1"/>
    <col min="7" max="7" width="9.140625" style="17" bestFit="1" customWidth="1"/>
    <col min="8" max="8" width="7.140625" bestFit="1" customWidth="1"/>
    <col min="9" max="9" width="12.28515625" bestFit="1" customWidth="1"/>
  </cols>
  <sheetData>
    <row r="3" spans="2:9" ht="46.5" customHeight="1" x14ac:dyDescent="0.25">
      <c r="B3" s="69"/>
      <c r="C3" s="70"/>
      <c r="D3" s="70"/>
      <c r="E3" s="70"/>
      <c r="F3" s="70"/>
      <c r="G3" s="70"/>
      <c r="H3" s="70"/>
      <c r="I3" s="70"/>
    </row>
    <row r="4" spans="2:9" s="12" customFormat="1" ht="30" x14ac:dyDescent="0.25">
      <c r="B4" s="10" t="s">
        <v>12</v>
      </c>
      <c r="C4" s="11" t="s">
        <v>0</v>
      </c>
      <c r="D4" s="11" t="s">
        <v>32</v>
      </c>
      <c r="E4" s="11" t="s">
        <v>3</v>
      </c>
      <c r="F4" s="11" t="s">
        <v>26</v>
      </c>
      <c r="G4" s="41" t="s">
        <v>28</v>
      </c>
      <c r="H4" s="11" t="s">
        <v>27</v>
      </c>
      <c r="I4" s="11" t="s">
        <v>1</v>
      </c>
    </row>
    <row r="5" spans="2:9" ht="30" x14ac:dyDescent="0.25">
      <c r="B5" s="2">
        <v>1</v>
      </c>
      <c r="C5" s="13" t="s">
        <v>25</v>
      </c>
      <c r="D5" s="13" t="s">
        <v>33</v>
      </c>
      <c r="E5" s="13" t="s">
        <v>38</v>
      </c>
      <c r="F5" s="40">
        <v>4087</v>
      </c>
      <c r="G5" s="18">
        <f>F5*10.7639</f>
        <v>43992.059300000001</v>
      </c>
      <c r="H5" s="8">
        <v>12</v>
      </c>
      <c r="I5" s="2">
        <v>2010</v>
      </c>
    </row>
    <row r="6" spans="2:9" ht="30" x14ac:dyDescent="0.25">
      <c r="B6" s="2">
        <v>2</v>
      </c>
      <c r="C6" s="13" t="s">
        <v>9</v>
      </c>
      <c r="D6" s="13" t="s">
        <v>33</v>
      </c>
      <c r="E6" s="13" t="s">
        <v>38</v>
      </c>
      <c r="F6" s="40">
        <v>4087</v>
      </c>
      <c r="G6" s="18">
        <f t="shared" ref="G6:G8" si="0">F6*10.7639</f>
        <v>43992.059300000001</v>
      </c>
      <c r="H6" s="8">
        <v>12</v>
      </c>
      <c r="I6" s="2">
        <v>2010</v>
      </c>
    </row>
    <row r="7" spans="2:9" ht="30" x14ac:dyDescent="0.25">
      <c r="B7" s="2">
        <v>3</v>
      </c>
      <c r="C7" s="13" t="s">
        <v>25</v>
      </c>
      <c r="D7" s="13" t="s">
        <v>34</v>
      </c>
      <c r="E7" s="13" t="s">
        <v>38</v>
      </c>
      <c r="F7" s="40">
        <v>415.28</v>
      </c>
      <c r="G7" s="18">
        <f t="shared" si="0"/>
        <v>4470.0323919999992</v>
      </c>
      <c r="H7" s="8">
        <v>12</v>
      </c>
      <c r="I7" s="2">
        <v>2010</v>
      </c>
    </row>
    <row r="8" spans="2:9" ht="30" x14ac:dyDescent="0.25">
      <c r="B8" s="2">
        <f>B7+1</f>
        <v>4</v>
      </c>
      <c r="C8" s="13" t="s">
        <v>25</v>
      </c>
      <c r="D8" s="13" t="s">
        <v>35</v>
      </c>
      <c r="E8" s="13" t="s">
        <v>38</v>
      </c>
      <c r="F8" s="40">
        <v>581.41999999999996</v>
      </c>
      <c r="G8" s="18">
        <f t="shared" si="0"/>
        <v>6258.3467379999993</v>
      </c>
      <c r="H8" s="8">
        <v>12</v>
      </c>
      <c r="I8" s="2">
        <v>2010</v>
      </c>
    </row>
    <row r="9" spans="2:9" ht="45" x14ac:dyDescent="0.25">
      <c r="B9" s="2">
        <v>5</v>
      </c>
      <c r="C9" s="13" t="s">
        <v>25</v>
      </c>
      <c r="D9" s="13" t="s">
        <v>36</v>
      </c>
      <c r="E9" s="13" t="s">
        <v>31</v>
      </c>
      <c r="F9" s="40">
        <v>581.41999999999996</v>
      </c>
      <c r="G9" s="18">
        <f t="shared" ref="G9:G10" si="1">F9*10.7639</f>
        <v>6258.3467379999993</v>
      </c>
      <c r="H9" s="8">
        <v>12</v>
      </c>
      <c r="I9" s="2">
        <v>2010</v>
      </c>
    </row>
    <row r="10" spans="2:9" ht="30" x14ac:dyDescent="0.25">
      <c r="B10" s="2">
        <v>6</v>
      </c>
      <c r="C10" s="13" t="s">
        <v>25</v>
      </c>
      <c r="D10" s="13" t="s">
        <v>37</v>
      </c>
      <c r="E10" s="13" t="s">
        <v>38</v>
      </c>
      <c r="F10" s="40">
        <v>24.5</v>
      </c>
      <c r="G10" s="18">
        <f t="shared" si="1"/>
        <v>263.71555000000001</v>
      </c>
      <c r="H10" s="8">
        <v>10</v>
      </c>
      <c r="I10" s="2">
        <v>2010</v>
      </c>
    </row>
    <row r="11" spans="2:9" x14ac:dyDescent="0.25">
      <c r="B11" s="71" t="s">
        <v>5</v>
      </c>
      <c r="C11" s="72"/>
      <c r="D11" s="72"/>
      <c r="E11" s="73"/>
      <c r="F11" s="27">
        <f>SUM(F5:F10)</f>
        <v>9776.6200000000008</v>
      </c>
      <c r="G11" s="26">
        <f>SUM(G5:G10)</f>
        <v>105234.56001799997</v>
      </c>
      <c r="H11" s="7"/>
      <c r="I11" s="7"/>
    </row>
  </sheetData>
  <mergeCells count="2">
    <mergeCell ref="B3:I3"/>
    <mergeCell ref="B11:E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Building Area Details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2023-01-30T10:38:22Z</dcterms:modified>
</cp:coreProperties>
</file>