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Building" sheetId="1" r:id="rId1"/>
    <sheet name="Land rates" sheetId="2" r:id="rId2"/>
    <sheet name="LDM" sheetId="3" r:id="rId3"/>
    <sheet name="Sheet1" sheetId="4" r:id="rId4"/>
  </sheets>
  <definedNames>
    <definedName name="_xlnm._FilterDatabase" localSheetId="0" hidden="1">Building!$A$3:$R$31</definedName>
  </definedNames>
  <calcPr calcId="152511"/>
</workbook>
</file>

<file path=xl/calcChain.xml><?xml version="1.0" encoding="utf-8"?>
<calcChain xmlns="http://schemas.openxmlformats.org/spreadsheetml/2006/main">
  <c r="G47" i="3" l="1"/>
  <c r="G46" i="3"/>
  <c r="G44" i="3"/>
  <c r="G43" i="3"/>
  <c r="G42" i="3"/>
  <c r="N37" i="1"/>
  <c r="M37" i="1"/>
  <c r="L37" i="1"/>
  <c r="H41" i="3"/>
  <c r="G41" i="3"/>
  <c r="G40" i="3"/>
  <c r="H40" i="3"/>
  <c r="J39" i="3"/>
  <c r="J40" i="3" s="1"/>
  <c r="J38" i="3"/>
  <c r="J34" i="3"/>
  <c r="H39" i="3"/>
  <c r="G39" i="3"/>
  <c r="G38" i="3"/>
  <c r="C20" i="3"/>
  <c r="C19" i="3"/>
  <c r="C18" i="3"/>
  <c r="C17" i="3"/>
  <c r="C16" i="3"/>
  <c r="M9" i="3"/>
  <c r="L9" i="3"/>
  <c r="K9" i="3"/>
  <c r="J9" i="3"/>
  <c r="I9" i="3"/>
  <c r="H9" i="3"/>
  <c r="G9" i="3"/>
  <c r="U4" i="1" l="1"/>
  <c r="J31" i="1"/>
  <c r="P31" i="1" s="1"/>
  <c r="J30" i="1"/>
  <c r="P30" i="1" s="1"/>
  <c r="J29" i="1"/>
  <c r="P29" i="1" s="1"/>
  <c r="J28" i="1"/>
  <c r="P28" i="1" s="1"/>
  <c r="J27" i="1"/>
  <c r="P27" i="1" s="1"/>
  <c r="J26" i="1"/>
  <c r="P26" i="1" s="1"/>
  <c r="J25" i="1"/>
  <c r="P25" i="1" s="1"/>
  <c r="J24" i="1"/>
  <c r="P24" i="1" s="1"/>
  <c r="J23" i="1"/>
  <c r="P23" i="1" s="1"/>
  <c r="J22" i="1"/>
  <c r="P22" i="1" s="1"/>
  <c r="J21" i="1"/>
  <c r="P21" i="1" s="1"/>
  <c r="J20" i="1"/>
  <c r="P20" i="1" s="1"/>
  <c r="J19" i="1"/>
  <c r="P19" i="1" s="1"/>
  <c r="J18" i="1"/>
  <c r="P18" i="1" s="1"/>
  <c r="J17" i="1"/>
  <c r="P17" i="1" s="1"/>
  <c r="J16" i="1"/>
  <c r="P16" i="1" s="1"/>
  <c r="J15" i="1"/>
  <c r="P15" i="1" s="1"/>
  <c r="J14" i="1"/>
  <c r="P14" i="1" s="1"/>
  <c r="J13" i="1"/>
  <c r="P13" i="1" s="1"/>
  <c r="J12" i="1"/>
  <c r="P12" i="1" s="1"/>
  <c r="J11" i="1"/>
  <c r="P11" i="1" s="1"/>
  <c r="J10" i="1"/>
  <c r="P10" i="1" s="1"/>
  <c r="J9" i="1"/>
  <c r="P9" i="1" s="1"/>
  <c r="J8" i="1"/>
  <c r="P8" i="1" s="1"/>
  <c r="J7" i="1"/>
  <c r="P7" i="1" s="1"/>
  <c r="J6" i="1"/>
  <c r="P6" i="1" s="1"/>
  <c r="J5" i="1"/>
  <c r="P5" i="1" s="1"/>
  <c r="J4" i="1"/>
  <c r="G48" i="3"/>
  <c r="F5" i="4"/>
  <c r="A28" i="1"/>
  <c r="A29" i="1" s="1"/>
  <c r="A30" i="1" s="1"/>
  <c r="A31" i="1" s="1"/>
  <c r="C33" i="3"/>
  <c r="J2" i="1" l="1"/>
  <c r="J1" i="1" s="1"/>
  <c r="P4" i="1"/>
  <c r="K31" i="3"/>
  <c r="K33" i="3" s="1"/>
  <c r="J31" i="3"/>
  <c r="N4" i="3"/>
  <c r="C22" i="3"/>
  <c r="B17" i="3"/>
  <c r="B18" i="3" s="1"/>
  <c r="B19" i="3" s="1"/>
  <c r="B20" i="3" s="1"/>
  <c r="H8" i="3"/>
  <c r="C2" i="3"/>
  <c r="J33" i="3" l="1"/>
  <c r="J35" i="3" s="1"/>
  <c r="H36" i="3"/>
  <c r="H37" i="3"/>
  <c r="G49" i="3"/>
  <c r="I8" i="3"/>
  <c r="J8" i="3" l="1"/>
  <c r="K8" i="3" l="1"/>
  <c r="L8" i="3" l="1"/>
  <c r="M8" i="3" l="1"/>
  <c r="B3" i="3" l="1"/>
  <c r="B4" i="3" s="1"/>
  <c r="C4" i="3" l="1"/>
  <c r="B5" i="3"/>
  <c r="B6" i="3" s="1"/>
  <c r="C6" i="3" s="1"/>
  <c r="C3" i="3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C5" i="3" l="1"/>
  <c r="H5" i="3" s="1"/>
  <c r="B3" i="2"/>
  <c r="G3" i="2" s="1"/>
  <c r="K5" i="3" l="1"/>
  <c r="G5" i="3"/>
  <c r="J5" i="3"/>
  <c r="M5" i="3"/>
  <c r="I5" i="3"/>
  <c r="L5" i="3"/>
  <c r="I3" i="2"/>
  <c r="E3" i="2" s="1"/>
  <c r="H3" i="2"/>
  <c r="D3" i="2" s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J6" i="3" l="1"/>
  <c r="M6" i="3"/>
  <c r="L6" i="3"/>
  <c r="G6" i="3"/>
  <c r="N5" i="3"/>
  <c r="H6" i="3"/>
  <c r="I6" i="3"/>
  <c r="K6" i="3"/>
  <c r="R5" i="1"/>
  <c r="S5" i="1" s="1"/>
  <c r="R9" i="1"/>
  <c r="S9" i="1" s="1"/>
  <c r="R6" i="1"/>
  <c r="S6" i="1" s="1"/>
  <c r="R18" i="1"/>
  <c r="S18" i="1" s="1"/>
  <c r="R7" i="1"/>
  <c r="S7" i="1" s="1"/>
  <c r="R4" i="1"/>
  <c r="S4" i="1" s="1"/>
  <c r="R10" i="1"/>
  <c r="S10" i="1" s="1"/>
  <c r="R11" i="1"/>
  <c r="S11" i="1" s="1"/>
  <c r="R28" i="1"/>
  <c r="S28" i="1" s="1"/>
  <c r="R17" i="1"/>
  <c r="S17" i="1" s="1"/>
  <c r="R15" i="1"/>
  <c r="S15" i="1" s="1"/>
  <c r="R8" i="1"/>
  <c r="S8" i="1" s="1"/>
  <c r="R12" i="1"/>
  <c r="S12" i="1" s="1"/>
  <c r="R16" i="1"/>
  <c r="S16" i="1" s="1"/>
  <c r="R23" i="1"/>
  <c r="S23" i="1" s="1"/>
  <c r="R30" i="1"/>
  <c r="S30" i="1" s="1"/>
  <c r="R20" i="1"/>
  <c r="S20" i="1" s="1"/>
  <c r="R13" i="1"/>
  <c r="S13" i="1" s="1"/>
  <c r="R24" i="1"/>
  <c r="S24" i="1" s="1"/>
  <c r="R14" i="1"/>
  <c r="S14" i="1" s="1"/>
  <c r="R21" i="1"/>
  <c r="S21" i="1" s="1"/>
  <c r="R25" i="1"/>
  <c r="S25" i="1" s="1"/>
  <c r="R27" i="1"/>
  <c r="S27" i="1" s="1"/>
  <c r="R31" i="1"/>
  <c r="S31" i="1" s="1"/>
  <c r="R19" i="1"/>
  <c r="S19" i="1" s="1"/>
  <c r="R22" i="1"/>
  <c r="S22" i="1" s="1"/>
  <c r="R26" i="1"/>
  <c r="S26" i="1" s="1"/>
  <c r="R29" i="1"/>
  <c r="S29" i="1" s="1"/>
  <c r="P2" i="1"/>
  <c r="I2" i="1"/>
  <c r="I1" i="1" s="1"/>
  <c r="I11" i="3" l="1"/>
  <c r="I13" i="3"/>
  <c r="I14" i="3"/>
  <c r="G14" i="3"/>
  <c r="G11" i="3"/>
  <c r="G13" i="3"/>
  <c r="G12" i="3"/>
  <c r="N12" i="3" s="1"/>
  <c r="N9" i="3"/>
  <c r="N6" i="3"/>
  <c r="M11" i="3"/>
  <c r="M14" i="3"/>
  <c r="M13" i="3"/>
  <c r="K11" i="3"/>
  <c r="K14" i="3"/>
  <c r="K13" i="3"/>
  <c r="H11" i="3"/>
  <c r="H13" i="3"/>
  <c r="H14" i="3"/>
  <c r="L14" i="3"/>
  <c r="L13" i="3"/>
  <c r="L11" i="3"/>
  <c r="J11" i="3"/>
  <c r="J14" i="3"/>
  <c r="J13" i="3"/>
  <c r="Q2" i="1"/>
  <c r="R2" i="1"/>
  <c r="S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I16" i="3" l="1"/>
  <c r="J16" i="3"/>
  <c r="N13" i="3"/>
  <c r="M16" i="3"/>
  <c r="K16" i="3"/>
  <c r="H16" i="3"/>
  <c r="L16" i="3"/>
  <c r="G16" i="3"/>
  <c r="N11" i="3"/>
  <c r="N14" i="3"/>
  <c r="A22" i="1"/>
  <c r="A23" i="1" s="1"/>
  <c r="A24" i="1" s="1"/>
  <c r="A25" i="1" s="1"/>
  <c r="A26" i="1" s="1"/>
  <c r="N16" i="3" l="1"/>
  <c r="G18" i="3"/>
  <c r="G19" i="3" l="1"/>
  <c r="C21" i="3"/>
  <c r="H38" i="3" l="1"/>
</calcChain>
</file>

<file path=xl/sharedStrings.xml><?xml version="1.0" encoding="utf-8"?>
<sst xmlns="http://schemas.openxmlformats.org/spreadsheetml/2006/main" count="205" uniqueCount="117">
  <si>
    <t>Fabrication Shed</t>
  </si>
  <si>
    <t>Diesel Bay</t>
  </si>
  <si>
    <t>Boggie Bay</t>
  </si>
  <si>
    <t>Floors</t>
  </si>
  <si>
    <t>Height</t>
  </si>
  <si>
    <t>Age as per OVR</t>
  </si>
  <si>
    <t>Type of Construction</t>
  </si>
  <si>
    <t>GI &amp; Tin Shed</t>
  </si>
  <si>
    <t>Condition</t>
  </si>
  <si>
    <t>Average</t>
  </si>
  <si>
    <t>Area sq.ft</t>
  </si>
  <si>
    <t>Heat Treatment &amp; NF Store</t>
  </si>
  <si>
    <t>Foundary &amp; Machine Shop</t>
  </si>
  <si>
    <t>ARC Furnace shed</t>
  </si>
  <si>
    <t>Maintenance Room &amp; Store</t>
  </si>
  <si>
    <t>RCC &amp; Shed</t>
  </si>
  <si>
    <t>Building Name</t>
  </si>
  <si>
    <t>S. No.</t>
  </si>
  <si>
    <t>Patern Shop</t>
  </si>
  <si>
    <t>Laddle Shop-1</t>
  </si>
  <si>
    <t>Laddle Shop-2</t>
  </si>
  <si>
    <t>Office Building/Shed</t>
  </si>
  <si>
    <t>Good</t>
  </si>
  <si>
    <t>Transformer + Machine Shop</t>
  </si>
  <si>
    <t>High Way Crane no. 20, 21</t>
  </si>
  <si>
    <t>Agbestos Shed</t>
  </si>
  <si>
    <t>High Way Crane no. 19</t>
  </si>
  <si>
    <t>Sub Station-1</t>
  </si>
  <si>
    <t>Sub Station-2</t>
  </si>
  <si>
    <t>Old Canteen</t>
  </si>
  <si>
    <t>RCC</t>
  </si>
  <si>
    <t>Poor</t>
  </si>
  <si>
    <t>Factory Building</t>
  </si>
  <si>
    <t>Residential Building</t>
  </si>
  <si>
    <t>Block-J</t>
  </si>
  <si>
    <t>Block-H</t>
  </si>
  <si>
    <t>Block-K</t>
  </si>
  <si>
    <t>Guest House</t>
  </si>
  <si>
    <t>Labour Quarter</t>
  </si>
  <si>
    <t>Club House</t>
  </si>
  <si>
    <t>Block-D</t>
  </si>
  <si>
    <t>Block-E</t>
  </si>
  <si>
    <t>Block-F</t>
  </si>
  <si>
    <t>Servent Quarter</t>
  </si>
  <si>
    <t>Block-A</t>
  </si>
  <si>
    <t>Age</t>
  </si>
  <si>
    <t>CoC</t>
  </si>
  <si>
    <t>GCRC</t>
  </si>
  <si>
    <t>Depreciation</t>
  </si>
  <si>
    <t>DRC</t>
  </si>
  <si>
    <t>Rate/sqft</t>
  </si>
  <si>
    <t>Rate/sqm</t>
  </si>
  <si>
    <t>Area sqft</t>
  </si>
  <si>
    <t>Area sqm</t>
  </si>
  <si>
    <t>Area sqyd</t>
  </si>
  <si>
    <t>Rate/sqyd</t>
  </si>
  <si>
    <t>Salvage Vlaue</t>
  </si>
  <si>
    <t>Eco. Life</t>
  </si>
  <si>
    <t>VALUATION OF LAND (THROUGH LAND DEVELOPMENT METHOD)</t>
  </si>
  <si>
    <t>Particulars</t>
  </si>
  <si>
    <t>Unit</t>
  </si>
  <si>
    <t>Expected % wise sale of the property</t>
  </si>
  <si>
    <t>%</t>
  </si>
  <si>
    <t>Net Saleable Area</t>
  </si>
  <si>
    <t>Sq.Yards</t>
  </si>
  <si>
    <t>Rate of Inflation</t>
  </si>
  <si>
    <t>Market Rate of Residential Plots</t>
  </si>
  <si>
    <t>INR/Sq.Yards</t>
  </si>
  <si>
    <t>Revenue</t>
  </si>
  <si>
    <t>Expenses</t>
  </si>
  <si>
    <r>
      <t xml:space="preserve">Pre Operative &amp; Admin </t>
    </r>
    <r>
      <rPr>
        <sz val="10"/>
        <color theme="1"/>
        <rFont val="Calibri"/>
        <family val="2"/>
        <scheme val="minor"/>
      </rPr>
      <t>[5%*Revenue]</t>
    </r>
  </si>
  <si>
    <t>INR</t>
  </si>
  <si>
    <t>Noc's &amp; Approval</t>
  </si>
  <si>
    <r>
      <t>Internal &amp; External development</t>
    </r>
    <r>
      <rPr>
        <sz val="10"/>
        <color theme="1"/>
        <rFont val="Calibri"/>
        <family val="2"/>
        <scheme val="minor"/>
      </rPr>
      <t xml:space="preserve"> </t>
    </r>
  </si>
  <si>
    <t>Net revenue</t>
  </si>
  <si>
    <t>Present Value</t>
  </si>
  <si>
    <t>Important Notes:</t>
  </si>
  <si>
    <t>1. 50% of the total land area has been considered as net sellable area. Remaining land area is assumed to be used in providing common infrastructure and green belt.</t>
  </si>
  <si>
    <t xml:space="preserve">2. A favorable Rate of Rs.20,000/- per Sq.yrds has been adopted for the small Residential plots which are assumed to be developed on the subject land. </t>
  </si>
  <si>
    <t>3. A lump-sump amount of expenses has been considered in the above projections. These expenses amount are based on the  available historical data.</t>
  </si>
  <si>
    <t>4. Complete Project land is assumed to be transacted with in 8 years period.</t>
  </si>
  <si>
    <t>Acre</t>
  </si>
  <si>
    <t>Sqm</t>
  </si>
  <si>
    <t>Sqft</t>
  </si>
  <si>
    <t>Sqyds</t>
  </si>
  <si>
    <t>Land Area</t>
  </si>
  <si>
    <t>Saleable Area</t>
  </si>
  <si>
    <t>5. A discount rate of 18% has been considered while arriving on the present value of subject project land.</t>
  </si>
  <si>
    <t>No. of Plots (Avg. Plot Size 150 sqyd)</t>
  </si>
  <si>
    <t>Area</t>
  </si>
  <si>
    <t>Rate Per</t>
  </si>
  <si>
    <t>Katha</t>
  </si>
  <si>
    <t>Circle Value</t>
  </si>
  <si>
    <t>Per Katha</t>
  </si>
  <si>
    <t>Location</t>
  </si>
  <si>
    <r>
      <t xml:space="preserve">Brokerage </t>
    </r>
    <r>
      <rPr>
        <sz val="10"/>
        <color theme="1"/>
        <rFont val="Calibri"/>
        <family val="2"/>
        <scheme val="minor"/>
      </rPr>
      <t>[2%*Revenue]</t>
    </r>
  </si>
  <si>
    <t>WACC</t>
  </si>
  <si>
    <t>Cirle Value</t>
  </si>
  <si>
    <t>LDM</t>
  </si>
  <si>
    <t>FMV</t>
  </si>
  <si>
    <t>Total BUA</t>
  </si>
  <si>
    <t>YoC</t>
  </si>
  <si>
    <t>Industrial</t>
  </si>
  <si>
    <t>Reidential</t>
  </si>
  <si>
    <t>Value</t>
  </si>
  <si>
    <t>20% Disc.</t>
  </si>
  <si>
    <t>50% Disc. On MR</t>
  </si>
  <si>
    <t>Boundary Wall</t>
  </si>
  <si>
    <t>mtr</t>
  </si>
  <si>
    <t>Rate</t>
  </si>
  <si>
    <t>FV</t>
  </si>
  <si>
    <t>Land Value</t>
  </si>
  <si>
    <t>Building</t>
  </si>
  <si>
    <t>LD</t>
  </si>
  <si>
    <t>Grand Total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</si>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</sst>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&quot;FY&quot;\ 0\ &quot;P&quot;"/>
    <numFmt numFmtId="166" formatCode="_ * #,##0_ ;_ * \-#,##0_ ;_ * &quot;-&quot;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2" applyFont="1"/>
    <xf numFmtId="43" fontId="0" fillId="0" borderId="0" xfId="1" applyFont="1"/>
    <xf numFmtId="9" fontId="0" fillId="0" borderId="0" xfId="0" applyNumberFormat="1"/>
    <xf numFmtId="10" fontId="0" fillId="0" borderId="0" xfId="2" applyNumberFormat="1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0" fontId="0" fillId="0" borderId="1" xfId="0" applyBorder="1" applyAlignment="1">
      <alignment horizontal="center" wrapText="1"/>
    </xf>
    <xf numFmtId="43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 vertical="center" wrapText="1"/>
    </xf>
    <xf numFmtId="164" fontId="0" fillId="0" borderId="0" xfId="0" applyNumberFormat="1"/>
    <xf numFmtId="164" fontId="3" fillId="0" borderId="0" xfId="1" applyNumberFormat="1" applyFont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9" fontId="3" fillId="0" borderId="1" xfId="2" applyFont="1" applyBorder="1" applyAlignment="1"/>
    <xf numFmtId="44" fontId="0" fillId="0" borderId="1" xfId="0" applyNumberFormat="1" applyBorder="1"/>
    <xf numFmtId="164" fontId="3" fillId="0" borderId="0" xfId="1" applyNumberFormat="1" applyFont="1"/>
    <xf numFmtId="10" fontId="0" fillId="0" borderId="0" xfId="2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/>
    <xf numFmtId="0" fontId="5" fillId="0" borderId="1" xfId="0" applyFont="1" applyBorder="1" applyAlignment="1">
      <alignment vertical="center"/>
    </xf>
    <xf numFmtId="4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4" fontId="3" fillId="0" borderId="1" xfId="0" applyNumberFormat="1" applyFont="1" applyBorder="1"/>
    <xf numFmtId="43" fontId="0" fillId="0" borderId="1" xfId="1" applyFont="1" applyBorder="1" applyAlignment="1">
      <alignment horizontal="center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left" vertical="center"/>
    </xf>
    <xf numFmtId="43" fontId="0" fillId="0" borderId="1" xfId="1" applyFont="1" applyBorder="1" applyAlignment="1"/>
    <xf numFmtId="166" fontId="0" fillId="0" borderId="0" xfId="0" applyNumberFormat="1"/>
    <xf numFmtId="164" fontId="0" fillId="0" borderId="1" xfId="1" applyNumberFormat="1" applyFont="1" applyBorder="1"/>
    <xf numFmtId="0" fontId="3" fillId="0" borderId="1" xfId="0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Normal="100" workbookViewId="0">
      <selection activeCell="I20" sqref="I20"/>
    </sheetView>
  </sheetViews>
  <sheetFormatPr defaultRowHeight="15" x14ac:dyDescent="0.25"/>
  <cols>
    <col min="1" max="1" width="9.140625" style="2"/>
    <col min="2" max="2" width="15.85546875" bestFit="1" customWidth="1"/>
    <col min="3" max="3" width="15.85546875" customWidth="1"/>
    <col min="9" max="9" width="15" style="1" bestFit="1" customWidth="1"/>
    <col min="10" max="10" width="11.5703125" style="1" customWidth="1"/>
    <col min="11" max="12" width="9" bestFit="1" customWidth="1"/>
    <col min="13" max="13" width="12.5703125" bestFit="1" customWidth="1"/>
    <col min="14" max="14" width="14.28515625" bestFit="1" customWidth="1"/>
    <col min="15" max="15" width="9" bestFit="1" customWidth="1"/>
    <col min="16" max="16" width="12.5703125" style="1" bestFit="1" customWidth="1"/>
    <col min="17" max="17" width="17" style="1" bestFit="1" customWidth="1"/>
    <col min="18" max="18" width="11.5703125" style="1" bestFit="1" customWidth="1"/>
    <col min="19" max="19" width="14.28515625" style="1" bestFit="1" customWidth="1"/>
  </cols>
  <sheetData>
    <row r="1" spans="1:21" x14ac:dyDescent="0.25">
      <c r="G1" s="7"/>
      <c r="H1" s="19"/>
      <c r="I1" s="1">
        <f>I2/10.764</f>
        <v>41827.015979189891</v>
      </c>
      <c r="J1" s="1">
        <f>J2/10.764</f>
        <v>49381.921218877746</v>
      </c>
    </row>
    <row r="2" spans="1:21" x14ac:dyDescent="0.25">
      <c r="I2" s="1">
        <f>SUM(I4:I31)</f>
        <v>450226</v>
      </c>
      <c r="J2" s="1">
        <f>SUM(J4:J31)</f>
        <v>531547</v>
      </c>
      <c r="K2">
        <v>2023</v>
      </c>
      <c r="P2" s="1">
        <f>SUM(P4:P31)</f>
        <v>574649800</v>
      </c>
      <c r="Q2" s="1">
        <f>SUM(Q4:Q31)</f>
        <v>491325579</v>
      </c>
      <c r="R2" s="1">
        <f>SUM(R4:R31)</f>
        <v>83324221</v>
      </c>
      <c r="S2" s="10">
        <f>R2/P2</f>
        <v>0.14499999999999999</v>
      </c>
    </row>
    <row r="3" spans="1:21" s="2" customFormat="1" x14ac:dyDescent="0.25">
      <c r="A3" s="3" t="s">
        <v>17</v>
      </c>
      <c r="B3" s="3" t="s">
        <v>16</v>
      </c>
      <c r="C3" s="3" t="s">
        <v>94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8</v>
      </c>
      <c r="I3" s="4" t="s">
        <v>10</v>
      </c>
      <c r="J3" s="4" t="s">
        <v>100</v>
      </c>
      <c r="K3" s="3" t="s">
        <v>101</v>
      </c>
      <c r="L3" s="3" t="s">
        <v>45</v>
      </c>
      <c r="M3" s="3" t="s">
        <v>56</v>
      </c>
      <c r="N3" s="3" t="s">
        <v>57</v>
      </c>
      <c r="O3" s="3" t="s">
        <v>46</v>
      </c>
      <c r="P3" s="3" t="s">
        <v>47</v>
      </c>
      <c r="Q3" s="3" t="s">
        <v>48</v>
      </c>
      <c r="R3" s="3" t="s">
        <v>49</v>
      </c>
      <c r="S3" s="6"/>
      <c r="U3" s="5"/>
    </row>
    <row r="4" spans="1:21" x14ac:dyDescent="0.25">
      <c r="A4" s="2">
        <v>1</v>
      </c>
      <c r="B4" t="s">
        <v>0</v>
      </c>
      <c r="C4" t="s">
        <v>32</v>
      </c>
      <c r="D4">
        <v>1</v>
      </c>
      <c r="E4">
        <v>12</v>
      </c>
      <c r="F4">
        <v>70</v>
      </c>
      <c r="G4" t="s">
        <v>7</v>
      </c>
      <c r="H4" t="s">
        <v>9</v>
      </c>
      <c r="I4" s="1">
        <v>24006</v>
      </c>
      <c r="J4" s="1">
        <f>I4*D4</f>
        <v>24006</v>
      </c>
      <c r="K4">
        <v>1960</v>
      </c>
      <c r="L4">
        <f>$K$2-K4</f>
        <v>63</v>
      </c>
      <c r="M4" s="9">
        <v>0.95</v>
      </c>
      <c r="N4" s="8">
        <v>70</v>
      </c>
      <c r="O4">
        <v>1000</v>
      </c>
      <c r="P4" s="1">
        <f>O4*J4</f>
        <v>24006000</v>
      </c>
      <c r="Q4" s="1">
        <f>P4*(M4/N4)*(IF(L4&gt;N4,N4,L4))</f>
        <v>20525130</v>
      </c>
      <c r="R4" s="1">
        <f>P4-Q4</f>
        <v>3480870</v>
      </c>
      <c r="S4" s="10">
        <f>R4/P4</f>
        <v>0.14499999999999999</v>
      </c>
      <c r="T4" s="7"/>
      <c r="U4" s="34">
        <f>95%/70</f>
        <v>1.3571428571428571E-2</v>
      </c>
    </row>
    <row r="5" spans="1:21" x14ac:dyDescent="0.25">
      <c r="A5" s="2">
        <f>A4+1</f>
        <v>2</v>
      </c>
      <c r="B5" t="s">
        <v>1</v>
      </c>
      <c r="C5" t="s">
        <v>32</v>
      </c>
      <c r="D5">
        <v>1</v>
      </c>
      <c r="E5">
        <v>14</v>
      </c>
      <c r="F5">
        <v>70</v>
      </c>
      <c r="G5" t="s">
        <v>7</v>
      </c>
      <c r="H5" t="s">
        <v>9</v>
      </c>
      <c r="I5" s="1">
        <v>35807</v>
      </c>
      <c r="J5" s="1">
        <f t="shared" ref="J5:J31" si="0">I5*D5</f>
        <v>35807</v>
      </c>
      <c r="K5">
        <v>1960</v>
      </c>
      <c r="L5">
        <f t="shared" ref="L5:L31" si="1">$K$2-K5</f>
        <v>63</v>
      </c>
      <c r="M5" s="9">
        <v>0.95</v>
      </c>
      <c r="N5" s="8">
        <v>70</v>
      </c>
      <c r="O5">
        <v>1000</v>
      </c>
      <c r="P5" s="1">
        <f t="shared" ref="P5:P31" si="2">O5*J5</f>
        <v>35807000</v>
      </c>
      <c r="Q5" s="1">
        <f t="shared" ref="Q5:Q20" si="3">P5*(M5/N5)*(IF(L5&gt;N5,N5,L5))</f>
        <v>30614985</v>
      </c>
      <c r="R5" s="1">
        <f t="shared" ref="R5:R31" si="4">P5-Q5</f>
        <v>5192015</v>
      </c>
      <c r="S5" s="10">
        <f t="shared" ref="S5:S31" si="5">R5/P5</f>
        <v>0.14499999999999999</v>
      </c>
    </row>
    <row r="6" spans="1:21" x14ac:dyDescent="0.25">
      <c r="A6" s="2">
        <f t="shared" ref="A6:A20" si="6">A5+1</f>
        <v>3</v>
      </c>
      <c r="B6" t="s">
        <v>2</v>
      </c>
      <c r="C6" t="s">
        <v>32</v>
      </c>
      <c r="D6">
        <v>1</v>
      </c>
      <c r="E6">
        <v>14</v>
      </c>
      <c r="F6">
        <v>70</v>
      </c>
      <c r="G6" t="s">
        <v>7</v>
      </c>
      <c r="H6" t="s">
        <v>9</v>
      </c>
      <c r="I6" s="1">
        <v>35807</v>
      </c>
      <c r="J6" s="1">
        <f t="shared" si="0"/>
        <v>35807</v>
      </c>
      <c r="K6">
        <v>1960</v>
      </c>
      <c r="L6">
        <f t="shared" si="1"/>
        <v>63</v>
      </c>
      <c r="M6" s="9">
        <v>0.95</v>
      </c>
      <c r="N6" s="8">
        <v>70</v>
      </c>
      <c r="O6">
        <v>1000</v>
      </c>
      <c r="P6" s="1">
        <f t="shared" si="2"/>
        <v>35807000</v>
      </c>
      <c r="Q6" s="1">
        <f t="shared" si="3"/>
        <v>30614985</v>
      </c>
      <c r="R6" s="1">
        <f t="shared" si="4"/>
        <v>5192015</v>
      </c>
      <c r="S6" s="10">
        <f t="shared" si="5"/>
        <v>0.14499999999999999</v>
      </c>
    </row>
    <row r="7" spans="1:21" x14ac:dyDescent="0.25">
      <c r="A7" s="2">
        <f t="shared" si="6"/>
        <v>4</v>
      </c>
      <c r="B7" t="s">
        <v>11</v>
      </c>
      <c r="C7" t="s">
        <v>32</v>
      </c>
      <c r="D7">
        <v>1</v>
      </c>
      <c r="E7">
        <v>7</v>
      </c>
      <c r="F7">
        <v>70</v>
      </c>
      <c r="G7" t="s">
        <v>7</v>
      </c>
      <c r="H7" t="s">
        <v>9</v>
      </c>
      <c r="I7" s="1">
        <v>18506</v>
      </c>
      <c r="J7" s="1">
        <f t="shared" si="0"/>
        <v>18506</v>
      </c>
      <c r="K7">
        <v>1960</v>
      </c>
      <c r="L7">
        <f t="shared" si="1"/>
        <v>63</v>
      </c>
      <c r="M7" s="9">
        <v>0.95</v>
      </c>
      <c r="N7" s="8">
        <v>70</v>
      </c>
      <c r="O7">
        <v>900</v>
      </c>
      <c r="P7" s="1">
        <f t="shared" si="2"/>
        <v>16655400</v>
      </c>
      <c r="Q7" s="1">
        <f t="shared" si="3"/>
        <v>14240367</v>
      </c>
      <c r="R7" s="1">
        <f t="shared" si="4"/>
        <v>2415033</v>
      </c>
      <c r="S7" s="10">
        <f t="shared" si="5"/>
        <v>0.14499999999999999</v>
      </c>
    </row>
    <row r="8" spans="1:21" x14ac:dyDescent="0.25">
      <c r="A8" s="2">
        <f t="shared" si="6"/>
        <v>5</v>
      </c>
      <c r="B8" t="s">
        <v>12</v>
      </c>
      <c r="C8" t="s">
        <v>32</v>
      </c>
      <c r="D8">
        <v>1</v>
      </c>
      <c r="E8">
        <v>15</v>
      </c>
      <c r="F8">
        <v>70</v>
      </c>
      <c r="G8" t="s">
        <v>7</v>
      </c>
      <c r="H8" t="s">
        <v>9</v>
      </c>
      <c r="I8" s="1">
        <v>132731</v>
      </c>
      <c r="J8" s="1">
        <f t="shared" si="0"/>
        <v>132731</v>
      </c>
      <c r="K8">
        <v>1960</v>
      </c>
      <c r="L8">
        <f t="shared" si="1"/>
        <v>63</v>
      </c>
      <c r="M8" s="9">
        <v>0.95</v>
      </c>
      <c r="N8" s="8">
        <v>70</v>
      </c>
      <c r="O8">
        <v>900</v>
      </c>
      <c r="P8" s="1">
        <f t="shared" si="2"/>
        <v>119457900</v>
      </c>
      <c r="Q8" s="1">
        <f t="shared" si="3"/>
        <v>102136504.5</v>
      </c>
      <c r="R8" s="1">
        <f t="shared" si="4"/>
        <v>17321395.5</v>
      </c>
      <c r="S8" s="10">
        <f t="shared" si="5"/>
        <v>0.14499999999999999</v>
      </c>
      <c r="U8" s="8"/>
    </row>
    <row r="9" spans="1:21" x14ac:dyDescent="0.25">
      <c r="A9" s="2">
        <f t="shared" si="6"/>
        <v>6</v>
      </c>
      <c r="B9" t="s">
        <v>13</v>
      </c>
      <c r="C9" t="s">
        <v>32</v>
      </c>
      <c r="D9">
        <v>1</v>
      </c>
      <c r="E9">
        <v>15</v>
      </c>
      <c r="F9">
        <v>70</v>
      </c>
      <c r="G9" t="s">
        <v>7</v>
      </c>
      <c r="H9" t="s">
        <v>9</v>
      </c>
      <c r="I9" s="1">
        <v>11369</v>
      </c>
      <c r="J9" s="1">
        <f t="shared" si="0"/>
        <v>11369</v>
      </c>
      <c r="K9">
        <v>1960</v>
      </c>
      <c r="L9">
        <f t="shared" si="1"/>
        <v>63</v>
      </c>
      <c r="M9" s="9">
        <v>0.95</v>
      </c>
      <c r="N9" s="8">
        <v>70</v>
      </c>
      <c r="O9">
        <v>1000</v>
      </c>
      <c r="P9" s="1">
        <f t="shared" si="2"/>
        <v>11369000</v>
      </c>
      <c r="Q9" s="1">
        <f t="shared" si="3"/>
        <v>9720495</v>
      </c>
      <c r="R9" s="1">
        <f t="shared" si="4"/>
        <v>1648505</v>
      </c>
      <c r="S9" s="10">
        <f t="shared" si="5"/>
        <v>0.14499999999999999</v>
      </c>
    </row>
    <row r="10" spans="1:21" x14ac:dyDescent="0.25">
      <c r="A10" s="2">
        <f t="shared" si="6"/>
        <v>7</v>
      </c>
      <c r="B10" t="s">
        <v>14</v>
      </c>
      <c r="C10" t="s">
        <v>32</v>
      </c>
      <c r="D10">
        <v>1</v>
      </c>
      <c r="E10">
        <v>7.5</v>
      </c>
      <c r="F10">
        <v>70</v>
      </c>
      <c r="G10" t="s">
        <v>15</v>
      </c>
      <c r="H10" t="s">
        <v>9</v>
      </c>
      <c r="I10" s="1">
        <v>63368</v>
      </c>
      <c r="J10" s="1">
        <f t="shared" si="0"/>
        <v>63368</v>
      </c>
      <c r="K10">
        <v>1960</v>
      </c>
      <c r="L10">
        <f t="shared" si="1"/>
        <v>63</v>
      </c>
      <c r="M10" s="9">
        <v>0.95</v>
      </c>
      <c r="N10" s="8">
        <v>70</v>
      </c>
      <c r="O10">
        <v>900</v>
      </c>
      <c r="P10" s="1">
        <f t="shared" si="2"/>
        <v>57031200</v>
      </c>
      <c r="Q10" s="1">
        <f t="shared" si="3"/>
        <v>48761676</v>
      </c>
      <c r="R10" s="1">
        <f t="shared" si="4"/>
        <v>8269524</v>
      </c>
      <c r="S10" s="10">
        <f t="shared" si="5"/>
        <v>0.14499999999999999</v>
      </c>
    </row>
    <row r="11" spans="1:21" x14ac:dyDescent="0.25">
      <c r="A11" s="2">
        <f t="shared" si="6"/>
        <v>8</v>
      </c>
      <c r="B11" t="s">
        <v>19</v>
      </c>
      <c r="C11" t="s">
        <v>32</v>
      </c>
      <c r="D11">
        <v>1</v>
      </c>
      <c r="E11">
        <v>12</v>
      </c>
      <c r="F11">
        <v>70</v>
      </c>
      <c r="G11" t="s">
        <v>7</v>
      </c>
      <c r="H11" t="s">
        <v>9</v>
      </c>
      <c r="I11" s="1">
        <v>4922</v>
      </c>
      <c r="J11" s="1">
        <f t="shared" si="0"/>
        <v>4922</v>
      </c>
      <c r="K11">
        <v>1960</v>
      </c>
      <c r="L11">
        <f t="shared" si="1"/>
        <v>63</v>
      </c>
      <c r="M11" s="9">
        <v>0.95</v>
      </c>
      <c r="N11" s="8">
        <v>70</v>
      </c>
      <c r="O11">
        <v>1000</v>
      </c>
      <c r="P11" s="1">
        <f t="shared" si="2"/>
        <v>4922000</v>
      </c>
      <c r="Q11" s="1">
        <f t="shared" si="3"/>
        <v>4208309.9999999991</v>
      </c>
      <c r="R11" s="1">
        <f t="shared" si="4"/>
        <v>713690.00000000093</v>
      </c>
      <c r="S11" s="10">
        <f t="shared" si="5"/>
        <v>0.14500000000000018</v>
      </c>
    </row>
    <row r="12" spans="1:21" x14ac:dyDescent="0.25">
      <c r="A12" s="2">
        <f t="shared" si="6"/>
        <v>9</v>
      </c>
      <c r="B12" t="s">
        <v>20</v>
      </c>
      <c r="C12" t="s">
        <v>32</v>
      </c>
      <c r="D12">
        <v>1</v>
      </c>
      <c r="E12">
        <v>12</v>
      </c>
      <c r="F12">
        <v>70</v>
      </c>
      <c r="G12" t="s">
        <v>7</v>
      </c>
      <c r="H12" t="s">
        <v>9</v>
      </c>
      <c r="I12" s="1">
        <v>4922</v>
      </c>
      <c r="J12" s="1">
        <f t="shared" si="0"/>
        <v>4922</v>
      </c>
      <c r="K12">
        <v>1960</v>
      </c>
      <c r="L12">
        <f t="shared" si="1"/>
        <v>63</v>
      </c>
      <c r="M12" s="9">
        <v>0.95</v>
      </c>
      <c r="N12" s="8">
        <v>70</v>
      </c>
      <c r="O12">
        <v>1000</v>
      </c>
      <c r="P12" s="1">
        <f t="shared" si="2"/>
        <v>4922000</v>
      </c>
      <c r="Q12" s="1">
        <f t="shared" si="3"/>
        <v>4208309.9999999991</v>
      </c>
      <c r="R12" s="1">
        <f t="shared" si="4"/>
        <v>713690.00000000093</v>
      </c>
      <c r="S12" s="10">
        <f t="shared" si="5"/>
        <v>0.14500000000000018</v>
      </c>
    </row>
    <row r="13" spans="1:21" x14ac:dyDescent="0.25">
      <c r="A13" s="2">
        <f t="shared" si="6"/>
        <v>10</v>
      </c>
      <c r="B13" t="s">
        <v>18</v>
      </c>
      <c r="C13" t="s">
        <v>32</v>
      </c>
      <c r="D13">
        <v>1</v>
      </c>
      <c r="E13">
        <v>5.5</v>
      </c>
      <c r="F13">
        <v>70</v>
      </c>
      <c r="G13" t="s">
        <v>15</v>
      </c>
      <c r="H13" t="s">
        <v>9</v>
      </c>
      <c r="I13" s="1">
        <v>6859</v>
      </c>
      <c r="J13" s="1">
        <f t="shared" si="0"/>
        <v>6859</v>
      </c>
      <c r="K13">
        <v>1960</v>
      </c>
      <c r="L13">
        <f t="shared" si="1"/>
        <v>63</v>
      </c>
      <c r="M13" s="9">
        <v>0.95</v>
      </c>
      <c r="N13" s="8">
        <v>70</v>
      </c>
      <c r="O13">
        <v>1000</v>
      </c>
      <c r="P13" s="1">
        <f t="shared" si="2"/>
        <v>6859000</v>
      </c>
      <c r="Q13" s="1">
        <f t="shared" si="3"/>
        <v>5864445</v>
      </c>
      <c r="R13" s="1">
        <f t="shared" si="4"/>
        <v>994555</v>
      </c>
      <c r="S13" s="10">
        <f t="shared" si="5"/>
        <v>0.14499999999999999</v>
      </c>
    </row>
    <row r="14" spans="1:21" x14ac:dyDescent="0.25">
      <c r="A14" s="2">
        <f t="shared" si="6"/>
        <v>11</v>
      </c>
      <c r="B14" t="s">
        <v>21</v>
      </c>
      <c r="C14" t="s">
        <v>32</v>
      </c>
      <c r="D14">
        <v>3</v>
      </c>
      <c r="E14">
        <v>5.2</v>
      </c>
      <c r="F14">
        <v>70</v>
      </c>
      <c r="G14" t="s">
        <v>15</v>
      </c>
      <c r="H14" t="s">
        <v>22</v>
      </c>
      <c r="I14" s="1">
        <v>13405</v>
      </c>
      <c r="J14" s="1">
        <f t="shared" si="0"/>
        <v>40215</v>
      </c>
      <c r="K14">
        <v>1960</v>
      </c>
      <c r="L14">
        <f t="shared" si="1"/>
        <v>63</v>
      </c>
      <c r="M14" s="9">
        <v>0.95</v>
      </c>
      <c r="N14" s="8">
        <v>70</v>
      </c>
      <c r="O14">
        <v>1100</v>
      </c>
      <c r="P14" s="1">
        <f t="shared" si="2"/>
        <v>44236500</v>
      </c>
      <c r="Q14" s="1">
        <f t="shared" si="3"/>
        <v>37822207.5</v>
      </c>
      <c r="R14" s="1">
        <f t="shared" si="4"/>
        <v>6414292.5</v>
      </c>
      <c r="S14" s="10">
        <f t="shared" si="5"/>
        <v>0.14499999999999999</v>
      </c>
    </row>
    <row r="15" spans="1:21" x14ac:dyDescent="0.25">
      <c r="A15" s="2">
        <f t="shared" si="6"/>
        <v>12</v>
      </c>
      <c r="B15" t="s">
        <v>23</v>
      </c>
      <c r="C15" t="s">
        <v>32</v>
      </c>
      <c r="D15">
        <v>1</v>
      </c>
      <c r="E15">
        <v>13.5</v>
      </c>
      <c r="F15">
        <v>70</v>
      </c>
      <c r="G15" t="s">
        <v>7</v>
      </c>
      <c r="H15" t="s">
        <v>9</v>
      </c>
      <c r="I15" s="1">
        <v>5414</v>
      </c>
      <c r="J15" s="1">
        <f t="shared" si="0"/>
        <v>5414</v>
      </c>
      <c r="K15">
        <v>1960</v>
      </c>
      <c r="L15">
        <f t="shared" si="1"/>
        <v>63</v>
      </c>
      <c r="M15" s="9">
        <v>0.95</v>
      </c>
      <c r="N15" s="8">
        <v>70</v>
      </c>
      <c r="O15">
        <v>1200</v>
      </c>
      <c r="P15" s="1">
        <f t="shared" si="2"/>
        <v>6496800</v>
      </c>
      <c r="Q15" s="1">
        <f t="shared" si="3"/>
        <v>5554764</v>
      </c>
      <c r="R15" s="1">
        <f t="shared" si="4"/>
        <v>942036</v>
      </c>
      <c r="S15" s="10">
        <f t="shared" si="5"/>
        <v>0.14499999999999999</v>
      </c>
    </row>
    <row r="16" spans="1:21" x14ac:dyDescent="0.25">
      <c r="A16" s="2">
        <f t="shared" si="6"/>
        <v>13</v>
      </c>
      <c r="B16" t="s">
        <v>24</v>
      </c>
      <c r="C16" t="s">
        <v>32</v>
      </c>
      <c r="D16">
        <v>1</v>
      </c>
      <c r="E16">
        <v>18.5</v>
      </c>
      <c r="F16">
        <v>70</v>
      </c>
      <c r="G16" t="s">
        <v>25</v>
      </c>
      <c r="H16" t="s">
        <v>9</v>
      </c>
      <c r="I16" s="1">
        <v>31838</v>
      </c>
      <c r="J16" s="1">
        <f t="shared" si="0"/>
        <v>31838</v>
      </c>
      <c r="K16">
        <v>1960</v>
      </c>
      <c r="L16">
        <f t="shared" si="1"/>
        <v>63</v>
      </c>
      <c r="M16" s="9">
        <v>0.95</v>
      </c>
      <c r="N16" s="8">
        <v>70</v>
      </c>
      <c r="O16">
        <v>1200</v>
      </c>
      <c r="P16" s="1">
        <f t="shared" si="2"/>
        <v>38205600</v>
      </c>
      <c r="Q16" s="1">
        <f t="shared" si="3"/>
        <v>32665788</v>
      </c>
      <c r="R16" s="1">
        <f t="shared" si="4"/>
        <v>5539812</v>
      </c>
      <c r="S16" s="10">
        <f t="shared" si="5"/>
        <v>0.14499999999999999</v>
      </c>
    </row>
    <row r="17" spans="1:19" x14ac:dyDescent="0.25">
      <c r="A17" s="2">
        <f t="shared" si="6"/>
        <v>14</v>
      </c>
      <c r="B17" t="s">
        <v>26</v>
      </c>
      <c r="C17" t="s">
        <v>32</v>
      </c>
      <c r="D17">
        <v>1</v>
      </c>
      <c r="E17">
        <v>16.5</v>
      </c>
      <c r="F17">
        <v>70</v>
      </c>
      <c r="G17" t="s">
        <v>25</v>
      </c>
      <c r="H17" t="s">
        <v>9</v>
      </c>
      <c r="I17" s="1">
        <v>19708</v>
      </c>
      <c r="J17" s="1">
        <f t="shared" si="0"/>
        <v>19708</v>
      </c>
      <c r="K17">
        <v>1960</v>
      </c>
      <c r="L17">
        <f t="shared" si="1"/>
        <v>63</v>
      </c>
      <c r="M17" s="9">
        <v>0.95</v>
      </c>
      <c r="N17" s="8">
        <v>70</v>
      </c>
      <c r="O17">
        <v>1200</v>
      </c>
      <c r="P17" s="1">
        <f t="shared" si="2"/>
        <v>23649600</v>
      </c>
      <c r="Q17" s="1">
        <f t="shared" si="3"/>
        <v>20220408</v>
      </c>
      <c r="R17" s="1">
        <f t="shared" si="4"/>
        <v>3429192</v>
      </c>
      <c r="S17" s="10">
        <f t="shared" si="5"/>
        <v>0.14499999999999999</v>
      </c>
    </row>
    <row r="18" spans="1:19" x14ac:dyDescent="0.25">
      <c r="A18" s="2">
        <f t="shared" si="6"/>
        <v>15</v>
      </c>
      <c r="B18" t="s">
        <v>27</v>
      </c>
      <c r="C18" t="s">
        <v>32</v>
      </c>
      <c r="D18">
        <v>1</v>
      </c>
      <c r="E18">
        <v>3.5</v>
      </c>
      <c r="F18">
        <v>70</v>
      </c>
      <c r="G18" t="s">
        <v>15</v>
      </c>
      <c r="H18" t="s">
        <v>9</v>
      </c>
      <c r="I18" s="1">
        <v>1828</v>
      </c>
      <c r="J18" s="1">
        <f t="shared" si="0"/>
        <v>1828</v>
      </c>
      <c r="K18">
        <v>1960</v>
      </c>
      <c r="L18">
        <f t="shared" si="1"/>
        <v>63</v>
      </c>
      <c r="M18" s="9">
        <v>0.95</v>
      </c>
      <c r="N18" s="8">
        <v>70</v>
      </c>
      <c r="O18">
        <v>1000</v>
      </c>
      <c r="P18" s="1">
        <f t="shared" si="2"/>
        <v>1828000</v>
      </c>
      <c r="Q18" s="1">
        <f t="shared" si="3"/>
        <v>1562940</v>
      </c>
      <c r="R18" s="1">
        <f t="shared" si="4"/>
        <v>265060</v>
      </c>
      <c r="S18" s="10">
        <f t="shared" si="5"/>
        <v>0.14499999999999999</v>
      </c>
    </row>
    <row r="19" spans="1:19" x14ac:dyDescent="0.25">
      <c r="A19" s="2">
        <f t="shared" si="6"/>
        <v>16</v>
      </c>
      <c r="B19" t="s">
        <v>28</v>
      </c>
      <c r="C19" t="s">
        <v>32</v>
      </c>
      <c r="D19">
        <v>1</v>
      </c>
      <c r="E19">
        <v>5</v>
      </c>
      <c r="F19">
        <v>70</v>
      </c>
      <c r="G19" t="s">
        <v>15</v>
      </c>
      <c r="H19" t="s">
        <v>9</v>
      </c>
      <c r="I19" s="1">
        <v>156</v>
      </c>
      <c r="J19" s="1">
        <f t="shared" si="0"/>
        <v>156</v>
      </c>
      <c r="K19">
        <v>1960</v>
      </c>
      <c r="L19">
        <f t="shared" si="1"/>
        <v>63</v>
      </c>
      <c r="M19" s="9">
        <v>0.95</v>
      </c>
      <c r="N19" s="8">
        <v>70</v>
      </c>
      <c r="O19">
        <v>1000</v>
      </c>
      <c r="P19" s="1">
        <f t="shared" si="2"/>
        <v>156000</v>
      </c>
      <c r="Q19" s="1">
        <f t="shared" si="3"/>
        <v>133379.99999999997</v>
      </c>
      <c r="R19" s="1">
        <f t="shared" si="4"/>
        <v>22620.000000000029</v>
      </c>
      <c r="S19" s="10">
        <f t="shared" si="5"/>
        <v>0.14500000000000018</v>
      </c>
    </row>
    <row r="20" spans="1:19" x14ac:dyDescent="0.25">
      <c r="A20" s="2">
        <f t="shared" si="6"/>
        <v>17</v>
      </c>
      <c r="B20" t="s">
        <v>29</v>
      </c>
      <c r="C20" t="s">
        <v>32</v>
      </c>
      <c r="D20">
        <v>3</v>
      </c>
      <c r="E20">
        <v>3</v>
      </c>
      <c r="F20">
        <v>70</v>
      </c>
      <c r="G20" t="s">
        <v>30</v>
      </c>
      <c r="H20" t="s">
        <v>31</v>
      </c>
      <c r="I20" s="1">
        <v>994</v>
      </c>
      <c r="J20" s="1">
        <f t="shared" si="0"/>
        <v>2982</v>
      </c>
      <c r="K20">
        <v>1960</v>
      </c>
      <c r="L20">
        <f t="shared" si="1"/>
        <v>63</v>
      </c>
      <c r="M20" s="9">
        <v>0.95</v>
      </c>
      <c r="N20" s="8">
        <v>70</v>
      </c>
      <c r="O20">
        <v>1000</v>
      </c>
      <c r="P20" s="1">
        <f t="shared" si="2"/>
        <v>2982000</v>
      </c>
      <c r="Q20" s="1">
        <f t="shared" si="3"/>
        <v>2549610</v>
      </c>
      <c r="R20" s="1">
        <f t="shared" si="4"/>
        <v>432390</v>
      </c>
      <c r="S20" s="10">
        <f t="shared" si="5"/>
        <v>0.14499999999999999</v>
      </c>
    </row>
    <row r="21" spans="1:19" x14ac:dyDescent="0.25">
      <c r="A21" s="2">
        <f t="shared" ref="A21:A26" si="7">A20+1</f>
        <v>18</v>
      </c>
      <c r="B21" t="s">
        <v>34</v>
      </c>
      <c r="C21" t="s">
        <v>33</v>
      </c>
      <c r="D21">
        <v>2</v>
      </c>
      <c r="E21">
        <v>3.5</v>
      </c>
      <c r="F21">
        <v>70</v>
      </c>
      <c r="G21" t="s">
        <v>30</v>
      </c>
      <c r="H21" t="s">
        <v>22</v>
      </c>
      <c r="I21" s="1">
        <v>3927</v>
      </c>
      <c r="J21" s="1">
        <f t="shared" si="0"/>
        <v>7854</v>
      </c>
      <c r="K21">
        <v>1960</v>
      </c>
      <c r="L21">
        <f t="shared" si="1"/>
        <v>63</v>
      </c>
      <c r="M21" s="9">
        <v>0.95</v>
      </c>
      <c r="N21" s="8">
        <v>70</v>
      </c>
      <c r="O21">
        <v>1600</v>
      </c>
      <c r="P21" s="1">
        <f t="shared" si="2"/>
        <v>12566400</v>
      </c>
      <c r="Q21" s="1">
        <f t="shared" ref="Q21:Q26" si="8">P21*(M21/N21)*(IF(L21&gt;N21,N21,L21))</f>
        <v>10744272</v>
      </c>
      <c r="R21" s="1">
        <f t="shared" si="4"/>
        <v>1822128</v>
      </c>
      <c r="S21" s="10">
        <f t="shared" si="5"/>
        <v>0.14499999999999999</v>
      </c>
    </row>
    <row r="22" spans="1:19" x14ac:dyDescent="0.25">
      <c r="A22" s="2">
        <f t="shared" si="7"/>
        <v>19</v>
      </c>
      <c r="B22" t="s">
        <v>35</v>
      </c>
      <c r="C22" t="s">
        <v>33</v>
      </c>
      <c r="D22">
        <v>3</v>
      </c>
      <c r="E22">
        <v>3.5</v>
      </c>
      <c r="F22">
        <v>70</v>
      </c>
      <c r="G22" t="s">
        <v>30</v>
      </c>
      <c r="H22" t="s">
        <v>22</v>
      </c>
      <c r="I22" s="1">
        <v>3927</v>
      </c>
      <c r="J22" s="1">
        <f t="shared" si="0"/>
        <v>11781</v>
      </c>
      <c r="K22">
        <v>1960</v>
      </c>
      <c r="L22">
        <f t="shared" si="1"/>
        <v>63</v>
      </c>
      <c r="M22" s="9">
        <v>0.95</v>
      </c>
      <c r="N22" s="8">
        <v>70</v>
      </c>
      <c r="O22">
        <v>1600</v>
      </c>
      <c r="P22" s="1">
        <f t="shared" si="2"/>
        <v>18849600</v>
      </c>
      <c r="Q22" s="1">
        <f t="shared" si="8"/>
        <v>16116408</v>
      </c>
      <c r="R22" s="1">
        <f t="shared" si="4"/>
        <v>2733192</v>
      </c>
      <c r="S22" s="10">
        <f t="shared" si="5"/>
        <v>0.14499999999999999</v>
      </c>
    </row>
    <row r="23" spans="1:19" x14ac:dyDescent="0.25">
      <c r="A23" s="2">
        <f t="shared" si="7"/>
        <v>20</v>
      </c>
      <c r="B23" t="s">
        <v>36</v>
      </c>
      <c r="C23" t="s">
        <v>33</v>
      </c>
      <c r="D23">
        <v>3</v>
      </c>
      <c r="E23">
        <v>3.5</v>
      </c>
      <c r="F23">
        <v>70</v>
      </c>
      <c r="G23" t="s">
        <v>30</v>
      </c>
      <c r="H23" t="s">
        <v>22</v>
      </c>
      <c r="I23" s="1">
        <v>3927</v>
      </c>
      <c r="J23" s="1">
        <f t="shared" si="0"/>
        <v>11781</v>
      </c>
      <c r="K23">
        <v>1960</v>
      </c>
      <c r="L23">
        <f t="shared" si="1"/>
        <v>63</v>
      </c>
      <c r="M23" s="9">
        <v>0.95</v>
      </c>
      <c r="N23" s="8">
        <v>70</v>
      </c>
      <c r="O23">
        <v>1600</v>
      </c>
      <c r="P23" s="1">
        <f t="shared" si="2"/>
        <v>18849600</v>
      </c>
      <c r="Q23" s="1">
        <f t="shared" si="8"/>
        <v>16116408</v>
      </c>
      <c r="R23" s="1">
        <f t="shared" si="4"/>
        <v>2733192</v>
      </c>
      <c r="S23" s="10">
        <f t="shared" si="5"/>
        <v>0.14499999999999999</v>
      </c>
    </row>
    <row r="24" spans="1:19" x14ac:dyDescent="0.25">
      <c r="A24" s="2">
        <f t="shared" si="7"/>
        <v>21</v>
      </c>
      <c r="B24" t="s">
        <v>37</v>
      </c>
      <c r="C24" t="s">
        <v>33</v>
      </c>
      <c r="D24">
        <v>2</v>
      </c>
      <c r="E24">
        <v>3.5</v>
      </c>
      <c r="F24">
        <v>70</v>
      </c>
      <c r="G24" t="s">
        <v>30</v>
      </c>
      <c r="H24" t="s">
        <v>22</v>
      </c>
      <c r="I24" s="1">
        <v>4349</v>
      </c>
      <c r="J24" s="1">
        <f t="shared" si="0"/>
        <v>8698</v>
      </c>
      <c r="K24">
        <v>1960</v>
      </c>
      <c r="L24">
        <f t="shared" si="1"/>
        <v>63</v>
      </c>
      <c r="M24" s="9">
        <v>0.95</v>
      </c>
      <c r="N24" s="8">
        <v>70</v>
      </c>
      <c r="O24">
        <v>1800</v>
      </c>
      <c r="P24" s="1">
        <f t="shared" si="2"/>
        <v>15656400</v>
      </c>
      <c r="Q24" s="1">
        <f t="shared" si="8"/>
        <v>13386222</v>
      </c>
      <c r="R24" s="1">
        <f t="shared" si="4"/>
        <v>2270178</v>
      </c>
      <c r="S24" s="10">
        <f t="shared" si="5"/>
        <v>0.14499999999999999</v>
      </c>
    </row>
    <row r="25" spans="1:19" x14ac:dyDescent="0.25">
      <c r="A25" s="2">
        <f t="shared" si="7"/>
        <v>22</v>
      </c>
      <c r="B25" t="s">
        <v>38</v>
      </c>
      <c r="C25" t="s">
        <v>33</v>
      </c>
      <c r="D25">
        <v>2</v>
      </c>
      <c r="E25">
        <v>3.5</v>
      </c>
      <c r="F25">
        <v>70</v>
      </c>
      <c r="G25" t="s">
        <v>30</v>
      </c>
      <c r="H25" t="s">
        <v>22</v>
      </c>
      <c r="I25" s="1">
        <v>3488</v>
      </c>
      <c r="J25" s="1">
        <f t="shared" si="0"/>
        <v>6976</v>
      </c>
      <c r="K25">
        <v>1960</v>
      </c>
      <c r="L25">
        <f t="shared" si="1"/>
        <v>63</v>
      </c>
      <c r="M25" s="9">
        <v>0.95</v>
      </c>
      <c r="N25" s="8">
        <v>70</v>
      </c>
      <c r="O25">
        <v>1200</v>
      </c>
      <c r="P25" s="1">
        <f t="shared" si="2"/>
        <v>8371200</v>
      </c>
      <c r="Q25" s="1">
        <f t="shared" si="8"/>
        <v>7157376</v>
      </c>
      <c r="R25" s="1">
        <f t="shared" si="4"/>
        <v>1213824</v>
      </c>
      <c r="S25" s="10">
        <f t="shared" si="5"/>
        <v>0.14499999999999999</v>
      </c>
    </row>
    <row r="26" spans="1:19" x14ac:dyDescent="0.25">
      <c r="A26" s="2">
        <f t="shared" si="7"/>
        <v>23</v>
      </c>
      <c r="B26" t="s">
        <v>39</v>
      </c>
      <c r="C26" t="s">
        <v>33</v>
      </c>
      <c r="D26">
        <v>1</v>
      </c>
      <c r="E26">
        <v>3</v>
      </c>
      <c r="F26">
        <v>70</v>
      </c>
      <c r="G26" t="s">
        <v>15</v>
      </c>
      <c r="H26" t="s">
        <v>22</v>
      </c>
      <c r="I26" s="1">
        <v>2878</v>
      </c>
      <c r="J26" s="1">
        <f t="shared" si="0"/>
        <v>2878</v>
      </c>
      <c r="K26">
        <v>1960</v>
      </c>
      <c r="L26">
        <f t="shared" si="1"/>
        <v>63</v>
      </c>
      <c r="M26" s="9">
        <v>0.95</v>
      </c>
      <c r="N26" s="8">
        <v>70</v>
      </c>
      <c r="O26">
        <v>1200</v>
      </c>
      <c r="P26" s="1">
        <f t="shared" si="2"/>
        <v>3453600</v>
      </c>
      <c r="Q26" s="1">
        <f t="shared" si="8"/>
        <v>2952827.9999999995</v>
      </c>
      <c r="R26" s="1">
        <f t="shared" si="4"/>
        <v>500772.00000000047</v>
      </c>
      <c r="S26" s="10">
        <f t="shared" si="5"/>
        <v>0.14500000000000013</v>
      </c>
    </row>
    <row r="27" spans="1:19" x14ac:dyDescent="0.25">
      <c r="A27" s="2">
        <v>24</v>
      </c>
      <c r="B27" t="s">
        <v>40</v>
      </c>
      <c r="C27" t="s">
        <v>33</v>
      </c>
      <c r="D27">
        <v>3</v>
      </c>
      <c r="E27">
        <v>3.5</v>
      </c>
      <c r="F27">
        <v>70</v>
      </c>
      <c r="G27" t="s">
        <v>30</v>
      </c>
      <c r="H27" t="s">
        <v>9</v>
      </c>
      <c r="I27" s="1">
        <v>2987</v>
      </c>
      <c r="J27" s="1">
        <f t="shared" si="0"/>
        <v>8961</v>
      </c>
      <c r="K27">
        <v>1960</v>
      </c>
      <c r="L27">
        <f t="shared" si="1"/>
        <v>63</v>
      </c>
      <c r="M27" s="9">
        <v>0.95</v>
      </c>
      <c r="N27" s="8">
        <v>70</v>
      </c>
      <c r="O27">
        <v>1600</v>
      </c>
      <c r="P27" s="1">
        <f t="shared" si="2"/>
        <v>14337600</v>
      </c>
      <c r="Q27" s="1">
        <f t="shared" ref="Q27:Q31" si="9">P27*(M27/N27)*(IF(L27&gt;N27,N27,L27))</f>
        <v>12258648</v>
      </c>
      <c r="R27" s="1">
        <f t="shared" si="4"/>
        <v>2078952</v>
      </c>
      <c r="S27" s="10">
        <f t="shared" si="5"/>
        <v>0.14499999999999999</v>
      </c>
    </row>
    <row r="28" spans="1:19" x14ac:dyDescent="0.25">
      <c r="A28" s="2">
        <f>A27+1</f>
        <v>25</v>
      </c>
      <c r="B28" t="s">
        <v>41</v>
      </c>
      <c r="C28" t="s">
        <v>33</v>
      </c>
      <c r="D28">
        <v>3</v>
      </c>
      <c r="E28">
        <v>3.5</v>
      </c>
      <c r="F28">
        <v>70</v>
      </c>
      <c r="G28" t="s">
        <v>30</v>
      </c>
      <c r="H28" t="s">
        <v>9</v>
      </c>
      <c r="I28" s="1">
        <v>2987</v>
      </c>
      <c r="J28" s="1">
        <f t="shared" si="0"/>
        <v>8961</v>
      </c>
      <c r="K28">
        <v>1960</v>
      </c>
      <c r="L28">
        <f t="shared" si="1"/>
        <v>63</v>
      </c>
      <c r="M28" s="9">
        <v>0.95</v>
      </c>
      <c r="N28" s="8">
        <v>70</v>
      </c>
      <c r="O28">
        <v>1600</v>
      </c>
      <c r="P28" s="1">
        <f t="shared" si="2"/>
        <v>14337600</v>
      </c>
      <c r="Q28" s="1">
        <f t="shared" si="9"/>
        <v>12258648</v>
      </c>
      <c r="R28" s="1">
        <f t="shared" si="4"/>
        <v>2078952</v>
      </c>
      <c r="S28" s="10">
        <f t="shared" si="5"/>
        <v>0.14499999999999999</v>
      </c>
    </row>
    <row r="29" spans="1:19" x14ac:dyDescent="0.25">
      <c r="A29" s="2">
        <f t="shared" ref="A29:A31" si="10">A28+1</f>
        <v>26</v>
      </c>
      <c r="B29" t="s">
        <v>42</v>
      </c>
      <c r="C29" t="s">
        <v>33</v>
      </c>
      <c r="D29">
        <v>3</v>
      </c>
      <c r="E29">
        <v>3.5</v>
      </c>
      <c r="F29">
        <v>70</v>
      </c>
      <c r="G29" t="s">
        <v>30</v>
      </c>
      <c r="H29" t="s">
        <v>9</v>
      </c>
      <c r="I29" s="1">
        <v>2987</v>
      </c>
      <c r="J29" s="1">
        <f t="shared" si="0"/>
        <v>8961</v>
      </c>
      <c r="K29">
        <v>1960</v>
      </c>
      <c r="L29">
        <f t="shared" si="1"/>
        <v>63</v>
      </c>
      <c r="M29" s="9">
        <v>0.95</v>
      </c>
      <c r="N29" s="8">
        <v>70</v>
      </c>
      <c r="O29">
        <v>1600</v>
      </c>
      <c r="P29" s="1">
        <f t="shared" si="2"/>
        <v>14337600</v>
      </c>
      <c r="Q29" s="1">
        <f t="shared" si="9"/>
        <v>12258648</v>
      </c>
      <c r="R29" s="1">
        <f t="shared" si="4"/>
        <v>2078952</v>
      </c>
      <c r="S29" s="10">
        <f t="shared" si="5"/>
        <v>0.14499999999999999</v>
      </c>
    </row>
    <row r="30" spans="1:19" x14ac:dyDescent="0.25">
      <c r="A30" s="2">
        <f t="shared" si="10"/>
        <v>27</v>
      </c>
      <c r="B30" t="s">
        <v>43</v>
      </c>
      <c r="C30" t="s">
        <v>33</v>
      </c>
      <c r="D30">
        <v>2</v>
      </c>
      <c r="E30">
        <v>3.2</v>
      </c>
      <c r="F30">
        <v>70</v>
      </c>
      <c r="G30" t="s">
        <v>15</v>
      </c>
      <c r="H30" t="s">
        <v>31</v>
      </c>
      <c r="I30" s="1">
        <v>4142</v>
      </c>
      <c r="J30" s="1">
        <f t="shared" si="0"/>
        <v>8284</v>
      </c>
      <c r="K30">
        <v>1960</v>
      </c>
      <c r="L30">
        <f t="shared" si="1"/>
        <v>63</v>
      </c>
      <c r="M30" s="9">
        <v>0.95</v>
      </c>
      <c r="N30" s="8">
        <v>70</v>
      </c>
      <c r="O30">
        <v>1200</v>
      </c>
      <c r="P30" s="1">
        <f t="shared" si="2"/>
        <v>9940800</v>
      </c>
      <c r="Q30" s="1">
        <f t="shared" si="9"/>
        <v>8499384</v>
      </c>
      <c r="R30" s="1">
        <f t="shared" si="4"/>
        <v>1441416</v>
      </c>
      <c r="S30" s="10">
        <f t="shared" si="5"/>
        <v>0.14499999999999999</v>
      </c>
    </row>
    <row r="31" spans="1:19" x14ac:dyDescent="0.25">
      <c r="A31" s="2">
        <f t="shared" si="10"/>
        <v>28</v>
      </c>
      <c r="B31" t="s">
        <v>44</v>
      </c>
      <c r="C31" t="s">
        <v>33</v>
      </c>
      <c r="D31">
        <v>2</v>
      </c>
      <c r="E31">
        <v>3.5</v>
      </c>
      <c r="F31">
        <v>70</v>
      </c>
      <c r="G31" t="s">
        <v>30</v>
      </c>
      <c r="H31" t="s">
        <v>31</v>
      </c>
      <c r="I31" s="1">
        <v>2987</v>
      </c>
      <c r="J31" s="1">
        <f t="shared" si="0"/>
        <v>5974</v>
      </c>
      <c r="K31">
        <v>1960</v>
      </c>
      <c r="L31">
        <f t="shared" si="1"/>
        <v>63</v>
      </c>
      <c r="M31" s="9">
        <v>0.95</v>
      </c>
      <c r="N31" s="8">
        <v>70</v>
      </c>
      <c r="O31">
        <v>1600</v>
      </c>
      <c r="P31" s="1">
        <f t="shared" si="2"/>
        <v>9558400</v>
      </c>
      <c r="Q31" s="1">
        <f t="shared" si="9"/>
        <v>8172432</v>
      </c>
      <c r="R31" s="1">
        <f t="shared" si="4"/>
        <v>1385968</v>
      </c>
      <c r="S31" s="10">
        <f t="shared" si="5"/>
        <v>0.14499999999999999</v>
      </c>
    </row>
    <row r="36" spans="10:14" x14ac:dyDescent="0.25">
      <c r="L36" t="s">
        <v>108</v>
      </c>
      <c r="M36" t="s">
        <v>109</v>
      </c>
      <c r="N36" t="s">
        <v>110</v>
      </c>
    </row>
    <row r="37" spans="10:14" x14ac:dyDescent="0.25">
      <c r="J37" s="1" t="s">
        <v>107</v>
      </c>
      <c r="K37">
        <v>2.23</v>
      </c>
      <c r="L37">
        <f>K37*1000</f>
        <v>2230</v>
      </c>
      <c r="M37" s="1">
        <f>L37*3000</f>
        <v>6690000</v>
      </c>
      <c r="N37" s="1">
        <f>M37*0.2</f>
        <v>1338000</v>
      </c>
    </row>
    <row r="38" spans="10:14" x14ac:dyDescent="0.25">
      <c r="N38" s="25">
        <v>5000000</v>
      </c>
    </row>
    <row r="39" spans="10:14" x14ac:dyDescent="0.25">
      <c r="N39" s="1">
        <v>6500000</v>
      </c>
    </row>
    <row r="40" spans="10:14" x14ac:dyDescent="0.25">
      <c r="N40" s="25"/>
    </row>
  </sheetData>
  <autoFilter ref="A3:R3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"/>
  <sheetViews>
    <sheetView workbookViewId="0">
      <selection activeCell="E16" sqref="E16"/>
    </sheetView>
  </sheetViews>
  <sheetFormatPr defaultRowHeight="15" x14ac:dyDescent="0.25"/>
  <cols>
    <col min="1" max="1" width="9.140625" style="1"/>
    <col min="2" max="2" width="10" style="1" bestFit="1" customWidth="1"/>
    <col min="3" max="3" width="10.140625" style="1" bestFit="1" customWidth="1"/>
    <col min="4" max="4" width="10.42578125" style="1" bestFit="1" customWidth="1"/>
    <col min="5" max="5" width="10.140625" style="1" bestFit="1" customWidth="1"/>
    <col min="6" max="6" width="10.5703125" style="1" bestFit="1" customWidth="1"/>
    <col min="7" max="16384" width="9.140625" style="1"/>
  </cols>
  <sheetData>
    <row r="2" spans="2:9" x14ac:dyDescent="0.25">
      <c r="C2" s="1" t="s">
        <v>50</v>
      </c>
      <c r="D2" s="1" t="s">
        <v>51</v>
      </c>
      <c r="E2" s="1" t="s">
        <v>55</v>
      </c>
      <c r="G2" s="1" t="s">
        <v>52</v>
      </c>
      <c r="H2" s="1" t="s">
        <v>53</v>
      </c>
      <c r="I2" s="1" t="s">
        <v>54</v>
      </c>
    </row>
    <row r="3" spans="2:9" x14ac:dyDescent="0.25">
      <c r="B3" s="1">
        <f>24*10^5</f>
        <v>2400000</v>
      </c>
      <c r="C3" s="1">
        <v>2290</v>
      </c>
      <c r="D3" s="1">
        <f>B3/H3</f>
        <v>24649.56</v>
      </c>
      <c r="E3" s="1">
        <f>B3/I3</f>
        <v>20610</v>
      </c>
      <c r="G3" s="1">
        <f>B3/C3</f>
        <v>1048.0349344978165</v>
      </c>
      <c r="H3" s="1">
        <f>G3/10.764</f>
        <v>97.364821116482403</v>
      </c>
      <c r="I3" s="8">
        <f>G3/9</f>
        <v>116.44832605531295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G47" sqref="G47"/>
    </sheetView>
  </sheetViews>
  <sheetFormatPr defaultRowHeight="15" x14ac:dyDescent="0.25"/>
  <cols>
    <col min="2" max="2" width="10" style="1" bestFit="1" customWidth="1"/>
    <col min="3" max="3" width="11.5703125" style="1" bestFit="1" customWidth="1"/>
    <col min="4" max="4" width="10" style="1" bestFit="1" customWidth="1"/>
    <col min="5" max="5" width="34.42578125" bestFit="1" customWidth="1"/>
    <col min="6" max="6" width="15.5703125" bestFit="1" customWidth="1"/>
    <col min="7" max="7" width="16.85546875" bestFit="1" customWidth="1"/>
    <col min="8" max="8" width="11.5703125" bestFit="1" customWidth="1"/>
    <col min="9" max="9" width="10.42578125" bestFit="1" customWidth="1"/>
    <col min="10" max="10" width="14.28515625" bestFit="1" customWidth="1"/>
    <col min="11" max="13" width="10.42578125" bestFit="1" customWidth="1"/>
    <col min="14" max="14" width="9" style="1" bestFit="1" customWidth="1"/>
  </cols>
  <sheetData>
    <row r="1" spans="1:16" ht="30" x14ac:dyDescent="0.25">
      <c r="B1" s="24" t="s">
        <v>85</v>
      </c>
      <c r="C1" s="24" t="s">
        <v>86</v>
      </c>
      <c r="E1" s="54" t="s">
        <v>58</v>
      </c>
      <c r="F1" s="54"/>
      <c r="G1" s="54"/>
      <c r="H1" s="54"/>
      <c r="I1" s="54"/>
      <c r="J1" s="54"/>
      <c r="K1" s="54"/>
      <c r="L1" s="54"/>
      <c r="M1" s="54"/>
    </row>
    <row r="2" spans="1:16" x14ac:dyDescent="0.25">
      <c r="A2" t="s">
        <v>81</v>
      </c>
      <c r="B2" s="5">
        <v>61.2</v>
      </c>
      <c r="C2" s="5">
        <f>B2/2</f>
        <v>30.6</v>
      </c>
      <c r="E2" s="53" t="s">
        <v>59</v>
      </c>
      <c r="F2" s="53" t="s">
        <v>60</v>
      </c>
      <c r="G2" s="30">
        <v>45382</v>
      </c>
      <c r="H2" s="30">
        <v>45747</v>
      </c>
      <c r="I2" s="30">
        <v>46112</v>
      </c>
      <c r="J2" s="30">
        <v>46477</v>
      </c>
      <c r="K2" s="30">
        <v>46843</v>
      </c>
      <c r="L2" s="30">
        <v>47208</v>
      </c>
      <c r="M2" s="30">
        <v>47573</v>
      </c>
      <c r="N2" s="6"/>
      <c r="O2" s="2"/>
      <c r="P2" s="2"/>
    </row>
    <row r="3" spans="1:16" x14ac:dyDescent="0.25">
      <c r="A3" t="s">
        <v>82</v>
      </c>
      <c r="B3" s="6">
        <f>B2*4046.84</f>
        <v>247666.60800000001</v>
      </c>
      <c r="C3" s="6">
        <f>B3/2</f>
        <v>123833.304</v>
      </c>
      <c r="E3" s="53"/>
      <c r="F3" s="53"/>
      <c r="G3" s="22">
        <v>23</v>
      </c>
      <c r="H3" s="22">
        <v>24</v>
      </c>
      <c r="I3" s="22">
        <v>25</v>
      </c>
      <c r="J3" s="22">
        <v>26</v>
      </c>
      <c r="K3" s="22">
        <v>27</v>
      </c>
      <c r="L3" s="22">
        <v>28</v>
      </c>
      <c r="M3" s="22">
        <v>29</v>
      </c>
      <c r="N3" s="6"/>
      <c r="O3" s="2"/>
      <c r="P3" s="2"/>
    </row>
    <row r="4" spans="1:16" x14ac:dyDescent="0.25">
      <c r="A4" t="s">
        <v>83</v>
      </c>
      <c r="B4" s="1">
        <f>B3*10.764</f>
        <v>2665883.368512</v>
      </c>
      <c r="C4" s="6">
        <f>B4/2</f>
        <v>1332941.684256</v>
      </c>
      <c r="E4" s="12" t="s">
        <v>61</v>
      </c>
      <c r="F4" s="14" t="s">
        <v>62</v>
      </c>
      <c r="G4" s="16">
        <v>0.05</v>
      </c>
      <c r="H4" s="16">
        <v>0.15</v>
      </c>
      <c r="I4" s="16">
        <v>0.15</v>
      </c>
      <c r="J4" s="16">
        <v>0.2</v>
      </c>
      <c r="K4" s="16">
        <v>0.2</v>
      </c>
      <c r="L4" s="16">
        <v>0.15</v>
      </c>
      <c r="M4" s="16">
        <v>0.1</v>
      </c>
      <c r="N4" s="7">
        <f>SUM(G4:M4)</f>
        <v>1</v>
      </c>
    </row>
    <row r="5" spans="1:16" x14ac:dyDescent="0.25">
      <c r="A5" t="s">
        <v>84</v>
      </c>
      <c r="B5" s="1">
        <f>B4/9</f>
        <v>296209.26316799998</v>
      </c>
      <c r="C5" s="6">
        <f>B5/2</f>
        <v>148104.63158399999</v>
      </c>
      <c r="E5" s="12" t="s">
        <v>63</v>
      </c>
      <c r="F5" s="14" t="s">
        <v>64</v>
      </c>
      <c r="G5" s="23">
        <f t="shared" ref="G5:M5" si="0">G4*$C$5</f>
        <v>7405.2315791999999</v>
      </c>
      <c r="H5" s="23">
        <f>H4*$C$5</f>
        <v>22215.694737599999</v>
      </c>
      <c r="I5" s="23">
        <f t="shared" si="0"/>
        <v>22215.694737599999</v>
      </c>
      <c r="J5" s="23">
        <f t="shared" si="0"/>
        <v>29620.9263168</v>
      </c>
      <c r="K5" s="23">
        <f t="shared" si="0"/>
        <v>29620.9263168</v>
      </c>
      <c r="L5" s="23">
        <f t="shared" si="0"/>
        <v>22215.694737599999</v>
      </c>
      <c r="M5" s="23">
        <f t="shared" si="0"/>
        <v>14810.4631584</v>
      </c>
      <c r="N5" s="1">
        <f>SUM(G5:M5)</f>
        <v>148104.63158399999</v>
      </c>
    </row>
    <row r="6" spans="1:16" x14ac:dyDescent="0.25">
      <c r="A6" t="s">
        <v>91</v>
      </c>
      <c r="B6" s="8">
        <f>B5/80</f>
        <v>3702.6157895999995</v>
      </c>
      <c r="C6" s="6">
        <f>B6/2</f>
        <v>1851.3078947999998</v>
      </c>
      <c r="D6" s="6"/>
      <c r="E6" s="12" t="s">
        <v>88</v>
      </c>
      <c r="F6" s="14"/>
      <c r="G6" s="23">
        <f>G5/150</f>
        <v>49.368210527999999</v>
      </c>
      <c r="H6" s="23">
        <f t="shared" ref="H6:M6" si="1">H5/150</f>
        <v>148.104631584</v>
      </c>
      <c r="I6" s="23">
        <f t="shared" si="1"/>
        <v>148.104631584</v>
      </c>
      <c r="J6" s="23">
        <f t="shared" si="1"/>
        <v>197.472842112</v>
      </c>
      <c r="K6" s="23">
        <f t="shared" si="1"/>
        <v>197.472842112</v>
      </c>
      <c r="L6" s="23">
        <f t="shared" si="1"/>
        <v>148.104631584</v>
      </c>
      <c r="M6" s="23">
        <f t="shared" si="1"/>
        <v>98.736421055999998</v>
      </c>
      <c r="N6" s="1">
        <f>SUM(G6:M6)</f>
        <v>987.36421055999995</v>
      </c>
    </row>
    <row r="7" spans="1:16" x14ac:dyDescent="0.25">
      <c r="E7" s="12" t="s">
        <v>65</v>
      </c>
      <c r="F7" s="14" t="s">
        <v>62</v>
      </c>
      <c r="G7" s="15">
        <v>0</v>
      </c>
      <c r="H7" s="15">
        <v>0.05</v>
      </c>
      <c r="I7" s="15">
        <v>0.05</v>
      </c>
      <c r="J7" s="15">
        <v>0.05</v>
      </c>
      <c r="K7" s="15">
        <v>0.05</v>
      </c>
      <c r="L7" s="15">
        <v>0.05</v>
      </c>
      <c r="M7" s="15">
        <v>0.05</v>
      </c>
      <c r="P7">
        <v>19166.666666666668</v>
      </c>
    </row>
    <row r="8" spans="1:16" x14ac:dyDescent="0.25">
      <c r="E8" s="12" t="s">
        <v>66</v>
      </c>
      <c r="F8" s="14" t="s">
        <v>67</v>
      </c>
      <c r="G8" s="23">
        <v>18000</v>
      </c>
      <c r="H8" s="23">
        <f>G8+(G8*H7)</f>
        <v>18900</v>
      </c>
      <c r="I8" s="23">
        <f t="shared" ref="I8:M8" si="2">H8+(H8*I7)</f>
        <v>19845</v>
      </c>
      <c r="J8" s="23">
        <f t="shared" si="2"/>
        <v>20837.25</v>
      </c>
      <c r="K8" s="23">
        <f t="shared" si="2"/>
        <v>21879.112499999999</v>
      </c>
      <c r="L8" s="23">
        <f t="shared" si="2"/>
        <v>22973.068124999998</v>
      </c>
      <c r="M8" s="23">
        <f t="shared" si="2"/>
        <v>24121.721531249997</v>
      </c>
    </row>
    <row r="9" spans="1:16" x14ac:dyDescent="0.25">
      <c r="E9" s="13" t="s">
        <v>68</v>
      </c>
      <c r="F9" s="11"/>
      <c r="G9" s="41">
        <f>G8*G5/10^7</f>
        <v>13.329416842559999</v>
      </c>
      <c r="H9" s="41">
        <f t="shared" ref="H9:M9" si="3">H8*H5/10^7</f>
        <v>41.987663054064001</v>
      </c>
      <c r="I9" s="41">
        <f t="shared" si="3"/>
        <v>44.087046206767198</v>
      </c>
      <c r="J9" s="41">
        <f t="shared" si="3"/>
        <v>61.721864689474081</v>
      </c>
      <c r="K9" s="41">
        <f t="shared" si="3"/>
        <v>64.807957923947782</v>
      </c>
      <c r="L9" s="41">
        <f t="shared" si="3"/>
        <v>51.036266865108871</v>
      </c>
      <c r="M9" s="41">
        <f t="shared" si="3"/>
        <v>35.725386805576214</v>
      </c>
      <c r="N9" s="8">
        <f>SUM(G9:M9)/10^7</f>
        <v>3.1269560238749816E-5</v>
      </c>
    </row>
    <row r="10" spans="1:16" x14ac:dyDescent="0.25">
      <c r="E10" s="35" t="s">
        <v>69</v>
      </c>
      <c r="F10" s="35"/>
      <c r="G10" s="42"/>
      <c r="H10" s="42"/>
      <c r="I10" s="42"/>
      <c r="J10" s="42"/>
      <c r="K10" s="42"/>
      <c r="L10" s="43"/>
      <c r="M10" s="43"/>
    </row>
    <row r="11" spans="1:16" x14ac:dyDescent="0.25">
      <c r="E11" s="12" t="s">
        <v>70</v>
      </c>
      <c r="F11" s="14" t="s">
        <v>71</v>
      </c>
      <c r="G11" s="41">
        <f t="shared" ref="G11:M11" si="4">G9*5%</f>
        <v>0.66647084212800001</v>
      </c>
      <c r="H11" s="41">
        <f t="shared" si="4"/>
        <v>2.0993831527032003</v>
      </c>
      <c r="I11" s="41">
        <f t="shared" si="4"/>
        <v>2.20435231033836</v>
      </c>
      <c r="J11" s="41">
        <f t="shared" si="4"/>
        <v>3.0860932344737044</v>
      </c>
      <c r="K11" s="41">
        <f t="shared" si="4"/>
        <v>3.2403978961973894</v>
      </c>
      <c r="L11" s="41">
        <f t="shared" si="4"/>
        <v>2.5518133432554437</v>
      </c>
      <c r="M11" s="41">
        <f t="shared" si="4"/>
        <v>1.7862693402788108</v>
      </c>
      <c r="N11" s="8">
        <f>SUM(G11:M11)/10^7</f>
        <v>1.5634780119374909E-6</v>
      </c>
    </row>
    <row r="12" spans="1:16" x14ac:dyDescent="0.25">
      <c r="E12" s="12" t="s">
        <v>72</v>
      </c>
      <c r="F12" s="14" t="s">
        <v>71</v>
      </c>
      <c r="G12" s="41">
        <f>SUM(G9:M9)*1%</f>
        <v>3.1269560238749814</v>
      </c>
      <c r="H12" s="41"/>
      <c r="I12" s="41"/>
      <c r="J12" s="41"/>
      <c r="K12" s="41"/>
      <c r="L12" s="41"/>
      <c r="M12" s="41"/>
      <c r="N12" s="8">
        <f>SUM(G12:M12)/10^7</f>
        <v>3.1269560238749811E-7</v>
      </c>
    </row>
    <row r="13" spans="1:16" x14ac:dyDescent="0.25">
      <c r="E13" s="12" t="s">
        <v>73</v>
      </c>
      <c r="F13" s="14" t="s">
        <v>71</v>
      </c>
      <c r="G13" s="41">
        <f t="shared" ref="G13:M13" si="5">G9*5%</f>
        <v>0.66647084212800001</v>
      </c>
      <c r="H13" s="41">
        <f t="shared" si="5"/>
        <v>2.0993831527032003</v>
      </c>
      <c r="I13" s="41">
        <f t="shared" si="5"/>
        <v>2.20435231033836</v>
      </c>
      <c r="J13" s="41">
        <f t="shared" si="5"/>
        <v>3.0860932344737044</v>
      </c>
      <c r="K13" s="41">
        <f t="shared" si="5"/>
        <v>3.2403978961973894</v>
      </c>
      <c r="L13" s="41">
        <f t="shared" si="5"/>
        <v>2.5518133432554437</v>
      </c>
      <c r="M13" s="41">
        <f t="shared" si="5"/>
        <v>1.7862693402788108</v>
      </c>
      <c r="N13" s="8">
        <f>SUM(G13:M13)/10^7</f>
        <v>1.5634780119374909E-6</v>
      </c>
    </row>
    <row r="14" spans="1:16" x14ac:dyDescent="0.25">
      <c r="E14" s="12" t="s">
        <v>95</v>
      </c>
      <c r="F14" s="14" t="s">
        <v>71</v>
      </c>
      <c r="G14" s="41">
        <f t="shared" ref="G14:M14" si="6">G9*2%</f>
        <v>0.26658833685119998</v>
      </c>
      <c r="H14" s="41">
        <f t="shared" si="6"/>
        <v>0.83975326108128001</v>
      </c>
      <c r="I14" s="41">
        <f t="shared" si="6"/>
        <v>0.881740924135344</v>
      </c>
      <c r="J14" s="41">
        <f t="shared" si="6"/>
        <v>1.2344372937894816</v>
      </c>
      <c r="K14" s="41">
        <f t="shared" si="6"/>
        <v>1.2961591584789556</v>
      </c>
      <c r="L14" s="41">
        <f t="shared" si="6"/>
        <v>1.0207253373021774</v>
      </c>
      <c r="M14" s="41">
        <f t="shared" si="6"/>
        <v>0.71450773611152429</v>
      </c>
      <c r="N14" s="8">
        <f>SUM(G14:M14)/10^7</f>
        <v>6.2539120477499623E-7</v>
      </c>
    </row>
    <row r="15" spans="1:16" x14ac:dyDescent="0.25">
      <c r="B15" s="26" t="s">
        <v>89</v>
      </c>
      <c r="C15" s="26" t="s">
        <v>90</v>
      </c>
      <c r="E15" s="36"/>
      <c r="F15" s="36"/>
      <c r="G15" s="44"/>
      <c r="H15" s="44"/>
      <c r="I15" s="44"/>
      <c r="J15" s="44"/>
      <c r="K15" s="44"/>
      <c r="L15" s="41"/>
      <c r="M15" s="41"/>
    </row>
    <row r="16" spans="1:16" x14ac:dyDescent="0.25">
      <c r="A16" t="s">
        <v>81</v>
      </c>
      <c r="B16" s="5">
        <v>61.2</v>
      </c>
      <c r="C16" s="1">
        <f>$G$18*10^7/B16</f>
        <v>27752132.703033369</v>
      </c>
      <c r="E16" s="13" t="s">
        <v>74</v>
      </c>
      <c r="F16" s="11" t="s">
        <v>71</v>
      </c>
      <c r="G16" s="41">
        <f t="shared" ref="G16:M16" si="7">G9-SUM(G11:G14)</f>
        <v>8.6029307975778178</v>
      </c>
      <c r="H16" s="41">
        <f t="shared" si="7"/>
        <v>36.949143487576322</v>
      </c>
      <c r="I16" s="41">
        <f t="shared" si="7"/>
        <v>38.796600661955132</v>
      </c>
      <c r="J16" s="41">
        <f t="shared" si="7"/>
        <v>54.315240926737189</v>
      </c>
      <c r="K16" s="41">
        <f t="shared" si="7"/>
        <v>57.031002973074045</v>
      </c>
      <c r="L16" s="41">
        <f t="shared" si="7"/>
        <v>44.911914841295804</v>
      </c>
      <c r="M16" s="41">
        <f t="shared" si="7"/>
        <v>31.438340388907069</v>
      </c>
      <c r="N16" s="1">
        <f>SUM(G16:M16)/10^7</f>
        <v>2.7204517407712336E-5</v>
      </c>
    </row>
    <row r="17" spans="1:19" x14ac:dyDescent="0.25">
      <c r="A17" t="s">
        <v>82</v>
      </c>
      <c r="B17" s="6">
        <f>B16*4046.84</f>
        <v>247666.60800000001</v>
      </c>
      <c r="C17" s="1">
        <f t="shared" ref="C17:C20" si="8">$G$18*10^7/B17</f>
        <v>6857.7291672103092</v>
      </c>
      <c r="E17" s="13" t="s">
        <v>96</v>
      </c>
      <c r="F17" s="13"/>
      <c r="G17" s="31">
        <v>0.16</v>
      </c>
      <c r="H17" s="13"/>
      <c r="I17" s="13"/>
      <c r="J17" s="13"/>
      <c r="K17" s="13"/>
      <c r="L17" s="20"/>
      <c r="M17" s="20"/>
    </row>
    <row r="18" spans="1:19" x14ac:dyDescent="0.25">
      <c r="A18" t="s">
        <v>83</v>
      </c>
      <c r="B18" s="1">
        <f>B17*10.764</f>
        <v>2665883.368512</v>
      </c>
      <c r="C18" s="1">
        <f t="shared" si="8"/>
        <v>637.09858483930782</v>
      </c>
      <c r="E18" s="12" t="s">
        <v>75</v>
      </c>
      <c r="F18" s="14" t="s">
        <v>71</v>
      </c>
      <c r="G18" s="40">
        <f>XNPV(G17,G16:M16,G2:M2)</f>
        <v>169.84305214256423</v>
      </c>
      <c r="H18" s="38"/>
      <c r="I18" s="39"/>
      <c r="J18" s="39"/>
      <c r="K18" s="39"/>
      <c r="L18" s="18"/>
      <c r="M18" s="18"/>
    </row>
    <row r="19" spans="1:19" x14ac:dyDescent="0.25">
      <c r="A19" t="s">
        <v>84</v>
      </c>
      <c r="B19" s="1">
        <f>B18/9</f>
        <v>296209.26316799998</v>
      </c>
      <c r="C19" s="1">
        <f t="shared" si="8"/>
        <v>5733.8872635537709</v>
      </c>
      <c r="E19" s="12"/>
      <c r="F19" s="12"/>
      <c r="G19" s="32">
        <f>G18/10^7</f>
        <v>1.6984305214256425E-5</v>
      </c>
      <c r="H19" s="12"/>
      <c r="I19" s="12"/>
      <c r="J19" s="12"/>
      <c r="K19" s="12"/>
      <c r="L19" s="21"/>
      <c r="M19" s="21"/>
    </row>
    <row r="20" spans="1:19" x14ac:dyDescent="0.25">
      <c r="A20" t="s">
        <v>91</v>
      </c>
      <c r="B20" s="8">
        <f>B19/80</f>
        <v>3702.6157895999995</v>
      </c>
      <c r="C20" s="1">
        <f t="shared" si="8"/>
        <v>458710.98108430172</v>
      </c>
      <c r="E20" s="37" t="s">
        <v>76</v>
      </c>
      <c r="F20" s="37"/>
      <c r="G20" s="37"/>
      <c r="H20" s="37"/>
      <c r="I20" s="37"/>
      <c r="J20" s="37"/>
      <c r="K20" s="37"/>
      <c r="L20" s="37"/>
      <c r="M20" s="37"/>
    </row>
    <row r="21" spans="1:19" x14ac:dyDescent="0.25">
      <c r="C21" s="7">
        <f>C20/C22</f>
        <v>0.45871098108430169</v>
      </c>
      <c r="E21" s="51" t="s">
        <v>77</v>
      </c>
      <c r="F21" s="51"/>
      <c r="G21" s="51"/>
      <c r="H21" s="51"/>
      <c r="I21" s="51"/>
      <c r="J21" s="51"/>
      <c r="K21" s="51"/>
      <c r="L21" s="51"/>
      <c r="M21" s="51"/>
    </row>
    <row r="22" spans="1:19" x14ac:dyDescent="0.25">
      <c r="C22" s="1">
        <f>10*10^5</f>
        <v>1000000</v>
      </c>
      <c r="E22" s="52" t="s">
        <v>78</v>
      </c>
      <c r="F22" s="52"/>
      <c r="G22" s="52"/>
      <c r="H22" s="52"/>
      <c r="I22" s="52"/>
      <c r="J22" s="52"/>
      <c r="K22" s="52"/>
      <c r="L22" s="52"/>
      <c r="M22" s="52"/>
    </row>
    <row r="23" spans="1:19" x14ac:dyDescent="0.25">
      <c r="E23" s="51" t="s">
        <v>79</v>
      </c>
      <c r="F23" s="51"/>
      <c r="G23" s="51"/>
      <c r="H23" s="51"/>
      <c r="I23" s="51"/>
      <c r="J23" s="51"/>
      <c r="K23" s="51"/>
      <c r="L23" s="51"/>
      <c r="M23" s="51"/>
    </row>
    <row r="24" spans="1:19" x14ac:dyDescent="0.25">
      <c r="E24" s="51" t="s">
        <v>80</v>
      </c>
      <c r="F24" s="51"/>
      <c r="G24" s="51"/>
      <c r="H24" s="51"/>
      <c r="I24" s="51"/>
      <c r="J24" s="51"/>
      <c r="K24" s="51"/>
      <c r="L24" s="51"/>
      <c r="M24" s="51"/>
    </row>
    <row r="25" spans="1:19" x14ac:dyDescent="0.25">
      <c r="E25" s="51" t="s">
        <v>87</v>
      </c>
      <c r="F25" s="51"/>
      <c r="G25" s="51"/>
      <c r="H25" s="51"/>
      <c r="I25" s="51"/>
      <c r="J25" s="51"/>
      <c r="K25" s="51"/>
      <c r="L25" s="51"/>
      <c r="M25" s="51"/>
    </row>
    <row r="28" spans="1:19" x14ac:dyDescent="0.25">
      <c r="R28" s="9">
        <v>0.5</v>
      </c>
      <c r="S28" s="17">
        <v>0.125</v>
      </c>
    </row>
    <row r="29" spans="1:19" x14ac:dyDescent="0.25">
      <c r="G29" s="19"/>
      <c r="R29" s="9">
        <v>0.5</v>
      </c>
      <c r="S29" s="9">
        <v>0.22</v>
      </c>
    </row>
    <row r="30" spans="1:19" x14ac:dyDescent="0.25">
      <c r="G30" s="19"/>
      <c r="J30" s="8">
        <v>8</v>
      </c>
      <c r="K30" s="8">
        <v>12</v>
      </c>
      <c r="R30" s="10">
        <v>0.17249999999999999</v>
      </c>
    </row>
    <row r="31" spans="1:19" x14ac:dyDescent="0.25">
      <c r="C31" s="1">
        <v>11883</v>
      </c>
      <c r="J31" s="1">
        <f>J30*10^5</f>
        <v>800000</v>
      </c>
      <c r="K31" s="1">
        <f>K30*10^5</f>
        <v>1200000</v>
      </c>
    </row>
    <row r="32" spans="1:19" x14ac:dyDescent="0.25">
      <c r="C32" s="1">
        <v>11752</v>
      </c>
      <c r="E32" s="1"/>
      <c r="F32" s="1"/>
      <c r="G32" s="1"/>
      <c r="J32" s="1">
        <v>80</v>
      </c>
      <c r="K32" s="1">
        <v>80</v>
      </c>
    </row>
    <row r="33" spans="3:11" x14ac:dyDescent="0.25">
      <c r="C33" s="1">
        <f>C31-C32</f>
        <v>131</v>
      </c>
      <c r="F33" s="25"/>
      <c r="I33" s="28" t="s">
        <v>55</v>
      </c>
      <c r="J33" s="29">
        <f>J31/J32</f>
        <v>10000</v>
      </c>
      <c r="K33" s="29">
        <f t="shared" ref="K33" si="9">K31/K32</f>
        <v>15000</v>
      </c>
    </row>
    <row r="34" spans="3:11" x14ac:dyDescent="0.25">
      <c r="J34" s="45">
        <f>J33*0.5</f>
        <v>5000</v>
      </c>
    </row>
    <row r="35" spans="3:11" x14ac:dyDescent="0.25">
      <c r="G35" t="s">
        <v>104</v>
      </c>
      <c r="H35" t="s">
        <v>93</v>
      </c>
      <c r="J35" s="33">
        <f>J34*B19</f>
        <v>1481046315.8399999</v>
      </c>
    </row>
    <row r="36" spans="3:11" x14ac:dyDescent="0.25">
      <c r="E36" s="50" t="s">
        <v>92</v>
      </c>
      <c r="F36" t="s">
        <v>102</v>
      </c>
      <c r="G36" s="27">
        <v>2002907088</v>
      </c>
      <c r="H36" s="1">
        <f>G36/B20</f>
        <v>540943.80886772426</v>
      </c>
    </row>
    <row r="37" spans="3:11" x14ac:dyDescent="0.25">
      <c r="E37" s="50"/>
      <c r="F37" s="1" t="s">
        <v>103</v>
      </c>
      <c r="G37" s="1">
        <v>1602325670</v>
      </c>
      <c r="H37" s="1">
        <f>G37/B20</f>
        <v>432755.04698614764</v>
      </c>
      <c r="J37" s="25"/>
    </row>
    <row r="38" spans="3:11" x14ac:dyDescent="0.25">
      <c r="F38" t="s">
        <v>98</v>
      </c>
      <c r="G38" s="1">
        <f>G18*10^7</f>
        <v>1698430521.4256423</v>
      </c>
      <c r="H38" s="1">
        <f>G38/B20</f>
        <v>458710.98108430172</v>
      </c>
      <c r="J38" s="1">
        <f>10*10^5</f>
        <v>1000000</v>
      </c>
    </row>
    <row r="39" spans="3:11" x14ac:dyDescent="0.25">
      <c r="F39" t="s">
        <v>105</v>
      </c>
      <c r="G39" s="1">
        <f>H39*B20</f>
        <v>1358744417.1405139</v>
      </c>
      <c r="H39" s="1">
        <f>H38*0.8</f>
        <v>366968.7848674414</v>
      </c>
      <c r="J39" s="1">
        <f>J38*0.8</f>
        <v>800000</v>
      </c>
    </row>
    <row r="40" spans="3:11" x14ac:dyDescent="0.25">
      <c r="F40" t="s">
        <v>106</v>
      </c>
      <c r="G40" s="25">
        <f>H40*B20</f>
        <v>1481046315.8399999</v>
      </c>
      <c r="H40" s="1">
        <f>J40</f>
        <v>400000</v>
      </c>
      <c r="J40" s="1">
        <f>J39*0.5</f>
        <v>400000</v>
      </c>
    </row>
    <row r="41" spans="3:11" x14ac:dyDescent="0.25">
      <c r="F41" s="12" t="s">
        <v>111</v>
      </c>
      <c r="G41" s="46">
        <f>142*10^7</f>
        <v>1420000000</v>
      </c>
      <c r="H41" s="1">
        <f>G41/B20</f>
        <v>383512.65178216214</v>
      </c>
    </row>
    <row r="42" spans="3:11" x14ac:dyDescent="0.25">
      <c r="F42" s="12" t="s">
        <v>112</v>
      </c>
      <c r="G42" s="46">
        <f>Building!R2</f>
        <v>83324221</v>
      </c>
    </row>
    <row r="43" spans="3:11" x14ac:dyDescent="0.25">
      <c r="F43" s="12" t="s">
        <v>113</v>
      </c>
      <c r="G43" s="46">
        <f>Building!N39</f>
        <v>6500000</v>
      </c>
    </row>
    <row r="44" spans="3:11" x14ac:dyDescent="0.25">
      <c r="F44" s="47" t="s">
        <v>114</v>
      </c>
      <c r="G44" s="48">
        <f>G43+G42+G41</f>
        <v>1509824221</v>
      </c>
    </row>
    <row r="45" spans="3:11" x14ac:dyDescent="0.25">
      <c r="F45" s="49" t="s">
        <v>115</v>
      </c>
      <c r="G45" s="1">
        <v>1510000000</v>
      </c>
    </row>
    <row r="46" spans="3:11" x14ac:dyDescent="0.25">
      <c r="F46" s="49" t="s">
        <v>116</v>
      </c>
      <c r="G46" s="1">
        <f>G45*0.85</f>
        <v>1283500000</v>
      </c>
    </row>
    <row r="47" spans="3:11" x14ac:dyDescent="0.25">
      <c r="G47" s="1">
        <f>G45*0.75</f>
        <v>1132500000</v>
      </c>
    </row>
    <row r="48" spans="3:11" x14ac:dyDescent="0.25">
      <c r="G48" s="1">
        <f>4*10^5</f>
        <v>400000</v>
      </c>
    </row>
    <row r="49" spans="7:7" x14ac:dyDescent="0.25">
      <c r="G49" s="1">
        <f>G48*B20</f>
        <v>1481046315.8399999</v>
      </c>
    </row>
  </sheetData>
  <mergeCells count="9">
    <mergeCell ref="F2:F3"/>
    <mergeCell ref="E2:E3"/>
    <mergeCell ref="E1:M1"/>
    <mergeCell ref="E36:E37"/>
    <mergeCell ref="E24:M24"/>
    <mergeCell ref="E25:M25"/>
    <mergeCell ref="E21:M21"/>
    <mergeCell ref="E22:M22"/>
    <mergeCell ref="E23:M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"/>
  <sheetViews>
    <sheetView workbookViewId="0">
      <selection activeCell="F5" sqref="F5"/>
    </sheetView>
  </sheetViews>
  <sheetFormatPr defaultRowHeight="15" x14ac:dyDescent="0.25"/>
  <cols>
    <col min="4" max="4" width="17" style="1" bestFit="1" customWidth="1"/>
    <col min="5" max="5" width="15.28515625" style="1" bestFit="1" customWidth="1"/>
    <col min="6" max="6" width="16.85546875" style="1" bestFit="1" customWidth="1"/>
  </cols>
  <sheetData>
    <row r="3" spans="3:6" x14ac:dyDescent="0.25">
      <c r="D3" s="1" t="s">
        <v>97</v>
      </c>
      <c r="E3" s="1" t="s">
        <v>98</v>
      </c>
      <c r="F3" s="1" t="s">
        <v>99</v>
      </c>
    </row>
    <row r="4" spans="3:6" x14ac:dyDescent="0.25">
      <c r="C4">
        <v>36.630000000000003</v>
      </c>
      <c r="D4" s="1">
        <v>1230587943</v>
      </c>
      <c r="E4" s="1">
        <v>776157920</v>
      </c>
      <c r="F4" s="1">
        <v>1883697750</v>
      </c>
    </row>
    <row r="5" spans="3:6" x14ac:dyDescent="0.25">
      <c r="F5" s="1">
        <f>AVERAGE(E4:F4)</f>
        <v>1329927835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</vt:lpstr>
      <vt:lpstr>Land rates</vt:lpstr>
      <vt:lpstr>LDM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2023-05-25T10:50:18Z</dcterms:modified>
</cp:coreProperties>
</file>