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 activeTab="2"/>
  </bookViews>
  <sheets>
    <sheet name="Building" sheetId="1" r:id="rId1"/>
    <sheet name="Land rates" sheetId="2" r:id="rId2"/>
    <sheet name="LDM" sheetId="3" r:id="rId3"/>
    <sheet name="Sheet2" sheetId="5" r:id="rId4"/>
    <sheet name="Sheet1" sheetId="4" r:id="rId5"/>
  </sheets>
  <definedNames>
    <definedName name="_xlnm._FilterDatabase" localSheetId="0" hidden="1">Building!$A$3:$R$31</definedName>
  </definedNames>
  <calcPr calcId="152511"/>
</workbook>
</file>

<file path=xl/calcChain.xml><?xml version="1.0" encoding="utf-8"?>
<calcChain xmlns="http://schemas.openxmlformats.org/spreadsheetml/2006/main">
  <c r="L27" i="3" l="1"/>
  <c r="J40" i="3"/>
  <c r="J39" i="3"/>
  <c r="J57" i="3"/>
  <c r="J58" i="3" s="1"/>
  <c r="J59" i="3" s="1"/>
  <c r="H23" i="4"/>
  <c r="J62" i="3"/>
  <c r="H27" i="4"/>
  <c r="H26" i="4"/>
  <c r="H25" i="4"/>
  <c r="H24" i="4"/>
  <c r="H22" i="4"/>
  <c r="H21" i="4"/>
  <c r="H20" i="4"/>
  <c r="H19" i="4"/>
  <c r="H18" i="4"/>
  <c r="H17" i="4"/>
  <c r="H16" i="4"/>
  <c r="G26" i="4"/>
  <c r="G25" i="4"/>
  <c r="D23" i="4"/>
  <c r="F23" i="4"/>
  <c r="D22" i="4"/>
  <c r="F22" i="4"/>
  <c r="D21" i="4"/>
  <c r="F21" i="4"/>
  <c r="F20" i="4"/>
  <c r="D20" i="4"/>
  <c r="F19" i="4"/>
  <c r="D19" i="4"/>
  <c r="F18" i="4"/>
  <c r="D18" i="4"/>
  <c r="F17" i="4"/>
  <c r="D17" i="4"/>
  <c r="G16" i="4"/>
  <c r="F16" i="4"/>
  <c r="D16" i="4"/>
  <c r="E54" i="3"/>
  <c r="C43" i="3"/>
  <c r="C44" i="3" s="1"/>
  <c r="C45" i="3" s="1"/>
  <c r="C46" i="3" s="1"/>
  <c r="C42" i="3"/>
  <c r="H40" i="3"/>
  <c r="H37" i="3"/>
  <c r="H36" i="3"/>
  <c r="J31" i="3"/>
  <c r="J33" i="3" s="1"/>
  <c r="J34" i="3" s="1"/>
  <c r="J35" i="3" s="1"/>
  <c r="K31" i="3"/>
  <c r="K33" i="3"/>
  <c r="J48" i="3"/>
  <c r="J51" i="3"/>
  <c r="J52" i="3"/>
  <c r="J60" i="3" l="1"/>
  <c r="J61" i="3"/>
  <c r="H28" i="4"/>
  <c r="J42" i="3"/>
  <c r="J43" i="3" s="1"/>
  <c r="J41" i="3"/>
  <c r="L39" i="3"/>
  <c r="C6" i="3"/>
  <c r="C5" i="3"/>
  <c r="C4" i="3"/>
  <c r="C3" i="3"/>
  <c r="C2" i="3"/>
  <c r="J63" i="3" l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Q1" i="1"/>
  <c r="G48" i="3" l="1"/>
  <c r="G47" i="3"/>
  <c r="G44" i="3"/>
  <c r="L37" i="1"/>
  <c r="M37" i="1" s="1"/>
  <c r="N37" i="1" s="1"/>
  <c r="J31" i="1" l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X4" i="1" s="1"/>
  <c r="G49" i="3"/>
  <c r="F5" i="4"/>
  <c r="A28" i="1"/>
  <c r="A29" i="1" s="1"/>
  <c r="A30" i="1" s="1"/>
  <c r="A31" i="1" s="1"/>
  <c r="P7" i="1" l="1"/>
  <c r="X7" i="1"/>
  <c r="P19" i="1"/>
  <c r="X19" i="1"/>
  <c r="P27" i="1"/>
  <c r="X27" i="1"/>
  <c r="P20" i="1"/>
  <c r="X20" i="1"/>
  <c r="P11" i="1"/>
  <c r="X11" i="1"/>
  <c r="P5" i="1"/>
  <c r="X5" i="1"/>
  <c r="P9" i="1"/>
  <c r="X9" i="1"/>
  <c r="P13" i="1"/>
  <c r="X13" i="1"/>
  <c r="P17" i="1"/>
  <c r="X17" i="1"/>
  <c r="P21" i="1"/>
  <c r="X21" i="1"/>
  <c r="P25" i="1"/>
  <c r="X25" i="1"/>
  <c r="P29" i="1"/>
  <c r="X29" i="1"/>
  <c r="P15" i="1"/>
  <c r="X15" i="1"/>
  <c r="P23" i="1"/>
  <c r="X23" i="1"/>
  <c r="P31" i="1"/>
  <c r="X31" i="1"/>
  <c r="Y4" i="1"/>
  <c r="Z4" i="1" s="1"/>
  <c r="P8" i="1"/>
  <c r="X8" i="1"/>
  <c r="P12" i="1"/>
  <c r="X12" i="1"/>
  <c r="P16" i="1"/>
  <c r="X16" i="1"/>
  <c r="P24" i="1"/>
  <c r="X24" i="1"/>
  <c r="P28" i="1"/>
  <c r="X28" i="1"/>
  <c r="P6" i="1"/>
  <c r="X6" i="1"/>
  <c r="P10" i="1"/>
  <c r="X10" i="1"/>
  <c r="P14" i="1"/>
  <c r="X14" i="1"/>
  <c r="P18" i="1"/>
  <c r="X18" i="1"/>
  <c r="P22" i="1"/>
  <c r="X22" i="1"/>
  <c r="P26" i="1"/>
  <c r="X26" i="1"/>
  <c r="P30" i="1"/>
  <c r="X30" i="1"/>
  <c r="J2" i="1"/>
  <c r="J1" i="1" s="1"/>
  <c r="P4" i="1"/>
  <c r="N4" i="3"/>
  <c r="B17" i="3"/>
  <c r="B18" i="3" s="1"/>
  <c r="B19" i="3" s="1"/>
  <c r="B20" i="3" s="1"/>
  <c r="H8" i="3"/>
  <c r="Y23" i="1" l="1"/>
  <c r="Z23" i="1" s="1"/>
  <c r="Z29" i="1"/>
  <c r="Y29" i="1"/>
  <c r="Y13" i="1"/>
  <c r="Z13" i="1" s="1"/>
  <c r="Y5" i="1"/>
  <c r="Z5" i="1" s="1"/>
  <c r="Y19" i="1"/>
  <c r="Z19" i="1" s="1"/>
  <c r="Y26" i="1"/>
  <c r="Z26" i="1" s="1"/>
  <c r="Y10" i="1"/>
  <c r="Z10" i="1" s="1"/>
  <c r="Y28" i="1"/>
  <c r="Z28" i="1" s="1"/>
  <c r="Y16" i="1"/>
  <c r="Z16" i="1" s="1"/>
  <c r="Y8" i="1"/>
  <c r="Z8" i="1" s="1"/>
  <c r="X2" i="1"/>
  <c r="Z20" i="1"/>
  <c r="Y20" i="1"/>
  <c r="Y18" i="1"/>
  <c r="Z18" i="1" s="1"/>
  <c r="Z31" i="1"/>
  <c r="Y31" i="1"/>
  <c r="Y15" i="1"/>
  <c r="Z15" i="1" s="1"/>
  <c r="Y25" i="1"/>
  <c r="Z25" i="1" s="1"/>
  <c r="Y17" i="1"/>
  <c r="Z17" i="1" s="1"/>
  <c r="Y9" i="1"/>
  <c r="Z9" i="1" s="1"/>
  <c r="Y11" i="1"/>
  <c r="Z11" i="1" s="1"/>
  <c r="Y27" i="1"/>
  <c r="Z27" i="1" s="1"/>
  <c r="Y7" i="1"/>
  <c r="Z7" i="1" s="1"/>
  <c r="Y21" i="1"/>
  <c r="Z21" i="1" s="1"/>
  <c r="Z30" i="1"/>
  <c r="Y30" i="1"/>
  <c r="Y22" i="1"/>
  <c r="Z22" i="1" s="1"/>
  <c r="Y14" i="1"/>
  <c r="Z14" i="1" s="1"/>
  <c r="Y6" i="1"/>
  <c r="Z6" i="1" s="1"/>
  <c r="Z24" i="1"/>
  <c r="Y24" i="1"/>
  <c r="Y12" i="1"/>
  <c r="Z12" i="1" s="1"/>
  <c r="G50" i="3"/>
  <c r="I8" i="3"/>
  <c r="Y2" i="1" l="1"/>
  <c r="Z2" i="1"/>
  <c r="J8" i="3"/>
  <c r="K8" i="3" l="1"/>
  <c r="L8" i="3" l="1"/>
  <c r="M8" i="3" l="1"/>
  <c r="B3" i="3" l="1"/>
  <c r="B4" i="3" s="1"/>
  <c r="B5" i="3" l="1"/>
  <c r="B6" i="3" s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H5" i="3" l="1"/>
  <c r="H9" i="3" s="1"/>
  <c r="B3" i="2"/>
  <c r="G3" i="2" s="1"/>
  <c r="K5" i="3" l="1"/>
  <c r="K9" i="3" s="1"/>
  <c r="G5" i="3"/>
  <c r="G9" i="3" s="1"/>
  <c r="J5" i="3"/>
  <c r="J9" i="3" s="1"/>
  <c r="M5" i="3"/>
  <c r="M9" i="3" s="1"/>
  <c r="I5" i="3"/>
  <c r="I9" i="3" s="1"/>
  <c r="L5" i="3"/>
  <c r="L9" i="3" s="1"/>
  <c r="I3" i="2"/>
  <c r="E3" i="2" s="1"/>
  <c r="H3" i="2"/>
  <c r="D3" i="2" s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J6" i="3" l="1"/>
  <c r="M6" i="3"/>
  <c r="L6" i="3"/>
  <c r="G6" i="3"/>
  <c r="N5" i="3"/>
  <c r="H6" i="3"/>
  <c r="I6" i="3"/>
  <c r="K6" i="3"/>
  <c r="R5" i="1"/>
  <c r="R9" i="1"/>
  <c r="R6" i="1"/>
  <c r="R18" i="1"/>
  <c r="R7" i="1"/>
  <c r="R4" i="1"/>
  <c r="R10" i="1"/>
  <c r="R11" i="1"/>
  <c r="R28" i="1"/>
  <c r="R17" i="1"/>
  <c r="R15" i="1"/>
  <c r="R8" i="1"/>
  <c r="R12" i="1"/>
  <c r="R16" i="1"/>
  <c r="R23" i="1"/>
  <c r="R30" i="1"/>
  <c r="R20" i="1"/>
  <c r="R13" i="1"/>
  <c r="R24" i="1"/>
  <c r="R14" i="1"/>
  <c r="R21" i="1"/>
  <c r="R25" i="1"/>
  <c r="R27" i="1"/>
  <c r="R31" i="1"/>
  <c r="R19" i="1"/>
  <c r="R22" i="1"/>
  <c r="R26" i="1"/>
  <c r="R29" i="1"/>
  <c r="P2" i="1"/>
  <c r="P1" i="1" s="1"/>
  <c r="I2" i="1"/>
  <c r="I1" i="1" s="1"/>
  <c r="I11" i="3" l="1"/>
  <c r="I13" i="3"/>
  <c r="I14" i="3"/>
  <c r="G14" i="3"/>
  <c r="G11" i="3"/>
  <c r="G13" i="3"/>
  <c r="G12" i="3"/>
  <c r="N12" i="3" s="1"/>
  <c r="N9" i="3"/>
  <c r="N6" i="3"/>
  <c r="M11" i="3"/>
  <c r="M14" i="3"/>
  <c r="M13" i="3"/>
  <c r="K11" i="3"/>
  <c r="K14" i="3"/>
  <c r="K13" i="3"/>
  <c r="H11" i="3"/>
  <c r="H13" i="3"/>
  <c r="H14" i="3"/>
  <c r="L14" i="3"/>
  <c r="L13" i="3"/>
  <c r="L11" i="3"/>
  <c r="J11" i="3"/>
  <c r="J14" i="3"/>
  <c r="J13" i="3"/>
  <c r="Q2" i="1"/>
  <c r="R2" i="1"/>
  <c r="N40" i="1" s="1"/>
  <c r="N4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R1" i="1" l="1"/>
  <c r="S1" i="1" s="1"/>
  <c r="G43" i="3"/>
  <c r="J47" i="3" s="1"/>
  <c r="I16" i="3"/>
  <c r="J16" i="3"/>
  <c r="N13" i="3"/>
  <c r="M16" i="3"/>
  <c r="K16" i="3"/>
  <c r="H16" i="3"/>
  <c r="L16" i="3"/>
  <c r="G16" i="3"/>
  <c r="G18" i="3" s="1"/>
  <c r="N11" i="3"/>
  <c r="N14" i="3"/>
  <c r="A22" i="1"/>
  <c r="A23" i="1" s="1"/>
  <c r="A24" i="1" s="1"/>
  <c r="A25" i="1" s="1"/>
  <c r="A26" i="1" s="1"/>
  <c r="N16" i="3" l="1"/>
  <c r="G28" i="3"/>
  <c r="G41" i="3" s="1"/>
  <c r="H41" i="3" s="1"/>
  <c r="C20" i="3" l="1"/>
  <c r="C16" i="3"/>
  <c r="C19" i="3"/>
  <c r="G38" i="3"/>
  <c r="C17" i="3"/>
  <c r="C18" i="3"/>
  <c r="H38" i="3" l="1"/>
  <c r="G39" i="3"/>
  <c r="H39" i="3" s="1"/>
  <c r="D46" i="3" s="1"/>
  <c r="D47" i="3" s="1"/>
  <c r="G42" i="3" s="1"/>
  <c r="I46" i="3"/>
  <c r="J46" i="3" s="1"/>
  <c r="J49" i="3" s="1"/>
  <c r="G45" i="3" l="1"/>
  <c r="H42" i="3"/>
  <c r="E39" i="3"/>
</calcChain>
</file>

<file path=xl/sharedStrings.xml><?xml version="1.0" encoding="utf-8"?>
<sst xmlns="http://schemas.openxmlformats.org/spreadsheetml/2006/main" count="225" uniqueCount="129">
  <si>
    <t>Fabrication Shed</t>
  </si>
  <si>
    <t>Diesel Bay</t>
  </si>
  <si>
    <t>Boggie Bay</t>
  </si>
  <si>
    <t>Floors</t>
  </si>
  <si>
    <t>Height</t>
  </si>
  <si>
    <t>Age as per OVR</t>
  </si>
  <si>
    <t>Type of Construction</t>
  </si>
  <si>
    <t>GI &amp; Tin Shed</t>
  </si>
  <si>
    <t>Condition</t>
  </si>
  <si>
    <t>Average</t>
  </si>
  <si>
    <t>Area sq.ft</t>
  </si>
  <si>
    <t>Heat Treatment &amp; NF Store</t>
  </si>
  <si>
    <t>Foundary &amp; Machine Shop</t>
  </si>
  <si>
    <t>ARC Furnace shed</t>
  </si>
  <si>
    <t>Maintenance Room &amp; Store</t>
  </si>
  <si>
    <t>RCC &amp; Shed</t>
  </si>
  <si>
    <t>Building Name</t>
  </si>
  <si>
    <t>S. No.</t>
  </si>
  <si>
    <t>Patern Shop</t>
  </si>
  <si>
    <t>Laddle Shop-1</t>
  </si>
  <si>
    <t>Laddle Shop-2</t>
  </si>
  <si>
    <t>Office Building/Shed</t>
  </si>
  <si>
    <t>Good</t>
  </si>
  <si>
    <t>Transformer + Machine Shop</t>
  </si>
  <si>
    <t>High Way Crane no. 20, 21</t>
  </si>
  <si>
    <t>Agbestos Shed</t>
  </si>
  <si>
    <t>High Way Crane no. 19</t>
  </si>
  <si>
    <t>Sub Station-1</t>
  </si>
  <si>
    <t>Sub Station-2</t>
  </si>
  <si>
    <t>Old Canteen</t>
  </si>
  <si>
    <t>RCC</t>
  </si>
  <si>
    <t>Poor</t>
  </si>
  <si>
    <t>Factory Building</t>
  </si>
  <si>
    <t>Residential Building</t>
  </si>
  <si>
    <t>Block-J</t>
  </si>
  <si>
    <t>Block-H</t>
  </si>
  <si>
    <t>Block-K</t>
  </si>
  <si>
    <t>Guest House</t>
  </si>
  <si>
    <t>Labour Quarter</t>
  </si>
  <si>
    <t>Club House</t>
  </si>
  <si>
    <t>Block-D</t>
  </si>
  <si>
    <t>Block-E</t>
  </si>
  <si>
    <t>Block-F</t>
  </si>
  <si>
    <t>Servent Quarter</t>
  </si>
  <si>
    <t>Block-A</t>
  </si>
  <si>
    <t>Age</t>
  </si>
  <si>
    <t>CoC</t>
  </si>
  <si>
    <t>GCRC</t>
  </si>
  <si>
    <t>Depreciation</t>
  </si>
  <si>
    <t>DRC</t>
  </si>
  <si>
    <t>Rate/sqft</t>
  </si>
  <si>
    <t>Rate/sqm</t>
  </si>
  <si>
    <t>Area sqft</t>
  </si>
  <si>
    <t>Area sqm</t>
  </si>
  <si>
    <t>Area sqyd</t>
  </si>
  <si>
    <t>Rate/sqyd</t>
  </si>
  <si>
    <t>Salvage Vlaue</t>
  </si>
  <si>
    <t>Eco. Life</t>
  </si>
  <si>
    <t>VALUATION OF LAND (THROUGH LAND DEVELOPMENT METHOD)</t>
  </si>
  <si>
    <t>Particulars</t>
  </si>
  <si>
    <t>Unit</t>
  </si>
  <si>
    <t>Expected % wise sale of the property</t>
  </si>
  <si>
    <t>%</t>
  </si>
  <si>
    <t>Net Saleable Area</t>
  </si>
  <si>
    <t>Sq.Yards</t>
  </si>
  <si>
    <t>Rate of Inflation</t>
  </si>
  <si>
    <t>Market Rate of Residential Plots</t>
  </si>
  <si>
    <t>INR/Sq.Yards</t>
  </si>
  <si>
    <t>Revenue</t>
  </si>
  <si>
    <t>Expenses</t>
  </si>
  <si>
    <r>
      <t xml:space="preserve">Pre Operative &amp; Admin </t>
    </r>
    <r>
      <rPr>
        <sz val="10"/>
        <color theme="1"/>
        <rFont val="Calibri"/>
        <family val="2"/>
        <scheme val="minor"/>
      </rPr>
      <t>[5%*Revenue]</t>
    </r>
  </si>
  <si>
    <t>INR</t>
  </si>
  <si>
    <t>Noc's &amp; Approval</t>
  </si>
  <si>
    <r>
      <t>Internal &amp; External development</t>
    </r>
    <r>
      <rPr>
        <sz val="10"/>
        <color theme="1"/>
        <rFont val="Calibri"/>
        <family val="2"/>
        <scheme val="minor"/>
      </rPr>
      <t xml:space="preserve"> </t>
    </r>
  </si>
  <si>
    <t>Net revenue</t>
  </si>
  <si>
    <t>Present Value</t>
  </si>
  <si>
    <t>Important Notes:</t>
  </si>
  <si>
    <t>3. A lump-sump amount of expenses has been considered in the above projections. These expenses amount are based on the  available historical data.</t>
  </si>
  <si>
    <t>4. Complete Project land is assumed to be transacted with in 8 years period.</t>
  </si>
  <si>
    <t>Acre</t>
  </si>
  <si>
    <t>Sqm</t>
  </si>
  <si>
    <t>Sqft</t>
  </si>
  <si>
    <t>Sqyds</t>
  </si>
  <si>
    <t>Land Area</t>
  </si>
  <si>
    <t>Saleable Area</t>
  </si>
  <si>
    <t>No. of Plots (Avg. Plot Size 150 sqyd)</t>
  </si>
  <si>
    <t>Area</t>
  </si>
  <si>
    <t>Rate Per</t>
  </si>
  <si>
    <t>Katha</t>
  </si>
  <si>
    <t>Circle Value</t>
  </si>
  <si>
    <t>Per Katha</t>
  </si>
  <si>
    <t>Location</t>
  </si>
  <si>
    <r>
      <t xml:space="preserve">Brokerage </t>
    </r>
    <r>
      <rPr>
        <sz val="10"/>
        <color theme="1"/>
        <rFont val="Calibri"/>
        <family val="2"/>
        <scheme val="minor"/>
      </rPr>
      <t>[2%*Revenue]</t>
    </r>
  </si>
  <si>
    <t>WACC</t>
  </si>
  <si>
    <t>Cirle Value</t>
  </si>
  <si>
    <t>LDM</t>
  </si>
  <si>
    <t>FMV</t>
  </si>
  <si>
    <t>Total BUA</t>
  </si>
  <si>
    <t>YoC</t>
  </si>
  <si>
    <t>Industrial</t>
  </si>
  <si>
    <t>Reidential</t>
  </si>
  <si>
    <t>Value</t>
  </si>
  <si>
    <t>20% Disc.</t>
  </si>
  <si>
    <t>50% Disc. On MR</t>
  </si>
  <si>
    <t>Boundary Wall</t>
  </si>
  <si>
    <t>mtr</t>
  </si>
  <si>
    <t>Rate</t>
  </si>
  <si>
    <t>FV</t>
  </si>
  <si>
    <t>Building</t>
  </si>
  <si>
    <t>LD</t>
  </si>
  <si>
    <t>Grand Total</t>
  </si>
  <si>
    <t>RV</t>
  </si>
  <si>
    <t>DV</t>
  </si>
  <si>
    <t>Balance Life</t>
  </si>
  <si>
    <t>Used life</t>
  </si>
  <si>
    <t>DeP Rate</t>
  </si>
  <si>
    <t>1. 70% of the total land area has been considered as net sellable area. Remaining land area is assumed to be used in providing common infrastructure and green belt.</t>
  </si>
  <si>
    <t>Boundary wall Land Value</t>
  </si>
  <si>
    <t>Encroached Land Value</t>
  </si>
  <si>
    <t xml:space="preserve">2. Market Rate of Rs.18,500/- per Sq.yrds has been adopted for the small Residential plots which are assumed to be developed on the subject land. </t>
  </si>
  <si>
    <t>5. A discount rate of 15% has been considered while arriving on the present value of subject project land.</t>
  </si>
  <si>
    <t>Sale</t>
  </si>
  <si>
    <t>sqft</t>
  </si>
  <si>
    <t>sqyd</t>
  </si>
  <si>
    <t>rate/sqyd</t>
  </si>
  <si>
    <t>https://housing.com/buy-plots-in-bhadreswar-hooghly-for-sale-srpid-M3kP583t3wdveqgc0e8m</t>
  </si>
  <si>
    <t>https://www.magicbricks.com/residential-plots-land-for-sale-in-bhadreswar-kolkata-pppfs</t>
  </si>
  <si>
    <t>https://www.makaan.com/kolkata-residential-property/buy-land-in-bhadreswar-60397</t>
  </si>
  <si>
    <t>https://www.nestoria.in/bhadreswar/land/sale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</si>
</sst>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&quot;FY&quot;\ 0\ &quot;P&quot;"/>
    <numFmt numFmtId="166" formatCode="_ * #,##0_ ;_ * \-#,##0_ ;_ * &quot;-&quot;?_ ;_ @_ "/>
    <numFmt numFmtId="167" formatCode="_ * #,##0.0_ ;_ * \-#,##0.0_ ;_ * &quot;-&quot;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9" fontId="0" fillId="0" borderId="0" xfId="2" applyFont="1"/>
    <xf numFmtId="43" fontId="0" fillId="0" borderId="0" xfId="1" applyFont="1"/>
    <xf numFmtId="9" fontId="0" fillId="0" borderId="0" xfId="0" applyNumberFormat="1"/>
    <xf numFmtId="10" fontId="0" fillId="0" borderId="0" xfId="2" applyNumberFormat="1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9" fontId="0" fillId="0" borderId="1" xfId="2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/>
    <xf numFmtId="0" fontId="0" fillId="0" borderId="1" xfId="0" applyBorder="1" applyAlignment="1">
      <alignment horizontal="center" wrapText="1"/>
    </xf>
    <xf numFmtId="43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 vertical="center" wrapText="1"/>
    </xf>
    <xf numFmtId="164" fontId="0" fillId="0" borderId="0" xfId="0" applyNumberFormat="1"/>
    <xf numFmtId="164" fontId="3" fillId="0" borderId="0" xfId="1" applyNumberFormat="1" applyFont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4" fontId="3" fillId="3" borderId="1" xfId="0" applyNumberFormat="1" applyFont="1" applyFill="1" applyBorder="1" applyAlignment="1">
      <alignment horizontal="center" vertical="center"/>
    </xf>
    <xf numFmtId="9" fontId="3" fillId="0" borderId="1" xfId="2" applyFont="1" applyBorder="1" applyAlignment="1"/>
    <xf numFmtId="44" fontId="0" fillId="0" borderId="1" xfId="0" applyNumberFormat="1" applyBorder="1"/>
    <xf numFmtId="164" fontId="3" fillId="0" borderId="0" xfId="1" applyNumberFormat="1" applyFont="1"/>
    <xf numFmtId="10" fontId="0" fillId="0" borderId="0" xfId="2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44" fontId="3" fillId="0" borderId="1" xfId="0" applyNumberFormat="1" applyFont="1" applyBorder="1"/>
    <xf numFmtId="43" fontId="0" fillId="0" borderId="1" xfId="1" applyFont="1" applyBorder="1" applyAlignment="1">
      <alignment horizontal="center"/>
    </xf>
    <xf numFmtId="43" fontId="3" fillId="0" borderId="1" xfId="1" applyFont="1" applyBorder="1" applyAlignment="1">
      <alignment vertical="center"/>
    </xf>
    <xf numFmtId="43" fontId="3" fillId="0" borderId="1" xfId="1" applyFont="1" applyBorder="1" applyAlignment="1">
      <alignment horizontal="left" vertical="center"/>
    </xf>
    <xf numFmtId="43" fontId="0" fillId="0" borderId="1" xfId="1" applyFont="1" applyBorder="1" applyAlignment="1"/>
    <xf numFmtId="166" fontId="0" fillId="0" borderId="0" xfId="0" applyNumberFormat="1"/>
    <xf numFmtId="164" fontId="0" fillId="0" borderId="1" xfId="1" applyNumberFormat="1" applyFont="1" applyBorder="1"/>
    <xf numFmtId="0" fontId="3" fillId="0" borderId="1" xfId="0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4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67" fontId="0" fillId="0" borderId="0" xfId="0" applyNumberFormat="1"/>
    <xf numFmtId="43" fontId="0" fillId="0" borderId="0" xfId="1" applyNumberFormat="1" applyFont="1"/>
    <xf numFmtId="0" fontId="0" fillId="0" borderId="0" xfId="0" applyFill="1" applyBorder="1"/>
    <xf numFmtId="164" fontId="0" fillId="0" borderId="0" xfId="1" applyNumberFormat="1" applyFont="1" applyAlignment="1">
      <alignment horizontal="center"/>
    </xf>
  </cellXfs>
  <cellStyles count="4">
    <cellStyle name="Comma" xfId="1" builtinId="3"/>
    <cellStyle name="Currency 2" xf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zoomScaleNormal="100" workbookViewId="0">
      <selection activeCell="R2" sqref="R2"/>
    </sheetView>
  </sheetViews>
  <sheetFormatPr defaultRowHeight="15" x14ac:dyDescent="0.25"/>
  <cols>
    <col min="1" max="1" width="5.42578125" style="2" customWidth="1"/>
    <col min="2" max="2" width="26.7109375" bestFit="1" customWidth="1"/>
    <col min="3" max="3" width="19" bestFit="1" customWidth="1"/>
    <col min="9" max="9" width="15" style="1" hidden="1" customWidth="1"/>
    <col min="10" max="10" width="11.5703125" style="1" customWidth="1"/>
    <col min="11" max="12" width="9" bestFit="1" customWidth="1"/>
    <col min="13" max="13" width="12.5703125" bestFit="1" customWidth="1"/>
    <col min="14" max="14" width="14.28515625" bestFit="1" customWidth="1"/>
    <col min="15" max="15" width="9" bestFit="1" customWidth="1"/>
    <col min="16" max="16" width="12.5703125" style="1" bestFit="1" customWidth="1"/>
    <col min="17" max="17" width="17" style="1" hidden="1" customWidth="1"/>
    <col min="18" max="18" width="13.28515625" style="1" customWidth="1"/>
    <col min="19" max="19" width="11.42578125" style="8" customWidth="1"/>
    <col min="20" max="20" width="9.140625" style="8"/>
    <col min="22" max="22" width="12.85546875" customWidth="1"/>
    <col min="24" max="26" width="12.5703125" style="1" bestFit="1" customWidth="1"/>
    <col min="27" max="27" width="12.5703125" bestFit="1" customWidth="1"/>
  </cols>
  <sheetData>
    <row r="1" spans="1:27" x14ac:dyDescent="0.25">
      <c r="G1" s="7"/>
      <c r="H1" s="19"/>
      <c r="I1" s="1">
        <f>I2/10.764</f>
        <v>41827.015979189891</v>
      </c>
      <c r="J1" s="1">
        <f>J2/10.764</f>
        <v>49381.921218877746</v>
      </c>
      <c r="P1" s="1">
        <f>P2/J2</f>
        <v>1308.5986751877069</v>
      </c>
      <c r="Q1" s="34">
        <f>95%/70</f>
        <v>1.3571428571428571E-2</v>
      </c>
      <c r="R1" s="1">
        <f>R2/J2</f>
        <v>215.25467973669308</v>
      </c>
      <c r="S1" s="8">
        <f>R1/P1</f>
        <v>0.16449250929114437</v>
      </c>
    </row>
    <row r="2" spans="1:27" x14ac:dyDescent="0.25">
      <c r="E2" t="s">
        <v>105</v>
      </c>
      <c r="I2" s="1">
        <f>SUM(I4:I31)</f>
        <v>450226</v>
      </c>
      <c r="J2" s="1">
        <f>SUM(J4:J31)</f>
        <v>531547</v>
      </c>
      <c r="K2">
        <v>2023</v>
      </c>
      <c r="P2" s="1">
        <f>SUM(P4:P31)</f>
        <v>695581700</v>
      </c>
      <c r="Q2" s="1">
        <f>SUM(Q4:Q31)</f>
        <v>581163720.75</v>
      </c>
      <c r="R2" s="1">
        <f>SUM(R4:R31)</f>
        <v>114417979.25</v>
      </c>
      <c r="X2" s="1">
        <f t="shared" ref="X2:Z2" si="0">SUM(X4:X31)</f>
        <v>695581700</v>
      </c>
      <c r="Y2" s="1">
        <f t="shared" si="0"/>
        <v>544423671.44444454</v>
      </c>
      <c r="Z2" s="1">
        <f t="shared" si="0"/>
        <v>151158028.55555552</v>
      </c>
      <c r="AA2" s="1"/>
    </row>
    <row r="3" spans="1:27" s="2" customFormat="1" x14ac:dyDescent="0.25">
      <c r="A3" s="3" t="s">
        <v>17</v>
      </c>
      <c r="B3" s="3" t="s">
        <v>16</v>
      </c>
      <c r="C3" s="3" t="s">
        <v>91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8</v>
      </c>
      <c r="I3" s="4" t="s">
        <v>10</v>
      </c>
      <c r="J3" s="4" t="s">
        <v>97</v>
      </c>
      <c r="K3" s="3" t="s">
        <v>98</v>
      </c>
      <c r="L3" s="3" t="s">
        <v>45</v>
      </c>
      <c r="M3" s="3" t="s">
        <v>56</v>
      </c>
      <c r="N3" s="3" t="s">
        <v>57</v>
      </c>
      <c r="O3" s="3" t="s">
        <v>46</v>
      </c>
      <c r="P3" s="3" t="s">
        <v>47</v>
      </c>
      <c r="Q3" s="3" t="s">
        <v>48</v>
      </c>
      <c r="R3" s="3" t="s">
        <v>49</v>
      </c>
      <c r="S3" s="5" t="s">
        <v>113</v>
      </c>
      <c r="T3" s="5" t="s">
        <v>57</v>
      </c>
      <c r="U3" s="5" t="s">
        <v>114</v>
      </c>
      <c r="V3" s="2" t="s">
        <v>115</v>
      </c>
      <c r="X3" s="6"/>
      <c r="Y3" s="6"/>
      <c r="Z3" s="6"/>
    </row>
    <row r="4" spans="1:27" x14ac:dyDescent="0.25">
      <c r="A4" s="2">
        <v>1</v>
      </c>
      <c r="B4" t="s">
        <v>0</v>
      </c>
      <c r="C4" t="s">
        <v>32</v>
      </c>
      <c r="D4">
        <v>1</v>
      </c>
      <c r="E4">
        <v>12</v>
      </c>
      <c r="F4">
        <v>70</v>
      </c>
      <c r="G4" t="s">
        <v>7</v>
      </c>
      <c r="H4" t="s">
        <v>9</v>
      </c>
      <c r="I4" s="1">
        <v>24006</v>
      </c>
      <c r="J4" s="1">
        <f>I4*D4</f>
        <v>24006</v>
      </c>
      <c r="K4">
        <v>1960</v>
      </c>
      <c r="L4">
        <f>$K$2-K4</f>
        <v>63</v>
      </c>
      <c r="M4" s="9">
        <v>0.95</v>
      </c>
      <c r="N4" s="8">
        <v>70</v>
      </c>
      <c r="O4">
        <v>1300</v>
      </c>
      <c r="P4" s="1">
        <f>O4*J4</f>
        <v>31207800</v>
      </c>
      <c r="Q4" s="1">
        <f>P4*(M4/N4)*(IF(L4&gt;N4,N4,L4))</f>
        <v>26682669</v>
      </c>
      <c r="R4" s="1">
        <f>P4-Q4</f>
        <v>4525131</v>
      </c>
      <c r="S4" s="8">
        <v>6</v>
      </c>
      <c r="T4" s="8">
        <v>45</v>
      </c>
      <c r="U4" s="19">
        <f>T4-S4</f>
        <v>39</v>
      </c>
      <c r="V4" s="10">
        <f>95%/T4</f>
        <v>2.1111111111111112E-2</v>
      </c>
      <c r="W4">
        <f>O4</f>
        <v>1300</v>
      </c>
      <c r="X4" s="1">
        <f>W4*J4</f>
        <v>31207800</v>
      </c>
      <c r="Y4" s="1">
        <f>X4*V4*U4</f>
        <v>25694422</v>
      </c>
      <c r="Z4" s="1">
        <f>X4-Y4</f>
        <v>5513378</v>
      </c>
    </row>
    <row r="5" spans="1:27" x14ac:dyDescent="0.25">
      <c r="A5" s="2">
        <f>A4+1</f>
        <v>2</v>
      </c>
      <c r="B5" t="s">
        <v>1</v>
      </c>
      <c r="C5" t="s">
        <v>32</v>
      </c>
      <c r="D5">
        <v>1</v>
      </c>
      <c r="E5">
        <v>14</v>
      </c>
      <c r="F5">
        <v>70</v>
      </c>
      <c r="G5" t="s">
        <v>7</v>
      </c>
      <c r="H5" t="s">
        <v>9</v>
      </c>
      <c r="I5" s="1">
        <v>35807</v>
      </c>
      <c r="J5" s="1">
        <f t="shared" ref="J5:J31" si="1">I5*D5</f>
        <v>35807</v>
      </c>
      <c r="K5">
        <v>1960</v>
      </c>
      <c r="L5">
        <f t="shared" ref="L5:L31" si="2">$K$2-K5</f>
        <v>63</v>
      </c>
      <c r="M5" s="9">
        <v>0.95</v>
      </c>
      <c r="N5" s="8">
        <v>70</v>
      </c>
      <c r="O5">
        <v>1100</v>
      </c>
      <c r="P5" s="1">
        <f t="shared" ref="P5:P31" si="3">O5*J5</f>
        <v>39387700</v>
      </c>
      <c r="Q5" s="1">
        <f t="shared" ref="Q5:Q20" si="4">P5*(M5/N5)*(IF(L5&gt;N5,N5,L5))</f>
        <v>33676483.5</v>
      </c>
      <c r="R5" s="1">
        <f t="shared" ref="R5:R31" si="5">P5-Q5</f>
        <v>5711216.5</v>
      </c>
      <c r="S5" s="8">
        <v>6</v>
      </c>
      <c r="T5" s="8">
        <v>45</v>
      </c>
      <c r="U5" s="19">
        <f t="shared" ref="U5:U31" si="6">T5-S5</f>
        <v>39</v>
      </c>
      <c r="V5" s="10">
        <f t="shared" ref="V5:V31" si="7">95%/T5</f>
        <v>2.1111111111111112E-2</v>
      </c>
      <c r="W5">
        <f t="shared" ref="W5:W31" si="8">O5</f>
        <v>1100</v>
      </c>
      <c r="X5" s="1">
        <f t="shared" ref="X5:X31" si="9">W5*J5</f>
        <v>39387700</v>
      </c>
      <c r="Y5" s="1">
        <f t="shared" ref="Y5:Y31" si="10">X5*V5*U5</f>
        <v>32429206.333333332</v>
      </c>
      <c r="Z5" s="1">
        <f t="shared" ref="Z5:Z31" si="11">X5-Y5</f>
        <v>6958493.6666666679</v>
      </c>
    </row>
    <row r="6" spans="1:27" x14ac:dyDescent="0.25">
      <c r="A6" s="2">
        <f t="shared" ref="A6:A20" si="12">A5+1</f>
        <v>3</v>
      </c>
      <c r="B6" t="s">
        <v>2</v>
      </c>
      <c r="C6" t="s">
        <v>32</v>
      </c>
      <c r="D6">
        <v>1</v>
      </c>
      <c r="E6">
        <v>14</v>
      </c>
      <c r="F6">
        <v>70</v>
      </c>
      <c r="G6" t="s">
        <v>7</v>
      </c>
      <c r="H6" t="s">
        <v>9</v>
      </c>
      <c r="I6" s="1">
        <v>35807</v>
      </c>
      <c r="J6" s="1">
        <f t="shared" si="1"/>
        <v>35807</v>
      </c>
      <c r="K6">
        <v>1960</v>
      </c>
      <c r="L6">
        <f t="shared" si="2"/>
        <v>63</v>
      </c>
      <c r="M6" s="9">
        <v>0.95</v>
      </c>
      <c r="N6" s="8">
        <v>70</v>
      </c>
      <c r="O6">
        <v>1100</v>
      </c>
      <c r="P6" s="1">
        <f t="shared" si="3"/>
        <v>39387700</v>
      </c>
      <c r="Q6" s="1">
        <f t="shared" si="4"/>
        <v>33676483.5</v>
      </c>
      <c r="R6" s="1">
        <f t="shared" si="5"/>
        <v>5711216.5</v>
      </c>
      <c r="S6" s="8">
        <v>6</v>
      </c>
      <c r="T6" s="8">
        <v>45</v>
      </c>
      <c r="U6" s="19">
        <f t="shared" si="6"/>
        <v>39</v>
      </c>
      <c r="V6" s="10">
        <f t="shared" si="7"/>
        <v>2.1111111111111112E-2</v>
      </c>
      <c r="W6">
        <f t="shared" si="8"/>
        <v>1100</v>
      </c>
      <c r="X6" s="1">
        <f t="shared" si="9"/>
        <v>39387700</v>
      </c>
      <c r="Y6" s="1">
        <f t="shared" si="10"/>
        <v>32429206.333333332</v>
      </c>
      <c r="Z6" s="1">
        <f t="shared" si="11"/>
        <v>6958493.6666666679</v>
      </c>
    </row>
    <row r="7" spans="1:27" x14ac:dyDescent="0.25">
      <c r="A7" s="2">
        <f t="shared" si="12"/>
        <v>4</v>
      </c>
      <c r="B7" t="s">
        <v>11</v>
      </c>
      <c r="C7" t="s">
        <v>32</v>
      </c>
      <c r="D7">
        <v>1</v>
      </c>
      <c r="E7">
        <v>7</v>
      </c>
      <c r="F7">
        <v>70</v>
      </c>
      <c r="G7" t="s">
        <v>7</v>
      </c>
      <c r="H7" t="s">
        <v>9</v>
      </c>
      <c r="I7" s="1">
        <v>18506</v>
      </c>
      <c r="J7" s="1">
        <f t="shared" si="1"/>
        <v>18506</v>
      </c>
      <c r="K7">
        <v>1960</v>
      </c>
      <c r="L7">
        <f t="shared" si="2"/>
        <v>63</v>
      </c>
      <c r="M7" s="9">
        <v>0.95</v>
      </c>
      <c r="N7" s="8">
        <v>70</v>
      </c>
      <c r="O7">
        <v>1000</v>
      </c>
      <c r="P7" s="1">
        <f t="shared" si="3"/>
        <v>18506000</v>
      </c>
      <c r="Q7" s="1">
        <f t="shared" si="4"/>
        <v>15822630</v>
      </c>
      <c r="R7" s="1">
        <f t="shared" si="5"/>
        <v>2683370</v>
      </c>
      <c r="S7" s="8">
        <v>6</v>
      </c>
      <c r="T7" s="8">
        <v>45</v>
      </c>
      <c r="U7" s="19">
        <f t="shared" si="6"/>
        <v>39</v>
      </c>
      <c r="V7" s="10">
        <f t="shared" si="7"/>
        <v>2.1111111111111112E-2</v>
      </c>
      <c r="W7">
        <f t="shared" si="8"/>
        <v>1000</v>
      </c>
      <c r="X7" s="1">
        <f t="shared" si="9"/>
        <v>18506000</v>
      </c>
      <c r="Y7" s="1">
        <f t="shared" si="10"/>
        <v>15236606.666666668</v>
      </c>
      <c r="Z7" s="1">
        <f t="shared" si="11"/>
        <v>3269393.3333333321</v>
      </c>
    </row>
    <row r="8" spans="1:27" x14ac:dyDescent="0.25">
      <c r="A8" s="2">
        <f t="shared" si="12"/>
        <v>5</v>
      </c>
      <c r="B8" t="s">
        <v>12</v>
      </c>
      <c r="C8" t="s">
        <v>32</v>
      </c>
      <c r="D8">
        <v>1</v>
      </c>
      <c r="E8">
        <v>15</v>
      </c>
      <c r="F8">
        <v>70</v>
      </c>
      <c r="G8" t="s">
        <v>7</v>
      </c>
      <c r="H8" t="s">
        <v>9</v>
      </c>
      <c r="I8" s="1">
        <v>132731</v>
      </c>
      <c r="J8" s="1">
        <f t="shared" si="1"/>
        <v>132731</v>
      </c>
      <c r="K8">
        <v>1960</v>
      </c>
      <c r="L8">
        <f t="shared" si="2"/>
        <v>63</v>
      </c>
      <c r="M8" s="9">
        <v>0.95</v>
      </c>
      <c r="N8" s="8">
        <v>70</v>
      </c>
      <c r="O8">
        <v>1300</v>
      </c>
      <c r="P8" s="1">
        <f t="shared" si="3"/>
        <v>172550300</v>
      </c>
      <c r="Q8" s="1">
        <f t="shared" si="4"/>
        <v>147530506.5</v>
      </c>
      <c r="R8" s="1">
        <f t="shared" si="5"/>
        <v>25019793.5</v>
      </c>
      <c r="S8" s="8">
        <v>6</v>
      </c>
      <c r="T8" s="8">
        <v>45</v>
      </c>
      <c r="U8" s="19">
        <f t="shared" si="6"/>
        <v>39</v>
      </c>
      <c r="V8" s="10">
        <f t="shared" si="7"/>
        <v>2.1111111111111112E-2</v>
      </c>
      <c r="W8">
        <f t="shared" si="8"/>
        <v>1300</v>
      </c>
      <c r="X8" s="1">
        <f t="shared" si="9"/>
        <v>172550300</v>
      </c>
      <c r="Y8" s="1">
        <f t="shared" si="10"/>
        <v>142066413.66666666</v>
      </c>
      <c r="Z8" s="1">
        <f t="shared" si="11"/>
        <v>30483886.333333343</v>
      </c>
    </row>
    <row r="9" spans="1:27" x14ac:dyDescent="0.25">
      <c r="A9" s="2">
        <f t="shared" si="12"/>
        <v>6</v>
      </c>
      <c r="B9" t="s">
        <v>13</v>
      </c>
      <c r="C9" t="s">
        <v>32</v>
      </c>
      <c r="D9">
        <v>1</v>
      </c>
      <c r="E9">
        <v>15</v>
      </c>
      <c r="F9">
        <v>70</v>
      </c>
      <c r="G9" t="s">
        <v>7</v>
      </c>
      <c r="H9" t="s">
        <v>9</v>
      </c>
      <c r="I9" s="1">
        <v>11369</v>
      </c>
      <c r="J9" s="1">
        <f t="shared" si="1"/>
        <v>11369</v>
      </c>
      <c r="K9">
        <v>1960</v>
      </c>
      <c r="L9">
        <f t="shared" si="2"/>
        <v>63</v>
      </c>
      <c r="M9" s="9">
        <v>0.95</v>
      </c>
      <c r="N9" s="8">
        <v>70</v>
      </c>
      <c r="O9">
        <v>1400</v>
      </c>
      <c r="P9" s="1">
        <f t="shared" si="3"/>
        <v>15916600</v>
      </c>
      <c r="Q9" s="1">
        <f t="shared" si="4"/>
        <v>13608693</v>
      </c>
      <c r="R9" s="1">
        <f t="shared" si="5"/>
        <v>2307907</v>
      </c>
      <c r="S9" s="8">
        <v>6</v>
      </c>
      <c r="T9" s="8">
        <v>45</v>
      </c>
      <c r="U9" s="19">
        <f t="shared" si="6"/>
        <v>39</v>
      </c>
      <c r="V9" s="10">
        <f t="shared" si="7"/>
        <v>2.1111111111111112E-2</v>
      </c>
      <c r="W9">
        <f t="shared" si="8"/>
        <v>1400</v>
      </c>
      <c r="X9" s="1">
        <f t="shared" si="9"/>
        <v>15916600</v>
      </c>
      <c r="Y9" s="1">
        <f t="shared" si="10"/>
        <v>13104667.333333334</v>
      </c>
      <c r="Z9" s="1">
        <f t="shared" si="11"/>
        <v>2811932.666666666</v>
      </c>
    </row>
    <row r="10" spans="1:27" x14ac:dyDescent="0.25">
      <c r="A10" s="2">
        <f t="shared" si="12"/>
        <v>7</v>
      </c>
      <c r="B10" t="s">
        <v>14</v>
      </c>
      <c r="C10" t="s">
        <v>32</v>
      </c>
      <c r="D10">
        <v>1</v>
      </c>
      <c r="E10">
        <v>7.5</v>
      </c>
      <c r="F10">
        <v>70</v>
      </c>
      <c r="G10" t="s">
        <v>15</v>
      </c>
      <c r="H10" t="s">
        <v>9</v>
      </c>
      <c r="I10" s="1">
        <v>63368</v>
      </c>
      <c r="J10" s="1">
        <f t="shared" si="1"/>
        <v>63368</v>
      </c>
      <c r="K10">
        <v>1960</v>
      </c>
      <c r="L10">
        <f t="shared" si="2"/>
        <v>63</v>
      </c>
      <c r="M10" s="9">
        <v>0.95</v>
      </c>
      <c r="N10" s="8">
        <v>70</v>
      </c>
      <c r="O10">
        <v>1200</v>
      </c>
      <c r="P10" s="1">
        <f t="shared" si="3"/>
        <v>76041600</v>
      </c>
      <c r="Q10" s="1">
        <f t="shared" si="4"/>
        <v>65015568</v>
      </c>
      <c r="R10" s="1">
        <f t="shared" si="5"/>
        <v>11026032</v>
      </c>
      <c r="S10" s="8">
        <v>5</v>
      </c>
      <c r="T10" s="8">
        <v>45</v>
      </c>
      <c r="U10" s="19">
        <f t="shared" si="6"/>
        <v>40</v>
      </c>
      <c r="V10" s="10">
        <f t="shared" si="7"/>
        <v>2.1111111111111112E-2</v>
      </c>
      <c r="W10">
        <f t="shared" si="8"/>
        <v>1200</v>
      </c>
      <c r="X10" s="1">
        <f t="shared" si="9"/>
        <v>76041600</v>
      </c>
      <c r="Y10" s="1">
        <f t="shared" si="10"/>
        <v>64212906.666666672</v>
      </c>
      <c r="Z10" s="1">
        <f t="shared" si="11"/>
        <v>11828693.333333328</v>
      </c>
    </row>
    <row r="11" spans="1:27" x14ac:dyDescent="0.25">
      <c r="A11" s="2">
        <f t="shared" si="12"/>
        <v>8</v>
      </c>
      <c r="B11" t="s">
        <v>19</v>
      </c>
      <c r="C11" t="s">
        <v>32</v>
      </c>
      <c r="D11">
        <v>1</v>
      </c>
      <c r="E11">
        <v>12</v>
      </c>
      <c r="F11">
        <v>70</v>
      </c>
      <c r="G11" t="s">
        <v>7</v>
      </c>
      <c r="H11" t="s">
        <v>9</v>
      </c>
      <c r="I11" s="1">
        <v>4922</v>
      </c>
      <c r="J11" s="1">
        <f t="shared" si="1"/>
        <v>4922</v>
      </c>
      <c r="K11">
        <v>1960</v>
      </c>
      <c r="L11">
        <f t="shared" si="2"/>
        <v>63</v>
      </c>
      <c r="M11" s="9">
        <v>0.95</v>
      </c>
      <c r="N11" s="8">
        <v>70</v>
      </c>
      <c r="O11">
        <v>1200</v>
      </c>
      <c r="P11" s="1">
        <f t="shared" si="3"/>
        <v>5906400</v>
      </c>
      <c r="Q11" s="1">
        <f t="shared" si="4"/>
        <v>5049972</v>
      </c>
      <c r="R11" s="1">
        <f t="shared" si="5"/>
        <v>856428</v>
      </c>
      <c r="S11" s="8">
        <v>6</v>
      </c>
      <c r="T11" s="8">
        <v>45</v>
      </c>
      <c r="U11" s="19">
        <f t="shared" si="6"/>
        <v>39</v>
      </c>
      <c r="V11" s="10">
        <f t="shared" si="7"/>
        <v>2.1111111111111112E-2</v>
      </c>
      <c r="W11">
        <f t="shared" si="8"/>
        <v>1200</v>
      </c>
      <c r="X11" s="1">
        <f t="shared" si="9"/>
        <v>5906400</v>
      </c>
      <c r="Y11" s="1">
        <f t="shared" si="10"/>
        <v>4862936</v>
      </c>
      <c r="Z11" s="1">
        <f t="shared" si="11"/>
        <v>1043464</v>
      </c>
    </row>
    <row r="12" spans="1:27" x14ac:dyDescent="0.25">
      <c r="A12" s="2">
        <f t="shared" si="12"/>
        <v>9</v>
      </c>
      <c r="B12" t="s">
        <v>20</v>
      </c>
      <c r="C12" t="s">
        <v>32</v>
      </c>
      <c r="D12">
        <v>1</v>
      </c>
      <c r="E12">
        <v>12</v>
      </c>
      <c r="F12">
        <v>70</v>
      </c>
      <c r="G12" t="s">
        <v>7</v>
      </c>
      <c r="H12" t="s">
        <v>9</v>
      </c>
      <c r="I12" s="1">
        <v>4922</v>
      </c>
      <c r="J12" s="1">
        <f t="shared" si="1"/>
        <v>4922</v>
      </c>
      <c r="K12">
        <v>1960</v>
      </c>
      <c r="L12">
        <f t="shared" si="2"/>
        <v>63</v>
      </c>
      <c r="M12" s="9">
        <v>0.95</v>
      </c>
      <c r="N12" s="8">
        <v>70</v>
      </c>
      <c r="O12">
        <v>1200</v>
      </c>
      <c r="P12" s="1">
        <f t="shared" si="3"/>
        <v>5906400</v>
      </c>
      <c r="Q12" s="1">
        <f t="shared" si="4"/>
        <v>5049972</v>
      </c>
      <c r="R12" s="1">
        <f t="shared" si="5"/>
        <v>856428</v>
      </c>
      <c r="S12" s="8">
        <v>6</v>
      </c>
      <c r="T12" s="8">
        <v>45</v>
      </c>
      <c r="U12" s="19">
        <f t="shared" si="6"/>
        <v>39</v>
      </c>
      <c r="V12" s="10">
        <f t="shared" si="7"/>
        <v>2.1111111111111112E-2</v>
      </c>
      <c r="W12">
        <f t="shared" si="8"/>
        <v>1200</v>
      </c>
      <c r="X12" s="1">
        <f t="shared" si="9"/>
        <v>5906400</v>
      </c>
      <c r="Y12" s="1">
        <f t="shared" si="10"/>
        <v>4862936</v>
      </c>
      <c r="Z12" s="1">
        <f t="shared" si="11"/>
        <v>1043464</v>
      </c>
    </row>
    <row r="13" spans="1:27" x14ac:dyDescent="0.25">
      <c r="A13" s="2">
        <f t="shared" si="12"/>
        <v>10</v>
      </c>
      <c r="B13" t="s">
        <v>18</v>
      </c>
      <c r="C13" t="s">
        <v>32</v>
      </c>
      <c r="D13">
        <v>1</v>
      </c>
      <c r="E13">
        <v>5.5</v>
      </c>
      <c r="F13">
        <v>70</v>
      </c>
      <c r="G13" t="s">
        <v>15</v>
      </c>
      <c r="H13" t="s">
        <v>9</v>
      </c>
      <c r="I13" s="1">
        <v>6859</v>
      </c>
      <c r="J13" s="1">
        <f t="shared" si="1"/>
        <v>6859</v>
      </c>
      <c r="K13">
        <v>1960</v>
      </c>
      <c r="L13">
        <f t="shared" si="2"/>
        <v>63</v>
      </c>
      <c r="M13" s="9">
        <v>0.95</v>
      </c>
      <c r="N13" s="8">
        <v>70</v>
      </c>
      <c r="O13">
        <v>1200</v>
      </c>
      <c r="P13" s="1">
        <f t="shared" si="3"/>
        <v>8230800</v>
      </c>
      <c r="Q13" s="1">
        <f t="shared" si="4"/>
        <v>7037334</v>
      </c>
      <c r="R13" s="1">
        <f t="shared" si="5"/>
        <v>1193466</v>
      </c>
      <c r="S13" s="8">
        <v>6</v>
      </c>
      <c r="T13" s="8">
        <v>45</v>
      </c>
      <c r="U13" s="19">
        <f t="shared" si="6"/>
        <v>39</v>
      </c>
      <c r="V13" s="10">
        <f t="shared" si="7"/>
        <v>2.1111111111111112E-2</v>
      </c>
      <c r="W13">
        <f t="shared" si="8"/>
        <v>1200</v>
      </c>
      <c r="X13" s="1">
        <f t="shared" si="9"/>
        <v>8230800</v>
      </c>
      <c r="Y13" s="1">
        <f t="shared" si="10"/>
        <v>6776692</v>
      </c>
      <c r="Z13" s="1">
        <f t="shared" si="11"/>
        <v>1454108</v>
      </c>
    </row>
    <row r="14" spans="1:27" x14ac:dyDescent="0.25">
      <c r="A14" s="2">
        <f t="shared" si="12"/>
        <v>11</v>
      </c>
      <c r="B14" t="s">
        <v>21</v>
      </c>
      <c r="C14" t="s">
        <v>32</v>
      </c>
      <c r="D14">
        <v>3</v>
      </c>
      <c r="E14">
        <v>5.2</v>
      </c>
      <c r="F14">
        <v>70</v>
      </c>
      <c r="G14" t="s">
        <v>15</v>
      </c>
      <c r="H14" t="s">
        <v>22</v>
      </c>
      <c r="I14" s="1">
        <v>13405</v>
      </c>
      <c r="J14" s="1">
        <f t="shared" si="1"/>
        <v>40215</v>
      </c>
      <c r="K14">
        <v>1960</v>
      </c>
      <c r="L14">
        <f t="shared" si="2"/>
        <v>63</v>
      </c>
      <c r="M14" s="9">
        <v>0.95</v>
      </c>
      <c r="N14" s="8">
        <v>70</v>
      </c>
      <c r="O14">
        <v>1400</v>
      </c>
      <c r="P14" s="1">
        <f t="shared" si="3"/>
        <v>56301000</v>
      </c>
      <c r="Q14" s="1">
        <f t="shared" si="4"/>
        <v>48137355</v>
      </c>
      <c r="R14" s="1">
        <f t="shared" si="5"/>
        <v>8163645</v>
      </c>
      <c r="S14" s="8">
        <v>8</v>
      </c>
      <c r="T14" s="8">
        <v>45</v>
      </c>
      <c r="U14" s="19">
        <f t="shared" si="6"/>
        <v>37</v>
      </c>
      <c r="V14" s="10">
        <f t="shared" si="7"/>
        <v>2.1111111111111112E-2</v>
      </c>
      <c r="W14">
        <f t="shared" si="8"/>
        <v>1400</v>
      </c>
      <c r="X14" s="1">
        <f t="shared" si="9"/>
        <v>56301000</v>
      </c>
      <c r="Y14" s="1">
        <f t="shared" si="10"/>
        <v>43977336.666666672</v>
      </c>
      <c r="Z14" s="1">
        <f t="shared" si="11"/>
        <v>12323663.333333328</v>
      </c>
    </row>
    <row r="15" spans="1:27" x14ac:dyDescent="0.25">
      <c r="A15" s="2">
        <f t="shared" si="12"/>
        <v>12</v>
      </c>
      <c r="B15" t="s">
        <v>23</v>
      </c>
      <c r="C15" t="s">
        <v>32</v>
      </c>
      <c r="D15">
        <v>1</v>
      </c>
      <c r="E15">
        <v>13.5</v>
      </c>
      <c r="F15">
        <v>70</v>
      </c>
      <c r="G15" t="s">
        <v>7</v>
      </c>
      <c r="H15" t="s">
        <v>9</v>
      </c>
      <c r="I15" s="1">
        <v>5414</v>
      </c>
      <c r="J15" s="1">
        <f t="shared" si="1"/>
        <v>5414</v>
      </c>
      <c r="K15">
        <v>1960</v>
      </c>
      <c r="L15">
        <f t="shared" si="2"/>
        <v>63</v>
      </c>
      <c r="M15" s="9">
        <v>0.95</v>
      </c>
      <c r="N15" s="8">
        <v>70</v>
      </c>
      <c r="O15">
        <v>1400</v>
      </c>
      <c r="P15" s="1">
        <f t="shared" si="3"/>
        <v>7579600</v>
      </c>
      <c r="Q15" s="1">
        <f t="shared" si="4"/>
        <v>6480558</v>
      </c>
      <c r="R15" s="1">
        <f t="shared" si="5"/>
        <v>1099042</v>
      </c>
      <c r="S15" s="8">
        <v>8</v>
      </c>
      <c r="T15" s="8">
        <v>45</v>
      </c>
      <c r="U15" s="19">
        <f t="shared" si="6"/>
        <v>37</v>
      </c>
      <c r="V15" s="10">
        <f t="shared" si="7"/>
        <v>2.1111111111111112E-2</v>
      </c>
      <c r="W15">
        <f t="shared" si="8"/>
        <v>1400</v>
      </c>
      <c r="X15" s="1">
        <f t="shared" si="9"/>
        <v>7579600</v>
      </c>
      <c r="Y15" s="1">
        <f t="shared" si="10"/>
        <v>5920509.777777778</v>
      </c>
      <c r="Z15" s="1">
        <f t="shared" si="11"/>
        <v>1659090.222222222</v>
      </c>
    </row>
    <row r="16" spans="1:27" x14ac:dyDescent="0.25">
      <c r="A16" s="2">
        <f t="shared" si="12"/>
        <v>13</v>
      </c>
      <c r="B16" t="s">
        <v>24</v>
      </c>
      <c r="C16" t="s">
        <v>32</v>
      </c>
      <c r="D16">
        <v>1</v>
      </c>
      <c r="E16">
        <v>18.5</v>
      </c>
      <c r="F16">
        <v>70</v>
      </c>
      <c r="G16" t="s">
        <v>25</v>
      </c>
      <c r="H16" t="s">
        <v>9</v>
      </c>
      <c r="I16" s="1">
        <v>31838</v>
      </c>
      <c r="J16" s="1">
        <f t="shared" si="1"/>
        <v>31838</v>
      </c>
      <c r="K16">
        <v>1960</v>
      </c>
      <c r="L16">
        <f t="shared" si="2"/>
        <v>63</v>
      </c>
      <c r="M16" s="9">
        <v>0.95</v>
      </c>
      <c r="N16" s="8">
        <v>70</v>
      </c>
      <c r="O16">
        <v>1400</v>
      </c>
      <c r="P16" s="1">
        <f t="shared" si="3"/>
        <v>44573200</v>
      </c>
      <c r="Q16" s="1">
        <f t="shared" si="4"/>
        <v>38110086</v>
      </c>
      <c r="R16" s="1">
        <f t="shared" si="5"/>
        <v>6463114</v>
      </c>
      <c r="S16" s="8">
        <v>10</v>
      </c>
      <c r="T16" s="8">
        <v>45</v>
      </c>
      <c r="U16" s="19">
        <f t="shared" si="6"/>
        <v>35</v>
      </c>
      <c r="V16" s="10">
        <f t="shared" si="7"/>
        <v>2.1111111111111112E-2</v>
      </c>
      <c r="W16">
        <f t="shared" si="8"/>
        <v>1400</v>
      </c>
      <c r="X16" s="1">
        <f t="shared" si="9"/>
        <v>44573200</v>
      </c>
      <c r="Y16" s="1">
        <f t="shared" si="10"/>
        <v>32934642.22222222</v>
      </c>
      <c r="Z16" s="1">
        <f t="shared" si="11"/>
        <v>11638557.77777778</v>
      </c>
    </row>
    <row r="17" spans="1:26" x14ac:dyDescent="0.25">
      <c r="A17" s="2">
        <f t="shared" si="12"/>
        <v>14</v>
      </c>
      <c r="B17" t="s">
        <v>26</v>
      </c>
      <c r="C17" t="s">
        <v>32</v>
      </c>
      <c r="D17">
        <v>1</v>
      </c>
      <c r="E17">
        <v>16.5</v>
      </c>
      <c r="F17">
        <v>70</v>
      </c>
      <c r="G17" t="s">
        <v>25</v>
      </c>
      <c r="H17" t="s">
        <v>9</v>
      </c>
      <c r="I17" s="1">
        <v>19708</v>
      </c>
      <c r="J17" s="1">
        <f t="shared" si="1"/>
        <v>19708</v>
      </c>
      <c r="K17">
        <v>1960</v>
      </c>
      <c r="L17">
        <f t="shared" si="2"/>
        <v>63</v>
      </c>
      <c r="M17" s="9">
        <v>0.95</v>
      </c>
      <c r="N17" s="8">
        <v>70</v>
      </c>
      <c r="O17">
        <v>1400</v>
      </c>
      <c r="P17" s="1">
        <f t="shared" si="3"/>
        <v>27591200</v>
      </c>
      <c r="Q17" s="1">
        <f t="shared" si="4"/>
        <v>23590476</v>
      </c>
      <c r="R17" s="1">
        <f t="shared" si="5"/>
        <v>4000724</v>
      </c>
      <c r="S17" s="8">
        <v>10</v>
      </c>
      <c r="T17" s="8">
        <v>45</v>
      </c>
      <c r="U17" s="19">
        <f t="shared" si="6"/>
        <v>35</v>
      </c>
      <c r="V17" s="10">
        <f t="shared" si="7"/>
        <v>2.1111111111111112E-2</v>
      </c>
      <c r="W17">
        <f t="shared" si="8"/>
        <v>1400</v>
      </c>
      <c r="X17" s="1">
        <f t="shared" si="9"/>
        <v>27591200</v>
      </c>
      <c r="Y17" s="1">
        <f t="shared" si="10"/>
        <v>20386831.111111112</v>
      </c>
      <c r="Z17" s="1">
        <f t="shared" si="11"/>
        <v>7204368.8888888881</v>
      </c>
    </row>
    <row r="18" spans="1:26" x14ac:dyDescent="0.25">
      <c r="A18" s="2">
        <f t="shared" si="12"/>
        <v>15</v>
      </c>
      <c r="B18" t="s">
        <v>27</v>
      </c>
      <c r="C18" t="s">
        <v>32</v>
      </c>
      <c r="D18">
        <v>1</v>
      </c>
      <c r="E18">
        <v>3.5</v>
      </c>
      <c r="F18">
        <v>70</v>
      </c>
      <c r="G18" t="s">
        <v>15</v>
      </c>
      <c r="H18" t="s">
        <v>9</v>
      </c>
      <c r="I18" s="1">
        <v>1828</v>
      </c>
      <c r="J18" s="1">
        <f t="shared" si="1"/>
        <v>1828</v>
      </c>
      <c r="K18">
        <v>1960</v>
      </c>
      <c r="L18">
        <f t="shared" si="2"/>
        <v>63</v>
      </c>
      <c r="M18" s="9">
        <v>0.95</v>
      </c>
      <c r="N18" s="8">
        <v>70</v>
      </c>
      <c r="O18">
        <v>1200</v>
      </c>
      <c r="P18" s="1">
        <f t="shared" si="3"/>
        <v>2193600</v>
      </c>
      <c r="Q18" s="1">
        <f t="shared" si="4"/>
        <v>1875528</v>
      </c>
      <c r="R18" s="1">
        <f t="shared" si="5"/>
        <v>318072</v>
      </c>
      <c r="S18" s="8">
        <v>10</v>
      </c>
      <c r="T18" s="8">
        <v>45</v>
      </c>
      <c r="U18" s="19">
        <f t="shared" si="6"/>
        <v>35</v>
      </c>
      <c r="V18" s="10">
        <f t="shared" si="7"/>
        <v>2.1111111111111112E-2</v>
      </c>
      <c r="W18">
        <f t="shared" si="8"/>
        <v>1200</v>
      </c>
      <c r="X18" s="1">
        <f t="shared" si="9"/>
        <v>2193600</v>
      </c>
      <c r="Y18" s="1">
        <f t="shared" si="10"/>
        <v>1620826.6666666667</v>
      </c>
      <c r="Z18" s="1">
        <f t="shared" si="11"/>
        <v>572773.33333333326</v>
      </c>
    </row>
    <row r="19" spans="1:26" x14ac:dyDescent="0.25">
      <c r="A19" s="2">
        <f t="shared" si="12"/>
        <v>16</v>
      </c>
      <c r="B19" t="s">
        <v>28</v>
      </c>
      <c r="C19" t="s">
        <v>32</v>
      </c>
      <c r="D19">
        <v>1</v>
      </c>
      <c r="E19">
        <v>5</v>
      </c>
      <c r="F19">
        <v>70</v>
      </c>
      <c r="G19" t="s">
        <v>15</v>
      </c>
      <c r="H19" t="s">
        <v>9</v>
      </c>
      <c r="I19" s="1">
        <v>156</v>
      </c>
      <c r="J19" s="1">
        <f t="shared" si="1"/>
        <v>156</v>
      </c>
      <c r="K19">
        <v>1960</v>
      </c>
      <c r="L19">
        <f t="shared" si="2"/>
        <v>63</v>
      </c>
      <c r="M19" s="9">
        <v>0.95</v>
      </c>
      <c r="N19" s="8">
        <v>70</v>
      </c>
      <c r="O19">
        <v>1200</v>
      </c>
      <c r="P19" s="1">
        <f t="shared" si="3"/>
        <v>187200</v>
      </c>
      <c r="Q19" s="1">
        <f t="shared" si="4"/>
        <v>160056</v>
      </c>
      <c r="R19" s="1">
        <f t="shared" si="5"/>
        <v>27144</v>
      </c>
      <c r="S19" s="8">
        <v>10</v>
      </c>
      <c r="T19" s="8">
        <v>45</v>
      </c>
      <c r="U19" s="19">
        <f t="shared" si="6"/>
        <v>35</v>
      </c>
      <c r="V19" s="10">
        <f t="shared" si="7"/>
        <v>2.1111111111111112E-2</v>
      </c>
      <c r="W19">
        <f t="shared" si="8"/>
        <v>1200</v>
      </c>
      <c r="X19" s="1">
        <f t="shared" si="9"/>
        <v>187200</v>
      </c>
      <c r="Y19" s="1">
        <f t="shared" si="10"/>
        <v>138320</v>
      </c>
      <c r="Z19" s="1">
        <f t="shared" si="11"/>
        <v>48880</v>
      </c>
    </row>
    <row r="20" spans="1:26" x14ac:dyDescent="0.25">
      <c r="A20" s="2">
        <f t="shared" si="12"/>
        <v>17</v>
      </c>
      <c r="B20" t="s">
        <v>29</v>
      </c>
      <c r="C20" t="s">
        <v>32</v>
      </c>
      <c r="D20">
        <v>3</v>
      </c>
      <c r="E20">
        <v>3</v>
      </c>
      <c r="F20">
        <v>70</v>
      </c>
      <c r="G20" t="s">
        <v>30</v>
      </c>
      <c r="H20" t="s">
        <v>31</v>
      </c>
      <c r="I20" s="1">
        <v>994</v>
      </c>
      <c r="J20" s="1">
        <f t="shared" si="1"/>
        <v>2982</v>
      </c>
      <c r="K20">
        <v>1960</v>
      </c>
      <c r="L20">
        <f t="shared" si="2"/>
        <v>63</v>
      </c>
      <c r="M20" s="9">
        <v>0.95</v>
      </c>
      <c r="N20" s="8">
        <v>70</v>
      </c>
      <c r="O20">
        <v>1100</v>
      </c>
      <c r="P20" s="1">
        <f t="shared" si="3"/>
        <v>3280200</v>
      </c>
      <c r="Q20" s="1">
        <f t="shared" si="4"/>
        <v>2804571</v>
      </c>
      <c r="R20" s="1">
        <f t="shared" si="5"/>
        <v>475629</v>
      </c>
      <c r="S20" s="8">
        <v>5</v>
      </c>
      <c r="T20" s="8">
        <v>45</v>
      </c>
      <c r="U20" s="19">
        <f t="shared" si="6"/>
        <v>40</v>
      </c>
      <c r="V20" s="10">
        <f t="shared" si="7"/>
        <v>2.1111111111111112E-2</v>
      </c>
      <c r="W20">
        <f t="shared" si="8"/>
        <v>1100</v>
      </c>
      <c r="X20" s="1">
        <f t="shared" si="9"/>
        <v>3280200</v>
      </c>
      <c r="Y20" s="1">
        <f t="shared" si="10"/>
        <v>2769946.666666667</v>
      </c>
      <c r="Z20" s="1">
        <f t="shared" si="11"/>
        <v>510253.33333333302</v>
      </c>
    </row>
    <row r="21" spans="1:26" x14ac:dyDescent="0.25">
      <c r="A21" s="2">
        <f t="shared" ref="A21:A26" si="13">A20+1</f>
        <v>18</v>
      </c>
      <c r="B21" t="s">
        <v>34</v>
      </c>
      <c r="C21" t="s">
        <v>33</v>
      </c>
      <c r="D21">
        <v>2</v>
      </c>
      <c r="E21">
        <v>3.5</v>
      </c>
      <c r="F21">
        <v>70</v>
      </c>
      <c r="G21" t="s">
        <v>30</v>
      </c>
      <c r="H21" t="s">
        <v>22</v>
      </c>
      <c r="I21" s="1">
        <v>3927</v>
      </c>
      <c r="J21" s="1">
        <f t="shared" si="1"/>
        <v>7854</v>
      </c>
      <c r="K21">
        <v>1960</v>
      </c>
      <c r="L21">
        <f t="shared" si="2"/>
        <v>63</v>
      </c>
      <c r="M21" s="9">
        <v>0.95</v>
      </c>
      <c r="N21" s="8">
        <v>80</v>
      </c>
      <c r="O21">
        <v>1600</v>
      </c>
      <c r="P21" s="1">
        <f t="shared" si="3"/>
        <v>12566400</v>
      </c>
      <c r="Q21" s="1">
        <f t="shared" ref="Q21:Q26" si="14">P21*(M21/N21)*(IF(L21&gt;N21,N21,L21))</f>
        <v>9401238</v>
      </c>
      <c r="R21" s="1">
        <f t="shared" si="5"/>
        <v>3165162</v>
      </c>
      <c r="S21" s="8">
        <v>20</v>
      </c>
      <c r="T21" s="8">
        <v>60</v>
      </c>
      <c r="U21" s="19">
        <f t="shared" si="6"/>
        <v>40</v>
      </c>
      <c r="V21" s="10">
        <f t="shared" si="7"/>
        <v>1.5833333333333331E-2</v>
      </c>
      <c r="W21">
        <f t="shared" si="8"/>
        <v>1600</v>
      </c>
      <c r="X21" s="1">
        <f t="shared" si="9"/>
        <v>12566400</v>
      </c>
      <c r="Y21" s="1">
        <f t="shared" si="10"/>
        <v>7958719.9999999991</v>
      </c>
      <c r="Z21" s="1">
        <f t="shared" si="11"/>
        <v>4607680.0000000009</v>
      </c>
    </row>
    <row r="22" spans="1:26" x14ac:dyDescent="0.25">
      <c r="A22" s="2">
        <f t="shared" si="13"/>
        <v>19</v>
      </c>
      <c r="B22" t="s">
        <v>35</v>
      </c>
      <c r="C22" t="s">
        <v>33</v>
      </c>
      <c r="D22">
        <v>3</v>
      </c>
      <c r="E22">
        <v>3.5</v>
      </c>
      <c r="F22">
        <v>70</v>
      </c>
      <c r="G22" t="s">
        <v>30</v>
      </c>
      <c r="H22" t="s">
        <v>22</v>
      </c>
      <c r="I22" s="1">
        <v>3927</v>
      </c>
      <c r="J22" s="1">
        <f t="shared" si="1"/>
        <v>11781</v>
      </c>
      <c r="K22">
        <v>1960</v>
      </c>
      <c r="L22">
        <f t="shared" si="2"/>
        <v>63</v>
      </c>
      <c r="M22" s="9">
        <v>0.95</v>
      </c>
      <c r="N22" s="8">
        <v>80</v>
      </c>
      <c r="O22">
        <v>1600</v>
      </c>
      <c r="P22" s="1">
        <f t="shared" si="3"/>
        <v>18849600</v>
      </c>
      <c r="Q22" s="1">
        <f t="shared" si="14"/>
        <v>14101857</v>
      </c>
      <c r="R22" s="1">
        <f t="shared" si="5"/>
        <v>4747743</v>
      </c>
      <c r="S22" s="8">
        <v>20</v>
      </c>
      <c r="T22" s="8">
        <v>60</v>
      </c>
      <c r="U22" s="19">
        <f t="shared" si="6"/>
        <v>40</v>
      </c>
      <c r="V22" s="10">
        <f t="shared" si="7"/>
        <v>1.5833333333333331E-2</v>
      </c>
      <c r="W22">
        <f t="shared" si="8"/>
        <v>1600</v>
      </c>
      <c r="X22" s="1">
        <f t="shared" si="9"/>
        <v>18849600</v>
      </c>
      <c r="Y22" s="1">
        <f t="shared" si="10"/>
        <v>11938079.999999998</v>
      </c>
      <c r="Z22" s="1">
        <f t="shared" si="11"/>
        <v>6911520.0000000019</v>
      </c>
    </row>
    <row r="23" spans="1:26" x14ac:dyDescent="0.25">
      <c r="A23" s="2">
        <f t="shared" si="13"/>
        <v>20</v>
      </c>
      <c r="B23" t="s">
        <v>36</v>
      </c>
      <c r="C23" t="s">
        <v>33</v>
      </c>
      <c r="D23">
        <v>3</v>
      </c>
      <c r="E23">
        <v>3.5</v>
      </c>
      <c r="F23">
        <v>70</v>
      </c>
      <c r="G23" t="s">
        <v>30</v>
      </c>
      <c r="H23" t="s">
        <v>22</v>
      </c>
      <c r="I23" s="1">
        <v>3927</v>
      </c>
      <c r="J23" s="1">
        <f t="shared" si="1"/>
        <v>11781</v>
      </c>
      <c r="K23">
        <v>1960</v>
      </c>
      <c r="L23">
        <f t="shared" si="2"/>
        <v>63</v>
      </c>
      <c r="M23" s="9">
        <v>0.95</v>
      </c>
      <c r="N23" s="8">
        <v>80</v>
      </c>
      <c r="O23">
        <v>1600</v>
      </c>
      <c r="P23" s="1">
        <f t="shared" si="3"/>
        <v>18849600</v>
      </c>
      <c r="Q23" s="1">
        <f t="shared" si="14"/>
        <v>14101857</v>
      </c>
      <c r="R23" s="1">
        <f t="shared" si="5"/>
        <v>4747743</v>
      </c>
      <c r="S23" s="8">
        <v>20</v>
      </c>
      <c r="T23" s="8">
        <v>60</v>
      </c>
      <c r="U23" s="19">
        <f t="shared" si="6"/>
        <v>40</v>
      </c>
      <c r="V23" s="10">
        <f t="shared" si="7"/>
        <v>1.5833333333333331E-2</v>
      </c>
      <c r="W23">
        <f t="shared" si="8"/>
        <v>1600</v>
      </c>
      <c r="X23" s="1">
        <f t="shared" si="9"/>
        <v>18849600</v>
      </c>
      <c r="Y23" s="1">
        <f t="shared" si="10"/>
        <v>11938079.999999998</v>
      </c>
      <c r="Z23" s="1">
        <f t="shared" si="11"/>
        <v>6911520.0000000019</v>
      </c>
    </row>
    <row r="24" spans="1:26" x14ac:dyDescent="0.25">
      <c r="A24" s="2">
        <f t="shared" si="13"/>
        <v>21</v>
      </c>
      <c r="B24" t="s">
        <v>37</v>
      </c>
      <c r="C24" t="s">
        <v>33</v>
      </c>
      <c r="D24">
        <v>2</v>
      </c>
      <c r="E24">
        <v>3.5</v>
      </c>
      <c r="F24">
        <v>70</v>
      </c>
      <c r="G24" t="s">
        <v>30</v>
      </c>
      <c r="H24" t="s">
        <v>22</v>
      </c>
      <c r="I24" s="1">
        <v>4349</v>
      </c>
      <c r="J24" s="1">
        <f t="shared" si="1"/>
        <v>8698</v>
      </c>
      <c r="K24">
        <v>1960</v>
      </c>
      <c r="L24">
        <f t="shared" si="2"/>
        <v>63</v>
      </c>
      <c r="M24" s="9">
        <v>0.95</v>
      </c>
      <c r="N24" s="8">
        <v>80</v>
      </c>
      <c r="O24">
        <v>1800</v>
      </c>
      <c r="P24" s="1">
        <f t="shared" si="3"/>
        <v>15656400</v>
      </c>
      <c r="Q24" s="1">
        <f t="shared" si="14"/>
        <v>11712944.25</v>
      </c>
      <c r="R24" s="1">
        <f t="shared" si="5"/>
        <v>3943455.75</v>
      </c>
      <c r="S24" s="8">
        <v>20</v>
      </c>
      <c r="T24" s="8">
        <v>60</v>
      </c>
      <c r="U24" s="19">
        <f t="shared" si="6"/>
        <v>40</v>
      </c>
      <c r="V24" s="10">
        <f t="shared" si="7"/>
        <v>1.5833333333333331E-2</v>
      </c>
      <c r="W24">
        <f t="shared" si="8"/>
        <v>1800</v>
      </c>
      <c r="X24" s="1">
        <f t="shared" si="9"/>
        <v>15656400</v>
      </c>
      <c r="Y24" s="1">
        <f t="shared" si="10"/>
        <v>9915719.9999999981</v>
      </c>
      <c r="Z24" s="1">
        <f t="shared" si="11"/>
        <v>5740680.0000000019</v>
      </c>
    </row>
    <row r="25" spans="1:26" x14ac:dyDescent="0.25">
      <c r="A25" s="2">
        <f t="shared" si="13"/>
        <v>22</v>
      </c>
      <c r="B25" t="s">
        <v>38</v>
      </c>
      <c r="C25" t="s">
        <v>33</v>
      </c>
      <c r="D25">
        <v>2</v>
      </c>
      <c r="E25">
        <v>3.5</v>
      </c>
      <c r="F25">
        <v>70</v>
      </c>
      <c r="G25" t="s">
        <v>30</v>
      </c>
      <c r="H25" t="s">
        <v>22</v>
      </c>
      <c r="I25" s="1">
        <v>3488</v>
      </c>
      <c r="J25" s="1">
        <f t="shared" si="1"/>
        <v>6976</v>
      </c>
      <c r="K25">
        <v>1960</v>
      </c>
      <c r="L25">
        <f t="shared" si="2"/>
        <v>63</v>
      </c>
      <c r="M25" s="9">
        <v>0.95</v>
      </c>
      <c r="N25" s="8">
        <v>80</v>
      </c>
      <c r="O25">
        <v>1200</v>
      </c>
      <c r="P25" s="1">
        <f t="shared" si="3"/>
        <v>8371200</v>
      </c>
      <c r="Q25" s="1">
        <f t="shared" si="14"/>
        <v>6262704</v>
      </c>
      <c r="R25" s="1">
        <f t="shared" si="5"/>
        <v>2108496</v>
      </c>
      <c r="S25" s="8">
        <v>15</v>
      </c>
      <c r="T25" s="8">
        <v>60</v>
      </c>
      <c r="U25" s="19">
        <f t="shared" si="6"/>
        <v>45</v>
      </c>
      <c r="V25" s="10">
        <f t="shared" si="7"/>
        <v>1.5833333333333331E-2</v>
      </c>
      <c r="W25">
        <f t="shared" si="8"/>
        <v>1200</v>
      </c>
      <c r="X25" s="1">
        <f t="shared" si="9"/>
        <v>8371200</v>
      </c>
      <c r="Y25" s="1">
        <f t="shared" si="10"/>
        <v>5964479.9999999991</v>
      </c>
      <c r="Z25" s="1">
        <f t="shared" si="11"/>
        <v>2406720.0000000009</v>
      </c>
    </row>
    <row r="26" spans="1:26" x14ac:dyDescent="0.25">
      <c r="A26" s="2">
        <f t="shared" si="13"/>
        <v>23</v>
      </c>
      <c r="B26" t="s">
        <v>39</v>
      </c>
      <c r="C26" t="s">
        <v>33</v>
      </c>
      <c r="D26">
        <v>1</v>
      </c>
      <c r="E26">
        <v>3</v>
      </c>
      <c r="F26">
        <v>70</v>
      </c>
      <c r="G26" t="s">
        <v>15</v>
      </c>
      <c r="H26" t="s">
        <v>22</v>
      </c>
      <c r="I26" s="1">
        <v>2878</v>
      </c>
      <c r="J26" s="1">
        <f t="shared" si="1"/>
        <v>2878</v>
      </c>
      <c r="K26">
        <v>1960</v>
      </c>
      <c r="L26">
        <f t="shared" si="2"/>
        <v>63</v>
      </c>
      <c r="M26" s="9">
        <v>0.95</v>
      </c>
      <c r="N26" s="8">
        <v>70</v>
      </c>
      <c r="O26">
        <v>1400</v>
      </c>
      <c r="P26" s="1">
        <f t="shared" si="3"/>
        <v>4029200</v>
      </c>
      <c r="Q26" s="1">
        <f t="shared" si="14"/>
        <v>3444966</v>
      </c>
      <c r="R26" s="1">
        <f t="shared" si="5"/>
        <v>584234</v>
      </c>
      <c r="S26" s="8">
        <v>12</v>
      </c>
      <c r="T26" s="8">
        <v>60</v>
      </c>
      <c r="U26" s="19">
        <f t="shared" si="6"/>
        <v>48</v>
      </c>
      <c r="V26" s="10">
        <f t="shared" si="7"/>
        <v>1.5833333333333331E-2</v>
      </c>
      <c r="W26">
        <f t="shared" si="8"/>
        <v>1400</v>
      </c>
      <c r="X26" s="1">
        <f t="shared" si="9"/>
        <v>4029200</v>
      </c>
      <c r="Y26" s="1">
        <f t="shared" si="10"/>
        <v>3062191.9999999995</v>
      </c>
      <c r="Z26" s="1">
        <f t="shared" si="11"/>
        <v>967008.00000000047</v>
      </c>
    </row>
    <row r="27" spans="1:26" x14ac:dyDescent="0.25">
      <c r="A27" s="2">
        <v>24</v>
      </c>
      <c r="B27" t="s">
        <v>40</v>
      </c>
      <c r="C27" t="s">
        <v>33</v>
      </c>
      <c r="D27">
        <v>3</v>
      </c>
      <c r="E27">
        <v>3.5</v>
      </c>
      <c r="F27">
        <v>70</v>
      </c>
      <c r="G27" t="s">
        <v>30</v>
      </c>
      <c r="H27" t="s">
        <v>9</v>
      </c>
      <c r="I27" s="1">
        <v>2987</v>
      </c>
      <c r="J27" s="1">
        <f t="shared" si="1"/>
        <v>8961</v>
      </c>
      <c r="K27">
        <v>1960</v>
      </c>
      <c r="L27">
        <f t="shared" si="2"/>
        <v>63</v>
      </c>
      <c r="M27" s="9">
        <v>0.95</v>
      </c>
      <c r="N27" s="8">
        <v>80</v>
      </c>
      <c r="O27">
        <v>1600</v>
      </c>
      <c r="P27" s="1">
        <f t="shared" si="3"/>
        <v>14337600</v>
      </c>
      <c r="Q27" s="1">
        <f t="shared" ref="Q27:Q31" si="15">P27*(M27/N27)*(IF(L27&gt;N27,N27,L27))</f>
        <v>10726317</v>
      </c>
      <c r="R27" s="1">
        <f t="shared" si="5"/>
        <v>3611283</v>
      </c>
      <c r="S27" s="8">
        <v>20</v>
      </c>
      <c r="T27" s="8">
        <v>60</v>
      </c>
      <c r="U27" s="19">
        <f t="shared" si="6"/>
        <v>40</v>
      </c>
      <c r="V27" s="10">
        <f t="shared" si="7"/>
        <v>1.5833333333333331E-2</v>
      </c>
      <c r="W27">
        <f t="shared" si="8"/>
        <v>1600</v>
      </c>
      <c r="X27" s="1">
        <f t="shared" si="9"/>
        <v>14337600</v>
      </c>
      <c r="Y27" s="1">
        <f t="shared" si="10"/>
        <v>9080479.9999999981</v>
      </c>
      <c r="Z27" s="1">
        <f t="shared" si="11"/>
        <v>5257120.0000000019</v>
      </c>
    </row>
    <row r="28" spans="1:26" x14ac:dyDescent="0.25">
      <c r="A28" s="2">
        <f>A27+1</f>
        <v>25</v>
      </c>
      <c r="B28" t="s">
        <v>41</v>
      </c>
      <c r="C28" t="s">
        <v>33</v>
      </c>
      <c r="D28">
        <v>3</v>
      </c>
      <c r="E28">
        <v>3.5</v>
      </c>
      <c r="F28">
        <v>70</v>
      </c>
      <c r="G28" t="s">
        <v>30</v>
      </c>
      <c r="H28" t="s">
        <v>9</v>
      </c>
      <c r="I28" s="1">
        <v>2987</v>
      </c>
      <c r="J28" s="1">
        <f t="shared" si="1"/>
        <v>8961</v>
      </c>
      <c r="K28">
        <v>1960</v>
      </c>
      <c r="L28">
        <f t="shared" si="2"/>
        <v>63</v>
      </c>
      <c r="M28" s="9">
        <v>0.95</v>
      </c>
      <c r="N28" s="8">
        <v>80</v>
      </c>
      <c r="O28">
        <v>1600</v>
      </c>
      <c r="P28" s="1">
        <f t="shared" si="3"/>
        <v>14337600</v>
      </c>
      <c r="Q28" s="1">
        <f t="shared" si="15"/>
        <v>10726317</v>
      </c>
      <c r="R28" s="1">
        <f t="shared" si="5"/>
        <v>3611283</v>
      </c>
      <c r="S28" s="8">
        <v>20</v>
      </c>
      <c r="T28" s="8">
        <v>60</v>
      </c>
      <c r="U28" s="19">
        <f t="shared" si="6"/>
        <v>40</v>
      </c>
      <c r="V28" s="10">
        <f t="shared" si="7"/>
        <v>1.5833333333333331E-2</v>
      </c>
      <c r="W28">
        <f t="shared" si="8"/>
        <v>1600</v>
      </c>
      <c r="X28" s="1">
        <f t="shared" si="9"/>
        <v>14337600</v>
      </c>
      <c r="Y28" s="1">
        <f t="shared" si="10"/>
        <v>9080479.9999999981</v>
      </c>
      <c r="Z28" s="1">
        <f t="shared" si="11"/>
        <v>5257120.0000000019</v>
      </c>
    </row>
    <row r="29" spans="1:26" x14ac:dyDescent="0.25">
      <c r="A29" s="2">
        <f t="shared" ref="A29:A31" si="16">A28+1</f>
        <v>26</v>
      </c>
      <c r="B29" t="s">
        <v>42</v>
      </c>
      <c r="C29" t="s">
        <v>33</v>
      </c>
      <c r="D29">
        <v>3</v>
      </c>
      <c r="E29">
        <v>3.5</v>
      </c>
      <c r="F29">
        <v>70</v>
      </c>
      <c r="G29" t="s">
        <v>30</v>
      </c>
      <c r="H29" t="s">
        <v>9</v>
      </c>
      <c r="I29" s="1">
        <v>2987</v>
      </c>
      <c r="J29" s="1">
        <f t="shared" si="1"/>
        <v>8961</v>
      </c>
      <c r="K29">
        <v>1960</v>
      </c>
      <c r="L29">
        <f t="shared" si="2"/>
        <v>63</v>
      </c>
      <c r="M29" s="9">
        <v>0.95</v>
      </c>
      <c r="N29" s="8">
        <v>80</v>
      </c>
      <c r="O29">
        <v>1600</v>
      </c>
      <c r="P29" s="1">
        <f t="shared" si="3"/>
        <v>14337600</v>
      </c>
      <c r="Q29" s="1">
        <f t="shared" si="15"/>
        <v>10726317</v>
      </c>
      <c r="R29" s="1">
        <f t="shared" si="5"/>
        <v>3611283</v>
      </c>
      <c r="S29" s="8">
        <v>20</v>
      </c>
      <c r="T29" s="8">
        <v>60</v>
      </c>
      <c r="U29" s="19">
        <f t="shared" si="6"/>
        <v>40</v>
      </c>
      <c r="V29" s="10">
        <f t="shared" si="7"/>
        <v>1.5833333333333331E-2</v>
      </c>
      <c r="W29">
        <f t="shared" si="8"/>
        <v>1600</v>
      </c>
      <c r="X29" s="1">
        <f t="shared" si="9"/>
        <v>14337600</v>
      </c>
      <c r="Y29" s="1">
        <f t="shared" si="10"/>
        <v>9080479.9999999981</v>
      </c>
      <c r="Z29" s="1">
        <f t="shared" si="11"/>
        <v>5257120.0000000019</v>
      </c>
    </row>
    <row r="30" spans="1:26" x14ac:dyDescent="0.25">
      <c r="A30" s="2">
        <f t="shared" si="16"/>
        <v>27</v>
      </c>
      <c r="B30" t="s">
        <v>43</v>
      </c>
      <c r="C30" t="s">
        <v>33</v>
      </c>
      <c r="D30">
        <v>2</v>
      </c>
      <c r="E30">
        <v>3.2</v>
      </c>
      <c r="F30">
        <v>70</v>
      </c>
      <c r="G30" t="s">
        <v>15</v>
      </c>
      <c r="H30" t="s">
        <v>31</v>
      </c>
      <c r="I30" s="1">
        <v>4142</v>
      </c>
      <c r="J30" s="1">
        <f t="shared" si="1"/>
        <v>8284</v>
      </c>
      <c r="K30">
        <v>1960</v>
      </c>
      <c r="L30">
        <f t="shared" si="2"/>
        <v>63</v>
      </c>
      <c r="M30" s="9">
        <v>0.95</v>
      </c>
      <c r="N30" s="8">
        <v>70</v>
      </c>
      <c r="O30">
        <v>1200</v>
      </c>
      <c r="P30" s="1">
        <f t="shared" si="3"/>
        <v>9940800</v>
      </c>
      <c r="Q30" s="1">
        <f t="shared" si="15"/>
        <v>8499384</v>
      </c>
      <c r="R30" s="1">
        <f t="shared" si="5"/>
        <v>1441416</v>
      </c>
      <c r="S30" s="8">
        <v>5</v>
      </c>
      <c r="T30" s="8">
        <v>60</v>
      </c>
      <c r="U30" s="19">
        <f t="shared" si="6"/>
        <v>55</v>
      </c>
      <c r="V30" s="10">
        <f t="shared" si="7"/>
        <v>1.5833333333333331E-2</v>
      </c>
      <c r="W30">
        <f t="shared" si="8"/>
        <v>1200</v>
      </c>
      <c r="X30" s="1">
        <f t="shared" si="9"/>
        <v>9940800</v>
      </c>
      <c r="Y30" s="1">
        <f t="shared" si="10"/>
        <v>8656779.9999999981</v>
      </c>
      <c r="Z30" s="1">
        <f t="shared" si="11"/>
        <v>1284020.0000000019</v>
      </c>
    </row>
    <row r="31" spans="1:26" x14ac:dyDescent="0.25">
      <c r="A31" s="2">
        <f t="shared" si="16"/>
        <v>28</v>
      </c>
      <c r="B31" t="s">
        <v>44</v>
      </c>
      <c r="C31" t="s">
        <v>33</v>
      </c>
      <c r="D31">
        <v>2</v>
      </c>
      <c r="E31">
        <v>3.5</v>
      </c>
      <c r="F31">
        <v>70</v>
      </c>
      <c r="G31" t="s">
        <v>30</v>
      </c>
      <c r="H31" t="s">
        <v>31</v>
      </c>
      <c r="I31" s="1">
        <v>2987</v>
      </c>
      <c r="J31" s="1">
        <f t="shared" si="1"/>
        <v>5974</v>
      </c>
      <c r="K31">
        <v>1960</v>
      </c>
      <c r="L31">
        <f t="shared" si="2"/>
        <v>63</v>
      </c>
      <c r="M31" s="9">
        <v>0.95</v>
      </c>
      <c r="N31" s="8">
        <v>80</v>
      </c>
      <c r="O31">
        <v>1600</v>
      </c>
      <c r="P31" s="1">
        <f t="shared" si="3"/>
        <v>9558400</v>
      </c>
      <c r="Q31" s="1">
        <f t="shared" si="15"/>
        <v>7150878</v>
      </c>
      <c r="R31" s="1">
        <f t="shared" si="5"/>
        <v>2407522</v>
      </c>
      <c r="S31" s="8">
        <v>5</v>
      </c>
      <c r="T31" s="8">
        <v>60</v>
      </c>
      <c r="U31" s="19">
        <f t="shared" si="6"/>
        <v>55</v>
      </c>
      <c r="V31" s="10">
        <f t="shared" si="7"/>
        <v>1.5833333333333331E-2</v>
      </c>
      <c r="W31">
        <f t="shared" si="8"/>
        <v>1600</v>
      </c>
      <c r="X31" s="1">
        <f t="shared" si="9"/>
        <v>9558400</v>
      </c>
      <c r="Y31" s="1">
        <f t="shared" si="10"/>
        <v>8323773.3333333321</v>
      </c>
      <c r="Z31" s="1">
        <f t="shared" si="11"/>
        <v>1234626.6666666679</v>
      </c>
    </row>
    <row r="36" spans="10:14" x14ac:dyDescent="0.25">
      <c r="L36" t="s">
        <v>105</v>
      </c>
      <c r="M36" t="s">
        <v>106</v>
      </c>
      <c r="N36" t="s">
        <v>107</v>
      </c>
    </row>
    <row r="37" spans="10:14" x14ac:dyDescent="0.25">
      <c r="J37" s="1" t="s">
        <v>104</v>
      </c>
      <c r="K37">
        <v>2.23</v>
      </c>
      <c r="L37">
        <f>K37*1000</f>
        <v>2230</v>
      </c>
      <c r="M37" s="1">
        <f>L37*3000</f>
        <v>6690000</v>
      </c>
      <c r="N37" s="1">
        <f>M37*0.2</f>
        <v>1338000</v>
      </c>
    </row>
    <row r="38" spans="10:14" x14ac:dyDescent="0.25">
      <c r="N38" s="25">
        <v>5000000</v>
      </c>
    </row>
    <row r="39" spans="10:14" x14ac:dyDescent="0.25">
      <c r="N39" s="1">
        <v>6500000</v>
      </c>
    </row>
    <row r="40" spans="10:14" x14ac:dyDescent="0.25">
      <c r="N40" s="25">
        <f>R2</f>
        <v>114417979.25</v>
      </c>
    </row>
    <row r="41" spans="10:14" x14ac:dyDescent="0.25">
      <c r="N41" s="25">
        <f>N40+N39</f>
        <v>120917979.25</v>
      </c>
    </row>
  </sheetData>
  <autoFilter ref="A3:R3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"/>
  <sheetViews>
    <sheetView workbookViewId="0">
      <selection activeCell="E15" sqref="E15"/>
    </sheetView>
  </sheetViews>
  <sheetFormatPr defaultRowHeight="15" x14ac:dyDescent="0.25"/>
  <cols>
    <col min="1" max="1" width="9.140625" style="1"/>
    <col min="2" max="2" width="10" style="1" bestFit="1" customWidth="1"/>
    <col min="3" max="3" width="10.140625" style="1" bestFit="1" customWidth="1"/>
    <col min="4" max="4" width="10.42578125" style="1" bestFit="1" customWidth="1"/>
    <col min="5" max="5" width="10.140625" style="1" bestFit="1" customWidth="1"/>
    <col min="6" max="6" width="10.5703125" style="1" bestFit="1" customWidth="1"/>
    <col min="7" max="16384" width="9.140625" style="1"/>
  </cols>
  <sheetData>
    <row r="2" spans="2:9" x14ac:dyDescent="0.25">
      <c r="C2" s="1" t="s">
        <v>50</v>
      </c>
      <c r="D2" s="1" t="s">
        <v>51</v>
      </c>
      <c r="E2" s="1" t="s">
        <v>55</v>
      </c>
      <c r="G2" s="1" t="s">
        <v>52</v>
      </c>
      <c r="H2" s="1" t="s">
        <v>53</v>
      </c>
      <c r="I2" s="1" t="s">
        <v>54</v>
      </c>
    </row>
    <row r="3" spans="2:9" x14ac:dyDescent="0.25">
      <c r="B3" s="1">
        <f>24*10^5</f>
        <v>2400000</v>
      </c>
      <c r="C3" s="1">
        <v>2290</v>
      </c>
      <c r="D3" s="1">
        <f>B3/H3</f>
        <v>24649.56</v>
      </c>
      <c r="E3" s="1">
        <f>B3/I3</f>
        <v>20610</v>
      </c>
      <c r="G3" s="1">
        <f>B3/C3</f>
        <v>1048.0349344978165</v>
      </c>
      <c r="H3" s="1">
        <f>G3/10.764</f>
        <v>97.364821116482403</v>
      </c>
      <c r="I3" s="8">
        <f>G3/9</f>
        <v>116.44832605531295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abSelected="1" topLeftCell="A29" workbookViewId="0">
      <selection activeCell="K53" sqref="K53"/>
    </sheetView>
  </sheetViews>
  <sheetFormatPr defaultRowHeight="15" x14ac:dyDescent="0.25"/>
  <cols>
    <col min="2" max="2" width="10" style="1" bestFit="1" customWidth="1"/>
    <col min="3" max="4" width="12.5703125" style="1" bestFit="1" customWidth="1"/>
    <col min="5" max="5" width="34.42578125" bestFit="1" customWidth="1"/>
    <col min="6" max="6" width="15.5703125" bestFit="1" customWidth="1"/>
    <col min="7" max="7" width="16.85546875" bestFit="1" customWidth="1"/>
    <col min="8" max="8" width="11.5703125" bestFit="1" customWidth="1"/>
    <col min="9" max="9" width="10.42578125" bestFit="1" customWidth="1"/>
    <col min="10" max="10" width="16.85546875" bestFit="1" customWidth="1"/>
    <col min="11" max="13" width="10.42578125" bestFit="1" customWidth="1"/>
    <col min="14" max="14" width="14.28515625" style="1" bestFit="1" customWidth="1"/>
  </cols>
  <sheetData>
    <row r="1" spans="1:16" ht="30" x14ac:dyDescent="0.25">
      <c r="B1" s="24" t="s">
        <v>83</v>
      </c>
      <c r="C1" s="24" t="s">
        <v>84</v>
      </c>
      <c r="E1" s="50" t="s">
        <v>58</v>
      </c>
      <c r="F1" s="50"/>
      <c r="G1" s="50"/>
      <c r="H1" s="50"/>
      <c r="I1" s="50"/>
      <c r="J1" s="50"/>
      <c r="K1" s="50"/>
      <c r="L1" s="50"/>
      <c r="M1" s="50"/>
    </row>
    <row r="2" spans="1:16" x14ac:dyDescent="0.25">
      <c r="A2" t="s">
        <v>79</v>
      </c>
      <c r="B2" s="5">
        <v>61.2</v>
      </c>
      <c r="C2" s="5">
        <f>B2*0.7</f>
        <v>42.839999999999996</v>
      </c>
      <c r="E2" s="49" t="s">
        <v>59</v>
      </c>
      <c r="F2" s="49" t="s">
        <v>60</v>
      </c>
      <c r="G2" s="30">
        <v>45382</v>
      </c>
      <c r="H2" s="30">
        <v>45747</v>
      </c>
      <c r="I2" s="30">
        <v>46112</v>
      </c>
      <c r="J2" s="30">
        <v>46477</v>
      </c>
      <c r="K2" s="30">
        <v>46843</v>
      </c>
      <c r="L2" s="30">
        <v>47208</v>
      </c>
      <c r="M2" s="30">
        <v>47573</v>
      </c>
      <c r="N2" s="6"/>
      <c r="O2" s="2"/>
      <c r="P2" s="2"/>
    </row>
    <row r="3" spans="1:16" x14ac:dyDescent="0.25">
      <c r="A3" t="s">
        <v>80</v>
      </c>
      <c r="B3" s="6">
        <f>B2*4046.84</f>
        <v>247666.60800000001</v>
      </c>
      <c r="C3" s="5">
        <f t="shared" ref="C3:C6" si="0">B3*0.7</f>
        <v>173366.6256</v>
      </c>
      <c r="E3" s="49"/>
      <c r="F3" s="49"/>
      <c r="G3" s="22">
        <v>23</v>
      </c>
      <c r="H3" s="22">
        <v>24</v>
      </c>
      <c r="I3" s="22">
        <v>25</v>
      </c>
      <c r="J3" s="22">
        <v>26</v>
      </c>
      <c r="K3" s="22">
        <v>27</v>
      </c>
      <c r="L3" s="22">
        <v>28</v>
      </c>
      <c r="M3" s="22">
        <v>29</v>
      </c>
      <c r="N3" s="6"/>
      <c r="O3" s="2"/>
      <c r="P3" s="2"/>
    </row>
    <row r="4" spans="1:16" x14ac:dyDescent="0.25">
      <c r="A4" t="s">
        <v>81</v>
      </c>
      <c r="B4" s="1">
        <f>B3*10.764</f>
        <v>2665883.368512</v>
      </c>
      <c r="C4" s="5">
        <f t="shared" si="0"/>
        <v>1866118.3579583999</v>
      </c>
      <c r="E4" s="12" t="s">
        <v>61</v>
      </c>
      <c r="F4" s="14" t="s">
        <v>62</v>
      </c>
      <c r="G4" s="16">
        <v>0.05</v>
      </c>
      <c r="H4" s="16">
        <v>0.15</v>
      </c>
      <c r="I4" s="16">
        <v>0.15</v>
      </c>
      <c r="J4" s="16">
        <v>0.2</v>
      </c>
      <c r="K4" s="16">
        <v>0.2</v>
      </c>
      <c r="L4" s="16">
        <v>0.15</v>
      </c>
      <c r="M4" s="16">
        <v>0.1</v>
      </c>
      <c r="N4" s="7">
        <f>SUM(G4:M4)</f>
        <v>1</v>
      </c>
    </row>
    <row r="5" spans="1:16" x14ac:dyDescent="0.25">
      <c r="A5" t="s">
        <v>82</v>
      </c>
      <c r="B5" s="1">
        <f>B4/9</f>
        <v>296209.26316799998</v>
      </c>
      <c r="C5" s="5">
        <f t="shared" si="0"/>
        <v>207346.48421759997</v>
      </c>
      <c r="E5" s="12" t="s">
        <v>63</v>
      </c>
      <c r="F5" s="14" t="s">
        <v>64</v>
      </c>
      <c r="G5" s="23">
        <f t="shared" ref="G5:M5" si="1">G4*$C$5</f>
        <v>10367.324210879999</v>
      </c>
      <c r="H5" s="23">
        <f>H4*$C$5</f>
        <v>31101.972632639994</v>
      </c>
      <c r="I5" s="23">
        <f t="shared" si="1"/>
        <v>31101.972632639994</v>
      </c>
      <c r="J5" s="23">
        <f t="shared" si="1"/>
        <v>41469.296843519995</v>
      </c>
      <c r="K5" s="23">
        <f t="shared" si="1"/>
        <v>41469.296843519995</v>
      </c>
      <c r="L5" s="23">
        <f t="shared" si="1"/>
        <v>31101.972632639994</v>
      </c>
      <c r="M5" s="23">
        <f t="shared" si="1"/>
        <v>20734.648421759997</v>
      </c>
      <c r="N5" s="1">
        <f>SUM(G5:M5)</f>
        <v>207346.48421759997</v>
      </c>
    </row>
    <row r="6" spans="1:16" x14ac:dyDescent="0.25">
      <c r="A6" t="s">
        <v>88</v>
      </c>
      <c r="B6" s="8">
        <f>B5/80</f>
        <v>3702.6157895999995</v>
      </c>
      <c r="C6" s="5">
        <f t="shared" si="0"/>
        <v>2591.8310527199997</v>
      </c>
      <c r="D6" s="6"/>
      <c r="E6" s="12" t="s">
        <v>85</v>
      </c>
      <c r="F6" s="14"/>
      <c r="G6" s="23">
        <f>G5/150</f>
        <v>69.115494739199988</v>
      </c>
      <c r="H6" s="23">
        <f t="shared" ref="H6:M6" si="2">H5/150</f>
        <v>207.34648421759996</v>
      </c>
      <c r="I6" s="23">
        <f t="shared" si="2"/>
        <v>207.34648421759996</v>
      </c>
      <c r="J6" s="23">
        <f t="shared" si="2"/>
        <v>276.46197895679995</v>
      </c>
      <c r="K6" s="23">
        <f t="shared" si="2"/>
        <v>276.46197895679995</v>
      </c>
      <c r="L6" s="23">
        <f t="shared" si="2"/>
        <v>207.34648421759996</v>
      </c>
      <c r="M6" s="23">
        <f t="shared" si="2"/>
        <v>138.23098947839998</v>
      </c>
      <c r="N6" s="1">
        <f>SUM(G6:M6)</f>
        <v>1382.3098947839997</v>
      </c>
    </row>
    <row r="7" spans="1:16" x14ac:dyDescent="0.25">
      <c r="E7" s="12" t="s">
        <v>65</v>
      </c>
      <c r="F7" s="14" t="s">
        <v>62</v>
      </c>
      <c r="G7" s="15">
        <v>0</v>
      </c>
      <c r="H7" s="15">
        <v>0.05</v>
      </c>
      <c r="I7" s="15">
        <v>0.05</v>
      </c>
      <c r="J7" s="15">
        <v>0.05</v>
      </c>
      <c r="K7" s="15">
        <v>0.05</v>
      </c>
      <c r="L7" s="15">
        <v>0.05</v>
      </c>
      <c r="M7" s="15">
        <v>0.05</v>
      </c>
    </row>
    <row r="8" spans="1:16" x14ac:dyDescent="0.25">
      <c r="E8" s="12" t="s">
        <v>66</v>
      </c>
      <c r="F8" s="14" t="s">
        <v>67</v>
      </c>
      <c r="G8" s="23">
        <v>18500</v>
      </c>
      <c r="H8" s="23">
        <f>G8+(G8*H7)</f>
        <v>19425</v>
      </c>
      <c r="I8" s="23">
        <f t="shared" ref="I8:M8" si="3">H8+(H8*I7)</f>
        <v>20396.25</v>
      </c>
      <c r="J8" s="23">
        <f t="shared" si="3"/>
        <v>21416.0625</v>
      </c>
      <c r="K8" s="23">
        <f t="shared" si="3"/>
        <v>22486.865624999999</v>
      </c>
      <c r="L8" s="23">
        <f t="shared" si="3"/>
        <v>23611.208906249998</v>
      </c>
      <c r="M8" s="23">
        <f t="shared" si="3"/>
        <v>24791.7693515625</v>
      </c>
    </row>
    <row r="9" spans="1:16" x14ac:dyDescent="0.25">
      <c r="E9" s="13" t="s">
        <v>68</v>
      </c>
      <c r="F9" s="11"/>
      <c r="G9" s="40">
        <f>G8*G5/10^7</f>
        <v>19.179549790128</v>
      </c>
      <c r="H9" s="40">
        <f t="shared" ref="H9:M9" si="4">H8*H5/10^7</f>
        <v>60.415581838903186</v>
      </c>
      <c r="I9" s="40">
        <f t="shared" si="4"/>
        <v>63.436360930848345</v>
      </c>
      <c r="J9" s="40">
        <f t="shared" si="4"/>
        <v>88.810905303187695</v>
      </c>
      <c r="K9" s="40">
        <f t="shared" si="4"/>
        <v>93.251450568347067</v>
      </c>
      <c r="L9" s="40">
        <f t="shared" si="4"/>
        <v>73.435517322573318</v>
      </c>
      <c r="M9" s="40">
        <f t="shared" si="4"/>
        <v>51.404862125801323</v>
      </c>
      <c r="N9" s="8">
        <f>SUM(G9:M9)/10^7</f>
        <v>4.4993422787978896E-5</v>
      </c>
    </row>
    <row r="10" spans="1:16" x14ac:dyDescent="0.25">
      <c r="E10" s="35" t="s">
        <v>69</v>
      </c>
      <c r="F10" s="35"/>
      <c r="G10" s="41"/>
      <c r="H10" s="41"/>
      <c r="I10" s="41"/>
      <c r="J10" s="41"/>
      <c r="K10" s="41"/>
      <c r="L10" s="42"/>
      <c r="M10" s="42"/>
    </row>
    <row r="11" spans="1:16" x14ac:dyDescent="0.25">
      <c r="E11" s="12" t="s">
        <v>70</v>
      </c>
      <c r="F11" s="14" t="s">
        <v>71</v>
      </c>
      <c r="G11" s="40">
        <f t="shared" ref="G11:M11" si="5">G9*5%</f>
        <v>0.95897748950640005</v>
      </c>
      <c r="H11" s="40">
        <f t="shared" si="5"/>
        <v>3.0207790919451596</v>
      </c>
      <c r="I11" s="40">
        <f t="shared" si="5"/>
        <v>3.1718180465424175</v>
      </c>
      <c r="J11" s="40">
        <f t="shared" si="5"/>
        <v>4.4405452651593853</v>
      </c>
      <c r="K11" s="40">
        <f t="shared" si="5"/>
        <v>4.6625725284173534</v>
      </c>
      <c r="L11" s="40">
        <f t="shared" si="5"/>
        <v>3.6717758661286659</v>
      </c>
      <c r="M11" s="40">
        <f t="shared" si="5"/>
        <v>2.5702431062900661</v>
      </c>
      <c r="N11" s="8">
        <f>SUM(G11:M11)/10^7</f>
        <v>2.2496711393989452E-6</v>
      </c>
    </row>
    <row r="12" spans="1:16" x14ac:dyDescent="0.25">
      <c r="E12" s="12" t="s">
        <v>72</v>
      </c>
      <c r="F12" s="14" t="s">
        <v>71</v>
      </c>
      <c r="G12" s="40">
        <f>SUM(G9:M9)*1%</f>
        <v>4.4993422787978901</v>
      </c>
      <c r="H12" s="40"/>
      <c r="I12" s="40"/>
      <c r="J12" s="40"/>
      <c r="K12" s="40"/>
      <c r="L12" s="40"/>
      <c r="M12" s="40"/>
      <c r="N12" s="8">
        <f>SUM(G12:M12)/10^7</f>
        <v>4.4993422787978902E-7</v>
      </c>
    </row>
    <row r="13" spans="1:16" x14ac:dyDescent="0.25">
      <c r="E13" s="12" t="s">
        <v>73</v>
      </c>
      <c r="F13" s="14" t="s">
        <v>71</v>
      </c>
      <c r="G13" s="40">
        <f t="shared" ref="G13:M13" si="6">G9*5%</f>
        <v>0.95897748950640005</v>
      </c>
      <c r="H13" s="40">
        <f t="shared" si="6"/>
        <v>3.0207790919451596</v>
      </c>
      <c r="I13" s="40">
        <f t="shared" si="6"/>
        <v>3.1718180465424175</v>
      </c>
      <c r="J13" s="40">
        <f t="shared" si="6"/>
        <v>4.4405452651593853</v>
      </c>
      <c r="K13" s="40">
        <f t="shared" si="6"/>
        <v>4.6625725284173534</v>
      </c>
      <c r="L13" s="40">
        <f t="shared" si="6"/>
        <v>3.6717758661286659</v>
      </c>
      <c r="M13" s="40">
        <f t="shared" si="6"/>
        <v>2.5702431062900661</v>
      </c>
      <c r="N13" s="8">
        <f>SUM(G13:M13)/10^7</f>
        <v>2.2496711393989452E-6</v>
      </c>
    </row>
    <row r="14" spans="1:16" x14ac:dyDescent="0.25">
      <c r="E14" s="12" t="s">
        <v>92</v>
      </c>
      <c r="F14" s="14" t="s">
        <v>71</v>
      </c>
      <c r="G14" s="40">
        <f t="shared" ref="G14:M14" si="7">G9*2%</f>
        <v>0.38359099580256001</v>
      </c>
      <c r="H14" s="40">
        <f t="shared" si="7"/>
        <v>1.2083116367780637</v>
      </c>
      <c r="I14" s="40">
        <f t="shared" si="7"/>
        <v>1.2687272186169669</v>
      </c>
      <c r="J14" s="40">
        <f t="shared" si="7"/>
        <v>1.7762181060637539</v>
      </c>
      <c r="K14" s="40">
        <f t="shared" si="7"/>
        <v>1.8650290113669414</v>
      </c>
      <c r="L14" s="40">
        <f t="shared" si="7"/>
        <v>1.4687103464514664</v>
      </c>
      <c r="M14" s="40">
        <f t="shared" si="7"/>
        <v>1.0280972425160264</v>
      </c>
      <c r="N14" s="8">
        <f>SUM(G14:M14)/10^7</f>
        <v>8.9986845575957783E-7</v>
      </c>
    </row>
    <row r="15" spans="1:16" x14ac:dyDescent="0.25">
      <c r="B15" s="26" t="s">
        <v>86</v>
      </c>
      <c r="C15" s="26" t="s">
        <v>87</v>
      </c>
      <c r="E15" s="12"/>
      <c r="F15" s="12"/>
      <c r="G15" s="43"/>
      <c r="H15" s="43"/>
      <c r="I15" s="43"/>
      <c r="J15" s="43"/>
      <c r="K15" s="43"/>
      <c r="L15" s="40"/>
      <c r="M15" s="40"/>
    </row>
    <row r="16" spans="1:16" x14ac:dyDescent="0.25">
      <c r="A16" t="s">
        <v>79</v>
      </c>
      <c r="B16" s="5">
        <v>61.2</v>
      </c>
      <c r="C16" s="1">
        <f>$G$18*10^7/B16</f>
        <v>40976316.751753621</v>
      </c>
      <c r="E16" s="13" t="s">
        <v>74</v>
      </c>
      <c r="F16" s="11" t="s">
        <v>71</v>
      </c>
      <c r="G16" s="40">
        <f t="shared" ref="G16:M16" si="8">G9-SUM(G11:G14)</f>
        <v>12.37866153651475</v>
      </c>
      <c r="H16" s="40">
        <f t="shared" si="8"/>
        <v>53.1657120182348</v>
      </c>
      <c r="I16" s="40">
        <f t="shared" si="8"/>
        <v>55.823997619146539</v>
      </c>
      <c r="J16" s="40">
        <f t="shared" si="8"/>
        <v>78.153596666805171</v>
      </c>
      <c r="K16" s="40">
        <f t="shared" si="8"/>
        <v>82.061276500145425</v>
      </c>
      <c r="L16" s="40">
        <f t="shared" si="8"/>
        <v>64.62325524386452</v>
      </c>
      <c r="M16" s="40">
        <f t="shared" si="8"/>
        <v>45.236278670705161</v>
      </c>
      <c r="N16" s="1">
        <f>SUM(G16:M16)/10^7</f>
        <v>3.9144277825541635E-5</v>
      </c>
    </row>
    <row r="17" spans="1:19" x14ac:dyDescent="0.25">
      <c r="A17" t="s">
        <v>80</v>
      </c>
      <c r="B17" s="6">
        <f>B16*4046.84</f>
        <v>247666.60800000001</v>
      </c>
      <c r="C17" s="1">
        <f t="shared" ref="C17:C20" si="9">$G$18*10^7/B17</f>
        <v>10125.509472021038</v>
      </c>
      <c r="E17" s="13" t="s">
        <v>93</v>
      </c>
      <c r="F17" s="13"/>
      <c r="G17" s="31">
        <v>0.15</v>
      </c>
      <c r="H17" s="13"/>
      <c r="I17" s="13"/>
      <c r="J17" s="13"/>
      <c r="K17" s="13"/>
      <c r="L17" s="20"/>
      <c r="M17" s="20"/>
    </row>
    <row r="18" spans="1:19" x14ac:dyDescent="0.25">
      <c r="A18" t="s">
        <v>81</v>
      </c>
      <c r="B18" s="1">
        <f>B17*10.764</f>
        <v>2665883.368512</v>
      </c>
      <c r="C18" s="1">
        <f t="shared" si="9"/>
        <v>940.68278261065029</v>
      </c>
      <c r="E18" s="12" t="s">
        <v>75</v>
      </c>
      <c r="F18" s="14" t="s">
        <v>71</v>
      </c>
      <c r="G18" s="39">
        <f>XNPV(G17,G16:M16,G2:M2)</f>
        <v>250.77505852073216</v>
      </c>
      <c r="H18" s="37"/>
      <c r="I18" s="38"/>
      <c r="J18" s="38"/>
      <c r="K18" s="38"/>
      <c r="L18" s="18"/>
      <c r="M18" s="18"/>
    </row>
    <row r="19" spans="1:19" x14ac:dyDescent="0.25">
      <c r="A19" t="s">
        <v>82</v>
      </c>
      <c r="B19" s="1">
        <f>B18/9</f>
        <v>296209.26316799998</v>
      </c>
      <c r="C19" s="1">
        <f t="shared" si="9"/>
        <v>8466.1450434958533</v>
      </c>
      <c r="E19" s="12"/>
      <c r="F19" s="12"/>
      <c r="G19" s="32"/>
      <c r="H19" s="12"/>
      <c r="I19" s="12"/>
      <c r="J19" s="12"/>
      <c r="K19" s="12"/>
      <c r="L19" s="21"/>
      <c r="M19" s="21"/>
    </row>
    <row r="20" spans="1:19" x14ac:dyDescent="0.25">
      <c r="A20" t="s">
        <v>88</v>
      </c>
      <c r="B20" s="8">
        <f>B19/80</f>
        <v>3702.6157895999995</v>
      </c>
      <c r="C20" s="1">
        <f t="shared" si="9"/>
        <v>677291.60347966827</v>
      </c>
      <c r="E20" s="36" t="s">
        <v>76</v>
      </c>
      <c r="F20" s="36"/>
      <c r="G20" s="36"/>
      <c r="H20" s="36"/>
      <c r="I20" s="36"/>
      <c r="J20" s="36"/>
      <c r="K20" s="36"/>
      <c r="L20" s="36"/>
      <c r="M20" s="36"/>
    </row>
    <row r="21" spans="1:19" x14ac:dyDescent="0.25">
      <c r="C21" s="7"/>
      <c r="E21" s="52" t="s">
        <v>116</v>
      </c>
      <c r="F21" s="52"/>
      <c r="G21" s="52"/>
      <c r="H21" s="52"/>
      <c r="I21" s="52"/>
      <c r="J21" s="52"/>
      <c r="K21" s="52"/>
      <c r="L21" s="52"/>
      <c r="M21" s="52"/>
    </row>
    <row r="22" spans="1:19" x14ac:dyDescent="0.25">
      <c r="E22" s="53" t="s">
        <v>119</v>
      </c>
      <c r="F22" s="53"/>
      <c r="G22" s="53"/>
      <c r="H22" s="53"/>
      <c r="I22" s="53"/>
      <c r="J22" s="53"/>
      <c r="K22" s="53"/>
      <c r="L22" s="53"/>
      <c r="M22" s="53"/>
    </row>
    <row r="23" spans="1:19" x14ac:dyDescent="0.25">
      <c r="E23" s="52" t="s">
        <v>77</v>
      </c>
      <c r="F23" s="52"/>
      <c r="G23" s="52"/>
      <c r="H23" s="52"/>
      <c r="I23" s="52"/>
      <c r="J23" s="52"/>
      <c r="K23" s="52"/>
      <c r="L23" s="52"/>
      <c r="M23" s="52"/>
    </row>
    <row r="24" spans="1:19" x14ac:dyDescent="0.25">
      <c r="E24" s="52" t="s">
        <v>78</v>
      </c>
      <c r="F24" s="52"/>
      <c r="G24" s="52"/>
      <c r="H24" s="52"/>
      <c r="I24" s="52"/>
      <c r="J24" s="52"/>
      <c r="K24" s="52"/>
      <c r="L24" s="52"/>
      <c r="M24" s="52"/>
    </row>
    <row r="25" spans="1:19" x14ac:dyDescent="0.25">
      <c r="E25" s="52" t="s">
        <v>120</v>
      </c>
      <c r="F25" s="52"/>
      <c r="G25" s="52"/>
      <c r="H25" s="52"/>
      <c r="I25" s="52"/>
      <c r="J25" s="52"/>
      <c r="K25" s="52"/>
      <c r="L25" s="52"/>
      <c r="M25" s="52"/>
    </row>
    <row r="27" spans="1:19" x14ac:dyDescent="0.25">
      <c r="L27" s="25">
        <f>G8*80</f>
        <v>1480000</v>
      </c>
    </row>
    <row r="28" spans="1:19" x14ac:dyDescent="0.25">
      <c r="G28" s="48">
        <f>G18*0.8</f>
        <v>200.62004681658573</v>
      </c>
      <c r="R28" s="9"/>
      <c r="S28" s="17"/>
    </row>
    <row r="29" spans="1:19" x14ac:dyDescent="0.25">
      <c r="G29" s="19"/>
      <c r="R29" s="9"/>
      <c r="S29" s="9"/>
    </row>
    <row r="30" spans="1:19" x14ac:dyDescent="0.25">
      <c r="G30" s="19"/>
      <c r="J30" s="8">
        <v>8</v>
      </c>
      <c r="K30" s="8">
        <v>12</v>
      </c>
      <c r="R30" s="10"/>
    </row>
    <row r="31" spans="1:19" x14ac:dyDescent="0.25">
      <c r="J31" s="1">
        <f>J30*10^5</f>
        <v>800000</v>
      </c>
      <c r="K31" s="1">
        <f>K30*10^5</f>
        <v>1200000</v>
      </c>
    </row>
    <row r="32" spans="1:19" x14ac:dyDescent="0.25">
      <c r="E32" s="1"/>
      <c r="F32" s="1"/>
      <c r="G32" s="1"/>
      <c r="J32" s="1">
        <v>80</v>
      </c>
      <c r="K32" s="1">
        <v>80</v>
      </c>
    </row>
    <row r="33" spans="2:14" x14ac:dyDescent="0.25">
      <c r="F33" s="25"/>
      <c r="I33" s="28" t="s">
        <v>55</v>
      </c>
      <c r="J33" s="29">
        <f>J31/J32</f>
        <v>10000</v>
      </c>
      <c r="K33" s="29">
        <f t="shared" ref="K33" si="10">K31/K32</f>
        <v>15000</v>
      </c>
    </row>
    <row r="34" spans="2:14" x14ac:dyDescent="0.25">
      <c r="J34" s="44">
        <f>J33*0.5</f>
        <v>5000</v>
      </c>
    </row>
    <row r="35" spans="2:14" x14ac:dyDescent="0.25">
      <c r="G35" t="s">
        <v>101</v>
      </c>
      <c r="H35" t="s">
        <v>90</v>
      </c>
      <c r="J35" s="33">
        <f>J34*B19</f>
        <v>1481046315.8399999</v>
      </c>
    </row>
    <row r="36" spans="2:14" x14ac:dyDescent="0.25">
      <c r="E36" s="51" t="s">
        <v>89</v>
      </c>
      <c r="F36" t="s">
        <v>99</v>
      </c>
      <c r="G36" s="27">
        <v>2002907088</v>
      </c>
      <c r="H36" s="1">
        <f>G36/$B$20</f>
        <v>540943.80886772426</v>
      </c>
    </row>
    <row r="37" spans="2:14" x14ac:dyDescent="0.25">
      <c r="E37" s="51"/>
      <c r="F37" s="1" t="s">
        <v>100</v>
      </c>
      <c r="G37" s="1">
        <v>1602325670</v>
      </c>
      <c r="H37" s="1">
        <f>G37/$B$20</f>
        <v>432755.04698614764</v>
      </c>
      <c r="J37" s="25"/>
    </row>
    <row r="38" spans="2:14" x14ac:dyDescent="0.25">
      <c r="F38" t="s">
        <v>95</v>
      </c>
      <c r="G38" s="1">
        <f>G18*10^7</f>
        <v>2507750585.2073216</v>
      </c>
      <c r="H38" s="1">
        <f>G38/$B$20</f>
        <v>677291.60347966827</v>
      </c>
      <c r="J38" s="1">
        <v>1200000</v>
      </c>
    </row>
    <row r="39" spans="2:14" x14ac:dyDescent="0.25">
      <c r="E39" s="1">
        <f>G39/B20</f>
        <v>541833.28278373461</v>
      </c>
      <c r="F39" t="s">
        <v>102</v>
      </c>
      <c r="G39" s="1">
        <f>G38*0.8</f>
        <v>2006200468.1658573</v>
      </c>
      <c r="H39" s="1">
        <f>G39/$B$20</f>
        <v>541833.28278373461</v>
      </c>
      <c r="J39" s="1">
        <f>J38*0.8</f>
        <v>960000</v>
      </c>
      <c r="L39" s="54">
        <f>J39*0.7</f>
        <v>672000</v>
      </c>
    </row>
    <row r="40" spans="2:14" x14ac:dyDescent="0.25">
      <c r="F40" t="s">
        <v>103</v>
      </c>
      <c r="G40" s="25"/>
      <c r="H40" s="1">
        <f>G40/$B$20</f>
        <v>0</v>
      </c>
      <c r="J40" s="1">
        <f>J39*0.6</f>
        <v>576000</v>
      </c>
    </row>
    <row r="41" spans="2:14" x14ac:dyDescent="0.25">
      <c r="C41" s="8">
        <v>74.028000000000006</v>
      </c>
      <c r="F41" s="12" t="s">
        <v>117</v>
      </c>
      <c r="G41" s="45">
        <f>G28*10^7</f>
        <v>2006200468.1658573</v>
      </c>
      <c r="H41" s="1">
        <f>G41/$B$20</f>
        <v>541833.28278373461</v>
      </c>
      <c r="J41" s="1">
        <f>J40*B20</f>
        <v>2132706694.8095996</v>
      </c>
    </row>
    <row r="42" spans="2:14" x14ac:dyDescent="0.25">
      <c r="B42" t="s">
        <v>79</v>
      </c>
      <c r="C42" s="8">
        <f>C41-B16</f>
        <v>12.828000000000003</v>
      </c>
      <c r="F42" s="56" t="s">
        <v>118</v>
      </c>
      <c r="G42" s="25">
        <f>D47</f>
        <v>210257676.51659828</v>
      </c>
      <c r="H42" s="1">
        <f>G42/C46</f>
        <v>270916.64139186731</v>
      </c>
      <c r="J42" s="1">
        <f>J40/2</f>
        <v>288000</v>
      </c>
    </row>
    <row r="43" spans="2:14" x14ac:dyDescent="0.25">
      <c r="B43" t="s">
        <v>80</v>
      </c>
      <c r="C43" s="6">
        <f>C42*4046.84</f>
        <v>51912.863520000014</v>
      </c>
      <c r="F43" s="12" t="s">
        <v>108</v>
      </c>
      <c r="G43" s="45">
        <f>Building!R2</f>
        <v>114417979.25</v>
      </c>
      <c r="H43" s="19"/>
      <c r="J43" s="1">
        <f>J42*C46</f>
        <v>223516025.17171207</v>
      </c>
      <c r="N43" s="55"/>
    </row>
    <row r="44" spans="2:14" x14ac:dyDescent="0.25">
      <c r="B44" t="s">
        <v>81</v>
      </c>
      <c r="C44" s="1">
        <f>C43*10.764</f>
        <v>558790.0629292801</v>
      </c>
      <c r="F44" s="12" t="s">
        <v>109</v>
      </c>
      <c r="G44" s="45">
        <f>Building!N39</f>
        <v>6500000</v>
      </c>
      <c r="J44" s="1"/>
    </row>
    <row r="45" spans="2:14" x14ac:dyDescent="0.25">
      <c r="B45" t="s">
        <v>82</v>
      </c>
      <c r="C45" s="1">
        <f>C44/9</f>
        <v>62087.784769920014</v>
      </c>
      <c r="F45" s="46" t="s">
        <v>110</v>
      </c>
      <c r="G45" s="47">
        <f>SUM(G41:G44)</f>
        <v>2337376123.9324555</v>
      </c>
      <c r="J45" s="1"/>
    </row>
    <row r="46" spans="2:14" x14ac:dyDescent="0.25">
      <c r="B46" t="s">
        <v>88</v>
      </c>
      <c r="C46" s="8">
        <f>C45/80</f>
        <v>776.09730962400022</v>
      </c>
      <c r="D46" s="1">
        <f>H39/2</f>
        <v>270916.64139186731</v>
      </c>
      <c r="G46" s="1">
        <v>2340000000</v>
      </c>
      <c r="I46" s="25">
        <f>AVERAGE(H39,H40)</f>
        <v>270916.64139186731</v>
      </c>
      <c r="J46" s="1">
        <f>I46*B20</f>
        <v>1003100234.0829287</v>
      </c>
    </row>
    <row r="47" spans="2:14" x14ac:dyDescent="0.25">
      <c r="D47" s="1">
        <f>D46*C46</f>
        <v>210257676.51659828</v>
      </c>
      <c r="F47" t="s">
        <v>111</v>
      </c>
      <c r="G47" s="1">
        <f>G46*0.85</f>
        <v>1989000000</v>
      </c>
      <c r="J47" s="1">
        <f>G43</f>
        <v>114417979.25</v>
      </c>
    </row>
    <row r="48" spans="2:14" x14ac:dyDescent="0.25">
      <c r="F48" t="s">
        <v>112</v>
      </c>
      <c r="G48" s="1">
        <f>G46*0.75</f>
        <v>1755000000</v>
      </c>
      <c r="J48" s="1">
        <f>G44</f>
        <v>6500000</v>
      </c>
    </row>
    <row r="49" spans="5:11" x14ac:dyDescent="0.25">
      <c r="G49" s="1">
        <f>4*10^5</f>
        <v>400000</v>
      </c>
      <c r="J49" s="1">
        <f>SUM(J46:J48)</f>
        <v>1124018213.3329287</v>
      </c>
    </row>
    <row r="50" spans="5:11" x14ac:dyDescent="0.25">
      <c r="G50" s="1">
        <f>G49*B20</f>
        <v>1481046315.8399999</v>
      </c>
      <c r="J50" s="1">
        <v>1530000000</v>
      </c>
    </row>
    <row r="51" spans="5:11" x14ac:dyDescent="0.25">
      <c r="J51" s="1">
        <f>J50*0.85</f>
        <v>1300500000</v>
      </c>
    </row>
    <row r="52" spans="5:11" x14ac:dyDescent="0.25">
      <c r="E52">
        <v>282</v>
      </c>
      <c r="J52" s="1">
        <f>J50*0.75</f>
        <v>1147500000</v>
      </c>
    </row>
    <row r="53" spans="5:11" x14ac:dyDescent="0.25">
      <c r="E53">
        <v>234</v>
      </c>
      <c r="K53" s="1"/>
    </row>
    <row r="54" spans="5:11" x14ac:dyDescent="0.25">
      <c r="E54" s="8">
        <f>E53/E52</f>
        <v>0.82978723404255317</v>
      </c>
    </row>
    <row r="57" spans="5:11" x14ac:dyDescent="0.25">
      <c r="J57" s="1">
        <f>11.8*10^5</f>
        <v>1180000</v>
      </c>
    </row>
    <row r="58" spans="5:11" x14ac:dyDescent="0.25">
      <c r="J58" s="1">
        <f>J57*0.6</f>
        <v>708000</v>
      </c>
    </row>
    <row r="59" spans="5:11" x14ac:dyDescent="0.25">
      <c r="J59" s="1">
        <f>J58*0.8</f>
        <v>566400</v>
      </c>
    </row>
    <row r="60" spans="5:11" x14ac:dyDescent="0.25">
      <c r="J60" s="1">
        <f>J59*B20</f>
        <v>2097161583.2294397</v>
      </c>
    </row>
    <row r="61" spans="5:11" x14ac:dyDescent="0.25">
      <c r="J61" s="1">
        <f>(J59/2)*C46</f>
        <v>219790758.08551687</v>
      </c>
    </row>
    <row r="62" spans="5:11" x14ac:dyDescent="0.25">
      <c r="J62" s="1">
        <f>G43+G44</f>
        <v>120917979.25</v>
      </c>
    </row>
    <row r="63" spans="5:11" x14ac:dyDescent="0.25">
      <c r="J63" s="1">
        <f>J62+J61+J60</f>
        <v>2437870320.5649567</v>
      </c>
    </row>
    <row r="64" spans="5:11" x14ac:dyDescent="0.25">
      <c r="J64" s="1"/>
    </row>
    <row r="65" spans="10:10" x14ac:dyDescent="0.25">
      <c r="J65" s="1"/>
    </row>
    <row r="66" spans="10:10" x14ac:dyDescent="0.25">
      <c r="J66" s="1"/>
    </row>
    <row r="67" spans="10:10" x14ac:dyDescent="0.25">
      <c r="J67" s="1"/>
    </row>
    <row r="68" spans="10:10" x14ac:dyDescent="0.25">
      <c r="J68" s="1"/>
    </row>
  </sheetData>
  <mergeCells count="9">
    <mergeCell ref="F2:F3"/>
    <mergeCell ref="E2:E3"/>
    <mergeCell ref="E1:M1"/>
    <mergeCell ref="E36:E37"/>
    <mergeCell ref="E24:M24"/>
    <mergeCell ref="E25:M25"/>
    <mergeCell ref="E21:M21"/>
    <mergeCell ref="E22:M22"/>
    <mergeCell ref="E23:M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U2"/>
  <sheetViews>
    <sheetView workbookViewId="0">
      <selection activeCell="V2" sqref="V2"/>
    </sheetView>
  </sheetViews>
  <sheetFormatPr defaultRowHeight="15" x14ac:dyDescent="0.25"/>
  <sheetData>
    <row r="2" spans="8:21" x14ac:dyDescent="0.25">
      <c r="H2">
        <v>151200</v>
      </c>
      <c r="I2">
        <v>140000</v>
      </c>
      <c r="J2">
        <v>83000</v>
      </c>
      <c r="K2">
        <v>3448</v>
      </c>
      <c r="L2">
        <v>1420</v>
      </c>
      <c r="M2">
        <v>1420</v>
      </c>
      <c r="N2">
        <v>42300</v>
      </c>
      <c r="O2">
        <v>12680</v>
      </c>
      <c r="P2">
        <v>12000</v>
      </c>
      <c r="Q2">
        <v>8780</v>
      </c>
      <c r="R2">
        <v>11460</v>
      </c>
      <c r="S2">
        <v>5740</v>
      </c>
      <c r="T2">
        <v>22340</v>
      </c>
      <c r="U2">
        <v>24566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28"/>
  <sheetViews>
    <sheetView workbookViewId="0">
      <selection activeCell="H27" sqref="H27"/>
    </sheetView>
  </sheetViews>
  <sheetFormatPr defaultRowHeight="15" x14ac:dyDescent="0.25"/>
  <cols>
    <col min="4" max="4" width="17" style="1" bestFit="1" customWidth="1"/>
    <col min="5" max="5" width="15.28515625" style="1" bestFit="1" customWidth="1"/>
    <col min="6" max="6" width="16.85546875" style="1" bestFit="1" customWidth="1"/>
    <col min="8" max="8" width="10" bestFit="1" customWidth="1"/>
  </cols>
  <sheetData>
    <row r="3" spans="3:10" x14ac:dyDescent="0.25">
      <c r="D3" s="1" t="s">
        <v>94</v>
      </c>
      <c r="E3" s="1" t="s">
        <v>95</v>
      </c>
      <c r="F3" s="1" t="s">
        <v>96</v>
      </c>
    </row>
    <row r="4" spans="3:10" x14ac:dyDescent="0.25">
      <c r="C4">
        <v>36.630000000000003</v>
      </c>
      <c r="D4" s="1">
        <v>1230587943</v>
      </c>
      <c r="E4" s="1">
        <v>776157920</v>
      </c>
      <c r="F4" s="1">
        <v>1883697750</v>
      </c>
    </row>
    <row r="5" spans="3:10" x14ac:dyDescent="0.25">
      <c r="F5" s="1">
        <f>AVERAGE(E4:F4)</f>
        <v>1329927835</v>
      </c>
    </row>
    <row r="14" spans="3:10" x14ac:dyDescent="0.25">
      <c r="E14" s="57" t="s">
        <v>86</v>
      </c>
      <c r="F14" s="57"/>
    </row>
    <row r="15" spans="3:10" x14ac:dyDescent="0.25">
      <c r="D15" s="1" t="s">
        <v>121</v>
      </c>
      <c r="E15" s="1" t="s">
        <v>122</v>
      </c>
      <c r="F15" s="1" t="s">
        <v>123</v>
      </c>
      <c r="G15" s="1" t="s">
        <v>124</v>
      </c>
      <c r="H15" s="1"/>
      <c r="I15" s="1"/>
    </row>
    <row r="16" spans="3:10" x14ac:dyDescent="0.25">
      <c r="D16" s="1">
        <f>32*10^5</f>
        <v>3200000</v>
      </c>
      <c r="E16" s="1">
        <v>2880</v>
      </c>
      <c r="F16" s="1">
        <f>E16/9</f>
        <v>320</v>
      </c>
      <c r="G16" s="25">
        <f>D16/F16</f>
        <v>10000</v>
      </c>
      <c r="H16" s="25">
        <f>G16*80</f>
        <v>800000</v>
      </c>
      <c r="I16" s="25"/>
      <c r="J16" t="s">
        <v>125</v>
      </c>
    </row>
    <row r="17" spans="4:10" x14ac:dyDescent="0.25">
      <c r="D17" s="1">
        <f>16*10^5</f>
        <v>1600000</v>
      </c>
      <c r="E17" s="1">
        <v>1500</v>
      </c>
      <c r="F17" s="1">
        <f>E17/9</f>
        <v>166.66666666666666</v>
      </c>
      <c r="G17" s="25">
        <v>9500</v>
      </c>
      <c r="H17" s="25">
        <f t="shared" ref="H17:H27" si="0">G17*80</f>
        <v>760000</v>
      </c>
      <c r="I17" s="25"/>
    </row>
    <row r="18" spans="4:10" x14ac:dyDescent="0.25">
      <c r="D18" s="1">
        <f>24*10^5</f>
        <v>2400000</v>
      </c>
      <c r="E18" s="1">
        <v>1050</v>
      </c>
      <c r="F18" s="1">
        <f>E18/9</f>
        <v>116.66666666666667</v>
      </c>
      <c r="G18" s="25">
        <v>20000</v>
      </c>
      <c r="H18" s="25">
        <f t="shared" si="0"/>
        <v>1600000</v>
      </c>
      <c r="I18" s="25"/>
    </row>
    <row r="19" spans="4:10" x14ac:dyDescent="0.25">
      <c r="D19" s="1">
        <f>200*10^5</f>
        <v>20000000</v>
      </c>
      <c r="E19" s="1">
        <v>9360</v>
      </c>
      <c r="F19" s="1">
        <f>E19/9</f>
        <v>1040</v>
      </c>
      <c r="G19" s="25">
        <v>19000</v>
      </c>
      <c r="H19" s="25">
        <f t="shared" si="0"/>
        <v>1520000</v>
      </c>
      <c r="I19" s="25"/>
    </row>
    <row r="20" spans="4:10" x14ac:dyDescent="0.25">
      <c r="D20" s="1">
        <f>18*10^5</f>
        <v>1800000</v>
      </c>
      <c r="E20" s="1">
        <v>1440</v>
      </c>
      <c r="F20" s="1">
        <f>E20/9</f>
        <v>160</v>
      </c>
      <c r="G20" s="25">
        <v>11000</v>
      </c>
      <c r="H20" s="25">
        <f t="shared" si="0"/>
        <v>880000</v>
      </c>
      <c r="I20" s="25"/>
      <c r="J20" t="s">
        <v>126</v>
      </c>
    </row>
    <row r="21" spans="4:10" x14ac:dyDescent="0.25">
      <c r="D21" s="1">
        <f>9*10^5</f>
        <v>900000</v>
      </c>
      <c r="E21" s="1">
        <v>818</v>
      </c>
      <c r="F21" s="1">
        <f>E21/9</f>
        <v>90.888888888888886</v>
      </c>
      <c r="G21" s="25">
        <v>9900</v>
      </c>
      <c r="H21" s="25">
        <f t="shared" si="0"/>
        <v>792000</v>
      </c>
      <c r="I21" s="25"/>
      <c r="J21" t="s">
        <v>127</v>
      </c>
    </row>
    <row r="22" spans="4:10" x14ac:dyDescent="0.25">
      <c r="D22" s="1">
        <f>16*10^5</f>
        <v>1600000</v>
      </c>
      <c r="E22" s="1">
        <v>1066</v>
      </c>
      <c r="F22" s="1">
        <f>E22/9</f>
        <v>118.44444444444444</v>
      </c>
      <c r="G22" s="25">
        <v>13500</v>
      </c>
      <c r="H22" s="25">
        <f t="shared" si="0"/>
        <v>1080000</v>
      </c>
      <c r="I22" s="25"/>
    </row>
    <row r="23" spans="4:10" x14ac:dyDescent="0.25">
      <c r="D23" s="1">
        <f>32*10^5</f>
        <v>3200000</v>
      </c>
      <c r="E23" s="1">
        <v>1111</v>
      </c>
      <c r="F23" s="1">
        <f>E23/9</f>
        <v>123.44444444444444</v>
      </c>
      <c r="G23" s="25">
        <v>22000</v>
      </c>
      <c r="H23" s="25">
        <f t="shared" si="0"/>
        <v>1760000</v>
      </c>
      <c r="I23" s="25"/>
    </row>
    <row r="24" spans="4:10" x14ac:dyDescent="0.25">
      <c r="F24" s="1">
        <v>2286</v>
      </c>
      <c r="G24" s="25">
        <v>20000</v>
      </c>
      <c r="H24" s="25">
        <f t="shared" si="0"/>
        <v>1600000</v>
      </c>
      <c r="I24" s="25"/>
      <c r="J24" t="s">
        <v>128</v>
      </c>
    </row>
    <row r="25" spans="4:10" x14ac:dyDescent="0.25">
      <c r="F25" s="1">
        <v>1111</v>
      </c>
      <c r="G25" s="25">
        <f>F25*9</f>
        <v>9999</v>
      </c>
      <c r="H25" s="25">
        <f t="shared" si="0"/>
        <v>799920</v>
      </c>
      <c r="I25" s="25"/>
    </row>
    <row r="26" spans="4:10" x14ac:dyDescent="0.25">
      <c r="F26" s="1">
        <v>1500</v>
      </c>
      <c r="G26" s="25">
        <f>F26*9</f>
        <v>13500</v>
      </c>
      <c r="H26" s="25">
        <f t="shared" si="0"/>
        <v>1080000</v>
      </c>
      <c r="I26" s="25"/>
    </row>
    <row r="27" spans="4:10" x14ac:dyDescent="0.25">
      <c r="F27" s="1">
        <v>2137</v>
      </c>
      <c r="G27" s="25">
        <v>19000</v>
      </c>
      <c r="H27" s="25">
        <f t="shared" si="0"/>
        <v>1520000</v>
      </c>
      <c r="I27" s="25"/>
    </row>
    <row r="28" spans="4:10" x14ac:dyDescent="0.25">
      <c r="H28" s="25">
        <f>AVERAGE(H16:H27)</f>
        <v>1182660</v>
      </c>
    </row>
  </sheetData>
  <mergeCells count="1">
    <mergeCell ref="E14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Building</vt:lpstr>
      <vt:lpstr>Land rates</vt:lpstr>
      <vt:lpstr>LDM</vt:lpstr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2023-10-17T10:56:02Z</dcterms:modified>
</cp:coreProperties>
</file>