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Bank Documents\"/>
    </mc:Choice>
  </mc:AlternateContent>
  <bookViews>
    <workbookView xWindow="0" yWindow="0" windowWidth="20490" windowHeight="7755" tabRatio="756"/>
  </bookViews>
  <sheets>
    <sheet name="CF Shimla" sheetId="13" r:id="rId1"/>
    <sheet name="COP MOF" sheetId="14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2" i="13" l="1"/>
  <c r="F72" i="13" l="1"/>
  <c r="E72" i="13"/>
  <c r="B71" i="13"/>
  <c r="B40" i="13" l="1"/>
  <c r="A7" i="14" l="1"/>
  <c r="C12" i="14"/>
  <c r="C11" i="14"/>
  <c r="C10" i="14"/>
  <c r="C7" i="14"/>
  <c r="C5" i="14"/>
  <c r="A10" i="14"/>
  <c r="A11" i="14" s="1"/>
  <c r="A12" i="14" s="1"/>
  <c r="A13" i="14" s="1"/>
  <c r="A3" i="14"/>
  <c r="A4" i="14" s="1"/>
  <c r="A5" i="14" s="1"/>
  <c r="A6" i="14" s="1"/>
  <c r="J105" i="13" l="1"/>
  <c r="D55" i="13"/>
  <c r="G55" i="13" s="1"/>
  <c r="L37" i="13"/>
  <c r="L32" i="13"/>
  <c r="L33" i="13"/>
  <c r="I34" i="13"/>
  <c r="L58" i="13"/>
  <c r="L57" i="13"/>
  <c r="L34" i="13"/>
  <c r="K34" i="13"/>
  <c r="J34" i="13"/>
  <c r="C17" i="13"/>
  <c r="M58" i="13" l="1"/>
  <c r="F124" i="13"/>
  <c r="L56" i="13" l="1"/>
  <c r="C23" i="13"/>
  <c r="D24" i="13" s="1"/>
  <c r="M68" i="13" l="1"/>
  <c r="L68" i="13"/>
  <c r="K68" i="13"/>
  <c r="J68" i="13"/>
  <c r="I68" i="13"/>
  <c r="H68" i="13"/>
  <c r="G68" i="13"/>
  <c r="F68" i="13"/>
  <c r="E68" i="13"/>
  <c r="D68" i="13"/>
  <c r="C68" i="13"/>
  <c r="B68" i="13"/>
  <c r="M122" i="13"/>
  <c r="L122" i="13"/>
  <c r="K122" i="13"/>
  <c r="J122" i="13"/>
  <c r="I122" i="13"/>
  <c r="H122" i="13"/>
  <c r="G122" i="13"/>
  <c r="F122" i="13"/>
  <c r="E122" i="13"/>
  <c r="D122" i="13"/>
  <c r="C122" i="13"/>
  <c r="B122" i="13"/>
  <c r="I44" i="13" l="1"/>
  <c r="H44" i="13"/>
  <c r="G44" i="13"/>
  <c r="F44" i="13"/>
  <c r="E44" i="13"/>
  <c r="D44" i="13"/>
  <c r="C44" i="13"/>
  <c r="B44" i="13"/>
  <c r="B67" i="13"/>
  <c r="C119" i="13"/>
  <c r="C20" i="13"/>
  <c r="C10" i="13"/>
  <c r="C43" i="13" l="1"/>
  <c r="B43" i="13"/>
  <c r="J43" i="13"/>
  <c r="G43" i="13"/>
  <c r="K43" i="13"/>
  <c r="E43" i="13"/>
  <c r="I43" i="13"/>
  <c r="F43" i="13"/>
  <c r="D43" i="13"/>
  <c r="H43" i="13"/>
  <c r="C5" i="13" l="1"/>
  <c r="C19" i="13" s="1"/>
  <c r="C42" i="13" s="1"/>
  <c r="C4" i="13"/>
  <c r="C18" i="13"/>
  <c r="L43" i="13" l="1"/>
  <c r="M57" i="13"/>
  <c r="M56" i="13"/>
  <c r="M55" i="13" l="1"/>
  <c r="M33" i="13" l="1"/>
  <c r="J40" i="13" l="1"/>
  <c r="B61" i="13"/>
  <c r="L126" i="13"/>
  <c r="K126" i="13"/>
  <c r="L62" i="13" s="1"/>
  <c r="J126" i="13"/>
  <c r="I126" i="13"/>
  <c r="J62" i="13" s="1"/>
  <c r="H126" i="13"/>
  <c r="G126" i="13"/>
  <c r="F126" i="13"/>
  <c r="B126" i="13"/>
  <c r="C67" i="13"/>
  <c r="C66" i="13"/>
  <c r="D66" i="13" s="1"/>
  <c r="C65" i="13"/>
  <c r="D65" i="13" s="1"/>
  <c r="M32" i="13"/>
  <c r="F110" i="13" l="1"/>
  <c r="G115" i="13"/>
  <c r="G110" i="13"/>
  <c r="H105" i="13"/>
  <c r="I110" i="13"/>
  <c r="H110" i="13"/>
  <c r="F105" i="13"/>
  <c r="I105" i="13"/>
  <c r="J110" i="13"/>
  <c r="G105" i="13"/>
  <c r="J115" i="13"/>
  <c r="H115" i="13"/>
  <c r="I115" i="13"/>
  <c r="K115" i="13"/>
  <c r="K44" i="13"/>
  <c r="L44" i="13"/>
  <c r="J44" i="13"/>
  <c r="D40" i="13"/>
  <c r="C62" i="13"/>
  <c r="C63" i="13" s="1"/>
  <c r="B69" i="13" s="1"/>
  <c r="M69" i="13" s="1"/>
  <c r="E126" i="13"/>
  <c r="M124" i="13"/>
  <c r="H40" i="13"/>
  <c r="L40" i="13"/>
  <c r="G62" i="13"/>
  <c r="G63" i="13" s="1"/>
  <c r="J42" i="13"/>
  <c r="K62" i="13"/>
  <c r="K63" i="13" s="1"/>
  <c r="M111" i="13"/>
  <c r="H62" i="13"/>
  <c r="H63" i="13" s="1"/>
  <c r="F42" i="13"/>
  <c r="F40" i="13"/>
  <c r="L63" i="13"/>
  <c r="J63" i="13"/>
  <c r="M34" i="13"/>
  <c r="C40" i="13"/>
  <c r="G40" i="13"/>
  <c r="K40" i="13"/>
  <c r="G42" i="13"/>
  <c r="K42" i="13"/>
  <c r="D42" i="13"/>
  <c r="H42" i="13"/>
  <c r="L42" i="13"/>
  <c r="B119" i="13"/>
  <c r="B36" i="13" s="1"/>
  <c r="I62" i="13"/>
  <c r="I63" i="13" s="1"/>
  <c r="E40" i="13"/>
  <c r="I40" i="13"/>
  <c r="E42" i="13"/>
  <c r="I42" i="13"/>
  <c r="D67" i="13"/>
  <c r="D126" i="13"/>
  <c r="D103" i="13" s="1"/>
  <c r="H89" i="13" l="1"/>
  <c r="H81" i="13"/>
  <c r="J89" i="13"/>
  <c r="J81" i="13"/>
  <c r="F81" i="13"/>
  <c r="E81" i="13"/>
  <c r="K89" i="13"/>
  <c r="G89" i="13"/>
  <c r="G81" i="13"/>
  <c r="I89" i="13"/>
  <c r="I81" i="13"/>
  <c r="E104" i="13"/>
  <c r="G104" i="13"/>
  <c r="F104" i="13"/>
  <c r="G73" i="13"/>
  <c r="F73" i="13"/>
  <c r="F109" i="13"/>
  <c r="F114" i="13"/>
  <c r="H118" i="13"/>
  <c r="E103" i="13"/>
  <c r="G103" i="13"/>
  <c r="F103" i="13"/>
  <c r="D101" i="13"/>
  <c r="D119" i="13" s="1"/>
  <c r="L118" i="13"/>
  <c r="L119" i="13" s="1"/>
  <c r="K118" i="13"/>
  <c r="K119" i="13" s="1"/>
  <c r="F62" i="13"/>
  <c r="F63" i="13" s="1"/>
  <c r="I114" i="13"/>
  <c r="H114" i="13"/>
  <c r="I109" i="13"/>
  <c r="G114" i="13"/>
  <c r="H109" i="13"/>
  <c r="G109" i="13"/>
  <c r="J114" i="13"/>
  <c r="I118" i="13"/>
  <c r="I108" i="13"/>
  <c r="I119" i="13" s="1"/>
  <c r="G113" i="13"/>
  <c r="F113" i="13"/>
  <c r="I113" i="13"/>
  <c r="H113" i="13"/>
  <c r="G108" i="13"/>
  <c r="J113" i="13"/>
  <c r="H108" i="13"/>
  <c r="F108" i="13"/>
  <c r="E99" i="13"/>
  <c r="E98" i="13"/>
  <c r="E97" i="13"/>
  <c r="E96" i="13"/>
  <c r="E95" i="13"/>
  <c r="J118" i="13"/>
  <c r="M116" i="13"/>
  <c r="B38" i="13"/>
  <c r="M44" i="13"/>
  <c r="M110" i="13"/>
  <c r="G83" i="13"/>
  <c r="J83" i="13"/>
  <c r="F75" i="13"/>
  <c r="I83" i="13"/>
  <c r="H83" i="13"/>
  <c r="J88" i="13"/>
  <c r="F88" i="13"/>
  <c r="I88" i="13"/>
  <c r="H88" i="13"/>
  <c r="G88" i="13"/>
  <c r="C126" i="13"/>
  <c r="M126" i="13"/>
  <c r="D85" i="13"/>
  <c r="C85" i="13"/>
  <c r="F85" i="13"/>
  <c r="E85" i="13"/>
  <c r="H90" i="13"/>
  <c r="G82" i="13"/>
  <c r="K90" i="13"/>
  <c r="F82" i="13"/>
  <c r="J90" i="13"/>
  <c r="I82" i="13"/>
  <c r="H82" i="13"/>
  <c r="E74" i="13"/>
  <c r="I90" i="13"/>
  <c r="E62" i="13"/>
  <c r="E63" i="13" s="1"/>
  <c r="M43" i="13"/>
  <c r="C6" i="14" s="1"/>
  <c r="M40" i="13"/>
  <c r="C3" i="14" s="1"/>
  <c r="I80" i="13" l="1"/>
  <c r="E80" i="13"/>
  <c r="H80" i="13"/>
  <c r="D80" i="13"/>
  <c r="G80" i="13"/>
  <c r="F80" i="13"/>
  <c r="J119" i="13"/>
  <c r="H119" i="13"/>
  <c r="E119" i="13"/>
  <c r="F119" i="13"/>
  <c r="M72" i="13"/>
  <c r="M104" i="13"/>
  <c r="G119" i="13"/>
  <c r="C21" i="13"/>
  <c r="D22" i="13" s="1"/>
  <c r="E25" i="13" s="1"/>
  <c r="C79" i="13"/>
  <c r="D87" i="13"/>
  <c r="H87" i="13"/>
  <c r="J92" i="13" s="1"/>
  <c r="J41" i="13" s="1"/>
  <c r="G79" i="13"/>
  <c r="F87" i="13"/>
  <c r="E87" i="13"/>
  <c r="E79" i="13"/>
  <c r="G87" i="13"/>
  <c r="D79" i="13"/>
  <c r="F79" i="13"/>
  <c r="M106" i="13"/>
  <c r="M115" i="13"/>
  <c r="K92" i="13"/>
  <c r="K41" i="13" s="1"/>
  <c r="M81" i="13"/>
  <c r="L92" i="13"/>
  <c r="L41" i="13" s="1"/>
  <c r="M75" i="13"/>
  <c r="M89" i="13"/>
  <c r="M90" i="13"/>
  <c r="M77" i="13"/>
  <c r="M83" i="13"/>
  <c r="M73" i="13"/>
  <c r="M88" i="13"/>
  <c r="B92" i="13"/>
  <c r="M114" i="13"/>
  <c r="M109" i="13"/>
  <c r="M74" i="13"/>
  <c r="M82" i="13"/>
  <c r="M85" i="13"/>
  <c r="D62" i="13"/>
  <c r="M80" i="13" l="1"/>
  <c r="K36" i="13"/>
  <c r="I36" i="13"/>
  <c r="H36" i="13"/>
  <c r="F36" i="13"/>
  <c r="J36" i="13"/>
  <c r="G36" i="13"/>
  <c r="L36" i="13"/>
  <c r="D36" i="13"/>
  <c r="M105" i="13"/>
  <c r="M118" i="13"/>
  <c r="E36" i="13"/>
  <c r="M87" i="13"/>
  <c r="M108" i="13"/>
  <c r="M113" i="13"/>
  <c r="B41" i="13"/>
  <c r="M62" i="13"/>
  <c r="D63" i="13"/>
  <c r="M103" i="13"/>
  <c r="C36" i="13"/>
  <c r="M101" i="13"/>
  <c r="G86" i="13" l="1"/>
  <c r="I92" i="13" s="1"/>
  <c r="I41" i="13" s="1"/>
  <c r="C86" i="13"/>
  <c r="L38" i="13"/>
  <c r="J38" i="13"/>
  <c r="J45" i="13"/>
  <c r="K38" i="13"/>
  <c r="K45" i="13"/>
  <c r="M37" i="13"/>
  <c r="F86" i="13"/>
  <c r="E86" i="13"/>
  <c r="D86" i="13"/>
  <c r="M79" i="13"/>
  <c r="D38" i="13"/>
  <c r="I38" i="13"/>
  <c r="E38" i="13"/>
  <c r="G38" i="13"/>
  <c r="F38" i="13"/>
  <c r="H38" i="13"/>
  <c r="C38" i="13"/>
  <c r="M36" i="13"/>
  <c r="B45" i="13"/>
  <c r="B49" i="13" s="1"/>
  <c r="M71" i="13"/>
  <c r="M63" i="13"/>
  <c r="M119" i="13"/>
  <c r="B50" i="13" l="1"/>
  <c r="C48" i="13" s="1"/>
  <c r="E92" i="13"/>
  <c r="E41" i="13" s="1"/>
  <c r="J49" i="13"/>
  <c r="K49" i="13"/>
  <c r="H92" i="13"/>
  <c r="H41" i="13" s="1"/>
  <c r="H45" i="13" s="1"/>
  <c r="H49" i="13" s="1"/>
  <c r="I45" i="13"/>
  <c r="I49" i="13" s="1"/>
  <c r="G92" i="13"/>
  <c r="G41" i="13" s="1"/>
  <c r="F92" i="13"/>
  <c r="F41" i="13" s="1"/>
  <c r="M78" i="13"/>
  <c r="M84" i="13" s="1"/>
  <c r="D92" i="13"/>
  <c r="D41" i="13" s="1"/>
  <c r="M38" i="13"/>
  <c r="M70" i="13"/>
  <c r="M76" i="13" s="1"/>
  <c r="C92" i="13"/>
  <c r="M86" i="13"/>
  <c r="M91" i="13" s="1"/>
  <c r="L45" i="13" l="1"/>
  <c r="L49" i="13" s="1"/>
  <c r="G45" i="13"/>
  <c r="G49" i="13" s="1"/>
  <c r="F45" i="13"/>
  <c r="F49" i="13" s="1"/>
  <c r="D45" i="13"/>
  <c r="D49" i="13" s="1"/>
  <c r="E45" i="13"/>
  <c r="E49" i="13" s="1"/>
  <c r="C41" i="13"/>
  <c r="M42" i="13" s="1"/>
  <c r="M92" i="13"/>
  <c r="C45" i="13" l="1"/>
  <c r="C49" i="13" s="1"/>
  <c r="M41" i="13"/>
  <c r="M45" i="13" l="1"/>
  <c r="C4" i="14"/>
  <c r="C50" i="13"/>
  <c r="D48" i="13" s="1"/>
  <c r="D50" i="13" s="1"/>
  <c r="C8" i="14" l="1"/>
  <c r="D4" i="14" s="1"/>
  <c r="E48" i="13"/>
  <c r="E50" i="13" s="1"/>
  <c r="D3" i="14" l="1"/>
  <c r="D6" i="14"/>
  <c r="D5" i="14"/>
  <c r="D7" i="14"/>
  <c r="C14" i="14"/>
  <c r="F48" i="13"/>
  <c r="F50" i="13" s="1"/>
  <c r="D8" i="14" l="1"/>
  <c r="C13" i="14"/>
  <c r="D13" i="14" s="1"/>
  <c r="D10" i="14"/>
  <c r="D11" i="14"/>
  <c r="D12" i="14"/>
  <c r="G48" i="13"/>
  <c r="G50" i="13" s="1"/>
  <c r="D14" i="14" l="1"/>
  <c r="H48" i="13"/>
  <c r="H50" i="13" s="1"/>
  <c r="I48" i="13" l="1"/>
  <c r="I50" i="13" s="1"/>
  <c r="J48" i="13" l="1"/>
  <c r="J50" i="13" s="1"/>
  <c r="K48" i="13" l="1"/>
  <c r="K50" i="13" s="1"/>
  <c r="L48" i="13" l="1"/>
  <c r="L50" i="13" s="1"/>
  <c r="M48" i="13" s="1"/>
</calcChain>
</file>

<file path=xl/sharedStrings.xml><?xml version="1.0" encoding="utf-8"?>
<sst xmlns="http://schemas.openxmlformats.org/spreadsheetml/2006/main" count="154" uniqueCount="90">
  <si>
    <t>Total</t>
  </si>
  <si>
    <t>Sq Mtrs</t>
  </si>
  <si>
    <t>Per Unit</t>
  </si>
  <si>
    <t>Overheads</t>
  </si>
  <si>
    <t>EWS Units</t>
  </si>
  <si>
    <t>Cost of Construction</t>
  </si>
  <si>
    <t>Built Up Area Per Unit</t>
  </si>
  <si>
    <t xml:space="preserve">Land </t>
  </si>
  <si>
    <t>Total No Of Units</t>
  </si>
  <si>
    <t>INR</t>
  </si>
  <si>
    <t>Project Life</t>
  </si>
  <si>
    <t>Months</t>
  </si>
  <si>
    <t>Carpet Area</t>
  </si>
  <si>
    <t>Total Built up Area</t>
  </si>
  <si>
    <t xml:space="preserve">Cost of Construction </t>
  </si>
  <si>
    <t xml:space="preserve">Infrastructure Development </t>
  </si>
  <si>
    <t>Per Acre</t>
  </si>
  <si>
    <t xml:space="preserve">COST OF THE PROJECT </t>
  </si>
  <si>
    <t>Infrastructure Development</t>
  </si>
  <si>
    <t>TOTAL COST</t>
  </si>
  <si>
    <t>SURPLUS</t>
  </si>
  <si>
    <t>Cash Flow</t>
  </si>
  <si>
    <t>1st Qtr</t>
  </si>
  <si>
    <t>2nd Qt</t>
  </si>
  <si>
    <t>3rd Qt</t>
  </si>
  <si>
    <t>4th Qt</t>
  </si>
  <si>
    <t>4th Qtr</t>
  </si>
  <si>
    <t>TOTAL</t>
  </si>
  <si>
    <t xml:space="preserve">Capital </t>
  </si>
  <si>
    <t xml:space="preserve">Loan </t>
  </si>
  <si>
    <t>COST OF PROJECT</t>
  </si>
  <si>
    <t>Land Payments</t>
  </si>
  <si>
    <t>CASH FLOW</t>
  </si>
  <si>
    <t>Cash in Hand</t>
  </si>
  <si>
    <t>Opening Balance</t>
  </si>
  <si>
    <t>Surplus during the Period</t>
  </si>
  <si>
    <t>Closing balance</t>
  </si>
  <si>
    <t>EXPENSES</t>
  </si>
  <si>
    <t>Land in Hectare</t>
  </si>
  <si>
    <t>Hectare</t>
  </si>
  <si>
    <t>REVENUE FROM THE PROJECTS</t>
  </si>
  <si>
    <t xml:space="preserve">Sale Proceeds </t>
  </si>
  <si>
    <t>Commercial</t>
  </si>
  <si>
    <t>No of Units to Construct</t>
  </si>
  <si>
    <t>Area to be Construct</t>
  </si>
  <si>
    <t>Plinth Level</t>
  </si>
  <si>
    <t>Slabs</t>
  </si>
  <si>
    <t>Internal Develepment</t>
  </si>
  <si>
    <t>Total Plinth</t>
  </si>
  <si>
    <t>Total Slabs</t>
  </si>
  <si>
    <t>Total Internal Development</t>
  </si>
  <si>
    <t xml:space="preserve">Grand Total </t>
  </si>
  <si>
    <t>Receipt</t>
  </si>
  <si>
    <t>Booking</t>
  </si>
  <si>
    <t>Plinth</t>
  </si>
  <si>
    <t>Internal &amp; Extrernal Development</t>
  </si>
  <si>
    <t>Completion</t>
  </si>
  <si>
    <t>Recovery</t>
  </si>
  <si>
    <t xml:space="preserve">Total Recovery </t>
  </si>
  <si>
    <t>2022-23</t>
  </si>
  <si>
    <t>2023-24</t>
  </si>
  <si>
    <t>2024-25</t>
  </si>
  <si>
    <t>Qtrly Units to Construct</t>
  </si>
  <si>
    <t>Beneficiary</t>
  </si>
  <si>
    <t>State &amp; Center</t>
  </si>
  <si>
    <t xml:space="preserve">Overheads </t>
  </si>
  <si>
    <t>Land in Acres</t>
  </si>
  <si>
    <t>Selling price</t>
  </si>
  <si>
    <t>Sanctioned and Other Cost</t>
  </si>
  <si>
    <t>Land Cost including stamp paper Exp</t>
  </si>
  <si>
    <t>OCD from Share Holders</t>
  </si>
  <si>
    <t>Interest on Loan</t>
  </si>
  <si>
    <t>Interest rate for loan</t>
  </si>
  <si>
    <t>PROJECT DSCR</t>
  </si>
  <si>
    <t>p</t>
  </si>
  <si>
    <t>Revenue from the Residential Area</t>
  </si>
  <si>
    <t>Revenue from the Commercial</t>
  </si>
  <si>
    <t>Interst on Bank Loan</t>
  </si>
  <si>
    <t>Revenue Share of Land Owner</t>
  </si>
  <si>
    <t>Revenue Share of Land owner</t>
  </si>
  <si>
    <t>Cash Flow and time line planning for Shimla Pistore project of EWS Housing in UK</t>
  </si>
  <si>
    <t>Shimla Psitore</t>
  </si>
  <si>
    <t>S. No.</t>
  </si>
  <si>
    <t>Particulars</t>
  </si>
  <si>
    <t>Amount (Rs.)</t>
  </si>
  <si>
    <t>%</t>
  </si>
  <si>
    <t>Cost of the Project at Shimla Pistore</t>
  </si>
  <si>
    <t>Means of Finance of project at Shimla Pistore</t>
  </si>
  <si>
    <t>Unsecured loan</t>
  </si>
  <si>
    <t>As 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</si>
</sst>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0.0000"/>
    <numFmt numFmtId="167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164" fontId="0" fillId="0" borderId="0" xfId="0" applyNumberFormat="1"/>
    <xf numFmtId="0" fontId="2" fillId="0" borderId="11" xfId="0" applyFont="1" applyBorder="1"/>
    <xf numFmtId="0" fontId="3" fillId="0" borderId="0" xfId="0" applyFont="1" applyAlignment="1"/>
    <xf numFmtId="0" fontId="2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9" xfId="0" applyFont="1" applyBorder="1"/>
    <xf numFmtId="0" fontId="2" fillId="0" borderId="15" xfId="0" applyFont="1" applyBorder="1"/>
    <xf numFmtId="0" fontId="2" fillId="0" borderId="3" xfId="0" applyFont="1" applyBorder="1"/>
    <xf numFmtId="2" fontId="2" fillId="0" borderId="3" xfId="0" applyNumberFormat="1" applyFont="1" applyBorder="1"/>
    <xf numFmtId="1" fontId="2" fillId="0" borderId="3" xfId="0" applyNumberFormat="1" applyFont="1" applyBorder="1"/>
    <xf numFmtId="165" fontId="2" fillId="0" borderId="16" xfId="0" applyNumberFormat="1" applyFont="1" applyBorder="1"/>
    <xf numFmtId="0" fontId="2" fillId="0" borderId="1" xfId="0" applyFont="1" applyBorder="1"/>
    <xf numFmtId="2" fontId="2" fillId="0" borderId="16" xfId="0" applyNumberFormat="1" applyFont="1" applyBorder="1"/>
    <xf numFmtId="0" fontId="2" fillId="0" borderId="17" xfId="0" applyFont="1" applyBorder="1"/>
    <xf numFmtId="0" fontId="2" fillId="0" borderId="18" xfId="0" applyFont="1" applyBorder="1"/>
    <xf numFmtId="1" fontId="2" fillId="0" borderId="1" xfId="1" applyNumberFormat="1" applyFont="1" applyBorder="1"/>
    <xf numFmtId="164" fontId="2" fillId="0" borderId="3" xfId="1" applyNumberFormat="1" applyFont="1" applyBorder="1"/>
    <xf numFmtId="0" fontId="3" fillId="0" borderId="0" xfId="0" applyFont="1" applyAlignment="1">
      <alignment horizontal="center"/>
    </xf>
    <xf numFmtId="2" fontId="2" fillId="0" borderId="1" xfId="0" applyNumberFormat="1" applyFont="1" applyBorder="1"/>
    <xf numFmtId="1" fontId="2" fillId="0" borderId="3" xfId="1" applyNumberFormat="1" applyFont="1" applyBorder="1"/>
    <xf numFmtId="0" fontId="3" fillId="0" borderId="8" xfId="0" applyFont="1" applyBorder="1"/>
    <xf numFmtId="9" fontId="2" fillId="0" borderId="1" xfId="0" applyNumberFormat="1" applyFont="1" applyBorder="1"/>
    <xf numFmtId="164" fontId="2" fillId="0" borderId="1" xfId="1" applyNumberFormat="1" applyFont="1" applyBorder="1"/>
    <xf numFmtId="0" fontId="2" fillId="0" borderId="12" xfId="0" applyFont="1" applyBorder="1"/>
    <xf numFmtId="164" fontId="2" fillId="0" borderId="12" xfId="1" applyNumberFormat="1" applyFont="1" applyBorder="1"/>
    <xf numFmtId="0" fontId="3" fillId="0" borderId="11" xfId="0" applyFont="1" applyBorder="1"/>
    <xf numFmtId="0" fontId="2" fillId="0" borderId="8" xfId="0" applyFont="1" applyBorder="1"/>
    <xf numFmtId="0" fontId="2" fillId="0" borderId="13" xfId="0" applyFont="1" applyBorder="1"/>
    <xf numFmtId="164" fontId="2" fillId="0" borderId="1" xfId="0" applyNumberFormat="1" applyFont="1" applyBorder="1"/>
    <xf numFmtId="0" fontId="3" fillId="0" borderId="13" xfId="0" applyFont="1" applyBorder="1"/>
    <xf numFmtId="164" fontId="2" fillId="0" borderId="12" xfId="0" applyNumberFormat="1" applyFont="1" applyBorder="1"/>
    <xf numFmtId="0" fontId="3" fillId="0" borderId="0" xfId="0" applyFont="1"/>
    <xf numFmtId="164" fontId="2" fillId="0" borderId="0" xfId="0" applyNumberFormat="1" applyFont="1"/>
    <xf numFmtId="164" fontId="2" fillId="0" borderId="18" xfId="1" applyNumberFormat="1" applyFont="1" applyBorder="1"/>
    <xf numFmtId="164" fontId="2" fillId="0" borderId="2" xfId="1" applyNumberFormat="1" applyFont="1" applyBorder="1"/>
    <xf numFmtId="164" fontId="2" fillId="0" borderId="19" xfId="0" applyNumberFormat="1" applyFont="1" applyBorder="1"/>
    <xf numFmtId="10" fontId="2" fillId="0" borderId="0" xfId="2" applyNumberFormat="1" applyFont="1"/>
    <xf numFmtId="0" fontId="3" fillId="0" borderId="17" xfId="0" applyFont="1" applyBorder="1"/>
    <xf numFmtId="164" fontId="2" fillId="0" borderId="20" xfId="0" applyNumberFormat="1" applyFont="1" applyBorder="1"/>
    <xf numFmtId="164" fontId="2" fillId="0" borderId="18" xfId="0" applyNumberFormat="1" applyFont="1" applyBorder="1"/>
    <xf numFmtId="164" fontId="3" fillId="0" borderId="21" xfId="0" applyNumberFormat="1" applyFont="1" applyBorder="1"/>
    <xf numFmtId="43" fontId="2" fillId="0" borderId="0" xfId="0" applyNumberFormat="1" applyFont="1"/>
    <xf numFmtId="0" fontId="2" fillId="0" borderId="7" xfId="0" applyFont="1" applyBorder="1"/>
    <xf numFmtId="0" fontId="3" fillId="0" borderId="2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164" fontId="2" fillId="0" borderId="9" xfId="1" applyNumberFormat="1" applyFont="1" applyBorder="1"/>
    <xf numFmtId="164" fontId="2" fillId="0" borderId="10" xfId="1" applyNumberFormat="1" applyFont="1" applyBorder="1"/>
    <xf numFmtId="0" fontId="2" fillId="0" borderId="2" xfId="0" applyFont="1" applyBorder="1"/>
    <xf numFmtId="164" fontId="2" fillId="0" borderId="14" xfId="1" applyNumberFormat="1" applyFont="1" applyBorder="1"/>
    <xf numFmtId="0" fontId="3" fillId="0" borderId="4" xfId="0" applyFont="1" applyBorder="1"/>
    <xf numFmtId="164" fontId="3" fillId="0" borderId="5" xfId="1" applyNumberFormat="1" applyFont="1" applyBorder="1"/>
    <xf numFmtId="164" fontId="3" fillId="0" borderId="6" xfId="1" applyNumberFormat="1" applyFont="1" applyBorder="1"/>
    <xf numFmtId="0" fontId="3" fillId="0" borderId="23" xfId="0" applyFont="1" applyBorder="1"/>
    <xf numFmtId="164" fontId="3" fillId="0" borderId="20" xfId="0" applyNumberFormat="1" applyFont="1" applyBorder="1"/>
    <xf numFmtId="0" fontId="2" fillId="0" borderId="10" xfId="0" applyFont="1" applyBorder="1"/>
    <xf numFmtId="10" fontId="2" fillId="0" borderId="9" xfId="2" applyNumberFormat="1" applyFont="1" applyBorder="1"/>
    <xf numFmtId="10" fontId="2" fillId="0" borderId="10" xfId="2" applyNumberFormat="1" applyFont="1" applyBorder="1"/>
    <xf numFmtId="10" fontId="2" fillId="0" borderId="1" xfId="2" applyNumberFormat="1" applyFont="1" applyBorder="1"/>
    <xf numFmtId="10" fontId="2" fillId="0" borderId="12" xfId="2" applyNumberFormat="1" applyFont="1" applyBorder="1"/>
    <xf numFmtId="1" fontId="2" fillId="0" borderId="9" xfId="0" applyNumberFormat="1" applyFont="1" applyBorder="1"/>
    <xf numFmtId="43" fontId="2" fillId="0" borderId="1" xfId="1" applyFont="1" applyFill="1" applyBorder="1"/>
    <xf numFmtId="43" fontId="2" fillId="0" borderId="12" xfId="0" applyNumberFormat="1" applyFont="1" applyBorder="1"/>
    <xf numFmtId="43" fontId="2" fillId="0" borderId="1" xfId="0" applyNumberFormat="1" applyFont="1" applyBorder="1"/>
    <xf numFmtId="9" fontId="2" fillId="0" borderId="1" xfId="2" applyFont="1" applyBorder="1"/>
    <xf numFmtId="43" fontId="2" fillId="0" borderId="18" xfId="0" applyNumberFormat="1" applyFont="1" applyBorder="1"/>
    <xf numFmtId="9" fontId="2" fillId="0" borderId="18" xfId="2" applyFont="1" applyBorder="1"/>
    <xf numFmtId="0" fontId="2" fillId="0" borderId="19" xfId="0" applyFont="1" applyBorder="1"/>
    <xf numFmtId="0" fontId="2" fillId="0" borderId="4" xfId="0" applyFont="1" applyBorder="1"/>
    <xf numFmtId="164" fontId="2" fillId="0" borderId="19" xfId="1" applyNumberFormat="1" applyFont="1" applyBorder="1"/>
    <xf numFmtId="0" fontId="2" fillId="0" borderId="16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5" xfId="0" applyFont="1" applyBorder="1" applyAlignment="1">
      <alignment horizontal="center"/>
    </xf>
    <xf numFmtId="164" fontId="2" fillId="0" borderId="16" xfId="1" applyNumberFormat="1" applyFont="1" applyBorder="1"/>
    <xf numFmtId="166" fontId="2" fillId="0" borderId="3" xfId="0" applyNumberFormat="1" applyFont="1" applyBorder="1"/>
    <xf numFmtId="0" fontId="2" fillId="0" borderId="0" xfId="0" applyFont="1" applyBorder="1"/>
    <xf numFmtId="43" fontId="2" fillId="0" borderId="0" xfId="1" applyFont="1" applyBorder="1"/>
    <xf numFmtId="164" fontId="2" fillId="0" borderId="0" xfId="0" applyNumberFormat="1" applyFont="1" applyBorder="1"/>
    <xf numFmtId="167" fontId="2" fillId="0" borderId="0" xfId="2" applyNumberFormat="1" applyFont="1"/>
    <xf numFmtId="0" fontId="3" fillId="0" borderId="22" xfId="0" applyFont="1" applyBorder="1" applyAlignment="1"/>
    <xf numFmtId="0" fontId="4" fillId="0" borderId="1" xfId="0" applyFont="1" applyBorder="1"/>
    <xf numFmtId="43" fontId="4" fillId="0" borderId="1" xfId="1" applyFont="1" applyBorder="1"/>
    <xf numFmtId="0" fontId="3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43" fontId="2" fillId="0" borderId="0" xfId="1" applyFont="1" applyBorder="1" applyAlignment="1">
      <alignment horizontal="right"/>
    </xf>
    <xf numFmtId="43" fontId="2" fillId="0" borderId="0" xfId="0" applyNumberFormat="1" applyFont="1" applyBorder="1"/>
    <xf numFmtId="1" fontId="2" fillId="0" borderId="1" xfId="0" applyNumberFormat="1" applyFont="1" applyBorder="1"/>
    <xf numFmtId="164" fontId="2" fillId="0" borderId="2" xfId="0" applyNumberFormat="1" applyFont="1" applyBorder="1"/>
    <xf numFmtId="10" fontId="2" fillId="0" borderId="18" xfId="2" applyNumberFormat="1" applyFont="1" applyBorder="1"/>
    <xf numFmtId="10" fontId="2" fillId="0" borderId="19" xfId="2" applyNumberFormat="1" applyFont="1" applyBorder="1"/>
    <xf numFmtId="0" fontId="5" fillId="0" borderId="1" xfId="0" applyFont="1" applyBorder="1"/>
    <xf numFmtId="0" fontId="6" fillId="0" borderId="0" xfId="0" applyFont="1" applyBorder="1"/>
    <xf numFmtId="0" fontId="6" fillId="0" borderId="1" xfId="0" applyFont="1" applyBorder="1"/>
    <xf numFmtId="164" fontId="6" fillId="0" borderId="1" xfId="1" applyNumberFormat="1" applyFont="1" applyBorder="1"/>
    <xf numFmtId="43" fontId="6" fillId="0" borderId="1" xfId="1" applyFont="1" applyBorder="1"/>
    <xf numFmtId="0" fontId="5" fillId="0" borderId="1" xfId="0" applyFont="1" applyFill="1" applyBorder="1"/>
    <xf numFmtId="164" fontId="5" fillId="0" borderId="1" xfId="1" applyNumberFormat="1" applyFont="1" applyBorder="1"/>
    <xf numFmtId="43" fontId="5" fillId="0" borderId="1" xfId="1" applyFont="1" applyBorder="1"/>
    <xf numFmtId="164" fontId="6" fillId="0" borderId="0" xfId="1" applyNumberFormat="1" applyFont="1" applyBorder="1"/>
    <xf numFmtId="0" fontId="3" fillId="0" borderId="2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6"/>
  <sheetViews>
    <sheetView tabSelected="1" topLeftCell="B35" zoomScaleNormal="100" workbookViewId="0">
      <selection activeCell="M48" sqref="M48"/>
    </sheetView>
  </sheetViews>
  <sheetFormatPr defaultRowHeight="15" x14ac:dyDescent="0.25"/>
  <cols>
    <col min="1" max="1" width="32.7109375" bestFit="1" customWidth="1"/>
    <col min="2" max="2" width="11.7109375" bestFit="1" customWidth="1"/>
    <col min="3" max="3" width="13.7109375" bestFit="1" customWidth="1"/>
    <col min="4" max="4" width="14.7109375" bestFit="1" customWidth="1"/>
    <col min="5" max="5" width="13.140625" bestFit="1" customWidth="1"/>
    <col min="6" max="6" width="12.7109375" bestFit="1" customWidth="1"/>
    <col min="7" max="7" width="14.7109375" customWidth="1"/>
    <col min="8" max="14" width="13.7109375" bestFit="1" customWidth="1"/>
    <col min="15" max="15" width="15.42578125" bestFit="1" customWidth="1"/>
    <col min="17" max="17" width="12.28515625" bestFit="1" customWidth="1"/>
  </cols>
  <sheetData>
    <row r="1" spans="1:14" ht="15.75" thickBot="1" x14ac:dyDescent="0.3">
      <c r="A1" s="106" t="s">
        <v>80</v>
      </c>
      <c r="B1" s="106"/>
      <c r="C1" s="106"/>
      <c r="D1" s="106"/>
      <c r="E1" s="106"/>
      <c r="F1" s="3"/>
      <c r="G1" s="88"/>
      <c r="H1" s="81"/>
      <c r="I1" s="81"/>
      <c r="J1" s="81"/>
      <c r="K1" s="4"/>
      <c r="L1" s="4"/>
      <c r="M1" s="4"/>
      <c r="N1" s="4"/>
    </row>
    <row r="2" spans="1:14" ht="15.75" thickBot="1" x14ac:dyDescent="0.3">
      <c r="A2" s="5"/>
      <c r="B2" s="6"/>
      <c r="C2" s="6" t="s">
        <v>4</v>
      </c>
      <c r="D2" s="6"/>
      <c r="E2" s="7"/>
      <c r="F2" s="4"/>
      <c r="G2" s="89"/>
      <c r="H2" s="89"/>
      <c r="I2" s="81"/>
      <c r="J2" s="82"/>
      <c r="K2" s="4"/>
      <c r="L2" s="4"/>
      <c r="M2" s="4"/>
      <c r="N2" s="4"/>
    </row>
    <row r="3" spans="1:14" x14ac:dyDescent="0.25">
      <c r="A3" s="9" t="s">
        <v>7</v>
      </c>
      <c r="B3" s="10" t="s">
        <v>1</v>
      </c>
      <c r="C3" s="11">
        <v>28357</v>
      </c>
      <c r="D3" s="12"/>
      <c r="E3" s="13"/>
      <c r="F3" s="4"/>
      <c r="G3" s="89"/>
      <c r="H3" s="89"/>
      <c r="I3" s="81"/>
      <c r="J3" s="82"/>
      <c r="K3" s="4"/>
      <c r="L3" s="4"/>
      <c r="M3" s="4"/>
      <c r="N3" s="4"/>
    </row>
    <row r="4" spans="1:14" x14ac:dyDescent="0.25">
      <c r="A4" s="9" t="s">
        <v>38</v>
      </c>
      <c r="B4" s="10" t="s">
        <v>39</v>
      </c>
      <c r="C4" s="80">
        <f>C3/10000</f>
        <v>2.8357000000000001</v>
      </c>
      <c r="D4" s="12"/>
      <c r="E4" s="15"/>
      <c r="F4" s="4"/>
      <c r="G4" s="89"/>
      <c r="H4" s="89"/>
      <c r="I4" s="81"/>
      <c r="J4" s="82"/>
      <c r="K4" s="4"/>
      <c r="L4" s="4"/>
      <c r="M4" s="4"/>
      <c r="N4" s="4"/>
    </row>
    <row r="5" spans="1:14" x14ac:dyDescent="0.25">
      <c r="A5" s="9" t="s">
        <v>66</v>
      </c>
      <c r="B5" s="10"/>
      <c r="C5" s="11">
        <f>C3/4047</f>
        <v>7.0069187052137387</v>
      </c>
      <c r="D5" s="12"/>
      <c r="E5" s="15"/>
      <c r="F5" s="4"/>
      <c r="G5" s="81"/>
      <c r="H5" s="81"/>
      <c r="I5" s="81"/>
      <c r="J5" s="82"/>
      <c r="K5" s="4"/>
      <c r="L5" s="4"/>
      <c r="M5" s="4"/>
      <c r="N5" s="4"/>
    </row>
    <row r="6" spans="1:14" x14ac:dyDescent="0.25">
      <c r="A6" s="2" t="s">
        <v>8</v>
      </c>
      <c r="B6" s="14" t="s">
        <v>9</v>
      </c>
      <c r="C6" s="18">
        <v>1344</v>
      </c>
      <c r="D6" s="12"/>
      <c r="E6" s="15"/>
      <c r="F6" s="4"/>
      <c r="G6" s="81"/>
      <c r="H6" s="81"/>
      <c r="I6" s="81"/>
      <c r="J6" s="82"/>
      <c r="K6" s="4"/>
      <c r="L6" s="4"/>
      <c r="M6" s="4"/>
      <c r="N6" s="4"/>
    </row>
    <row r="7" spans="1:14" x14ac:dyDescent="0.25">
      <c r="A7" s="2" t="s">
        <v>10</v>
      </c>
      <c r="B7" s="14" t="s">
        <v>11</v>
      </c>
      <c r="C7" s="18">
        <v>30</v>
      </c>
      <c r="D7" s="19"/>
      <c r="E7" s="13"/>
      <c r="F7" s="4"/>
      <c r="G7" s="107"/>
      <c r="H7" s="107"/>
      <c r="I7" s="107"/>
      <c r="J7" s="107"/>
      <c r="K7" s="4"/>
      <c r="L7" s="20"/>
      <c r="M7" s="4"/>
      <c r="N7" s="4"/>
    </row>
    <row r="8" spans="1:14" x14ac:dyDescent="0.25">
      <c r="A8" s="2" t="s">
        <v>12</v>
      </c>
      <c r="B8" s="14" t="s">
        <v>2</v>
      </c>
      <c r="C8" s="21">
        <v>24.22</v>
      </c>
      <c r="D8" s="22"/>
      <c r="E8" s="13"/>
      <c r="F8" s="4"/>
      <c r="G8" s="90"/>
      <c r="H8" s="81"/>
      <c r="I8" s="81"/>
      <c r="J8" s="82"/>
      <c r="K8" s="4"/>
      <c r="L8" s="4"/>
      <c r="M8" s="4"/>
      <c r="N8" s="4"/>
    </row>
    <row r="9" spans="1:14" x14ac:dyDescent="0.25">
      <c r="A9" s="2" t="s">
        <v>6</v>
      </c>
      <c r="B9" s="24"/>
      <c r="C9" s="21">
        <v>30</v>
      </c>
      <c r="D9" s="22"/>
      <c r="E9" s="13"/>
      <c r="F9" s="4"/>
      <c r="G9" s="81"/>
      <c r="H9" s="81"/>
      <c r="I9" s="81"/>
      <c r="J9" s="91"/>
      <c r="K9" s="4"/>
      <c r="L9" s="4"/>
      <c r="M9" s="4"/>
      <c r="N9" s="4"/>
    </row>
    <row r="10" spans="1:14" x14ac:dyDescent="0.25">
      <c r="A10" s="2" t="s">
        <v>13</v>
      </c>
      <c r="B10" s="14">
        <v>10.763999999999999</v>
      </c>
      <c r="C10" s="25">
        <f>C9*B10*C6</f>
        <v>434004.47999999992</v>
      </c>
      <c r="D10" s="25"/>
      <c r="E10" s="26"/>
      <c r="F10" s="4"/>
      <c r="G10" s="81"/>
      <c r="H10" s="81"/>
      <c r="I10" s="81"/>
      <c r="J10" s="91"/>
      <c r="K10" s="4"/>
      <c r="L10" s="4"/>
      <c r="M10" s="4"/>
      <c r="N10" s="4"/>
    </row>
    <row r="11" spans="1:14" x14ac:dyDescent="0.25">
      <c r="A11" s="2" t="s">
        <v>79</v>
      </c>
      <c r="B11" s="14"/>
      <c r="C11" s="25">
        <v>85800000</v>
      </c>
      <c r="D11" s="18"/>
      <c r="E11" s="26"/>
      <c r="F11" s="4"/>
      <c r="G11" s="81"/>
      <c r="H11" s="81"/>
      <c r="I11" s="81"/>
      <c r="J11" s="91"/>
      <c r="K11" s="4"/>
      <c r="L11" s="4"/>
      <c r="M11" s="4"/>
      <c r="N11" s="4"/>
    </row>
    <row r="12" spans="1:14" x14ac:dyDescent="0.25">
      <c r="A12" s="2" t="s">
        <v>14</v>
      </c>
      <c r="B12" s="14" t="s">
        <v>9</v>
      </c>
      <c r="C12" s="18">
        <v>900</v>
      </c>
      <c r="D12" s="18"/>
      <c r="E12" s="27"/>
      <c r="F12" s="4"/>
      <c r="G12" s="81"/>
      <c r="H12" s="81"/>
      <c r="I12" s="81"/>
      <c r="J12" s="91"/>
      <c r="K12" s="4"/>
      <c r="L12" s="4"/>
      <c r="M12" s="4"/>
      <c r="N12" s="4"/>
    </row>
    <row r="13" spans="1:14" x14ac:dyDescent="0.25">
      <c r="A13" s="2" t="s">
        <v>15</v>
      </c>
      <c r="B13" s="14" t="s">
        <v>16</v>
      </c>
      <c r="C13" s="25">
        <v>6000000</v>
      </c>
      <c r="D13" s="21"/>
      <c r="E13" s="26"/>
      <c r="F13" s="4"/>
      <c r="G13" s="81"/>
      <c r="H13" s="81"/>
      <c r="I13" s="81"/>
      <c r="J13" s="82"/>
      <c r="K13" s="4"/>
      <c r="L13" s="4"/>
      <c r="M13" s="4"/>
      <c r="N13" s="4"/>
    </row>
    <row r="14" spans="1:14" x14ac:dyDescent="0.25">
      <c r="A14" s="2" t="s">
        <v>3</v>
      </c>
      <c r="B14" s="14" t="s">
        <v>2</v>
      </c>
      <c r="C14" s="25">
        <v>50000</v>
      </c>
      <c r="D14" s="21"/>
      <c r="E14" s="26"/>
      <c r="F14" s="4"/>
      <c r="G14" s="81"/>
      <c r="H14" s="81"/>
      <c r="I14" s="81"/>
      <c r="J14" s="82"/>
      <c r="K14" s="4"/>
      <c r="L14" s="4"/>
      <c r="M14" s="4"/>
      <c r="N14" s="4"/>
    </row>
    <row r="15" spans="1:14" x14ac:dyDescent="0.25">
      <c r="A15" s="2" t="s">
        <v>67</v>
      </c>
      <c r="B15" s="14" t="s">
        <v>2</v>
      </c>
      <c r="C15" s="25">
        <v>600000</v>
      </c>
      <c r="D15" s="21"/>
      <c r="E15" s="26"/>
      <c r="F15" s="4"/>
      <c r="G15" s="81"/>
      <c r="H15" s="81"/>
      <c r="I15" s="81"/>
      <c r="J15" s="81"/>
      <c r="K15" s="4"/>
      <c r="L15" s="4"/>
      <c r="M15" s="4"/>
      <c r="N15" s="4"/>
    </row>
    <row r="16" spans="1:14" x14ac:dyDescent="0.25">
      <c r="A16" s="28" t="s">
        <v>17</v>
      </c>
      <c r="B16" s="14"/>
      <c r="C16" s="25"/>
      <c r="D16" s="21"/>
      <c r="E16" s="26"/>
      <c r="F16" s="4"/>
      <c r="G16" s="108"/>
      <c r="H16" s="108"/>
      <c r="I16" s="108"/>
      <c r="J16" s="108"/>
      <c r="K16" s="4"/>
      <c r="L16" s="4"/>
      <c r="M16" s="4"/>
      <c r="N16" s="4"/>
    </row>
    <row r="17" spans="1:14" x14ac:dyDescent="0.25">
      <c r="A17" s="2" t="s">
        <v>78</v>
      </c>
      <c r="B17" s="14"/>
      <c r="C17" s="25">
        <f>C11</f>
        <v>85800000</v>
      </c>
      <c r="D17" s="21"/>
      <c r="E17" s="26"/>
      <c r="F17" s="4"/>
      <c r="G17" s="81"/>
      <c r="H17" s="81"/>
      <c r="I17" s="81"/>
      <c r="J17" s="92"/>
      <c r="K17" s="4"/>
      <c r="L17" s="4"/>
      <c r="M17" s="4"/>
      <c r="N17" s="4"/>
    </row>
    <row r="18" spans="1:14" x14ac:dyDescent="0.25">
      <c r="A18" s="2" t="s">
        <v>5</v>
      </c>
      <c r="B18" s="14"/>
      <c r="C18" s="25">
        <f>C10*C12</f>
        <v>390604031.99999994</v>
      </c>
      <c r="D18" s="21"/>
      <c r="E18" s="26"/>
      <c r="F18" s="4"/>
      <c r="G18" s="81"/>
      <c r="H18" s="81"/>
      <c r="I18" s="81"/>
      <c r="J18" s="81"/>
      <c r="K18" s="4"/>
      <c r="L18" s="4"/>
      <c r="M18" s="4"/>
      <c r="N18" s="4"/>
    </row>
    <row r="19" spans="1:14" x14ac:dyDescent="0.25">
      <c r="A19" s="30" t="s">
        <v>18</v>
      </c>
      <c r="B19" s="14"/>
      <c r="C19" s="31">
        <f>C13*C5</f>
        <v>42041512.231282435</v>
      </c>
      <c r="D19" s="21"/>
      <c r="E19" s="26"/>
      <c r="F19" s="4"/>
      <c r="G19" s="81"/>
      <c r="H19" s="81"/>
      <c r="I19" s="81"/>
      <c r="J19" s="83"/>
      <c r="K19" s="4"/>
      <c r="L19" s="4"/>
      <c r="M19" s="4"/>
      <c r="N19" s="4"/>
    </row>
    <row r="20" spans="1:14" x14ac:dyDescent="0.25">
      <c r="A20" s="30" t="s">
        <v>65</v>
      </c>
      <c r="B20" s="14"/>
      <c r="C20" s="31">
        <f>C14*C6</f>
        <v>67200000</v>
      </c>
      <c r="D20" s="21"/>
      <c r="E20" s="26"/>
      <c r="F20" s="4"/>
      <c r="G20" s="81"/>
      <c r="H20" s="81"/>
      <c r="I20" s="81"/>
      <c r="J20" s="81"/>
      <c r="K20" s="4"/>
      <c r="L20" s="4"/>
      <c r="M20" s="4"/>
      <c r="N20" s="4"/>
    </row>
    <row r="21" spans="1:14" x14ac:dyDescent="0.25">
      <c r="A21" s="30" t="s">
        <v>77</v>
      </c>
      <c r="B21" s="14"/>
      <c r="C21" s="31">
        <f>M44</f>
        <v>20875000</v>
      </c>
      <c r="D21" s="21"/>
      <c r="E21" s="26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32" t="s">
        <v>19</v>
      </c>
      <c r="B22" s="14" t="s">
        <v>9</v>
      </c>
      <c r="C22" s="25"/>
      <c r="D22" s="25">
        <f>SUM(C17:C22)</f>
        <v>606520544.23128235</v>
      </c>
      <c r="E22" s="33"/>
      <c r="F22" s="4"/>
      <c r="G22" s="34"/>
      <c r="H22" s="4"/>
      <c r="I22" s="4"/>
      <c r="J22" s="4"/>
      <c r="K22" s="4"/>
      <c r="L22" s="4"/>
      <c r="M22" s="4"/>
      <c r="N22" s="4"/>
    </row>
    <row r="23" spans="1:14" x14ac:dyDescent="0.25">
      <c r="A23" s="2" t="s">
        <v>75</v>
      </c>
      <c r="B23" s="14"/>
      <c r="C23" s="19">
        <f>C15*C6</f>
        <v>806400000</v>
      </c>
      <c r="D23" s="25"/>
      <c r="E23" s="26"/>
      <c r="F23" s="4"/>
      <c r="G23" s="35"/>
      <c r="H23" s="4"/>
      <c r="I23" s="4"/>
      <c r="J23" s="4"/>
      <c r="K23" s="35"/>
      <c r="L23" s="4"/>
      <c r="M23" s="4"/>
      <c r="N23" s="4"/>
    </row>
    <row r="24" spans="1:14" ht="15.75" thickBot="1" x14ac:dyDescent="0.3">
      <c r="A24" s="30" t="s">
        <v>76</v>
      </c>
      <c r="B24" s="10"/>
      <c r="C24" s="36">
        <v>40000000</v>
      </c>
      <c r="D24" s="36">
        <f>SUM(C23:C24)</f>
        <v>846400000</v>
      </c>
      <c r="E24" s="38"/>
      <c r="F24" s="39"/>
      <c r="G24" s="4"/>
      <c r="H24" s="4"/>
      <c r="I24" s="4"/>
      <c r="J24" s="4"/>
      <c r="K24" s="4"/>
      <c r="L24" s="4"/>
      <c r="M24" s="4"/>
      <c r="N24" s="4"/>
    </row>
    <row r="25" spans="1:14" ht="15.75" thickBot="1" x14ac:dyDescent="0.3">
      <c r="A25" s="40" t="s">
        <v>20</v>
      </c>
      <c r="B25" s="41"/>
      <c r="C25" s="41"/>
      <c r="D25" s="41"/>
      <c r="E25" s="43">
        <f>D24-D22</f>
        <v>239879455.76871765</v>
      </c>
      <c r="F25" s="4"/>
      <c r="G25" s="4"/>
      <c r="H25" s="4"/>
      <c r="I25" s="4"/>
      <c r="J25" s="4"/>
      <c r="K25" s="35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4" t="s">
        <v>72</v>
      </c>
      <c r="B27" s="39">
        <v>0.1</v>
      </c>
      <c r="C27" s="4"/>
      <c r="D27" s="4"/>
      <c r="E27" s="4"/>
      <c r="F27" s="4"/>
      <c r="G27" s="4"/>
      <c r="H27" s="4"/>
      <c r="I27" s="4"/>
      <c r="J27" s="4"/>
      <c r="K27" s="44"/>
      <c r="L27" s="4"/>
      <c r="M27" s="4"/>
      <c r="N27" s="4"/>
    </row>
    <row r="28" spans="1:14" ht="15.75" thickBot="1" x14ac:dyDescent="0.3">
      <c r="A28" s="4"/>
      <c r="B28" s="4"/>
      <c r="C28" s="4"/>
      <c r="D28" s="4"/>
      <c r="E28" s="4"/>
      <c r="F28" s="4"/>
      <c r="G28" s="4"/>
      <c r="H28" s="4"/>
      <c r="I28" s="44"/>
      <c r="J28" s="4"/>
      <c r="K28" s="4"/>
      <c r="L28" s="4"/>
      <c r="M28" s="4"/>
      <c r="N28" s="4"/>
    </row>
    <row r="29" spans="1:14" ht="15.75" thickBot="1" x14ac:dyDescent="0.3">
      <c r="A29" s="45"/>
      <c r="B29" s="109" t="s">
        <v>59</v>
      </c>
      <c r="C29" s="110"/>
      <c r="D29" s="111"/>
      <c r="E29" s="109" t="s">
        <v>60</v>
      </c>
      <c r="F29" s="110"/>
      <c r="G29" s="110"/>
      <c r="H29" s="111"/>
      <c r="I29" s="109" t="s">
        <v>61</v>
      </c>
      <c r="J29" s="110"/>
      <c r="K29" s="110"/>
      <c r="L29" s="110"/>
      <c r="M29" s="78"/>
    </row>
    <row r="30" spans="1:14" ht="15.75" thickBot="1" x14ac:dyDescent="0.3">
      <c r="A30" s="46" t="s">
        <v>21</v>
      </c>
      <c r="B30" s="48" t="s">
        <v>89</v>
      </c>
      <c r="C30" s="48" t="s">
        <v>24</v>
      </c>
      <c r="D30" s="49" t="s">
        <v>25</v>
      </c>
      <c r="E30" s="47" t="s">
        <v>22</v>
      </c>
      <c r="F30" s="48" t="s">
        <v>23</v>
      </c>
      <c r="G30" s="48" t="s">
        <v>24</v>
      </c>
      <c r="H30" s="49" t="s">
        <v>26</v>
      </c>
      <c r="I30" s="47" t="s">
        <v>22</v>
      </c>
      <c r="J30" s="49" t="s">
        <v>23</v>
      </c>
      <c r="K30" s="48" t="s">
        <v>24</v>
      </c>
      <c r="L30" s="49" t="s">
        <v>26</v>
      </c>
      <c r="M30" s="50" t="s">
        <v>27</v>
      </c>
    </row>
    <row r="31" spans="1:14" ht="15.75" thickBot="1" x14ac:dyDescent="0.3">
      <c r="A31" s="85" t="s">
        <v>40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14" x14ac:dyDescent="0.25">
      <c r="A32" s="29" t="s">
        <v>28</v>
      </c>
      <c r="B32" s="51">
        <v>2000000</v>
      </c>
      <c r="C32" s="51"/>
      <c r="D32" s="51"/>
      <c r="E32" s="51">
        <v>0</v>
      </c>
      <c r="F32" s="51"/>
      <c r="G32" s="51">
        <v>0</v>
      </c>
      <c r="H32" s="51">
        <v>0</v>
      </c>
      <c r="I32" s="51">
        <v>0</v>
      </c>
      <c r="J32" s="51">
        <v>0</v>
      </c>
      <c r="K32" s="51"/>
      <c r="L32" s="51">
        <f>-SUM(B32:K32)</f>
        <v>-2000000</v>
      </c>
      <c r="M32" s="52">
        <f t="shared" ref="M32:M38" si="0">SUM(B32:L32)</f>
        <v>0</v>
      </c>
    </row>
    <row r="33" spans="1:15" x14ac:dyDescent="0.25">
      <c r="A33" s="9" t="s">
        <v>70</v>
      </c>
      <c r="B33" s="31">
        <v>39000000</v>
      </c>
      <c r="C33" s="31"/>
      <c r="D33" s="19"/>
      <c r="E33" s="19"/>
      <c r="F33" s="19"/>
      <c r="G33" s="19"/>
      <c r="H33" s="19"/>
      <c r="I33" s="19"/>
      <c r="J33" s="19"/>
      <c r="K33" s="19"/>
      <c r="L33" s="19">
        <f>-SUM(B33:K33)</f>
        <v>-39000000</v>
      </c>
      <c r="M33" s="27">
        <f t="shared" si="0"/>
        <v>0</v>
      </c>
    </row>
    <row r="34" spans="1:15" x14ac:dyDescent="0.25">
      <c r="A34" s="2" t="s">
        <v>29</v>
      </c>
      <c r="B34" s="31"/>
      <c r="C34" s="31">
        <v>40000000</v>
      </c>
      <c r="D34" s="31">
        <v>40000000</v>
      </c>
      <c r="E34" s="31">
        <v>50000000</v>
      </c>
      <c r="F34" s="31"/>
      <c r="G34" s="31"/>
      <c r="H34" s="31"/>
      <c r="I34" s="31">
        <f>-SUM($B$34:$H$34)/4</f>
        <v>-32500000</v>
      </c>
      <c r="J34" s="31">
        <f>-SUM($B$34:$H$34)/4</f>
        <v>-32500000</v>
      </c>
      <c r="K34" s="31">
        <f>-SUM($B$34:$H$34)/4</f>
        <v>-32500000</v>
      </c>
      <c r="L34" s="31">
        <f>-SUM($B$34:$H$34)/4</f>
        <v>-32500000</v>
      </c>
      <c r="M34" s="27">
        <f t="shared" si="0"/>
        <v>0</v>
      </c>
    </row>
    <row r="35" spans="1:15" x14ac:dyDescent="0.25">
      <c r="A35" s="2" t="s">
        <v>88</v>
      </c>
      <c r="B35" s="31">
        <v>21724604</v>
      </c>
      <c r="C35" s="31"/>
      <c r="D35" s="31"/>
      <c r="E35" s="31"/>
      <c r="F35" s="31"/>
      <c r="G35" s="31"/>
      <c r="H35" s="31"/>
      <c r="I35" s="31"/>
      <c r="J35" s="31"/>
      <c r="K35" s="31"/>
      <c r="L35" s="31">
        <v>-21724604</v>
      </c>
      <c r="M35" s="27"/>
    </row>
    <row r="36" spans="1:15" x14ac:dyDescent="0.25">
      <c r="A36" s="2" t="s">
        <v>41</v>
      </c>
      <c r="B36" s="31">
        <f t="shared" ref="B36:L36" si="1">+B119</f>
        <v>0</v>
      </c>
      <c r="C36" s="31">
        <f t="shared" si="1"/>
        <v>0</v>
      </c>
      <c r="D36" s="31">
        <f t="shared" si="1"/>
        <v>10880000</v>
      </c>
      <c r="E36" s="31">
        <f t="shared" si="1"/>
        <v>15253333.333333334</v>
      </c>
      <c r="F36" s="31">
        <f t="shared" si="1"/>
        <v>89557333.333333343</v>
      </c>
      <c r="G36" s="31">
        <f t="shared" si="1"/>
        <v>119317333.33333334</v>
      </c>
      <c r="H36" s="31">
        <f t="shared" si="1"/>
        <v>152448000</v>
      </c>
      <c r="I36" s="31">
        <f t="shared" si="1"/>
        <v>152448000</v>
      </c>
      <c r="J36" s="31">
        <f t="shared" si="1"/>
        <v>139968000</v>
      </c>
      <c r="K36" s="31">
        <f t="shared" si="1"/>
        <v>78144000</v>
      </c>
      <c r="L36" s="31">
        <f t="shared" si="1"/>
        <v>48384000</v>
      </c>
      <c r="M36" s="27">
        <f t="shared" si="0"/>
        <v>806400000</v>
      </c>
    </row>
    <row r="37" spans="1:15" ht="15.75" thickBot="1" x14ac:dyDescent="0.3">
      <c r="A37" s="30" t="s">
        <v>42</v>
      </c>
      <c r="B37" s="53"/>
      <c r="C37" s="53"/>
      <c r="D37" s="53"/>
      <c r="E37" s="53"/>
      <c r="F37" s="53"/>
      <c r="G37" s="53"/>
      <c r="H37" s="53"/>
      <c r="I37" s="53"/>
      <c r="J37" s="94"/>
      <c r="K37" s="94"/>
      <c r="L37" s="94">
        <f>$C$24</f>
        <v>40000000</v>
      </c>
      <c r="M37" s="54">
        <f t="shared" si="0"/>
        <v>40000000</v>
      </c>
    </row>
    <row r="38" spans="1:15" ht="15.75" thickBot="1" x14ac:dyDescent="0.3">
      <c r="A38" s="55" t="s">
        <v>0</v>
      </c>
      <c r="B38" s="56">
        <f t="shared" ref="B38:L38" si="2">SUM(B32:B37)</f>
        <v>62724604</v>
      </c>
      <c r="C38" s="56">
        <f t="shared" si="2"/>
        <v>40000000</v>
      </c>
      <c r="D38" s="56">
        <f t="shared" si="2"/>
        <v>50880000</v>
      </c>
      <c r="E38" s="56">
        <f t="shared" si="2"/>
        <v>65253333.333333336</v>
      </c>
      <c r="F38" s="56">
        <f t="shared" si="2"/>
        <v>89557333.333333343</v>
      </c>
      <c r="G38" s="56">
        <f t="shared" si="2"/>
        <v>119317333.33333334</v>
      </c>
      <c r="H38" s="56">
        <f t="shared" si="2"/>
        <v>152448000</v>
      </c>
      <c r="I38" s="56">
        <f t="shared" si="2"/>
        <v>119948000</v>
      </c>
      <c r="J38" s="56">
        <f t="shared" si="2"/>
        <v>107468000</v>
      </c>
      <c r="K38" s="56">
        <f t="shared" si="2"/>
        <v>45644000</v>
      </c>
      <c r="L38" s="56">
        <f t="shared" si="2"/>
        <v>-6840604</v>
      </c>
      <c r="M38" s="57">
        <f t="shared" si="0"/>
        <v>846400000</v>
      </c>
    </row>
    <row r="39" spans="1:15" ht="15.75" thickBot="1" x14ac:dyDescent="0.3">
      <c r="A39" s="85" t="s">
        <v>30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</row>
    <row r="40" spans="1:15" x14ac:dyDescent="0.25">
      <c r="A40" s="29" t="s">
        <v>69</v>
      </c>
      <c r="B40" s="51">
        <f t="shared" ref="B40:L40" si="3">$C17*B55</f>
        <v>46074600</v>
      </c>
      <c r="C40" s="51">
        <f t="shared" si="3"/>
        <v>24024000.000000004</v>
      </c>
      <c r="D40" s="51">
        <f t="shared" si="3"/>
        <v>15701399.999999994</v>
      </c>
      <c r="E40" s="51">
        <f t="shared" si="3"/>
        <v>0</v>
      </c>
      <c r="F40" s="51">
        <f t="shared" si="3"/>
        <v>0</v>
      </c>
      <c r="G40" s="51">
        <f t="shared" si="3"/>
        <v>0</v>
      </c>
      <c r="H40" s="51">
        <f t="shared" si="3"/>
        <v>0</v>
      </c>
      <c r="I40" s="51">
        <f t="shared" si="3"/>
        <v>0</v>
      </c>
      <c r="J40" s="51">
        <f t="shared" si="3"/>
        <v>0</v>
      </c>
      <c r="K40" s="51">
        <f t="shared" si="3"/>
        <v>0</v>
      </c>
      <c r="L40" s="51">
        <f t="shared" si="3"/>
        <v>0</v>
      </c>
      <c r="M40" s="52">
        <f t="shared" ref="M40:M44" si="4">SUM(B40:L40)</f>
        <v>85800000</v>
      </c>
    </row>
    <row r="41" spans="1:15" x14ac:dyDescent="0.25">
      <c r="A41" s="2" t="s">
        <v>5</v>
      </c>
      <c r="B41" s="25">
        <f t="shared" ref="B41:L41" si="5">+B92</f>
        <v>9309004</v>
      </c>
      <c r="C41" s="25">
        <f t="shared" si="5"/>
        <v>3306700.7999999998</v>
      </c>
      <c r="D41" s="25">
        <f t="shared" si="5"/>
        <v>10677887.999999998</v>
      </c>
      <c r="E41" s="25">
        <f t="shared" si="5"/>
        <v>31443648.399999999</v>
      </c>
      <c r="F41" s="25">
        <f t="shared" si="5"/>
        <v>67404019.599999994</v>
      </c>
      <c r="G41" s="25">
        <f t="shared" si="5"/>
        <v>81358617.599999994</v>
      </c>
      <c r="H41" s="25">
        <f t="shared" si="5"/>
        <v>52321651.200000003</v>
      </c>
      <c r="I41" s="25">
        <f t="shared" si="5"/>
        <v>53871667.200000003</v>
      </c>
      <c r="J41" s="25">
        <f t="shared" si="5"/>
        <v>53010547.199999996</v>
      </c>
      <c r="K41" s="25">
        <f t="shared" si="5"/>
        <v>27900287.999999996</v>
      </c>
      <c r="L41" s="25">
        <f t="shared" si="5"/>
        <v>0</v>
      </c>
      <c r="M41" s="27">
        <f t="shared" si="4"/>
        <v>390604031.99999994</v>
      </c>
    </row>
    <row r="42" spans="1:15" x14ac:dyDescent="0.25">
      <c r="A42" s="2" t="s">
        <v>18</v>
      </c>
      <c r="B42" s="25">
        <v>0</v>
      </c>
      <c r="C42" s="25">
        <f t="shared" ref="C42:L42" si="6">$C19*C56</f>
        <v>0</v>
      </c>
      <c r="D42" s="25">
        <f t="shared" si="6"/>
        <v>0</v>
      </c>
      <c r="E42" s="25">
        <f t="shared" si="6"/>
        <v>2102075.6115641217</v>
      </c>
      <c r="F42" s="25">
        <f t="shared" si="6"/>
        <v>4204151.2231282433</v>
      </c>
      <c r="G42" s="25">
        <f t="shared" si="6"/>
        <v>4204151.2231282433</v>
      </c>
      <c r="H42" s="25">
        <f t="shared" si="6"/>
        <v>4204151.2231282433</v>
      </c>
      <c r="I42" s="25">
        <f t="shared" si="6"/>
        <v>4204151.2231282433</v>
      </c>
      <c r="J42" s="25">
        <f t="shared" si="6"/>
        <v>6306226.8346923655</v>
      </c>
      <c r="K42" s="25">
        <f t="shared" si="6"/>
        <v>8408302.4462564867</v>
      </c>
      <c r="L42" s="25">
        <f t="shared" si="6"/>
        <v>8408302.4462564848</v>
      </c>
      <c r="M42" s="27">
        <f t="shared" si="4"/>
        <v>42041512.231282428</v>
      </c>
    </row>
    <row r="43" spans="1:15" x14ac:dyDescent="0.25">
      <c r="A43" s="2" t="s">
        <v>65</v>
      </c>
      <c r="B43" s="25">
        <f t="shared" ref="B43:L43" si="7">B57*$C20</f>
        <v>7069440</v>
      </c>
      <c r="C43" s="25">
        <f t="shared" si="7"/>
        <v>3360000</v>
      </c>
      <c r="D43" s="25">
        <f t="shared" si="7"/>
        <v>3360000</v>
      </c>
      <c r="E43" s="25">
        <f t="shared" si="7"/>
        <v>6720000</v>
      </c>
      <c r="F43" s="25">
        <f t="shared" si="7"/>
        <v>6720000</v>
      </c>
      <c r="G43" s="25">
        <f t="shared" si="7"/>
        <v>6720000</v>
      </c>
      <c r="H43" s="25">
        <f t="shared" si="7"/>
        <v>6720000</v>
      </c>
      <c r="I43" s="25">
        <f t="shared" si="7"/>
        <v>6720000</v>
      </c>
      <c r="J43" s="25">
        <f t="shared" si="7"/>
        <v>6720000</v>
      </c>
      <c r="K43" s="25">
        <f t="shared" si="7"/>
        <v>6720000</v>
      </c>
      <c r="L43" s="25">
        <f t="shared" si="7"/>
        <v>6370560.0000000075</v>
      </c>
      <c r="M43" s="27">
        <f t="shared" si="4"/>
        <v>67200000</v>
      </c>
    </row>
    <row r="44" spans="1:15" x14ac:dyDescent="0.25">
      <c r="A44" s="2" t="s">
        <v>71</v>
      </c>
      <c r="B44" s="25">
        <f>SUM($B$34:B34)*$B$27/4</f>
        <v>0</v>
      </c>
      <c r="C44" s="25">
        <f>SUM($B$34:C34)*$B$27/4</f>
        <v>1000000</v>
      </c>
      <c r="D44" s="25">
        <f>SUM($B$34:D34)*$B$27/4</f>
        <v>2000000</v>
      </c>
      <c r="E44" s="25">
        <f>SUM($B$34:E34)*$B$27/4</f>
        <v>3250000</v>
      </c>
      <c r="F44" s="25">
        <f>SUM($B$34:F34)*$B$27/4</f>
        <v>3250000</v>
      </c>
      <c r="G44" s="25">
        <f>SUM($B$34:G34)*$B$27/4</f>
        <v>3250000</v>
      </c>
      <c r="H44" s="25">
        <f>SUM($B$34:H34)*$B$27/4</f>
        <v>3250000</v>
      </c>
      <c r="I44" s="25">
        <f>SUM($B$34:I34)*$B$27/4</f>
        <v>2437500</v>
      </c>
      <c r="J44" s="25">
        <f>SUM($B$34:J34)*$B$27/4</f>
        <v>1625000</v>
      </c>
      <c r="K44" s="25">
        <f>SUM($B$34:K34)*$B$27/4</f>
        <v>812500</v>
      </c>
      <c r="L44" s="25">
        <f>SUM($B$34:L34)*$B$27/4</f>
        <v>0</v>
      </c>
      <c r="M44" s="27">
        <f t="shared" si="4"/>
        <v>20875000</v>
      </c>
    </row>
    <row r="45" spans="1:15" ht="15.75" thickBot="1" x14ac:dyDescent="0.3">
      <c r="A45" s="58" t="s">
        <v>27</v>
      </c>
      <c r="B45" s="59">
        <f t="shared" ref="B45:M45" si="8">SUM(B40:B44)</f>
        <v>62453044</v>
      </c>
      <c r="C45" s="59">
        <f t="shared" si="8"/>
        <v>31690700.800000004</v>
      </c>
      <c r="D45" s="59">
        <f t="shared" si="8"/>
        <v>31739287.999999993</v>
      </c>
      <c r="E45" s="59">
        <f t="shared" si="8"/>
        <v>43515724.011564121</v>
      </c>
      <c r="F45" s="59">
        <f t="shared" si="8"/>
        <v>81578170.823128238</v>
      </c>
      <c r="G45" s="59">
        <f t="shared" si="8"/>
        <v>95532768.823128238</v>
      </c>
      <c r="H45" s="59">
        <f t="shared" si="8"/>
        <v>66495802.423128247</v>
      </c>
      <c r="I45" s="59">
        <f t="shared" si="8"/>
        <v>67233318.423128247</v>
      </c>
      <c r="J45" s="59">
        <f t="shared" si="8"/>
        <v>67661774.034692362</v>
      </c>
      <c r="K45" s="59">
        <f t="shared" si="8"/>
        <v>43841090.446256481</v>
      </c>
      <c r="L45" s="59">
        <f t="shared" si="8"/>
        <v>14778862.446256492</v>
      </c>
      <c r="M45" s="43">
        <f t="shared" si="8"/>
        <v>606520544.23128235</v>
      </c>
      <c r="O45" s="1"/>
    </row>
    <row r="46" spans="1:15" ht="15.75" thickBot="1" x14ac:dyDescent="0.3">
      <c r="A46" s="85" t="s">
        <v>32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O46" s="1"/>
    </row>
    <row r="47" spans="1:15" x14ac:dyDescent="0.25">
      <c r="A47" s="29" t="s">
        <v>33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60"/>
    </row>
    <row r="48" spans="1:15" x14ac:dyDescent="0.25">
      <c r="A48" s="2" t="s">
        <v>34</v>
      </c>
      <c r="B48" s="31">
        <v>0</v>
      </c>
      <c r="C48" s="31">
        <f t="shared" ref="C48:L48" si="9">B50</f>
        <v>271560</v>
      </c>
      <c r="D48" s="31">
        <f t="shared" si="9"/>
        <v>8580859.1999999955</v>
      </c>
      <c r="E48" s="31">
        <f>D50</f>
        <v>27721571.200000003</v>
      </c>
      <c r="F48" s="31">
        <f t="shared" si="9"/>
        <v>49459180.521769218</v>
      </c>
      <c r="G48" s="31">
        <f t="shared" si="9"/>
        <v>57438343.031974323</v>
      </c>
      <c r="H48" s="31">
        <f t="shared" si="9"/>
        <v>81222907.542179435</v>
      </c>
      <c r="I48" s="31">
        <f t="shared" si="9"/>
        <v>167175105.11905119</v>
      </c>
      <c r="J48" s="31">
        <f t="shared" si="9"/>
        <v>219889786.69592294</v>
      </c>
      <c r="K48" s="31">
        <f t="shared" si="9"/>
        <v>259696012.66123056</v>
      </c>
      <c r="L48" s="31">
        <f t="shared" si="9"/>
        <v>261498922.21497408</v>
      </c>
      <c r="M48" s="33">
        <f>L50</f>
        <v>239879455.76871759</v>
      </c>
      <c r="N48" s="1"/>
      <c r="O48" s="1"/>
    </row>
    <row r="49" spans="1:14" x14ac:dyDescent="0.25">
      <c r="A49" s="2" t="s">
        <v>35</v>
      </c>
      <c r="B49" s="31">
        <f t="shared" ref="B49:L49" si="10">B38-B45</f>
        <v>271560</v>
      </c>
      <c r="C49" s="31">
        <f t="shared" si="10"/>
        <v>8309299.1999999955</v>
      </c>
      <c r="D49" s="31">
        <f t="shared" si="10"/>
        <v>19140712.000000007</v>
      </c>
      <c r="E49" s="31">
        <f t="shared" si="10"/>
        <v>21737609.321769215</v>
      </c>
      <c r="F49" s="31">
        <f t="shared" si="10"/>
        <v>7979162.5102051049</v>
      </c>
      <c r="G49" s="31">
        <f t="shared" si="10"/>
        <v>23784564.510205105</v>
      </c>
      <c r="H49" s="31">
        <f t="shared" si="10"/>
        <v>85952197.576871753</v>
      </c>
      <c r="I49" s="31">
        <f t="shared" si="10"/>
        <v>52714681.576871753</v>
      </c>
      <c r="J49" s="31">
        <f t="shared" si="10"/>
        <v>39806225.965307638</v>
      </c>
      <c r="K49" s="31">
        <f t="shared" si="10"/>
        <v>1802909.5537435189</v>
      </c>
      <c r="L49" s="31">
        <f t="shared" si="10"/>
        <v>-21619466.446256492</v>
      </c>
      <c r="M49" s="33"/>
      <c r="N49" s="1"/>
    </row>
    <row r="50" spans="1:14" ht="15.75" thickBot="1" x14ac:dyDescent="0.3">
      <c r="A50" s="16" t="s">
        <v>36</v>
      </c>
      <c r="B50" s="42">
        <f t="shared" ref="B50:L50" si="11">B48+B49</f>
        <v>271560</v>
      </c>
      <c r="C50" s="42">
        <f t="shared" si="11"/>
        <v>8580859.1999999955</v>
      </c>
      <c r="D50" s="42">
        <f t="shared" si="11"/>
        <v>27721571.200000003</v>
      </c>
      <c r="E50" s="42">
        <f t="shared" si="11"/>
        <v>49459180.521769218</v>
      </c>
      <c r="F50" s="42">
        <f t="shared" si="11"/>
        <v>57438343.031974323</v>
      </c>
      <c r="G50" s="42">
        <f t="shared" si="11"/>
        <v>81222907.542179435</v>
      </c>
      <c r="H50" s="42">
        <f t="shared" si="11"/>
        <v>167175105.11905119</v>
      </c>
      <c r="I50" s="42">
        <f t="shared" si="11"/>
        <v>219889786.69592294</v>
      </c>
      <c r="J50" s="42">
        <f t="shared" si="11"/>
        <v>259696012.66123056</v>
      </c>
      <c r="K50" s="42">
        <f t="shared" si="11"/>
        <v>261498922.21497408</v>
      </c>
      <c r="L50" s="42">
        <f t="shared" si="11"/>
        <v>239879455.76871759</v>
      </c>
      <c r="M50" s="38"/>
      <c r="N50" s="1"/>
    </row>
    <row r="51" spans="1:14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4" x14ac:dyDescent="0.25">
      <c r="A52" s="86" t="s">
        <v>73</v>
      </c>
      <c r="B52" s="87">
        <f>+(M48+M44+B32+B33+B35)/(M44+SUM(B34:G34))</f>
        <v>2.1440202801572004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4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4" ht="15.75" thickBot="1" x14ac:dyDescent="0.3">
      <c r="A54" s="34" t="s">
        <v>37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4" x14ac:dyDescent="0.25">
      <c r="A55" s="29" t="s">
        <v>31</v>
      </c>
      <c r="B55" s="61">
        <v>0.53700000000000003</v>
      </c>
      <c r="C55" s="61">
        <v>0.28000000000000003</v>
      </c>
      <c r="D55" s="61">
        <f>1-SUM(B55:C55)</f>
        <v>0.18299999999999994</v>
      </c>
      <c r="E55" s="61">
        <v>0</v>
      </c>
      <c r="F55" s="61">
        <v>0</v>
      </c>
      <c r="G55" s="61">
        <f>1-SUM(B55:F55)</f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62">
        <f>SUM(B55:L55)</f>
        <v>1</v>
      </c>
    </row>
    <row r="56" spans="1:14" x14ac:dyDescent="0.25">
      <c r="A56" s="30" t="s">
        <v>18</v>
      </c>
      <c r="B56" s="63">
        <v>0</v>
      </c>
      <c r="C56" s="63">
        <v>0</v>
      </c>
      <c r="D56" s="63">
        <v>0</v>
      </c>
      <c r="E56" s="63">
        <v>0.05</v>
      </c>
      <c r="F56" s="63">
        <v>0.1</v>
      </c>
      <c r="G56" s="63">
        <v>0.1</v>
      </c>
      <c r="H56" s="63">
        <v>0.1</v>
      </c>
      <c r="I56" s="63">
        <v>0.1</v>
      </c>
      <c r="J56" s="63">
        <v>0.15</v>
      </c>
      <c r="K56" s="63">
        <v>0.2</v>
      </c>
      <c r="L56" s="63">
        <f>1-SUM(B56:K56)</f>
        <v>0.19999999999999996</v>
      </c>
      <c r="M56" s="64">
        <f>SUM(B56:L56)</f>
        <v>1</v>
      </c>
    </row>
    <row r="57" spans="1:14" x14ac:dyDescent="0.25">
      <c r="A57" s="2" t="s">
        <v>3</v>
      </c>
      <c r="B57" s="63">
        <v>0.1052</v>
      </c>
      <c r="C57" s="63">
        <v>0.05</v>
      </c>
      <c r="D57" s="63">
        <v>0.05</v>
      </c>
      <c r="E57" s="63">
        <v>0.1</v>
      </c>
      <c r="F57" s="63">
        <v>0.1</v>
      </c>
      <c r="G57" s="63">
        <v>0.1</v>
      </c>
      <c r="H57" s="63">
        <v>0.1</v>
      </c>
      <c r="I57" s="63">
        <v>0.1</v>
      </c>
      <c r="J57" s="63">
        <v>0.1</v>
      </c>
      <c r="K57" s="63">
        <v>0.1</v>
      </c>
      <c r="L57" s="63">
        <f>1-SUM(B57:K57)</f>
        <v>9.4800000000000106E-2</v>
      </c>
      <c r="M57" s="64">
        <f>SUM(B57:L57)</f>
        <v>1</v>
      </c>
    </row>
    <row r="58" spans="1:14" ht="15.75" thickBot="1" x14ac:dyDescent="0.3">
      <c r="A58" s="16" t="s">
        <v>68</v>
      </c>
      <c r="B58" s="95">
        <v>0</v>
      </c>
      <c r="C58" s="95">
        <v>0</v>
      </c>
      <c r="D58" s="95">
        <v>0</v>
      </c>
      <c r="E58" s="95">
        <v>0.1</v>
      </c>
      <c r="F58" s="95">
        <v>0.1</v>
      </c>
      <c r="G58" s="95">
        <v>0.1</v>
      </c>
      <c r="H58" s="95">
        <v>0.1</v>
      </c>
      <c r="I58" s="95">
        <v>0.1</v>
      </c>
      <c r="J58" s="95">
        <v>0.1</v>
      </c>
      <c r="K58" s="95">
        <v>0.1</v>
      </c>
      <c r="L58" s="95">
        <f>1-SUM(B58:K58)</f>
        <v>0.30000000000000004</v>
      </c>
      <c r="M58" s="96">
        <f>SUM(B58:L58)</f>
        <v>1</v>
      </c>
    </row>
    <row r="59" spans="1:14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4" ht="15.75" thickBot="1" x14ac:dyDescent="0.3">
      <c r="A60" s="2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4"/>
    </row>
    <row r="61" spans="1:14" x14ac:dyDescent="0.25">
      <c r="A61" s="29" t="s">
        <v>43</v>
      </c>
      <c r="B61" s="65">
        <f>+C6</f>
        <v>1344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60"/>
    </row>
    <row r="62" spans="1:14" x14ac:dyDescent="0.25">
      <c r="A62" s="2" t="s">
        <v>62</v>
      </c>
      <c r="B62" s="66"/>
      <c r="C62" s="66">
        <f t="shared" ref="C62:L62" si="12">+B126</f>
        <v>0</v>
      </c>
      <c r="D62" s="66">
        <f t="shared" si="12"/>
        <v>0</v>
      </c>
      <c r="E62" s="66">
        <f t="shared" si="12"/>
        <v>128</v>
      </c>
      <c r="F62" s="66">
        <f t="shared" si="12"/>
        <v>256</v>
      </c>
      <c r="G62" s="66">
        <f t="shared" si="12"/>
        <v>960</v>
      </c>
      <c r="H62" s="66">
        <f t="shared" si="12"/>
        <v>0</v>
      </c>
      <c r="I62" s="66">
        <f t="shared" si="12"/>
        <v>0</v>
      </c>
      <c r="J62" s="66">
        <f t="shared" si="12"/>
        <v>0</v>
      </c>
      <c r="K62" s="66">
        <f t="shared" si="12"/>
        <v>0</v>
      </c>
      <c r="L62" s="66">
        <f t="shared" si="12"/>
        <v>0</v>
      </c>
      <c r="M62" s="67">
        <f>SUM(B62:L62)</f>
        <v>1344</v>
      </c>
    </row>
    <row r="63" spans="1:14" x14ac:dyDescent="0.25">
      <c r="A63" s="2" t="s">
        <v>44</v>
      </c>
      <c r="B63" s="31"/>
      <c r="C63" s="31">
        <f t="shared" ref="C63:L63" si="13">+($C$9*$B$10)*C62</f>
        <v>0</v>
      </c>
      <c r="D63" s="31">
        <f t="shared" si="13"/>
        <v>0</v>
      </c>
      <c r="E63" s="31">
        <f t="shared" si="13"/>
        <v>41333.759999999995</v>
      </c>
      <c r="F63" s="31">
        <f t="shared" si="13"/>
        <v>82667.51999999999</v>
      </c>
      <c r="G63" s="31">
        <f t="shared" si="13"/>
        <v>310003.19999999995</v>
      </c>
      <c r="H63" s="31">
        <f t="shared" si="13"/>
        <v>0</v>
      </c>
      <c r="I63" s="31">
        <f t="shared" si="13"/>
        <v>0</v>
      </c>
      <c r="J63" s="31">
        <f t="shared" si="13"/>
        <v>0</v>
      </c>
      <c r="K63" s="31">
        <f t="shared" si="13"/>
        <v>0</v>
      </c>
      <c r="L63" s="31">
        <f t="shared" si="13"/>
        <v>0</v>
      </c>
      <c r="M63" s="33">
        <f>SUM(B63:L63)</f>
        <v>434004.47999999992</v>
      </c>
    </row>
    <row r="64" spans="1:14" x14ac:dyDescent="0.25">
      <c r="A64" s="2" t="s">
        <v>5</v>
      </c>
      <c r="B64" s="25">
        <v>900</v>
      </c>
      <c r="C64" s="14"/>
      <c r="D64" s="14"/>
      <c r="E64" s="68"/>
      <c r="F64" s="68"/>
      <c r="G64" s="68"/>
      <c r="H64" s="68"/>
      <c r="I64" s="68"/>
      <c r="J64" s="68"/>
      <c r="K64" s="68"/>
      <c r="L64" s="68"/>
      <c r="M64" s="67"/>
    </row>
    <row r="65" spans="1:13" x14ac:dyDescent="0.25">
      <c r="A65" s="2" t="s">
        <v>45</v>
      </c>
      <c r="B65" s="25">
        <v>200</v>
      </c>
      <c r="C65" s="68">
        <f>+$B$64</f>
        <v>900</v>
      </c>
      <c r="D65" s="69">
        <f>+B65/C65</f>
        <v>0.22222222222222221</v>
      </c>
      <c r="E65" s="14"/>
      <c r="F65" s="14"/>
      <c r="G65" s="14"/>
      <c r="H65" s="14"/>
      <c r="I65" s="14"/>
      <c r="J65" s="14"/>
      <c r="K65" s="14"/>
      <c r="L65" s="14"/>
      <c r="M65" s="26"/>
    </row>
    <row r="66" spans="1:13" x14ac:dyDescent="0.25">
      <c r="A66" s="2" t="s">
        <v>46</v>
      </c>
      <c r="B66" s="25">
        <v>400</v>
      </c>
      <c r="C66" s="68">
        <f>+$B$64</f>
        <v>900</v>
      </c>
      <c r="D66" s="69">
        <f t="shared" ref="D66:D67" si="14">+B66/C66</f>
        <v>0.44444444444444442</v>
      </c>
      <c r="E66" s="14"/>
      <c r="F66" s="14"/>
      <c r="G66" s="14"/>
      <c r="H66" s="14"/>
      <c r="I66" s="14"/>
      <c r="J66" s="14"/>
      <c r="K66" s="14"/>
      <c r="L66" s="14"/>
      <c r="M66" s="26"/>
    </row>
    <row r="67" spans="1:13" ht="15.75" thickBot="1" x14ac:dyDescent="0.3">
      <c r="A67" s="16" t="s">
        <v>47</v>
      </c>
      <c r="B67" s="36">
        <f>+B64-SUM(B65:B66)</f>
        <v>300</v>
      </c>
      <c r="C67" s="70">
        <f>+$B$64</f>
        <v>900</v>
      </c>
      <c r="D67" s="71">
        <f t="shared" si="14"/>
        <v>0.33333333333333331</v>
      </c>
      <c r="E67" s="17"/>
      <c r="F67" s="17"/>
      <c r="G67" s="17" t="s">
        <v>74</v>
      </c>
      <c r="H67" s="17"/>
      <c r="I67" s="17"/>
      <c r="J67" s="17"/>
      <c r="K67" s="17"/>
      <c r="L67" s="17"/>
      <c r="M67" s="72"/>
    </row>
    <row r="68" spans="1:13" ht="15.75" thickBot="1" x14ac:dyDescent="0.3">
      <c r="A68" s="73"/>
      <c r="B68" s="48" t="str">
        <f t="shared" ref="B68:M68" si="15">B30</f>
        <v>As on Date</v>
      </c>
      <c r="C68" s="49" t="str">
        <f t="shared" si="15"/>
        <v>3rd Qt</v>
      </c>
      <c r="D68" s="47" t="str">
        <f t="shared" si="15"/>
        <v>4th Qt</v>
      </c>
      <c r="E68" s="48" t="str">
        <f t="shared" si="15"/>
        <v>1st Qtr</v>
      </c>
      <c r="F68" s="48" t="str">
        <f t="shared" si="15"/>
        <v>2nd Qt</v>
      </c>
      <c r="G68" s="49" t="str">
        <f t="shared" si="15"/>
        <v>3rd Qt</v>
      </c>
      <c r="H68" s="47" t="str">
        <f t="shared" si="15"/>
        <v>4th Qtr</v>
      </c>
      <c r="I68" s="48" t="str">
        <f t="shared" si="15"/>
        <v>1st Qtr</v>
      </c>
      <c r="J68" s="48" t="str">
        <f t="shared" si="15"/>
        <v>2nd Qt</v>
      </c>
      <c r="K68" s="49" t="str">
        <f t="shared" si="15"/>
        <v>3rd Qt</v>
      </c>
      <c r="L68" s="47" t="str">
        <f t="shared" si="15"/>
        <v>4th Qtr</v>
      </c>
      <c r="M68" s="50" t="str">
        <f t="shared" si="15"/>
        <v>TOTAL</v>
      </c>
    </row>
    <row r="69" spans="1:13" x14ac:dyDescent="0.25">
      <c r="A69" s="9" t="s">
        <v>45</v>
      </c>
      <c r="B69" s="19">
        <f>+($C$63*$B$65)</f>
        <v>0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79">
        <f>SUM(B69:L69)</f>
        <v>0</v>
      </c>
    </row>
    <row r="70" spans="1:13" x14ac:dyDescent="0.25">
      <c r="A70" s="2" t="s">
        <v>45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7">
        <f t="shared" ref="M70:M75" si="16">SUM(B70:J70)</f>
        <v>0</v>
      </c>
    </row>
    <row r="71" spans="1:13" x14ac:dyDescent="0.25">
      <c r="A71" s="2" t="s">
        <v>45</v>
      </c>
      <c r="B71" s="25">
        <f>+($E$63*$B$65)*100%+1042252</f>
        <v>9309004</v>
      </c>
      <c r="C71" s="25"/>
      <c r="D71" s="25"/>
      <c r="E71" s="25"/>
      <c r="F71" s="37"/>
      <c r="G71" s="37"/>
      <c r="H71" s="37"/>
      <c r="I71" s="37"/>
      <c r="J71" s="37"/>
      <c r="K71" s="37"/>
      <c r="L71" s="37"/>
      <c r="M71" s="54">
        <f t="shared" si="16"/>
        <v>9309004</v>
      </c>
    </row>
    <row r="72" spans="1:13" x14ac:dyDescent="0.25">
      <c r="A72" s="2" t="s">
        <v>45</v>
      </c>
      <c r="B72" s="37"/>
      <c r="C72" s="37"/>
      <c r="D72" s="37"/>
      <c r="E72" s="25">
        <f>+($F$63*$B$65)/2-521126</f>
        <v>7745625.9999999991</v>
      </c>
      <c r="F72" s="25">
        <f>+($F$63*$B$65)/2-521126</f>
        <v>7745625.9999999991</v>
      </c>
      <c r="G72" s="37"/>
      <c r="H72" s="37"/>
      <c r="I72" s="37"/>
      <c r="J72" s="37"/>
      <c r="K72" s="37"/>
      <c r="L72" s="37"/>
      <c r="M72" s="54">
        <f t="shared" si="16"/>
        <v>15491251.999999998</v>
      </c>
    </row>
    <row r="73" spans="1:13" x14ac:dyDescent="0.25">
      <c r="A73" s="2" t="s">
        <v>45</v>
      </c>
      <c r="B73" s="37"/>
      <c r="C73" s="37"/>
      <c r="D73" s="37"/>
      <c r="E73" s="37"/>
      <c r="F73" s="25">
        <f>+($G$63*$B$65)/2</f>
        <v>31000319.999999996</v>
      </c>
      <c r="G73" s="25">
        <f>+($G$63*$B$65)/2</f>
        <v>31000319.999999996</v>
      </c>
      <c r="H73" s="37"/>
      <c r="I73" s="37"/>
      <c r="J73" s="37"/>
      <c r="K73" s="37"/>
      <c r="L73" s="37"/>
      <c r="M73" s="54">
        <f t="shared" si="16"/>
        <v>62000639.999999993</v>
      </c>
    </row>
    <row r="74" spans="1:13" x14ac:dyDescent="0.25">
      <c r="A74" s="2" t="s">
        <v>45</v>
      </c>
      <c r="B74" s="37"/>
      <c r="C74" s="37"/>
      <c r="D74" s="37"/>
      <c r="E74" s="25">
        <f>+($H$63*$B$65)</f>
        <v>0</v>
      </c>
      <c r="F74" s="25"/>
      <c r="G74" s="37"/>
      <c r="H74" s="37"/>
      <c r="I74" s="37"/>
      <c r="J74" s="37"/>
      <c r="K74" s="37"/>
      <c r="L74" s="37"/>
      <c r="M74" s="54">
        <f t="shared" si="16"/>
        <v>0</v>
      </c>
    </row>
    <row r="75" spans="1:13" ht="15.75" thickBot="1" x14ac:dyDescent="0.3">
      <c r="A75" s="2" t="s">
        <v>45</v>
      </c>
      <c r="B75" s="37"/>
      <c r="C75" s="37"/>
      <c r="D75" s="37"/>
      <c r="E75" s="37"/>
      <c r="F75" s="25">
        <f>+($I$63*$B$65)</f>
        <v>0</v>
      </c>
      <c r="G75" s="25"/>
      <c r="H75" s="37"/>
      <c r="I75" s="37"/>
      <c r="J75" s="37"/>
      <c r="K75" s="37"/>
      <c r="L75" s="37"/>
      <c r="M75" s="54">
        <f t="shared" si="16"/>
        <v>0</v>
      </c>
    </row>
    <row r="76" spans="1:13" ht="15.75" thickBot="1" x14ac:dyDescent="0.3">
      <c r="A76" s="55" t="s">
        <v>48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7">
        <f>SUM(M69:M75)</f>
        <v>86800896</v>
      </c>
    </row>
    <row r="77" spans="1:13" x14ac:dyDescent="0.25">
      <c r="A77" s="9" t="s">
        <v>46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79">
        <f t="shared" ref="M77:M83" si="17">SUM(B77:J77)</f>
        <v>0</v>
      </c>
    </row>
    <row r="78" spans="1:13" x14ac:dyDescent="0.25">
      <c r="A78" s="2" t="s">
        <v>46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7">
        <f t="shared" si="17"/>
        <v>0</v>
      </c>
    </row>
    <row r="79" spans="1:13" x14ac:dyDescent="0.25">
      <c r="A79" s="2" t="s">
        <v>46</v>
      </c>
      <c r="B79" s="37"/>
      <c r="C79" s="25">
        <f>+($E$63*$B$66)*20%</f>
        <v>3306700.7999999998</v>
      </c>
      <c r="D79" s="25">
        <f>+($E$63*$B$66)*20%</f>
        <v>3306700.7999999998</v>
      </c>
      <c r="E79" s="25">
        <f>+($E$63*$B$66)*20%</f>
        <v>3306700.7999999998</v>
      </c>
      <c r="F79" s="25">
        <f>+($E$63*$B$66)*20%</f>
        <v>3306700.7999999998</v>
      </c>
      <c r="G79" s="25">
        <f>+($E$63*$B$66)*20%</f>
        <v>3306700.7999999998</v>
      </c>
      <c r="H79" s="37"/>
      <c r="I79" s="37"/>
      <c r="J79" s="37"/>
      <c r="K79" s="37"/>
      <c r="L79" s="37"/>
      <c r="M79" s="27">
        <f t="shared" si="17"/>
        <v>16533504</v>
      </c>
    </row>
    <row r="80" spans="1:13" x14ac:dyDescent="0.25">
      <c r="A80" s="2" t="s">
        <v>46</v>
      </c>
      <c r="B80" s="37"/>
      <c r="C80" s="37"/>
      <c r="D80" s="25">
        <f>+($F$63*$B$66)/6</f>
        <v>5511167.9999999991</v>
      </c>
      <c r="E80" s="25">
        <f t="shared" ref="E80:I80" si="18">+($F$63*$B$66)/6</f>
        <v>5511167.9999999991</v>
      </c>
      <c r="F80" s="25">
        <f t="shared" si="18"/>
        <v>5511167.9999999991</v>
      </c>
      <c r="G80" s="25">
        <f t="shared" si="18"/>
        <v>5511167.9999999991</v>
      </c>
      <c r="H80" s="25">
        <f t="shared" si="18"/>
        <v>5511167.9999999991</v>
      </c>
      <c r="I80" s="25">
        <f t="shared" si="18"/>
        <v>5511167.9999999991</v>
      </c>
      <c r="J80" s="37"/>
      <c r="K80" s="37"/>
      <c r="L80" s="37"/>
      <c r="M80" s="27">
        <f t="shared" si="17"/>
        <v>33067007.999999996</v>
      </c>
    </row>
    <row r="81" spans="1:13" x14ac:dyDescent="0.25">
      <c r="A81" s="2" t="s">
        <v>46</v>
      </c>
      <c r="B81" s="37"/>
      <c r="C81" s="37"/>
      <c r="D81" s="37"/>
      <c r="E81" s="25">
        <f>+($G$63*$B$66)*10%</f>
        <v>12400128</v>
      </c>
      <c r="F81" s="25">
        <f>+($G$63*$B$66)*10%</f>
        <v>12400128</v>
      </c>
      <c r="G81" s="25">
        <f>+($G$63*$B$66)*20%</f>
        <v>24800256</v>
      </c>
      <c r="H81" s="25">
        <f t="shared" ref="H81:J81" si="19">+($G$63*$B$66)*20%</f>
        <v>24800256</v>
      </c>
      <c r="I81" s="25">
        <f t="shared" si="19"/>
        <v>24800256</v>
      </c>
      <c r="J81" s="25">
        <f t="shared" si="19"/>
        <v>24800256</v>
      </c>
      <c r="K81" s="37"/>
      <c r="L81" s="37"/>
      <c r="M81" s="27">
        <f t="shared" si="17"/>
        <v>124001280</v>
      </c>
    </row>
    <row r="82" spans="1:13" x14ac:dyDescent="0.25">
      <c r="A82" s="2" t="s">
        <v>46</v>
      </c>
      <c r="B82" s="37"/>
      <c r="C82" s="37"/>
      <c r="D82" s="37"/>
      <c r="E82" s="37"/>
      <c r="F82" s="25">
        <f>+($H$63*$B$66)/4</f>
        <v>0</v>
      </c>
      <c r="G82" s="25">
        <f>+($H$63*$B$66)/4</f>
        <v>0</v>
      </c>
      <c r="H82" s="25">
        <f>+($H$63*$B$66)/4</f>
        <v>0</v>
      </c>
      <c r="I82" s="25">
        <f>+($H$63*$B$66)/4</f>
        <v>0</v>
      </c>
      <c r="J82" s="37"/>
      <c r="K82" s="37"/>
      <c r="L82" s="37"/>
      <c r="M82" s="27">
        <f t="shared" si="17"/>
        <v>0</v>
      </c>
    </row>
    <row r="83" spans="1:13" ht="15.75" thickBot="1" x14ac:dyDescent="0.3">
      <c r="A83" s="2" t="s">
        <v>46</v>
      </c>
      <c r="B83" s="37"/>
      <c r="C83" s="37"/>
      <c r="D83" s="37"/>
      <c r="E83" s="37"/>
      <c r="F83" s="37"/>
      <c r="G83" s="25">
        <f>+($I$63*$B$66)/4</f>
        <v>0</v>
      </c>
      <c r="H83" s="25">
        <f>+($I$63*$B$66)/4</f>
        <v>0</v>
      </c>
      <c r="I83" s="25">
        <f>+($I$63*$B$66)/4</f>
        <v>0</v>
      </c>
      <c r="J83" s="25">
        <f>+($I$63*$B$66)/4</f>
        <v>0</v>
      </c>
      <c r="K83" s="25"/>
      <c r="L83" s="25"/>
      <c r="M83" s="27">
        <f t="shared" si="17"/>
        <v>0</v>
      </c>
    </row>
    <row r="84" spans="1:13" ht="15.75" thickBot="1" x14ac:dyDescent="0.3">
      <c r="A84" s="55" t="s">
        <v>49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7">
        <f>SUM(M77:M83)</f>
        <v>173601792</v>
      </c>
    </row>
    <row r="85" spans="1:13" x14ac:dyDescent="0.25">
      <c r="A85" s="9" t="s">
        <v>47</v>
      </c>
      <c r="B85" s="19"/>
      <c r="C85" s="19">
        <f>+($C$63*$B$67)/5</f>
        <v>0</v>
      </c>
      <c r="D85" s="19">
        <f>+($C$63*$B$67)/5</f>
        <v>0</v>
      </c>
      <c r="E85" s="19">
        <f>+($C$63*$B$67)/5</f>
        <v>0</v>
      </c>
      <c r="F85" s="19">
        <f>+($C$63*$B$67)/5</f>
        <v>0</v>
      </c>
      <c r="G85" s="19"/>
      <c r="H85" s="19"/>
      <c r="I85" s="19"/>
      <c r="J85" s="19"/>
      <c r="K85" s="19"/>
      <c r="L85" s="19"/>
      <c r="M85" s="79">
        <f>SUM(B85:J85)</f>
        <v>0</v>
      </c>
    </row>
    <row r="86" spans="1:13" x14ac:dyDescent="0.25">
      <c r="A86" s="2" t="s">
        <v>47</v>
      </c>
      <c r="B86" s="25"/>
      <c r="C86" s="25">
        <f>+($D$63*$B$67)*15%</f>
        <v>0</v>
      </c>
      <c r="D86" s="25">
        <f>+($D$63*$B$67)*20%</f>
        <v>0</v>
      </c>
      <c r="E86" s="25">
        <f>+($D$63*$B$67)*20%</f>
        <v>0</v>
      </c>
      <c r="F86" s="25">
        <f>+($D$63*$B$67)*20%</f>
        <v>0</v>
      </c>
      <c r="G86" s="25">
        <f>+($D$63*$B$67)*25%</f>
        <v>0</v>
      </c>
      <c r="H86" s="25"/>
      <c r="I86" s="25"/>
      <c r="J86" s="25"/>
      <c r="K86" s="25"/>
      <c r="L86" s="25"/>
      <c r="M86" s="27">
        <f>SUM(B86:J86)</f>
        <v>0</v>
      </c>
    </row>
    <row r="87" spans="1:13" x14ac:dyDescent="0.25">
      <c r="A87" s="2" t="s">
        <v>47</v>
      </c>
      <c r="B87" s="37"/>
      <c r="C87" s="37"/>
      <c r="D87" s="25">
        <f>+($E$63*$B$67)*15%</f>
        <v>1860019.1999999997</v>
      </c>
      <c r="E87" s="25">
        <f>+($E$63*$B$67)*20%</f>
        <v>2480025.5999999996</v>
      </c>
      <c r="F87" s="25">
        <f>+($E$63*$B$67)*20%</f>
        <v>2480025.5999999996</v>
      </c>
      <c r="G87" s="25">
        <f>+($E$63*$B$67)*20%</f>
        <v>2480025.5999999996</v>
      </c>
      <c r="H87" s="25">
        <f>+($E$63*$B$67)*25%</f>
        <v>3100031.9999999995</v>
      </c>
      <c r="I87" s="25"/>
      <c r="J87" s="37"/>
      <c r="K87" s="37"/>
      <c r="L87" s="37"/>
      <c r="M87" s="27">
        <f>SUM(B87:J87)</f>
        <v>12400127.999999998</v>
      </c>
    </row>
    <row r="88" spans="1:13" x14ac:dyDescent="0.25">
      <c r="A88" s="2" t="s">
        <v>47</v>
      </c>
      <c r="B88" s="37"/>
      <c r="C88" s="37"/>
      <c r="D88" s="37"/>
      <c r="E88" s="37"/>
      <c r="F88" s="25">
        <f>+($F$63*$B$67)/5</f>
        <v>4960051.1999999993</v>
      </c>
      <c r="G88" s="25">
        <f>+($F$63*$B$67)/5</f>
        <v>4960051.1999999993</v>
      </c>
      <c r="H88" s="25">
        <f>+($F$63*$B$67)/5</f>
        <v>4960051.1999999993</v>
      </c>
      <c r="I88" s="25">
        <f>+($F$63*$B$67)/5</f>
        <v>4960051.1999999993</v>
      </c>
      <c r="J88" s="25">
        <f>+($F$63*$B$67)/5</f>
        <v>4960051.1999999993</v>
      </c>
      <c r="K88" s="25"/>
      <c r="L88" s="25"/>
      <c r="M88" s="27">
        <f>SUM(B88:K88)</f>
        <v>24800255.999999996</v>
      </c>
    </row>
    <row r="89" spans="1:13" x14ac:dyDescent="0.25">
      <c r="A89" s="2" t="s">
        <v>47</v>
      </c>
      <c r="B89" s="37"/>
      <c r="C89" s="37"/>
      <c r="D89" s="37"/>
      <c r="E89" s="37"/>
      <c r="F89" s="37"/>
      <c r="G89" s="25">
        <f>+($G$63*$B$67)*10%</f>
        <v>9300095.9999999981</v>
      </c>
      <c r="H89" s="25">
        <f>+($G$63*$B$67)*15%</f>
        <v>13950143.999999998</v>
      </c>
      <c r="I89" s="25">
        <f>+($G$63*$B$67)*20%</f>
        <v>18600191.999999996</v>
      </c>
      <c r="J89" s="25">
        <f>+($G$63*$B$67)*25%</f>
        <v>23250239.999999996</v>
      </c>
      <c r="K89" s="25">
        <f>+($G$63*$B$67)*30%</f>
        <v>27900287.999999996</v>
      </c>
      <c r="L89" s="25"/>
      <c r="M89" s="27">
        <f>SUM(B89:K89)</f>
        <v>93000959.999999985</v>
      </c>
    </row>
    <row r="90" spans="1:13" ht="15.75" thickBot="1" x14ac:dyDescent="0.3">
      <c r="A90" s="30" t="s">
        <v>47</v>
      </c>
      <c r="B90" s="37"/>
      <c r="C90" s="37"/>
      <c r="D90" s="37"/>
      <c r="E90" s="37"/>
      <c r="F90" s="37"/>
      <c r="G90" s="37"/>
      <c r="H90" s="25">
        <f>+($H$63*$B$67)/5</f>
        <v>0</v>
      </c>
      <c r="I90" s="25">
        <f>+($H$63*$B$67)/5</f>
        <v>0</v>
      </c>
      <c r="J90" s="25">
        <f>+($H$63*$B$67)/5</f>
        <v>0</v>
      </c>
      <c r="K90" s="25">
        <f>+($H$63*$B$67)/5</f>
        <v>0</v>
      </c>
      <c r="L90" s="25"/>
      <c r="M90" s="27">
        <f>SUM(B90:K90)</f>
        <v>0</v>
      </c>
    </row>
    <row r="91" spans="1:13" ht="15.75" thickBot="1" x14ac:dyDescent="0.3">
      <c r="A91" s="55" t="s">
        <v>50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7">
        <f>SUM(M85:M90)</f>
        <v>130201343.99999997</v>
      </c>
    </row>
    <row r="92" spans="1:13" ht="15.75" thickBot="1" x14ac:dyDescent="0.3">
      <c r="A92" s="55" t="s">
        <v>51</v>
      </c>
      <c r="B92" s="56">
        <f t="shared" ref="B92:L92" si="20">SUM(B69:B91)</f>
        <v>9309004</v>
      </c>
      <c r="C92" s="56">
        <f t="shared" si="20"/>
        <v>3306700.7999999998</v>
      </c>
      <c r="D92" s="56">
        <f t="shared" si="20"/>
        <v>10677887.999999998</v>
      </c>
      <c r="E92" s="56">
        <f>SUM(E69:E91)</f>
        <v>31443648.399999999</v>
      </c>
      <c r="F92" s="56">
        <f t="shared" si="20"/>
        <v>67404019.599999994</v>
      </c>
      <c r="G92" s="56">
        <f t="shared" si="20"/>
        <v>81358617.599999994</v>
      </c>
      <c r="H92" s="56">
        <f t="shared" si="20"/>
        <v>52321651.200000003</v>
      </c>
      <c r="I92" s="56">
        <f t="shared" si="20"/>
        <v>53871667.200000003</v>
      </c>
      <c r="J92" s="56">
        <f t="shared" si="20"/>
        <v>53010547.199999996</v>
      </c>
      <c r="K92" s="56">
        <f t="shared" si="20"/>
        <v>27900287.999999996</v>
      </c>
      <c r="L92" s="56">
        <f t="shared" si="20"/>
        <v>0</v>
      </c>
      <c r="M92" s="57">
        <f>SUM(B92:L92)</f>
        <v>390604031.99999994</v>
      </c>
    </row>
    <row r="93" spans="1:13" ht="15.75" thickBo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x14ac:dyDescent="0.25">
      <c r="A94" s="29" t="s">
        <v>52</v>
      </c>
      <c r="B94" s="60" t="s">
        <v>63</v>
      </c>
      <c r="C94" s="60" t="s">
        <v>64</v>
      </c>
      <c r="D94" s="84"/>
      <c r="E94" s="4"/>
      <c r="F94" s="4"/>
      <c r="G94" s="4"/>
      <c r="H94" s="4"/>
      <c r="I94" s="4"/>
      <c r="J94" s="4"/>
      <c r="K94" s="4"/>
      <c r="L94" s="4"/>
      <c r="M94" s="4"/>
    </row>
    <row r="95" spans="1:13" x14ac:dyDescent="0.25">
      <c r="A95" s="2" t="s">
        <v>53</v>
      </c>
      <c r="B95" s="27">
        <v>5000</v>
      </c>
      <c r="C95" s="27"/>
      <c r="D95" s="4"/>
      <c r="E95" s="35">
        <f>$M$124*SUM(B95+C95)</f>
        <v>6720000</v>
      </c>
      <c r="F95" s="4"/>
      <c r="G95" s="4"/>
      <c r="H95" s="4"/>
      <c r="I95" s="4"/>
      <c r="J95" s="4"/>
      <c r="K95" s="4"/>
      <c r="L95" s="4"/>
      <c r="M95" s="4"/>
    </row>
    <row r="96" spans="1:13" x14ac:dyDescent="0.25">
      <c r="A96" s="2" t="s">
        <v>54</v>
      </c>
      <c r="B96" s="27">
        <v>70000</v>
      </c>
      <c r="C96" s="27">
        <v>60000</v>
      </c>
      <c r="D96" s="35"/>
      <c r="E96" s="35">
        <f>$M$124*SUM(B96+C96)</f>
        <v>174720000</v>
      </c>
      <c r="F96" s="4"/>
      <c r="G96" s="4"/>
      <c r="H96" s="4"/>
      <c r="I96" s="4"/>
      <c r="J96" s="4"/>
      <c r="K96" s="4"/>
      <c r="L96" s="4"/>
      <c r="M96" s="4"/>
    </row>
    <row r="97" spans="1:13" x14ac:dyDescent="0.25">
      <c r="A97" s="2" t="s">
        <v>46</v>
      </c>
      <c r="B97" s="27">
        <v>70000</v>
      </c>
      <c r="C97" s="27">
        <v>60000</v>
      </c>
      <c r="D97" s="35"/>
      <c r="E97" s="35">
        <f>$M$124*SUM(B97+C97)</f>
        <v>174720000</v>
      </c>
      <c r="F97" s="4"/>
      <c r="G97" s="4"/>
      <c r="H97" s="4"/>
      <c r="I97" s="4"/>
      <c r="J97" s="4"/>
      <c r="K97" s="4"/>
      <c r="L97" s="4"/>
      <c r="M97" s="4"/>
    </row>
    <row r="98" spans="1:13" x14ac:dyDescent="0.25">
      <c r="A98" s="2" t="s">
        <v>55</v>
      </c>
      <c r="B98" s="27">
        <v>105000</v>
      </c>
      <c r="C98" s="27">
        <v>50000</v>
      </c>
      <c r="D98" s="35"/>
      <c r="E98" s="35">
        <f>$M$124*SUM(B98+C98)</f>
        <v>208320000</v>
      </c>
      <c r="F98" s="35"/>
      <c r="G98" s="4"/>
      <c r="H98" s="4"/>
      <c r="I98" s="4"/>
      <c r="J98" s="4"/>
      <c r="K98" s="4"/>
      <c r="L98" s="4"/>
      <c r="M98" s="4"/>
    </row>
    <row r="99" spans="1:13" ht="15.75" thickBot="1" x14ac:dyDescent="0.3">
      <c r="A99" s="16" t="s">
        <v>56</v>
      </c>
      <c r="B99" s="74">
        <v>100000</v>
      </c>
      <c r="C99" s="74">
        <v>80000</v>
      </c>
      <c r="D99" s="35"/>
      <c r="E99" s="35">
        <f>$M$124*SUM(B99+C99)</f>
        <v>241920000</v>
      </c>
      <c r="F99" s="4"/>
      <c r="G99" s="4"/>
      <c r="H99" s="4"/>
      <c r="I99" s="4"/>
      <c r="J99" s="4"/>
      <c r="K99" s="4"/>
      <c r="L99" s="4"/>
      <c r="M99" s="4"/>
    </row>
    <row r="100" spans="1:13" x14ac:dyDescent="0.25">
      <c r="A100" s="23" t="s">
        <v>57</v>
      </c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2"/>
    </row>
    <row r="101" spans="1:13" x14ac:dyDescent="0.25">
      <c r="A101" s="2" t="s">
        <v>53</v>
      </c>
      <c r="B101" s="25"/>
      <c r="C101" s="25"/>
      <c r="D101" s="25">
        <f>$B$95*(E126+D126+F126)</f>
        <v>6720000</v>
      </c>
      <c r="E101" s="25"/>
      <c r="F101" s="25"/>
      <c r="G101" s="25"/>
      <c r="H101" s="25"/>
      <c r="I101" s="25"/>
      <c r="J101" s="25"/>
      <c r="K101" s="25"/>
      <c r="L101" s="25"/>
      <c r="M101" s="27">
        <f>SUM(B101:L101)</f>
        <v>6720000</v>
      </c>
    </row>
    <row r="102" spans="1:13" x14ac:dyDescent="0.25">
      <c r="A102" s="2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7"/>
    </row>
    <row r="103" spans="1:13" x14ac:dyDescent="0.25">
      <c r="A103" s="2" t="s">
        <v>54</v>
      </c>
      <c r="B103" s="25"/>
      <c r="C103" s="25"/>
      <c r="D103" s="25">
        <f>(($B$96+$C$96)*$D$126)/4</f>
        <v>4160000</v>
      </c>
      <c r="E103" s="25">
        <f>(($B$96+$C$96)*$D$126)/4</f>
        <v>4160000</v>
      </c>
      <c r="F103" s="25">
        <f t="shared" ref="F103:G103" si="21">(($B$96+$C$96)*$D$126)/4</f>
        <v>4160000</v>
      </c>
      <c r="G103" s="25">
        <f t="shared" si="21"/>
        <v>4160000</v>
      </c>
      <c r="H103" s="25"/>
      <c r="I103" s="25"/>
      <c r="J103" s="25"/>
      <c r="K103" s="25"/>
      <c r="L103" s="25"/>
      <c r="M103" s="27">
        <f>SUM(B103:L103)</f>
        <v>16640000</v>
      </c>
    </row>
    <row r="104" spans="1:13" x14ac:dyDescent="0.25">
      <c r="A104" s="2" t="s">
        <v>54</v>
      </c>
      <c r="B104" s="25"/>
      <c r="C104" s="25"/>
      <c r="D104" s="25"/>
      <c r="E104" s="25">
        <f>(($B$96+$C$96)*$E$126)/3</f>
        <v>11093333.333333334</v>
      </c>
      <c r="F104" s="25">
        <f t="shared" ref="F104:G104" si="22">(($B$96+$C$96)*$E$126)/3</f>
        <v>11093333.333333334</v>
      </c>
      <c r="G104" s="25">
        <f t="shared" si="22"/>
        <v>11093333.333333334</v>
      </c>
      <c r="H104" s="25"/>
      <c r="I104" s="25"/>
      <c r="J104" s="25"/>
      <c r="K104" s="25"/>
      <c r="L104" s="25"/>
      <c r="M104" s="27">
        <f>SUM(B104:L104)</f>
        <v>33280000</v>
      </c>
    </row>
    <row r="105" spans="1:13" x14ac:dyDescent="0.25">
      <c r="A105" s="2" t="s">
        <v>54</v>
      </c>
      <c r="B105" s="25"/>
      <c r="C105" s="25"/>
      <c r="D105" s="25"/>
      <c r="E105" s="25"/>
      <c r="F105" s="25">
        <f t="shared" ref="F105" si="23">(($B$96+$C$96)*$F$126)/5</f>
        <v>24960000</v>
      </c>
      <c r="G105" s="25">
        <f>(($B$96+$C$96)*$F$126)/5</f>
        <v>24960000</v>
      </c>
      <c r="H105" s="25">
        <f t="shared" ref="H105:J105" si="24">(($B$96+$C$96)*$F$126)/5</f>
        <v>24960000</v>
      </c>
      <c r="I105" s="25">
        <f t="shared" si="24"/>
        <v>24960000</v>
      </c>
      <c r="J105" s="25">
        <f t="shared" si="24"/>
        <v>24960000</v>
      </c>
      <c r="K105" s="25"/>
      <c r="L105" s="25"/>
      <c r="M105" s="27">
        <f>SUM(B105:L105)</f>
        <v>124800000</v>
      </c>
    </row>
    <row r="106" spans="1:13" x14ac:dyDescent="0.25">
      <c r="A106" s="2" t="s">
        <v>54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7">
        <f>SUM(B106:L106)</f>
        <v>0</v>
      </c>
    </row>
    <row r="107" spans="1:13" x14ac:dyDescent="0.25">
      <c r="A107" s="2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7"/>
    </row>
    <row r="108" spans="1:13" x14ac:dyDescent="0.25">
      <c r="A108" s="2" t="s">
        <v>46</v>
      </c>
      <c r="B108" s="25"/>
      <c r="C108" s="25"/>
      <c r="D108" s="25"/>
      <c r="E108" s="25"/>
      <c r="F108" s="25">
        <f>(($B$97+$C$97)*$D$126)/4</f>
        <v>4160000</v>
      </c>
      <c r="G108" s="25">
        <f>(($B$97+$C$97)*$D$126)/4</f>
        <v>4160000</v>
      </c>
      <c r="H108" s="25">
        <f>(($B$97+$C$97)*$D$126)/4</f>
        <v>4160000</v>
      </c>
      <c r="I108" s="25">
        <f>(($B$97+$C$97)*$D$126)/4</f>
        <v>4160000</v>
      </c>
      <c r="J108" s="25"/>
      <c r="K108" s="25"/>
      <c r="L108" s="25"/>
      <c r="M108" s="27">
        <f>SUM(B108:L108)</f>
        <v>16640000</v>
      </c>
    </row>
    <row r="109" spans="1:13" x14ac:dyDescent="0.25">
      <c r="A109" s="2" t="s">
        <v>46</v>
      </c>
      <c r="B109" s="25"/>
      <c r="C109" s="25"/>
      <c r="D109" s="25"/>
      <c r="E109" s="25"/>
      <c r="F109" s="25">
        <f>(($B$97+$C$97)*$E$126)/4</f>
        <v>8320000</v>
      </c>
      <c r="G109" s="25">
        <f>(($B$97+$C$97)*$E$126)/4</f>
        <v>8320000</v>
      </c>
      <c r="H109" s="25">
        <f>(($B$97+$C$97)*$E$126)/4</f>
        <v>8320000</v>
      </c>
      <c r="I109" s="25">
        <f>(($B$97+$C$97)*$E$126)/4</f>
        <v>8320000</v>
      </c>
      <c r="J109" s="25"/>
      <c r="K109" s="25"/>
      <c r="L109" s="25"/>
      <c r="M109" s="27">
        <f>SUM(B109:L109)</f>
        <v>33280000</v>
      </c>
    </row>
    <row r="110" spans="1:13" x14ac:dyDescent="0.25">
      <c r="A110" s="2" t="s">
        <v>46</v>
      </c>
      <c r="B110" s="25"/>
      <c r="C110" s="25"/>
      <c r="D110" s="25"/>
      <c r="E110" s="25"/>
      <c r="F110" s="25">
        <f t="shared" ref="F110:G110" si="25">(($B$97+$C$97)*$F$126)/5</f>
        <v>24960000</v>
      </c>
      <c r="G110" s="25">
        <f t="shared" si="25"/>
        <v>24960000</v>
      </c>
      <c r="H110" s="25">
        <f>(($B$97+$C$97)*$F$126)/5</f>
        <v>24960000</v>
      </c>
      <c r="I110" s="25">
        <f t="shared" ref="I110:J110" si="26">(($B$97+$C$97)*$F$126)/5</f>
        <v>24960000</v>
      </c>
      <c r="J110" s="25">
        <f t="shared" si="26"/>
        <v>24960000</v>
      </c>
      <c r="K110" s="25"/>
      <c r="L110" s="25"/>
      <c r="M110" s="27">
        <f>SUM(B110:L110)</f>
        <v>124800000</v>
      </c>
    </row>
    <row r="111" spans="1:13" x14ac:dyDescent="0.25">
      <c r="A111" s="2" t="s">
        <v>46</v>
      </c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7">
        <f>SUM(B111:L111)</f>
        <v>0</v>
      </c>
    </row>
    <row r="112" spans="1:13" x14ac:dyDescent="0.25">
      <c r="A112" s="2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7"/>
    </row>
    <row r="113" spans="1:13" x14ac:dyDescent="0.25">
      <c r="A113" s="2" t="s">
        <v>55</v>
      </c>
      <c r="B113" s="37"/>
      <c r="C113" s="37"/>
      <c r="D113" s="37"/>
      <c r="E113" s="37"/>
      <c r="F113" s="25">
        <f>(($B$98+$C$98)*$D$126)/5</f>
        <v>3968000</v>
      </c>
      <c r="G113" s="25">
        <f>(($B$98+$C$98)*$D$126)/5</f>
        <v>3968000</v>
      </c>
      <c r="H113" s="25">
        <f>(($B$98+$C$98)*$D$126)/5</f>
        <v>3968000</v>
      </c>
      <c r="I113" s="25">
        <f>(($B$98+$C$98)*$D$126)/5</f>
        <v>3968000</v>
      </c>
      <c r="J113" s="25">
        <f>(($B$98+$C$98)*$D$126)/5</f>
        <v>3968000</v>
      </c>
      <c r="K113" s="25"/>
      <c r="L113" s="25"/>
      <c r="M113" s="27">
        <f>SUM(B113:L113)</f>
        <v>19840000</v>
      </c>
    </row>
    <row r="114" spans="1:13" x14ac:dyDescent="0.25">
      <c r="A114" s="2" t="s">
        <v>55</v>
      </c>
      <c r="B114" s="37"/>
      <c r="C114" s="37"/>
      <c r="D114" s="37"/>
      <c r="E114" s="37"/>
      <c r="F114" s="25">
        <f>(($B$98+$C$98)*$E$126)/5</f>
        <v>7936000</v>
      </c>
      <c r="G114" s="25">
        <f>(($B$98+$C$98)*$E$126)/5</f>
        <v>7936000</v>
      </c>
      <c r="H114" s="25">
        <f>(($B$98+$C$98)*$E$126)/5</f>
        <v>7936000</v>
      </c>
      <c r="I114" s="25">
        <f>(($B$98+$C$98)*$E$126)/5</f>
        <v>7936000</v>
      </c>
      <c r="J114" s="25">
        <f>(($B$98+$C$98)*$E$126)/5</f>
        <v>7936000</v>
      </c>
      <c r="K114" s="25"/>
      <c r="L114" s="25"/>
      <c r="M114" s="27">
        <f>SUM(B114:L114)</f>
        <v>39680000</v>
      </c>
    </row>
    <row r="115" spans="1:13" x14ac:dyDescent="0.25">
      <c r="A115" s="2" t="s">
        <v>55</v>
      </c>
      <c r="B115" s="37"/>
      <c r="C115" s="37"/>
      <c r="D115" s="37"/>
      <c r="E115" s="37"/>
      <c r="F115" s="37"/>
      <c r="G115" s="25">
        <f>(($B$98+$C$98)*$F$126)/5</f>
        <v>29760000</v>
      </c>
      <c r="H115" s="25">
        <f>(($B$98+$C$98)*$F$126)/5</f>
        <v>29760000</v>
      </c>
      <c r="I115" s="25">
        <f>(($B$98+$C$98)*$F$126)/5</f>
        <v>29760000</v>
      </c>
      <c r="J115" s="25">
        <f>(($B$98+$C$98)*$F$126)/5</f>
        <v>29760000</v>
      </c>
      <c r="K115" s="25">
        <f>(($B$98+$C$98)*$F$126)/5</f>
        <v>29760000</v>
      </c>
      <c r="L115" s="25"/>
      <c r="M115" s="27">
        <f>SUM(B115:L115)</f>
        <v>148800000</v>
      </c>
    </row>
    <row r="116" spans="1:13" x14ac:dyDescent="0.25">
      <c r="A116" s="2" t="s">
        <v>55</v>
      </c>
      <c r="B116" s="37"/>
      <c r="C116" s="37"/>
      <c r="D116" s="37"/>
      <c r="E116" s="37"/>
      <c r="F116" s="37"/>
      <c r="G116" s="37"/>
      <c r="H116" s="37"/>
      <c r="I116" s="25"/>
      <c r="J116" s="25"/>
      <c r="K116" s="25"/>
      <c r="L116" s="25"/>
      <c r="M116" s="27">
        <f>SUM(B116:L116)</f>
        <v>0</v>
      </c>
    </row>
    <row r="117" spans="1:13" x14ac:dyDescent="0.25">
      <c r="A117" s="2"/>
      <c r="B117" s="37"/>
      <c r="C117" s="37"/>
      <c r="D117" s="37"/>
      <c r="E117" s="37"/>
      <c r="F117" s="37"/>
      <c r="G117" s="37"/>
      <c r="H117" s="37"/>
      <c r="I117" s="37"/>
      <c r="J117" s="25"/>
      <c r="K117" s="25"/>
      <c r="L117" s="25"/>
      <c r="M117" s="27"/>
    </row>
    <row r="118" spans="1:13" ht="15.75" thickBot="1" x14ac:dyDescent="0.3">
      <c r="A118" s="30" t="s">
        <v>56</v>
      </c>
      <c r="B118" s="37"/>
      <c r="C118" s="37"/>
      <c r="D118" s="37"/>
      <c r="E118" s="37"/>
      <c r="F118" s="37"/>
      <c r="G118" s="37"/>
      <c r="H118" s="25">
        <f>(($B$99+$C$99)*($D$126+$E$126+$F$126))/5</f>
        <v>48384000</v>
      </c>
      <c r="I118" s="25">
        <f>(($B$99+$C$99)*($D$126+$E$126+$F$126))/5</f>
        <v>48384000</v>
      </c>
      <c r="J118" s="25">
        <f>(($B$99+$C$99)*($D$126+$E$126+$F$126))/5</f>
        <v>48384000</v>
      </c>
      <c r="K118" s="25">
        <f>(($B$99+$C$99)*($D$126+$E$126+$F$126))/5</f>
        <v>48384000</v>
      </c>
      <c r="L118" s="25">
        <f>(($B$99+$C$99)*($D$126+$E$126+$F$126))/5</f>
        <v>48384000</v>
      </c>
      <c r="M118" s="54">
        <f>SUM(B118:L118)</f>
        <v>241920000</v>
      </c>
    </row>
    <row r="119" spans="1:13" ht="15.75" thickBot="1" x14ac:dyDescent="0.3">
      <c r="A119" s="55" t="s">
        <v>58</v>
      </c>
      <c r="B119" s="56">
        <f t="shared" ref="B119:M119" si="27">SUM(B101:B118)</f>
        <v>0</v>
      </c>
      <c r="C119" s="56">
        <f t="shared" si="27"/>
        <v>0</v>
      </c>
      <c r="D119" s="56">
        <f t="shared" si="27"/>
        <v>10880000</v>
      </c>
      <c r="E119" s="56">
        <f t="shared" si="27"/>
        <v>15253333.333333334</v>
      </c>
      <c r="F119" s="56">
        <f t="shared" si="27"/>
        <v>89557333.333333343</v>
      </c>
      <c r="G119" s="56">
        <f t="shared" si="27"/>
        <v>119317333.33333334</v>
      </c>
      <c r="H119" s="56">
        <f t="shared" si="27"/>
        <v>152448000</v>
      </c>
      <c r="I119" s="56">
        <f t="shared" si="27"/>
        <v>152448000</v>
      </c>
      <c r="J119" s="56">
        <f t="shared" si="27"/>
        <v>139968000</v>
      </c>
      <c r="K119" s="56">
        <f t="shared" si="27"/>
        <v>78144000</v>
      </c>
      <c r="L119" s="56">
        <f t="shared" si="27"/>
        <v>48384000</v>
      </c>
      <c r="M119" s="57">
        <f t="shared" si="27"/>
        <v>806400000</v>
      </c>
    </row>
    <row r="120" spans="1:13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ht="15.75" thickBo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 ht="15.75" thickBot="1" x14ac:dyDescent="0.3">
      <c r="A122" s="55" t="s">
        <v>43</v>
      </c>
      <c r="B122" s="6" t="str">
        <f t="shared" ref="B122:M122" si="28">B30</f>
        <v>As on Date</v>
      </c>
      <c r="C122" s="6" t="str">
        <f t="shared" si="28"/>
        <v>3rd Qt</v>
      </c>
      <c r="D122" s="6" t="str">
        <f t="shared" si="28"/>
        <v>4th Qt</v>
      </c>
      <c r="E122" s="6" t="str">
        <f t="shared" si="28"/>
        <v>1st Qtr</v>
      </c>
      <c r="F122" s="6" t="str">
        <f t="shared" si="28"/>
        <v>2nd Qt</v>
      </c>
      <c r="G122" s="6" t="str">
        <f t="shared" si="28"/>
        <v>3rd Qt</v>
      </c>
      <c r="H122" s="6" t="str">
        <f t="shared" si="28"/>
        <v>4th Qtr</v>
      </c>
      <c r="I122" s="6" t="str">
        <f t="shared" si="28"/>
        <v>1st Qtr</v>
      </c>
      <c r="J122" s="6" t="str">
        <f t="shared" si="28"/>
        <v>2nd Qt</v>
      </c>
      <c r="K122" s="6" t="str">
        <f t="shared" si="28"/>
        <v>3rd Qt</v>
      </c>
      <c r="L122" s="6" t="str">
        <f t="shared" si="28"/>
        <v>4th Qtr</v>
      </c>
      <c r="M122" s="7" t="str">
        <f t="shared" si="28"/>
        <v>TOTAL</v>
      </c>
    </row>
    <row r="123" spans="1:13" x14ac:dyDescent="0.25">
      <c r="A123" s="9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75"/>
    </row>
    <row r="124" spans="1:13" x14ac:dyDescent="0.25">
      <c r="A124" s="2" t="s">
        <v>81</v>
      </c>
      <c r="B124" s="14"/>
      <c r="C124" s="14"/>
      <c r="D124" s="14">
        <v>128</v>
      </c>
      <c r="E124" s="14">
        <v>256</v>
      </c>
      <c r="F124" s="93">
        <f>C6-D124-E124</f>
        <v>960</v>
      </c>
      <c r="G124" s="14"/>
      <c r="H124" s="14"/>
      <c r="I124" s="14"/>
      <c r="J124" s="14"/>
      <c r="K124" s="14"/>
      <c r="L124" s="14"/>
      <c r="M124" s="26">
        <f>SUM(B124:L124)</f>
        <v>1344</v>
      </c>
    </row>
    <row r="125" spans="1:13" ht="15.75" thickBot="1" x14ac:dyDescent="0.3">
      <c r="A125" s="16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72"/>
    </row>
    <row r="126" spans="1:13" ht="15.75" thickBot="1" x14ac:dyDescent="0.3">
      <c r="A126" s="58" t="s">
        <v>0</v>
      </c>
      <c r="B126" s="76">
        <f t="shared" ref="B126:M126" si="29">SUM(B124:B125)</f>
        <v>0</v>
      </c>
      <c r="C126" s="76">
        <f t="shared" si="29"/>
        <v>0</v>
      </c>
      <c r="D126" s="76">
        <f t="shared" si="29"/>
        <v>128</v>
      </c>
      <c r="E126" s="76">
        <f t="shared" si="29"/>
        <v>256</v>
      </c>
      <c r="F126" s="76">
        <f t="shared" si="29"/>
        <v>960</v>
      </c>
      <c r="G126" s="76">
        <f t="shared" si="29"/>
        <v>0</v>
      </c>
      <c r="H126" s="76">
        <f t="shared" si="29"/>
        <v>0</v>
      </c>
      <c r="I126" s="76">
        <f t="shared" si="29"/>
        <v>0</v>
      </c>
      <c r="J126" s="76">
        <f t="shared" si="29"/>
        <v>0</v>
      </c>
      <c r="K126" s="76">
        <f t="shared" si="29"/>
        <v>0</v>
      </c>
      <c r="L126" s="76">
        <f t="shared" si="29"/>
        <v>0</v>
      </c>
      <c r="M126" s="77">
        <f t="shared" si="29"/>
        <v>1344</v>
      </c>
    </row>
  </sheetData>
  <mergeCells count="6">
    <mergeCell ref="A1:E1"/>
    <mergeCell ref="G7:J7"/>
    <mergeCell ref="G16:J16"/>
    <mergeCell ref="B29:D29"/>
    <mergeCell ref="E29:H29"/>
    <mergeCell ref="I29:L29"/>
  </mergeCells>
  <pageMargins left="0.7" right="0.7" top="0.75" bottom="0.75" header="0.3" footer="0.3"/>
  <pageSetup paperSize="9" scale="64" fitToHeight="0" orientation="landscape" horizontalDpi="300" verticalDpi="300" r:id="rId1"/>
  <rowBreaks count="1" manualBreakCount="1">
    <brk id="4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C18" sqref="C18"/>
    </sheetView>
  </sheetViews>
  <sheetFormatPr defaultRowHeight="16.5" x14ac:dyDescent="0.3"/>
  <cols>
    <col min="1" max="1" width="9.140625" style="98"/>
    <col min="2" max="2" width="41.85546875" style="98" bestFit="1" customWidth="1"/>
    <col min="3" max="3" width="16.5703125" style="98" bestFit="1" customWidth="1"/>
    <col min="4" max="16384" width="9.140625" style="98"/>
  </cols>
  <sheetData>
    <row r="1" spans="1:4" x14ac:dyDescent="0.3">
      <c r="A1" s="97" t="s">
        <v>82</v>
      </c>
      <c r="B1" s="97" t="s">
        <v>83</v>
      </c>
      <c r="C1" s="97" t="s">
        <v>84</v>
      </c>
      <c r="D1" s="97" t="s">
        <v>85</v>
      </c>
    </row>
    <row r="2" spans="1:4" x14ac:dyDescent="0.3">
      <c r="A2" s="99"/>
      <c r="B2" s="97" t="s">
        <v>86</v>
      </c>
      <c r="C2" s="99"/>
      <c r="D2" s="99"/>
    </row>
    <row r="3" spans="1:4" x14ac:dyDescent="0.3">
      <c r="A3" s="99">
        <f>1</f>
        <v>1</v>
      </c>
      <c r="B3" s="99" t="s">
        <v>69</v>
      </c>
      <c r="C3" s="100">
        <f>'CF Shimla'!M40</f>
        <v>85800000</v>
      </c>
      <c r="D3" s="101">
        <f>C3/C8*100</f>
        <v>14.146264428477823</v>
      </c>
    </row>
    <row r="4" spans="1:4" x14ac:dyDescent="0.3">
      <c r="A4" s="99">
        <f>A3+1</f>
        <v>2</v>
      </c>
      <c r="B4" s="99" t="s">
        <v>5</v>
      </c>
      <c r="C4" s="100">
        <f>'CF Shimla'!M41</f>
        <v>390604031.99999994</v>
      </c>
      <c r="D4" s="101">
        <f>C4/C8*100</f>
        <v>64.400791649202944</v>
      </c>
    </row>
    <row r="5" spans="1:4" x14ac:dyDescent="0.3">
      <c r="A5" s="99">
        <f t="shared" ref="A5:A7" si="0">A4+1</f>
        <v>3</v>
      </c>
      <c r="B5" s="99" t="s">
        <v>18</v>
      </c>
      <c r="C5" s="100">
        <f>'CF Shimla'!M42</f>
        <v>42041512.231282428</v>
      </c>
      <c r="D5" s="101">
        <f>C5/C8*100</f>
        <v>6.931589149146923</v>
      </c>
    </row>
    <row r="6" spans="1:4" x14ac:dyDescent="0.3">
      <c r="A6" s="99">
        <f t="shared" si="0"/>
        <v>4</v>
      </c>
      <c r="B6" s="99" t="s">
        <v>65</v>
      </c>
      <c r="C6" s="100">
        <f>'CF Shimla'!M43</f>
        <v>67200000</v>
      </c>
      <c r="D6" s="101">
        <f>C6/C8*100</f>
        <v>11.079591720206407</v>
      </c>
    </row>
    <row r="7" spans="1:4" x14ac:dyDescent="0.3">
      <c r="A7" s="99">
        <f t="shared" si="0"/>
        <v>5</v>
      </c>
      <c r="B7" s="99" t="s">
        <v>71</v>
      </c>
      <c r="C7" s="100">
        <f>'CF Shimla'!M44</f>
        <v>20875000</v>
      </c>
      <c r="D7" s="101">
        <f>C7/C8*100</f>
        <v>3.4417630529659045</v>
      </c>
    </row>
    <row r="8" spans="1:4" x14ac:dyDescent="0.3">
      <c r="A8" s="99"/>
      <c r="B8" s="102" t="s">
        <v>0</v>
      </c>
      <c r="C8" s="103">
        <f>SUM(C3:C7)</f>
        <v>606520544.23128235</v>
      </c>
      <c r="D8" s="104">
        <f>SUM(D3:D7)</f>
        <v>100.00000000000001</v>
      </c>
    </row>
    <row r="9" spans="1:4" x14ac:dyDescent="0.3">
      <c r="A9" s="99"/>
      <c r="B9" s="97" t="s">
        <v>87</v>
      </c>
      <c r="C9" s="100"/>
      <c r="D9" s="101"/>
    </row>
    <row r="10" spans="1:4" x14ac:dyDescent="0.3">
      <c r="A10" s="99">
        <f>1</f>
        <v>1</v>
      </c>
      <c r="B10" s="99" t="s">
        <v>28</v>
      </c>
      <c r="C10" s="100">
        <f>'CF Shimla'!B32</f>
        <v>2000000</v>
      </c>
      <c r="D10" s="101">
        <f>C10/C14*100</f>
        <v>0.32974975357757164</v>
      </c>
    </row>
    <row r="11" spans="1:4" x14ac:dyDescent="0.3">
      <c r="A11" s="99">
        <f>A10+1</f>
        <v>2</v>
      </c>
      <c r="B11" s="99" t="s">
        <v>70</v>
      </c>
      <c r="C11" s="100">
        <f>'CF Shimla'!B33</f>
        <v>39000000</v>
      </c>
      <c r="D11" s="101">
        <f>C11/C14*100</f>
        <v>6.4301201947626465</v>
      </c>
    </row>
    <row r="12" spans="1:4" x14ac:dyDescent="0.3">
      <c r="A12" s="99">
        <f t="shared" ref="A12:A13" si="1">A11+1</f>
        <v>3</v>
      </c>
      <c r="B12" s="99" t="s">
        <v>29</v>
      </c>
      <c r="C12" s="100">
        <f>'CF Shimla'!C34+'CF Shimla'!D34+'CF Shimla'!E34</f>
        <v>130000000</v>
      </c>
      <c r="D12" s="101">
        <f>C12/C14*100</f>
        <v>21.433733982542158</v>
      </c>
    </row>
    <row r="13" spans="1:4" x14ac:dyDescent="0.3">
      <c r="A13" s="99">
        <f t="shared" si="1"/>
        <v>4</v>
      </c>
      <c r="B13" s="99" t="s">
        <v>41</v>
      </c>
      <c r="C13" s="100">
        <f>C14-C10-C11-C12</f>
        <v>435520544.23128235</v>
      </c>
      <c r="D13" s="101">
        <f>C13/C14*100</f>
        <v>71.806396069117625</v>
      </c>
    </row>
    <row r="14" spans="1:4" x14ac:dyDescent="0.3">
      <c r="A14" s="99"/>
      <c r="B14" s="97" t="s">
        <v>0</v>
      </c>
      <c r="C14" s="103">
        <f>C8</f>
        <v>606520544.23128235</v>
      </c>
      <c r="D14" s="104">
        <f>SUM(D10:D13)</f>
        <v>100</v>
      </c>
    </row>
    <row r="15" spans="1:4" x14ac:dyDescent="0.3">
      <c r="C15" s="105"/>
    </row>
    <row r="16" spans="1:4" x14ac:dyDescent="0.3">
      <c r="C16" s="105"/>
    </row>
    <row r="17" spans="3:3" x14ac:dyDescent="0.3">
      <c r="C17" s="105"/>
    </row>
    <row r="18" spans="3:3" x14ac:dyDescent="0.3">
      <c r="C18" s="105"/>
    </row>
    <row r="19" spans="3:3" x14ac:dyDescent="0.3">
      <c r="C19" s="105"/>
    </row>
    <row r="20" spans="3:3" x14ac:dyDescent="0.3">
      <c r="C20" s="105"/>
    </row>
    <row r="21" spans="3:3" x14ac:dyDescent="0.3">
      <c r="C21" s="105"/>
    </row>
    <row r="22" spans="3:3" x14ac:dyDescent="0.3">
      <c r="C22" s="105"/>
    </row>
    <row r="23" spans="3:3" x14ac:dyDescent="0.3">
      <c r="C23" s="105"/>
    </row>
    <row r="24" spans="3:3" x14ac:dyDescent="0.3">
      <c r="C24" s="105"/>
    </row>
    <row r="25" spans="3:3" x14ac:dyDescent="0.3">
      <c r="C25" s="105"/>
    </row>
    <row r="26" spans="3:3" x14ac:dyDescent="0.3">
      <c r="C26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CF Shimla</vt:lpstr>
      <vt:lpstr>COP MOF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OWNER</cp:lastModifiedBy>
  <cp:lastPrinted>2022-01-18T16:50:20Z</cp:lastPrinted>
  <dcterms:created xsi:type="dcterms:W3CDTF">2021-03-09T23:59:53Z</dcterms:created>
  <dcterms:modified xsi:type="dcterms:W3CDTF">2023-01-17T12:28:16Z</dcterms:modified>
</cp:coreProperties>
</file>